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0" windowHeight="13365" activeTab="0"/>
  </bookViews>
  <sheets>
    <sheet name="O_coriaceus Sup-2" sheetId="1" r:id="rId1"/>
  </sheets>
  <definedNames/>
  <calcPr fullCalcOnLoad="1"/>
</workbook>
</file>

<file path=xl/sharedStrings.xml><?xml version="1.0" encoding="utf-8"?>
<sst xmlns="http://schemas.openxmlformats.org/spreadsheetml/2006/main" count="2577" uniqueCount="644">
  <si>
    <t>1 | 204    KASTVRR|DA  0.613 *ProP*  |</t>
  </si>
  <si>
    <t>3 | 9    AKWRKKR|MR  0.563 *ProP*  | 15    RMRRLKR|KR  0.562 *ProP*  | 21    RKRRKMR|GR  0.543 *ProP*  |</t>
  </si>
  <si>
    <t>1 | 84    LKQALKR|SV  0.562 *ProP*  |</t>
  </si>
  <si>
    <t>1 | 34    IASRAVR|NA  0.546 *ProP*  |</t>
  </si>
  <si>
    <t>1 | 31    CLTRSRR|GR  0.517 *ProP*  |</t>
  </si>
  <si>
    <t>0.488 0.994   0.002    signal peptide predicted by SignalP</t>
  </si>
  <si>
    <t>0.632 1.572   0.003    signal peptide predicted by SignalP</t>
  </si>
  <si>
    <t>0.621 1.594   0.003    signal peptide predicted by SignalP</t>
  </si>
  <si>
    <t>0.640 1.795   0.004    signal peptide predicted by SignalP</t>
  </si>
  <si>
    <t>0.466 0.903   0.002    signal peptide predicted by SignalP</t>
  </si>
  <si>
    <t>0.788 3.483   0.007    signal peptide predicted by SignalP</t>
  </si>
  <si>
    <t>0.522 1.104   0.002    signal peptide predicted by SignalP</t>
  </si>
  <si>
    <t>0.589 1.468   0.003    signal peptide predicted by SignalP</t>
  </si>
  <si>
    <t>0.465 0.925   0.002    signal peptide predicted by SignalP</t>
  </si>
  <si>
    <t>0.899 5.683   0.011    signal peptide predicted by SignalP</t>
  </si>
  <si>
    <t>0.872 4.881   0.010</t>
  </si>
  <si>
    <t>0.898 5.649   0.011    signal peptide predicted by SignalP</t>
  </si>
  <si>
    <t>0.760 2.990   0.006    signal peptide predicted by SignalP</t>
  </si>
  <si>
    <t>0.635 1.729   0.003    signal peptide predicted by SignalP</t>
  </si>
  <si>
    <t>0.768 2.974   0.006    signal peptide predicted by SignalP</t>
  </si>
  <si>
    <t>0.393 0.739   0.001    signal peptide predicted by SignalP</t>
  </si>
  <si>
    <t>His_binding 0.004|</t>
  </si>
  <si>
    <t>0.767 2.769   0.006    signal peptide predicted by SignalP</t>
  </si>
  <si>
    <t>0.928 6.529   0.013    signal peptide predicted by SignalP</t>
  </si>
  <si>
    <t>0.902 5.904   0.012    signal peptide predicted by SignalP</t>
  </si>
  <si>
    <t>0.848 4.585   0.009    signal peptide predicted by SignalP</t>
  </si>
  <si>
    <t>0.491 1.091   0.002    signal peptide predicted by SignalP</t>
  </si>
  <si>
    <t>0.663 2.203   0.004    signal peptide predicted by SignalP</t>
  </si>
  <si>
    <t>0.280 0.731   0.001    signal peptide predicted by SignalP</t>
  </si>
  <si>
    <t>0.797 3.260   0.007    signal peptide predicted by SignalP</t>
  </si>
  <si>
    <t>0.779 3.242   0.006    signal peptide predicted by SignalP</t>
  </si>
  <si>
    <t>0.922 6.266   0.013    signal peptide predicted by SignalP</t>
  </si>
  <si>
    <t>0.943 6.860   0.014    signal peptide predicted by SignalP</t>
  </si>
  <si>
    <t>0.656 1.811   0.004    signal peptide predicted by SignalP</t>
  </si>
  <si>
    <t>0.440 1.036   0.002    signal peptide predicted by SignalP</t>
  </si>
  <si>
    <t>0.374 0.759   0.002    signal peptide predicted by SignalP</t>
  </si>
  <si>
    <t>0.666 1.937   0.004</t>
  </si>
  <si>
    <t>0.906 5.845   0.012    signal peptide predicted by SignalP</t>
  </si>
  <si>
    <t>0.925 6.237   0.012    signal peptide predicted by SignalP</t>
  </si>
  <si>
    <t>0.663 2.248   0.004    signal peptide predicted by SignalP</t>
  </si>
  <si>
    <t>0.897 5.738   0.011</t>
  </si>
  <si>
    <t>0.918 6.048   0.012    signal peptide predicted by SignalP</t>
  </si>
  <si>
    <t>0.715 2.317   0.005    signal peptide predicted by SignalP</t>
  </si>
  <si>
    <t>0.844 4.202   0.008</t>
  </si>
  <si>
    <t>0.796 3.519   0.007</t>
  </si>
  <si>
    <t>0.691 2.149   0.004</t>
  </si>
  <si>
    <t>0.898 5.774   0.012</t>
  </si>
  <si>
    <t>0.848 4.365   0.009</t>
  </si>
  <si>
    <t>0.719 2.220   0.004</t>
  </si>
  <si>
    <t>0.810 3.797   0.008    signal peptide predicted by SignalP</t>
  </si>
  <si>
    <t>0.785 3.465   0.007    signal peptide predicted by SignalP</t>
  </si>
  <si>
    <t>0.863 4.777   0.010    signal peptide predicted by SignalP</t>
  </si>
  <si>
    <t>0.800 3.508   0.007    signal peptide predicted by SignalP</t>
  </si>
  <si>
    <t>0.854 4.740   0.009    signal peptide predicted by SignalP</t>
  </si>
  <si>
    <t>0.297 0.559   0.001    signal peptide predicted by SignalP</t>
  </si>
  <si>
    <t>0.333 0.638   0.001    signal peptide predicted by SignalP</t>
  </si>
  <si>
    <t>0.670 2.438   0.005    signal peptide predicted by SignalP</t>
  </si>
  <si>
    <t>0.339 0.718   0.001    signal peptide predicted by SignalP</t>
  </si>
  <si>
    <t>0.945 6.938   0.014    signal peptide predicted by SignalP</t>
  </si>
  <si>
    <t>0.887 5.343   0.011</t>
  </si>
  <si>
    <t>0.135 0.280   0.001    signal peptide predicted by SignalP</t>
  </si>
  <si>
    <t>0.901 5.755   0.012    signal peptide predicted by SignalP</t>
  </si>
  <si>
    <t>0.581 1.374   0.003    signal peptide predicted by SignalP</t>
  </si>
  <si>
    <t>0.615 1.641   0.003    signal peptide predicted by SignalP</t>
  </si>
  <si>
    <t>0.887 5.352   0.011    signal peptide predicted by SignalP</t>
  </si>
  <si>
    <t>0.545 1.404   0.003    signal peptide predicted by SignalP</t>
  </si>
  <si>
    <t>0.884 5.450   0.011    signal peptide predicted by SignalP</t>
  </si>
  <si>
    <t>0.932 6.558   0.013    signal peptide predicted by SignalP</t>
  </si>
  <si>
    <t>0.972 7.351   0.015    signal peptide predicted by SignalP</t>
  </si>
  <si>
    <t>0.824 3.999   0.008    signal peptide predicted by SignalP</t>
  </si>
  <si>
    <t>0.903 5.869   0.012    signal peptide predicted by SignalP</t>
  </si>
  <si>
    <t>0.937 6.847   0.014    signal peptide predicted by SignalP</t>
  </si>
  <si>
    <t>0.875 5.066   0.010    signal peptide predicted by SignalP</t>
  </si>
  <si>
    <t>0.789 3.586   0.007    signal peptide predicted by SignalP</t>
  </si>
  <si>
    <t>0.844 4.393   0.009    signal peptide predicted by SignalP</t>
  </si>
  <si>
    <t>0.881 5.223   0.010    signal peptide predicted by SignalP</t>
  </si>
  <si>
    <t>0.408 0.984   0.002</t>
  </si>
  <si>
    <t>0.578 1.370   0.003    signal peptide predicted by SignalP</t>
  </si>
  <si>
    <t>0.356 0.836   0.002</t>
  </si>
  <si>
    <t>0.754 3.117   0.006</t>
  </si>
  <si>
    <t>0.133 0.273   0.001</t>
  </si>
  <si>
    <t>0.761 2.894   0.006</t>
  </si>
  <si>
    <t>0.745 2.646   0.005</t>
  </si>
  <si>
    <t>0.736 3.044   0.006</t>
  </si>
  <si>
    <t>0.653 2.021   0.004</t>
  </si>
  <si>
    <t>0.762 2.633   0.005</t>
  </si>
  <si>
    <t>0.453 1.021   0.002</t>
  </si>
  <si>
    <t>0.401 0.791   0.002</t>
  </si>
  <si>
    <t>0.509 1.103   0.002    signal peptide predicted by SignalP</t>
  </si>
  <si>
    <t>0.881 5.027   0.010</t>
  </si>
  <si>
    <t>0.915 6.030   0.012</t>
  </si>
  <si>
    <t>0.705 2.269   0.005    signal peptide predicted by SignalP</t>
  </si>
  <si>
    <t>0.338 0.635   0.001</t>
  </si>
  <si>
    <t>0.638 1.682   0.003</t>
  </si>
  <si>
    <t>0.911 6.104   0.012</t>
  </si>
  <si>
    <t>0.856 4.569   0.009    signal peptide predicted by SignalP</t>
  </si>
  <si>
    <t>0.232 0.452   0.001    signal peptide predicted by SignalP</t>
  </si>
  <si>
    <t>0.867 4.953   0.010</t>
  </si>
  <si>
    <t>0.852 4.356   0.009</t>
  </si>
  <si>
    <t>0.197 0.403   0.001</t>
  </si>
  <si>
    <t>0.852 4.558   0.009</t>
  </si>
  <si>
    <t>0.424 0.852   0.002</t>
  </si>
  <si>
    <t>0.634 1.643   0.003</t>
  </si>
  <si>
    <t>0.841 4.192   0.008</t>
  </si>
  <si>
    <t>0.552 1.338   0.003</t>
  </si>
  <si>
    <t>0.837 4.256   0.009</t>
  </si>
  <si>
    <t>0.852 4.280   0.009</t>
  </si>
  <si>
    <t>0.557 1.445   0.003</t>
  </si>
  <si>
    <t>21 -&gt;10</t>
  </si>
  <si>
    <t>Percent coverage</t>
  </si>
  <si>
    <t>Seq name</t>
  </si>
  <si>
    <t>First residue</t>
  </si>
  <si>
    <t>Seq size</t>
  </si>
  <si>
    <t>Description</t>
  </si>
  <si>
    <t>M</t>
  </si>
  <si>
    <t xml:space="preserve">salivary lipocalin </t>
  </si>
  <si>
    <t xml:space="preserve">moubatin-like lipocalin </t>
  </si>
  <si>
    <t>V</t>
  </si>
  <si>
    <t xml:space="preserve">microplusin-like antimicrobial - truncated at 5 prime </t>
  </si>
  <si>
    <t xml:space="preserve">ixodidin </t>
  </si>
  <si>
    <t xml:space="preserve">7DB family </t>
  </si>
  <si>
    <t xml:space="preserve">ribosomal protein L21 </t>
  </si>
  <si>
    <t xml:space="preserve">N-acetyltransferase </t>
  </si>
  <si>
    <t xml:space="preserve">histone 1 </t>
  </si>
  <si>
    <t xml:space="preserve">hypothetical secreted peptide precursor </t>
  </si>
  <si>
    <t xml:space="preserve">putative secreted glycine rich salivary protein </t>
  </si>
  <si>
    <t>G</t>
  </si>
  <si>
    <t xml:space="preserve">translationally controlled tumor protein - truncated at 5 prime </t>
  </si>
  <si>
    <t xml:space="preserve">ribosome associated membrane protein 4 </t>
  </si>
  <si>
    <t xml:space="preserve">ribosomal protein S21 - truncated at 5 prime </t>
  </si>
  <si>
    <t xml:space="preserve">salivary secreted basic tail protein </t>
  </si>
  <si>
    <t xml:space="preserve">cytochrome c oxidase polypeptide IV </t>
  </si>
  <si>
    <t>Y</t>
  </si>
  <si>
    <t xml:space="preserve">reverse transcriptase-like protein - truncated at 5 prime </t>
  </si>
  <si>
    <t xml:space="preserve">40S ribosomal protein S11 </t>
  </si>
  <si>
    <t xml:space="preserve">BTSP </t>
  </si>
  <si>
    <t>L</t>
  </si>
  <si>
    <t xml:space="preserve">ubiquitin/40S ribosomal protein S27a - truncated at 5 prime </t>
  </si>
  <si>
    <t xml:space="preserve">dual kunitz salivary protein </t>
  </si>
  <si>
    <t xml:space="preserve">60s ribosomal protein L15/L27 </t>
  </si>
  <si>
    <t>P</t>
  </si>
  <si>
    <t xml:space="preserve">60S ribosomal protein L22 - truncated at 5 prime </t>
  </si>
  <si>
    <t>E</t>
  </si>
  <si>
    <t xml:space="preserve">ribosomal protein L30 - truncated at 5 prime </t>
  </si>
  <si>
    <t xml:space="preserve">hebreain-like </t>
  </si>
  <si>
    <t xml:space="preserve">mitochondrial Cytochrome c oxidase subunit II </t>
  </si>
  <si>
    <t xml:space="preserve">hypothetical protein </t>
  </si>
  <si>
    <t>Q</t>
  </si>
  <si>
    <t xml:space="preserve">Mitochondrial F1F0-ATP synthase, subunit epsilon/ATP15 - truncated at 5 prime </t>
  </si>
  <si>
    <t>T</t>
  </si>
  <si>
    <t xml:space="preserve">N-acetyltransferase - truncated at 5 prime </t>
  </si>
  <si>
    <t xml:space="preserve">hypothetical conserved secreted protein </t>
  </si>
  <si>
    <t xml:space="preserve">salivary cystatin 2 </t>
  </si>
  <si>
    <t>N</t>
  </si>
  <si>
    <t xml:space="preserve">metalloprotease - truncated at 5 prime </t>
  </si>
  <si>
    <t xml:space="preserve">salivary cystatin </t>
  </si>
  <si>
    <t xml:space="preserve">calcitonin-related polypeptide </t>
  </si>
  <si>
    <t xml:space="preserve">similar to calcitonin/calcitonin-related polypeptide </t>
  </si>
  <si>
    <t xml:space="preserve">mitochondrial ribosomal protein, S24, putative </t>
  </si>
  <si>
    <t>W</t>
  </si>
  <si>
    <t xml:space="preserve">phospholipase A2 - truncated at 5 prime </t>
  </si>
  <si>
    <t xml:space="preserve">BolA (bacterial stress-induced morphogen)-related protein </t>
  </si>
  <si>
    <t xml:space="preserve">ribosomal protein S16 </t>
  </si>
  <si>
    <t xml:space="preserve">ribosomal protein L41 </t>
  </si>
  <si>
    <t xml:space="preserve">salivary secreted lipocalin </t>
  </si>
  <si>
    <t xml:space="preserve">40S ribosomal protein S30 </t>
  </si>
  <si>
    <t xml:space="preserve">Defensin - truncated at 5 prime </t>
  </si>
  <si>
    <t xml:space="preserve">calcitonin/calcitonin-related polypeptide </t>
  </si>
  <si>
    <t xml:space="preserve">Calcitonin/calcitonin-related polypeptide </t>
  </si>
  <si>
    <t xml:space="preserve">savignygrin-like </t>
  </si>
  <si>
    <t xml:space="preserve">savignygrin-like RGD containing salivary peptide </t>
  </si>
  <si>
    <t xml:space="preserve">hypothetical secreted protein </t>
  </si>
  <si>
    <t xml:space="preserve">savignygrin-like peptide </t>
  </si>
  <si>
    <t xml:space="preserve">acid tail salivary protein </t>
  </si>
  <si>
    <t xml:space="preserve">ferritin </t>
  </si>
  <si>
    <t xml:space="preserve">Hypoxia-inducible factor prolyl hydroxylase 2 - truncated at 5 prime </t>
  </si>
  <si>
    <t xml:space="preserve">salivary mucin </t>
  </si>
  <si>
    <t xml:space="preserve">putative salivary secreted protein - truncated at 5 prime </t>
  </si>
  <si>
    <t xml:space="preserve">Translation elongation factor EF-1 alpha/Tu - truncated at 5 prime </t>
  </si>
  <si>
    <t>F</t>
  </si>
  <si>
    <t xml:space="preserve">cytochrome c oxidase subunit Va - truncated at 5 prime </t>
  </si>
  <si>
    <t xml:space="preserve">NADH dehydrogenase 1 alpha subcomplex </t>
  </si>
  <si>
    <t>K</t>
  </si>
  <si>
    <t xml:space="preserve">salivary metalloprotease - truncated at 5 prime </t>
  </si>
  <si>
    <t xml:space="preserve">salivary lipocalin - truncated at 5 prime </t>
  </si>
  <si>
    <t xml:space="preserve">salivary lipid interacting protein - truncated at 5 prime </t>
  </si>
  <si>
    <t xml:space="preserve">5'-nucleotidase/putative apyrase precursor - truncated at 5 prime </t>
  </si>
  <si>
    <t xml:space="preserve">BTSP - truncated at 3 prime </t>
  </si>
  <si>
    <t xml:space="preserve">60S ribosomal protein L2/L8 - truncated at 5 prime </t>
  </si>
  <si>
    <t>I</t>
  </si>
  <si>
    <t xml:space="preserve">40S ribosomal protein S10 - truncated at 5 prime </t>
  </si>
  <si>
    <t>D</t>
  </si>
  <si>
    <t xml:space="preserve">putative salivary secreted peptide </t>
  </si>
  <si>
    <t>ATG?</t>
  </si>
  <si>
    <t>*</t>
  </si>
  <si>
    <t>ATG</t>
  </si>
  <si>
    <t xml:space="preserve"> </t>
  </si>
  <si>
    <t>Link to nucleotide file</t>
  </si>
  <si>
    <t>Stop codon?</t>
  </si>
  <si>
    <t>Clustered at 35%-Sim- on 50% of length - - Cluster#</t>
  </si>
  <si>
    <t xml:space="preserve"># seqs </t>
  </si>
  <si>
    <t>Clustered at 45%-Sim- on 50% of length - - Cluster#</t>
  </si>
  <si>
    <t>Clustered at 55%-Sim- on 50% of length - - Cluster#</t>
  </si>
  <si>
    <t>Clustered at 65%-Sim- on 50% of length - - Cluster#</t>
  </si>
  <si>
    <t>Clustered at 75%-Sim- on 50% of length - - Cluster#</t>
  </si>
  <si>
    <t>Clustered at 85%-Sim- on 50% of length - - Cluster#</t>
  </si>
  <si>
    <t>Clustered at 95%-Sim- on 50% of length - - Cluster#</t>
  </si>
  <si>
    <t>Best match to NR protein database</t>
  </si>
  <si>
    <t>E value</t>
  </si>
  <si>
    <t>Match</t>
  </si>
  <si>
    <t>% identity</t>
  </si>
  <si>
    <t>% Match length</t>
  </si>
  <si>
    <t>First residue of match</t>
  </si>
  <si>
    <t>First residue of sequence</t>
  </si>
  <si>
    <t>Number of segments</t>
  </si>
  <si>
    <t xml:space="preserve">Species </t>
  </si>
  <si>
    <t>Best match to GO database</t>
  </si>
  <si>
    <t>Function descriptors</t>
  </si>
  <si>
    <t>Function parent</t>
  </si>
  <si>
    <t>Function second parent</t>
  </si>
  <si>
    <t>GO #</t>
  </si>
  <si>
    <t>E value of functional GO</t>
  </si>
  <si>
    <t>Best match to KOG database</t>
  </si>
  <si>
    <t xml:space="preserve">General class </t>
  </si>
  <si>
    <t>Best match to CDD database</t>
  </si>
  <si>
    <t xml:space="preserve">All CDD domains </t>
  </si>
  <si>
    <t>Best match to PFAM database</t>
  </si>
  <si>
    <t xml:space="preserve">E value </t>
  </si>
  <si>
    <t>Best match to SMART database</t>
  </si>
  <si>
    <t>gi|149287038</t>
  </si>
  <si>
    <t>Ornithodoros parkeri</t>
  </si>
  <si>
    <t>gi|149287116</t>
  </si>
  <si>
    <t xml:space="preserve">His_binding 7e-004| </t>
  </si>
  <si>
    <t>gi|149287050</t>
  </si>
  <si>
    <t xml:space="preserve">General function prediction only </t>
  </si>
  <si>
    <t>gi|26336919</t>
  </si>
  <si>
    <t>Mus musculus</t>
  </si>
  <si>
    <t>Von Willebrand factor homolog - Mus musculus - liver development - placenta development - platelet activation - cell-substrate adhesion - blood coagulation - external side of plasma membrane - extracellular space - hemostasis - protease binding</t>
  </si>
  <si>
    <t>protease binding||enzyme binding||protein binding||binding</t>
  </si>
  <si>
    <t>binding</t>
  </si>
  <si>
    <t>protein binding</t>
  </si>
  <si>
    <t>GO:0002020</t>
  </si>
  <si>
    <t>Basic tail family</t>
  </si>
  <si>
    <t>Lipocalin family with HBP motif</t>
  </si>
  <si>
    <t>Lipocalin of moubatin family</t>
  </si>
  <si>
    <t>Antimicrobial - hebreain family</t>
  </si>
  <si>
    <t>Calcitonin/adrenomedulin family peptide</t>
  </si>
  <si>
    <t>Dual-Kunitz protease inhibitors</t>
  </si>
  <si>
    <t>Single Kunitz protease inhibitors</t>
  </si>
  <si>
    <t>Cystatin</t>
  </si>
  <si>
    <t>Other lipocalins</t>
  </si>
  <si>
    <t>Ribosomal proteins</t>
  </si>
  <si>
    <t>Defensin</t>
  </si>
  <si>
    <t>Other housekeeping proteins</t>
  </si>
  <si>
    <t>TIL domain containing peptides</t>
  </si>
  <si>
    <t xml:space="preserve">Reverse transcriptase-like protein </t>
  </si>
  <si>
    <t>Salivary enzymes with possible blood feeding function</t>
  </si>
  <si>
    <t xml:space="preserve">   Metalloproteases</t>
  </si>
  <si>
    <t xml:space="preserve">   Phospholipase A2 fragments</t>
  </si>
  <si>
    <t xml:space="preserve">   5'-nucleotidase/apyrase precursor - fragment</t>
  </si>
  <si>
    <t>Cytotoxin family</t>
  </si>
  <si>
    <t>Unique Ornithodoros families</t>
  </si>
  <si>
    <t>Novel families</t>
  </si>
  <si>
    <t>Possible mucin</t>
  </si>
  <si>
    <t>Housekeeping proteins</t>
  </si>
  <si>
    <t>Putative secreted proteins</t>
  </si>
  <si>
    <t>Blastn to EST database</t>
  </si>
  <si>
    <t xml:space="preserve">TIL 0.004| </t>
  </si>
  <si>
    <t>gi|149287080</t>
  </si>
  <si>
    <t>gi|45269083</t>
  </si>
  <si>
    <t>Ornithodoros moubata</t>
  </si>
  <si>
    <t>RPL21: 60S ribosomal protein L21 - Homo sapiens - RNA binding - structural constituent of ribosome - translation - cytosolic large ribosomal subunit (sensu Eukaryota)</t>
  </si>
  <si>
    <t>structural constituent of ribosome||structural molecule activity</t>
  </si>
  <si>
    <t>structural molecule activity</t>
  </si>
  <si>
    <t>structural constituent of ribosome</t>
  </si>
  <si>
    <t>GO:0003735</t>
  </si>
  <si>
    <t xml:space="preserve">Translation, ribosomal structure and biogenesis </t>
  </si>
  <si>
    <t xml:space="preserve">Ribosomal_L21e 3e-031| RPL21A 1e-019| PRK04306 9e-010| PRK08339 | </t>
  </si>
  <si>
    <t xml:space="preserve">Inorganic ion transport and metabolism, Signal transduction mechanisms </t>
  </si>
  <si>
    <t>gi|114051023</t>
  </si>
  <si>
    <t>Bombyx mori</t>
  </si>
  <si>
    <t>N-acetyltransferase 5 - Danio rerio - cellular_component</t>
  </si>
  <si>
    <t>catalytic activity</t>
  </si>
  <si>
    <t>transferase activity</t>
  </si>
  <si>
    <t>GO:0008080</t>
  </si>
  <si>
    <t xml:space="preserve">RimI 9e-018| Acetyltransf_1 2e-010| PRK03624 3e-007| rimI 6e-004| COG3393 0.010| FR47 0.034| PRK10514 0.063| COG3153 0.072| Cfa | PRK10146 | PRK10975 | PRK10140 | </t>
  </si>
  <si>
    <t>gi|22531323</t>
  </si>
  <si>
    <t>Mytilus chilensis</t>
  </si>
  <si>
    <t>Caenorhabditis elegans - oviposition - locomotory behavior - DNA repair</t>
  </si>
  <si>
    <t>hydrolase activity</t>
  </si>
  <si>
    <t>GO:0004527</t>
  </si>
  <si>
    <t xml:space="preserve">Energy production and conversion </t>
  </si>
  <si>
    <t xml:space="preserve">Linker_histone 2e-010| H15 2e-008| H15 1e-006| PRK11642 5e-004| PRK12373 0.002| PRK09138 0.005| PRK11192 0.015| PRK12323 0.016| PRK05648 0.025| PRK05035 0.047| PRK08173 0.089| PRK07003 | COG1754 | </t>
  </si>
  <si>
    <t>gi|114153172</t>
  </si>
  <si>
    <t>Argas monolakensis</t>
  </si>
  <si>
    <t>gi|149287084</t>
  </si>
  <si>
    <t>gi|86358560</t>
  </si>
  <si>
    <t>Rhizobium etli CFN 42</t>
  </si>
  <si>
    <t xml:space="preserve">glmU | </t>
  </si>
  <si>
    <t>gi|67083228</t>
  </si>
  <si>
    <t>Ixodes scapularis</t>
  </si>
  <si>
    <t xml:space="preserve">Transcription </t>
  </si>
  <si>
    <t xml:space="preserve">eIF-4B 0.019| COG5023 0.031| COG4371 0.059| alpha_tubulin | DUF1517 | Tubulin_FtsZ | DnaJ | beta_tubulin | COG4907 | </t>
  </si>
  <si>
    <t>gi|75029775</t>
  </si>
  <si>
    <t>Tctp, GA18441: Translationally-controlled tumor protein homolog - Drosophila pseudoobscura - tubulin complex - calcium ion binding - cytoplasm</t>
  </si>
  <si>
    <t>calcium ion binding||metal ion binding||ion binding||binding</t>
  </si>
  <si>
    <t>ion binding</t>
  </si>
  <si>
    <t>GO:0005509</t>
  </si>
  <si>
    <t xml:space="preserve">Cell cycle control, cell division, chromosome partitioning, Cytoskeleton </t>
  </si>
  <si>
    <t xml:space="preserve">TCTP 4e-024| COG4741 | RpoC | EF1_alpha | </t>
  </si>
  <si>
    <t>gi|149287018</t>
  </si>
  <si>
    <t xml:space="preserve">PRK05939 | </t>
  </si>
  <si>
    <t>gi|67084013</t>
  </si>
  <si>
    <t>CG32276 - Drosophila melanogaster - protein modification process - endoplasmic reticulum - ribosome</t>
  </si>
  <si>
    <t>molecular_function</t>
  </si>
  <si>
    <t>GO:0003674</t>
  </si>
  <si>
    <t xml:space="preserve">Function unknown </t>
  </si>
  <si>
    <t xml:space="preserve">RAMP4 2e-021| </t>
  </si>
  <si>
    <t>gi|114153010</t>
  </si>
  <si>
    <t>RPS21: 40S ribosomal protein S21 - Sus scrofa - ribosome binding</t>
  </si>
  <si>
    <t xml:space="preserve">Ribosomal_S21e 4e-026| </t>
  </si>
  <si>
    <t>gi|149286982</t>
  </si>
  <si>
    <t>5'-3' exoribonuclease - Dictyostelium discoideum - biological_process - intracellular - exonuclease activity - nucleic acid binding</t>
  </si>
  <si>
    <t xml:space="preserve">TonB 0.027| PRK00708 0.085| CDC27 | fliF | F_actin_bind | PRK10819 | eIF3_subunit | PRK12438 | COG5386 | TSGP1 | PRK06319 | PRK07764 | PRK08853 | PRK12373 | SIK1 | Baculo_PP31 | TEBP_beta | aceF | PRP3 | PRK11633 | Herpes_DNAp_acc | </t>
  </si>
  <si>
    <t xml:space="preserve">Inorganic ion transport and metabolism </t>
  </si>
  <si>
    <t xml:space="preserve">NrdD | </t>
  </si>
  <si>
    <t>gi|149287114</t>
  </si>
  <si>
    <t>CG10664 - Drosophila melanogaster - mitochondrion - cytochrome-c oxidase activity - mitochondrial electron transport, cytochrome c to oxygen - mitochondrial respiratory chain complex IV</t>
  </si>
  <si>
    <t>cytochrome-c oxidase activity||hydrogen ion transmembrane transporter activity||monovalent inorganic cation transmembrane transporter activity||inorganic cation transmembrane transporter activity||cation transmembrane transporter activity||ion transmembrane transporter activity||substrate-specific transmembrane transporter activity||substrate-specific transporter activity||transporter activity</t>
  </si>
  <si>
    <t>transporter activity</t>
  </si>
  <si>
    <t>substrate-specific transporter activity</t>
  </si>
  <si>
    <t>GO:0004129</t>
  </si>
  <si>
    <t xml:space="preserve">Cyt_c_Oxidase_IV 1e-048| COX4 2e-045| PRK11186 | </t>
  </si>
  <si>
    <t>gi|56267943</t>
  </si>
  <si>
    <t>Boophilus microplus</t>
  </si>
  <si>
    <t xml:space="preserve">Carbohydrate transport and metabolism </t>
  </si>
  <si>
    <t>gi|149287144</t>
  </si>
  <si>
    <t>ribosomal protein S11 - Mus musculus - intracellular - ribosome - nucleic acid binding - structural constituent of ribosome - translation</t>
  </si>
  <si>
    <t>nucleic acid binding||binding</t>
  </si>
  <si>
    <t>nucleic acid binding</t>
  </si>
  <si>
    <t>GO:0003676</t>
  </si>
  <si>
    <t xml:space="preserve">Ribosomal_S17 4e-016| rps17p 6e-015| RpsQ 6e-011| rpsQ 8e-004| rps17 0.075| </t>
  </si>
  <si>
    <t>gi|149287040</t>
  </si>
  <si>
    <t xml:space="preserve">His_binding 4e-007| </t>
  </si>
  <si>
    <t>gi|114152942</t>
  </si>
  <si>
    <t xml:space="preserve">TSGP1 5e-004| </t>
  </si>
  <si>
    <t xml:space="preserve">TSGP1 6e-004| </t>
  </si>
  <si>
    <t xml:space="preserve">TSGP1 | </t>
  </si>
  <si>
    <t>gi|114577583</t>
  </si>
  <si>
    <t>Pan troglodytes</t>
  </si>
  <si>
    <t>ribomal-ubiquitin fusion protein Ubi5 - Schizosaccharomyces pombe - structural constituent of ribosome - ribosome biogenesis and assembly - cytoplasm - regulation of cell cycle - nucleolus</t>
  </si>
  <si>
    <t xml:space="preserve">Ubiquitin 2e-032| ubiquitin 4e-021| Nedd8 6e-020| UBQ 2e-019| Ribosomal_S27 2e-017| UBL 3e-017| AN1_N 2e-013| Fubi 1e-010| Scythe_N 5e-010| parkin_N 6e-010| SF3a120_C 1e-009| UBQ 3e-009| RAD23_N 4e-009| RPS31 5e-009| GDX_N 3e-008| NIRF_N 2e-007| ISG15_repeat2 3e-007| DDI1_N 1e-006| PRK00432 2e-006| BAG1_N 8e-006| DC_UbP_C 2e-005| UBI4 4e-005| hPLIC_N 8e-005| Hoil1_N 1e-004| midnolin_N 0.001| </t>
  </si>
  <si>
    <t>gi|149287150</t>
  </si>
  <si>
    <t>Papilin - Drosophila melanogaster - basement membrane - proteinaceous extracellular matrix - extracellular matrix organization and biogenesis - extracellular matrix structural constituent</t>
  </si>
  <si>
    <t>extracellular matrix structural constituent||structural molecule activity</t>
  </si>
  <si>
    <t>extracellular matrix structural constituent</t>
  </si>
  <si>
    <t>GO:0005201</t>
  </si>
  <si>
    <t xml:space="preserve">RAD52 | </t>
  </si>
  <si>
    <t>gi|149286926</t>
  </si>
  <si>
    <t>RPL27A: 60S ribosomal protein L27a - Homo sapiens - RNA binding - structural constituent of ribosome - translation - cytosolic large ribosomal subunit (sensu Eukaryota)</t>
  </si>
  <si>
    <t xml:space="preserve">rpl15p 4e-020| RplO 8e-011| L15 2e-005| PRK04005 9e-005| RPL18A 0.002| rplO | </t>
  </si>
  <si>
    <t xml:space="preserve">KU | </t>
  </si>
  <si>
    <t>gi|149286942</t>
  </si>
  <si>
    <t>Caenorhabditis elegans - negative regulation of multicellular organism growth - positive regulation of growth rate - embryonic development ending in birth or egg hatching - positive regulation of multicellular organism growth - reproduction - growth - nematode larval development</t>
  </si>
  <si>
    <t xml:space="preserve">Ribosomal_L22e 1e-033| </t>
  </si>
  <si>
    <t>gi|149286962</t>
  </si>
  <si>
    <t>gi|149286972</t>
  </si>
  <si>
    <t xml:space="preserve">His_binding 1e-006| </t>
  </si>
  <si>
    <t>gi|149287062</t>
  </si>
  <si>
    <t>RPL30: 60S ribosomal protein L30 - Homo sapiens - RNA binding - structural constituent of ribosome - translation - cytosolic large ribosomal subunit (sensu Eukaryota)</t>
  </si>
  <si>
    <t xml:space="preserve">RPL30 2e-032| Ribosomal_L7Ae 8e-020| PRK01018 1e-019| RPL8A 8e-008| PRK07283 7e-005| PRK07714 3e-004| rpl7ae 5e-004| NagD | PRK07310 | </t>
  </si>
  <si>
    <t xml:space="preserve">Posttranslational modification, protein turnover, chaperones, General function prediction only </t>
  </si>
  <si>
    <t xml:space="preserve">PRK06872 | </t>
  </si>
  <si>
    <t>gi|28263051</t>
  </si>
  <si>
    <t>mitochondrial Cytochrome c oxidase subunit II - Drosophila melanogaster - mitochondrion - mitochondrial respiratory chain complex IV - cytochrome-c oxidase activity - mitochondrial electron transport, cytochrome c to oxygen - mitochondrial inner membrane</t>
  </si>
  <si>
    <t xml:space="preserve">COX2 1e-046| CyoA 4e-034| COX2_TM 5e-021| PRK10525 2e-004| PRK02888 4e-004| NosZ | COG4863 | </t>
  </si>
  <si>
    <t>gi|123495866</t>
  </si>
  <si>
    <t>Trichomonas vaginalis G3</t>
  </si>
  <si>
    <t xml:space="preserve">Signal transduction mechanisms </t>
  </si>
  <si>
    <t>gi|67083923</t>
  </si>
  <si>
    <t>CG31477 - Drosophila melanogaster - proton transport - mitochondrial proton-transporting ATP synthase complex, catalytic core F(1) - hydrogen-exporting ATPase activity, phosphorylative mechanism - mitochondrial proton-transporting ATP synthase complex</t>
  </si>
  <si>
    <t>GO:0008553</t>
  </si>
  <si>
    <t xml:space="preserve">ATP-synt_Eps 6e-006| </t>
  </si>
  <si>
    <t>gi|156368173</t>
  </si>
  <si>
    <t>Nematostella vectensis</t>
  </si>
  <si>
    <t>NAT9, EBS: N-acetyltransferase 9 - Homo sapiens - protein complex</t>
  </si>
  <si>
    <t xml:space="preserve">RimL 3e-010| Acetyltransf_1 5e-008| COG1247 2e-005| RimI 1e-004| FR47 0.001| PRK10514 0.004| envZ 0.017| rimI 0.063| PRK07757 | HisB | ArgA | Citrate_lyase_ligase | PRK12461 | </t>
  </si>
  <si>
    <t>gi|149287198</t>
  </si>
  <si>
    <t xml:space="preserve">CY 0.008| Cystatin | CY | PRK07492 | </t>
  </si>
  <si>
    <t>gi|22164296</t>
  </si>
  <si>
    <t>CG9850 - Drosophila melanogaster - cellular_component - cell proliferation</t>
  </si>
  <si>
    <t>zinc ion binding||transition metal ion binding||metal ion binding||ion binding||binding</t>
  </si>
  <si>
    <t>GO:0008270</t>
  </si>
  <si>
    <t xml:space="preserve">Posttranslational modification, protein turnover, chaperones </t>
  </si>
  <si>
    <t xml:space="preserve">ZnMc_salivary_gland_MPs 3e-033| ZnMc_ADAM_like 3e-015| ZnMc_ADAMTS_like 1e-010| ZnMc 5e-010| Reprolysin 2e-006| ZnMc_adamalysin_II_like 2e-004| ZnMc_MMP_like 2e-004| ZnMc_ADAM_fungal 0.003| ZnMc 0.029| ZnMc_TACE_like 0.034| ZnMc_MMP 0.093| ZnMc_serralysin_like | Peptidase_M10 | ZnMc_MMP_like_3 | ZnMc_MMP_like_2 | ZnMc_pappalysin_like | </t>
  </si>
  <si>
    <t xml:space="preserve">CY 0.015| Cystatin | </t>
  </si>
  <si>
    <t>gi|47230446</t>
  </si>
  <si>
    <t>Tetraodon nigroviridis</t>
  </si>
  <si>
    <t>gi|149049684</t>
  </si>
  <si>
    <t>Rattus norvegicus</t>
  </si>
  <si>
    <t>gi|114152990</t>
  </si>
  <si>
    <t xml:space="preserve">His_binding 6e-015| HCO3_cotransp | </t>
  </si>
  <si>
    <t>gi|91091814</t>
  </si>
  <si>
    <t>Tribolium castaneum</t>
  </si>
  <si>
    <t>mitochondrial ribosomal protein S24 - Drosophila melanogaster - translation - mitochondrial small ribosomal subunit - structural constituent of ribosome - mitochondrial large ribosomal subunit</t>
  </si>
  <si>
    <t xml:space="preserve">30S_S3_KH | rpsC | </t>
  </si>
  <si>
    <t>gi|114153140</t>
  </si>
  <si>
    <t>CG1583 - Drosophila melanogaster - phospholipase A2 activity</t>
  </si>
  <si>
    <t>GO:0047498</t>
  </si>
  <si>
    <t xml:space="preserve">PLA2_bee_venom_like 1e-020| Phospholip_A2_2 3e-016| PLA2_like 0.015| PLA2_group_III_like | </t>
  </si>
  <si>
    <t>gi|156537803</t>
  </si>
  <si>
    <t>Nasonia vitripennis</t>
  </si>
  <si>
    <t>BolA domain protein - Schizosaccharomyces pombe - biological_process - molecular_function - cellular_component</t>
  </si>
  <si>
    <t xml:space="preserve">BolA 5e-015| BolA 5e-013| PRK11628 1e-009| COG5007 5e-008| PRK05559 | TOP2c | </t>
  </si>
  <si>
    <t xml:space="preserve">His_binding 3e-010| PRK08955 | </t>
  </si>
  <si>
    <t>gi|67083925</t>
  </si>
  <si>
    <t>RPS16: 40S ribosomal protein S16 - Sus scrofa - small ribosomal subunit</t>
  </si>
  <si>
    <t xml:space="preserve">rps9p 1e-033| Ribosomal_S9 6e-033| RpsI 2e-028| rpsI 1e-013| rps9 5e-008| PRK06256 0.069| </t>
  </si>
  <si>
    <t>gi|118725945</t>
  </si>
  <si>
    <t>Clostridium cellulolyticum H10</t>
  </si>
  <si>
    <t>gi|154317421</t>
  </si>
  <si>
    <t>Botryotinia fuckeliana B05.10</t>
  </si>
  <si>
    <t>gi|114153074</t>
  </si>
  <si>
    <t xml:space="preserve">Npc2_like 0.003| </t>
  </si>
  <si>
    <t>gi|149287008</t>
  </si>
  <si>
    <t xml:space="preserve">Defense mechanisms </t>
  </si>
  <si>
    <t xml:space="preserve">His_binding 3e-009| Peptidase_C53 | PRK11114 | </t>
  </si>
  <si>
    <t>gi|51011536</t>
  </si>
  <si>
    <t>Ixodes pacificus</t>
  </si>
  <si>
    <t>Ribosomal protein S30 - Drosophila melanogaster - cytosolic small ribosomal subunit (sensu Eukaryota) - structural constituent of ribosome</t>
  </si>
  <si>
    <t>RNA binding||nucleic acid binding||binding</t>
  </si>
  <si>
    <t>GO:0003723</t>
  </si>
  <si>
    <t xml:space="preserve">Translation, ribosomal structure and biogenesis, Posttranslational modification, protein turnover, chaperones </t>
  </si>
  <si>
    <t xml:space="preserve">Ribosomal_S30 1e-018| Fubi 4e-012| UBQ 2e-006| UBL 4e-006| ubiquitin 6e-006| PRK09336 5e-005| COG4919 4e-004| Nedd8 0.001| Scythe_N 0.007| UBQ 0.007| RAD23_N 0.024| DC_UbP_C 0.044| DDI1_N 0.073| Ubiquitin 0.075| GDX_N | BAG1_N | TPP_E1_OGDC_like | </t>
  </si>
  <si>
    <t>gi|56122516</t>
  </si>
  <si>
    <t>VSNA1: Defensin precursor - Dermacentor variabilis - extracellular region</t>
  </si>
  <si>
    <t xml:space="preserve">Defensin_2 | </t>
  </si>
  <si>
    <t>gi|50540010</t>
  </si>
  <si>
    <t>Danio rerio</t>
  </si>
  <si>
    <t xml:space="preserve">COG4907 0.049| </t>
  </si>
  <si>
    <t>gi|3046554</t>
  </si>
  <si>
    <t>orf virus strain D1701</t>
  </si>
  <si>
    <t xml:space="preserve">COG4907 | </t>
  </si>
  <si>
    <t>gi|149286898</t>
  </si>
  <si>
    <t>gi|114152946</t>
  </si>
  <si>
    <t>Caenorhabditis elegans - embryonic development ending in birth or egg hatching - post-embryonic body morphogenesis - gamete generation - reproduction - positive regulation of multicellular organism growth - growth - nematode larval development - locomotory behavior</t>
  </si>
  <si>
    <t xml:space="preserve">Chromatin structure and dynamics </t>
  </si>
  <si>
    <t xml:space="preserve">TT_ORF1 1e-004| TSGP1 0.001| PRK12678 0.044| ORC2 0.080| rne | Glycoprotein_G | DUF1682 | PRK00247 | eIF3_subunit | Uup | </t>
  </si>
  <si>
    <t>gi|15890928</t>
  </si>
  <si>
    <t>Agrobacterium tumefaciens str. C58</t>
  </si>
  <si>
    <t>gi|149287172</t>
  </si>
  <si>
    <t xml:space="preserve">MntH 0.078| </t>
  </si>
  <si>
    <t>gi|149286924</t>
  </si>
  <si>
    <t xml:space="preserve">TSGP1 0.005| </t>
  </si>
  <si>
    <t>gi|3192915</t>
  </si>
  <si>
    <t>zgc:109934 - Danio rerio - cellular_component</t>
  </si>
  <si>
    <t>protein binding||binding</t>
  </si>
  <si>
    <t>GO:0005515</t>
  </si>
  <si>
    <t xml:space="preserve">Euk_Ferritin 6e-067| Ferritin 1e-055| Ferritin 1e-043| Nonheme_Ferritin 1e-026| Ftn 4e-025| Ferritin_like 2e-013| PRK10304 4e-007| PRK05382 | </t>
  </si>
  <si>
    <t>gi|149286922</t>
  </si>
  <si>
    <t xml:space="preserve">TSGP1 3e-004| MRS6 | </t>
  </si>
  <si>
    <t>gi|110756417</t>
  </si>
  <si>
    <t>Apis mellifera</t>
  </si>
  <si>
    <t>EGL nine homolog 1 (C. elegans) - Mus musculus - heart development - embryonic placenta development</t>
  </si>
  <si>
    <t xml:space="preserve">P4Hc 1e-016| EGL-9 1e-009| PRK07568 | </t>
  </si>
  <si>
    <t xml:space="preserve">CobN 3e-004| Fib_alpha 0.004| COG1512 | ROM1 | DUF810 | COG4907 | Sporozoite_P67 | </t>
  </si>
  <si>
    <t>gi|67083291</t>
  </si>
  <si>
    <t>gi|94468780</t>
  </si>
  <si>
    <t>Aedes aegypti</t>
  </si>
  <si>
    <t>Elongation factor 1alpha48D - Drosophila melanogaster - translational elongation - cytosol - eukaryotic translation elongation factor 1 complex - translation elongation factor activity - cytoplasm - translation - GTPase activity - lipid particle</t>
  </si>
  <si>
    <t>translation regulator activity</t>
  </si>
  <si>
    <t>GO:0003746</t>
  </si>
  <si>
    <t xml:space="preserve">PRK12317 3e-088| TEF1 9e-084| EF1_alpha_III 1e-047| EF1_alpha_II 2e-041| GTP_EFTU_D3 6e-029| Translation_factor_III 4e-024| GTPBP1 4e-022| CysN 4e-021| TufB 2e-020| eRF3c_III 1e-019| PRK12736 7e-018| PRK12735 2e-017| tufA 2e-017| PRK00049 3e-017| selB_II 2e-015| HBS1_C 2e-014| SelB 1e-013| PRK05506 2e-013| GTP_EFTU_D2 3e-012| EFTU_II 4e-012| eRF3_II_like 6e-012| Translation_Factor_II_like 2e-011| eRF3_II 5e-009| CysN_NodQ_II 6e-007| GTPBP_II 7e-007| </t>
  </si>
  <si>
    <t>gi|114153290</t>
  </si>
  <si>
    <t>COX5A: Cytochrome c oxidase subunit 5A, mitochondrial precursor - Bos taurus - cytochrome-c oxidase activity - mitochondrion - mitochondrial inner membrane</t>
  </si>
  <si>
    <t xml:space="preserve">Cyt_c_Oxidase_Va 7e-045| COX5A 8e-038| </t>
  </si>
  <si>
    <t xml:space="preserve">AMP-binding 0.003| FAA1 | PLCXc | </t>
  </si>
  <si>
    <t>gi|462613</t>
  </si>
  <si>
    <t>gi|67083869</t>
  </si>
  <si>
    <t>CG32230 - Drosophila melanogaster - mitochondrial electron transport, NADH to ubiquinone - mitochondrial respiratory chain complex I - NADH dehydrogenase activity</t>
  </si>
  <si>
    <t>oxidoreductase activity</t>
  </si>
  <si>
    <t>GO:0003954</t>
  </si>
  <si>
    <t xml:space="preserve">Ndh | FixC | B12D | </t>
  </si>
  <si>
    <t xml:space="preserve">His_binding 0.095| PRK07505 | COG4529 | </t>
  </si>
  <si>
    <t>gi|2731631</t>
  </si>
  <si>
    <t>Toxoplasma gondii</t>
  </si>
  <si>
    <t>gi|149287162</t>
  </si>
  <si>
    <t>gi|114153092</t>
  </si>
  <si>
    <t>ADAMTS4, KIAA0688, UNQ769/PRO1563: ADAMTS-4 precursor - Homo sapiens - skeletal development - proteolysis</t>
  </si>
  <si>
    <t>metallopeptidase activity||peptidase activity||hydrolase activity||catalytic activity</t>
  </si>
  <si>
    <t>GO:0008237</t>
  </si>
  <si>
    <t>gi|149286990</t>
  </si>
  <si>
    <t xml:space="preserve">His_binding 5e-015| PRK12833 | </t>
  </si>
  <si>
    <t xml:space="preserve">Carbohydrate transport and metabolism, Cell wall/membrane/envelope biogenesis </t>
  </si>
  <si>
    <t xml:space="preserve">PRK10019 | </t>
  </si>
  <si>
    <t>gi|156100355</t>
  </si>
  <si>
    <t>Plasmodium vivax</t>
  </si>
  <si>
    <t xml:space="preserve">Ribosomal_L19e_A | </t>
  </si>
  <si>
    <t>gi|83774874</t>
  </si>
  <si>
    <t>Aspergillus oryzae</t>
  </si>
  <si>
    <t>gi|118351179</t>
  </si>
  <si>
    <t>Tetrahymena thermophila SB210</t>
  </si>
  <si>
    <t>gi|149286902</t>
  </si>
  <si>
    <t xml:space="preserve">Intracellular trafficking, secretion, and vesicular transport </t>
  </si>
  <si>
    <t xml:space="preserve">Npc2_like | </t>
  </si>
  <si>
    <t>gi|152207621</t>
  </si>
  <si>
    <t>Ornithodoros savignyi</t>
  </si>
  <si>
    <t>5' nucleotidase, ecto - Mus musculus - extracellular space - integral to membrane</t>
  </si>
  <si>
    <t>GO:0008253</t>
  </si>
  <si>
    <t xml:space="preserve">Nucleotide transport and metabolism </t>
  </si>
  <si>
    <t xml:space="preserve">5_nucleotid_C 7e-032| UshA 1e-014| ushA 4e-014| PRK09419 8e-013| </t>
  </si>
  <si>
    <t>gi|149287076</t>
  </si>
  <si>
    <t xml:space="preserve">His_binding 0.002| Dfp | </t>
  </si>
  <si>
    <t xml:space="preserve">TSGP1 0.050| </t>
  </si>
  <si>
    <t>gi|91080607</t>
  </si>
  <si>
    <t>Caenorhabditis elegans - embryonic development ending in birth or egg hatching</t>
  </si>
  <si>
    <t>low-density lipoprotein receptor activity||lipoprotein receptor activity||transmembrane receptor activity||receptor activity||signal transducer activity||molecular transducer activity</t>
  </si>
  <si>
    <t>molecular transducer activity</t>
  </si>
  <si>
    <t>signal transducer activity</t>
  </si>
  <si>
    <t>GO:0005041</t>
  </si>
  <si>
    <t xml:space="preserve">TIL 0.039| </t>
  </si>
  <si>
    <t>gi|66516926</t>
  </si>
  <si>
    <t>Ribosomal protein L8 - Drosophila melanogaster - translation - cytosolic large ribosomal subunit (sensu Eukaryota) - structural constituent of ribosome</t>
  </si>
  <si>
    <t xml:space="preserve">rpl2p 6e-066| RplB 9e-061| Ribosomal_L2_C 3e-035| rplB 3e-029| rpl2 5e-027| Ribosomal_L2 1e-008| </t>
  </si>
  <si>
    <t>gi|149287004</t>
  </si>
  <si>
    <t>Ribosomal protein S10b - Drosophila melanogaster - cytosolic small ribosomal subunit (sensu Eukaryota) - structural constituent of ribosome</t>
  </si>
  <si>
    <t xml:space="preserve">S10_plectin 5e-039| COG5045 1e-024| DUF760 | PTKc_Ror1 | emrD | </t>
  </si>
  <si>
    <t>secretory Phospholipase A2 - Drosophila melanogaster - phospholipase A2 activity - calcium-dependent phospholipase A2 activity</t>
  </si>
  <si>
    <t xml:space="preserve">PLA2_bee_venom_like 6e-017| Phospholip_A2_2 2e-014| PA2c 0.023| PTPc_motif | ileS | </t>
  </si>
  <si>
    <t>gi|149287048</t>
  </si>
  <si>
    <t xml:space="preserve">PLA2_bee_venom_like 2e-022| Phospholip_A2_2 3e-020| PLA2_like 0.012| PA2c 0.044| PLA2_group_III_like | </t>
  </si>
  <si>
    <t>gi|157374635</t>
  </si>
  <si>
    <t>Shewanella sediminis HAW-EB3</t>
  </si>
  <si>
    <t>gi|149287136</t>
  </si>
  <si>
    <t>SigP Result</t>
  </si>
  <si>
    <t>Cleavage Position</t>
  </si>
  <si>
    <t>MW</t>
  </si>
  <si>
    <t>pI</t>
  </si>
  <si>
    <t>Mature MW</t>
  </si>
  <si>
    <t xml:space="preserve"> 18-19</t>
  </si>
  <si>
    <t xml:space="preserve"> 21-22</t>
  </si>
  <si>
    <t xml:space="preserve"> 20-21</t>
  </si>
  <si>
    <t xml:space="preserve"> 22-23</t>
  </si>
  <si>
    <t xml:space="preserve"> 24-25</t>
  </si>
  <si>
    <t xml:space="preserve"> 16-17</t>
  </si>
  <si>
    <t xml:space="preserve"> 19-20</t>
  </si>
  <si>
    <t xml:space="preserve"> 17-18</t>
  </si>
  <si>
    <t xml:space="preserve"> 23-24</t>
  </si>
  <si>
    <t xml:space="preserve"> 29-30</t>
  </si>
  <si>
    <t xml:space="preserve"> 25-26</t>
  </si>
  <si>
    <t>7DB family unique to Argasidae</t>
  </si>
  <si>
    <t>Argasidae specific peptide of the 7 kDa family</t>
  </si>
  <si>
    <t>exonuclease activity||nuclease activity||hydrolase activity/, acting on ester bonds||hydrolase activity||catalytic activity</t>
  </si>
  <si>
    <t>calcium-dependent phospholipase A2 activity||phospholipase A2 activity||phospholipase activity||lipase activity||hydrolase activity/, acting on ester bonds||hydrolase activity||catalytic activity</t>
  </si>
  <si>
    <t>5'-nucleotidase activity||nucleotidase activity||phosphoric monoester hydrolase activity||phosphoric ester hydrolase activity||hydrolase activity/, acting on ester bonds||hydrolase activity||catalytic activity</t>
  </si>
  <si>
    <t>N-acetyltransferase activity||acetyltransferase activity||acyltransferase activity||transferase activity/, transferring groups other than amino-acyl groups||transferase activity/, transferring acyl groups||transferase activity||catalytic activity</t>
  </si>
  <si>
    <t>NADH dehydrogenase activity||oxidoreductase activity/, acting on NADH or NADPH||oxidoreductase activity||catalytic activity</t>
  </si>
  <si>
    <t>translation elongation factor activity||translation factor activity/, nucleic acid binding||translation regulator activity</t>
  </si>
  <si>
    <t>translation factor activity/, nucleic acid binding</t>
  </si>
  <si>
    <t>hydrogen-exporting ATPase activity/, phosphorylative mechanism||ATPase activity/, coupled to transmembrane movement of ions/, phosphorylative mechanism||ATPase activity/, coupled to transmembrane movement of ions||ATPase activity/, coupled to transmembrane movement of substances||ATPase activity/, coupled to movement of substances||ATPase activity/, coupled||ATPase activity||nucleoside-triphosphatase activity||pyrophosphatase activity||hydrolase activity/, acting on acid anhydrides/, in phosphorus-containing anhydrides||hydrolase activity/, acting on acid anhydrides||hydrolase activity||catalytic activity</t>
  </si>
  <si>
    <t>Number of matches (blastn word size of 60)</t>
  </si>
  <si>
    <t>Niemann-Pick type C2 (Npc2)</t>
  </si>
  <si>
    <t>Tick families of unknown function</t>
  </si>
  <si>
    <t>Glycine rich protein family</t>
  </si>
  <si>
    <t>2 D gel MS/MS results</t>
  </si>
  <si>
    <t>Number of fragments (includes multi charged same ion)</t>
  </si>
  <si>
    <t>Coverage in aa residues (does not include multi charged ions)</t>
  </si>
  <si>
    <t xml:space="preserve">11 -&gt; 5| 14 -&gt; 4| </t>
  </si>
  <si>
    <t xml:space="preserve">30 -&gt; 7| 31 -&gt; 4| 24 -&gt; 3| </t>
  </si>
  <si>
    <t xml:space="preserve">30 -&gt; 16| 31 -&gt; 11| 32 -&gt; 6| 33 -&gt; 4| 50 -&gt; 4| 45 -&gt; 2| </t>
  </si>
  <si>
    <t xml:space="preserve">11 -&gt; 4| 14 -&gt; 4| </t>
  </si>
  <si>
    <t>1 D gel MS/MS results</t>
  </si>
  <si>
    <t xml:space="preserve">S24 -&gt; 5| S25 -&gt; 3| S14 -&gt; 2| S20 -&gt; 2| S23 -&gt; 2| </t>
  </si>
  <si>
    <t xml:space="preserve">S25 -&gt; 3| P23 -&gt; 2| S23 -&gt; 2| S24 -&gt; 2| S26 -&gt; 2| </t>
  </si>
  <si>
    <t xml:space="preserve">P20 -&gt; 8| S21 -&gt; 7| S20 -&gt; 6| P21 -&gt; 5| P19 -&gt; 4| P22 -&gt; 4| P01 -&gt; 3| P23 -&gt; 3| P25 -&gt; 3| P14 -&gt; 2| P17 -&gt; 2| P24 -&gt; 2| P26 -&gt; 2| S19 -&gt; 2| S22 -&gt; 2| </t>
  </si>
  <si>
    <t xml:space="preserve">S23 -&gt; 6| P23 -&gt; 4| S26 -&gt; 3| S27 -&gt; 3| S28 -&gt; 2| S29 -&gt; 2| </t>
  </si>
  <si>
    <t xml:space="preserve">S23 -&gt; 6| P23 -&gt; 4| S27 -&gt; 4| P14 -&gt; 2| S24 -&gt; 2| S25 -&gt; 2| </t>
  </si>
  <si>
    <t xml:space="preserve">P22 -&gt; 5| P21 -&gt; 4| S22 -&gt; 4| S23 -&gt; 4| S21 -&gt; 2| S24 -&gt; 2| S29 -&gt; 2| </t>
  </si>
  <si>
    <t xml:space="preserve">S16 -&gt; 2| S17 -&gt; 2| S18 -&gt; 2| </t>
  </si>
  <si>
    <t xml:space="preserve">S23 -&gt; 7| P23 -&gt; 6| S24 -&gt; 4| S25 -&gt; 3| S26 -&gt; 3| P24 -&gt; 2| P25 -&gt; 2| S22 -&gt; 2| </t>
  </si>
  <si>
    <t xml:space="preserve">S22 -&gt; 7| P21 -&gt; 4| P22 -&gt; 2| </t>
  </si>
  <si>
    <t xml:space="preserve">S25 -&gt; 13| S24 -&gt; 12| P25 -&gt; 8| S26 -&gt; 8| P24 -&gt; 7| S27 -&gt; 6| P26 -&gt; 4| S09 -&gt; 4| S12 -&gt; 4| S15 -&gt; 4| S16 -&gt; 4| S17 -&gt; 3| S19 -&gt; 3| S22 -&gt; 3| S28 -&gt; 3| S29 -&gt; 3| P23 -&gt; 2| P27 -&gt; 2| S02 -&gt; 2| S13 -&gt; 2| S14 -&gt; 2| S20 -&gt; 2| S21 -&gt; 2| S23 -&gt; 2| </t>
  </si>
  <si>
    <t xml:space="preserve">S24 -&gt; 7| S23 -&gt; 6| P24 -&gt; 5| S25 -&gt; 5| P25 -&gt; 4| S26 -&gt; 4| S27 -&gt; 4| S15 -&gt; 3| S16 -&gt; 3| S28 -&gt; 3| P23 -&gt; 2| P30 -&gt; 2| S14 -&gt; 2| S17 -&gt; 2| S19 -&gt; 2| S20 -&gt; 2| S21 -&gt; 2| S22 -&gt; 2| </t>
  </si>
  <si>
    <t xml:space="preserve">S23 -&gt; 8| S22 -&gt; 6| P22 -&gt; 5| P23 -&gt; 5| S27 -&gt; 5| S26 -&gt; 4| P24 -&gt; 3| S12 -&gt; 3| S21 -&gt; 3| S24 -&gt; 3| S25 -&gt; 3| P26 -&gt; 2| S01 -&gt; 2| S05 -&gt; 2| S06 -&gt; 2| S09 -&gt; 2| S13 -&gt; 2| S17 -&gt; 2| S20 -&gt; 2| </t>
  </si>
  <si>
    <t xml:space="preserve">S24 -&gt; 8| P24 -&gt; 7| S25 -&gt; 5| S26 -&gt; 5| S27 -&gt; 5| P23 -&gt; 4| S23 -&gt; 4| S01 -&gt; 3| S09 -&gt; 3| P25 -&gt; 2| S12 -&gt; 2| S14 -&gt; 2| S15 -&gt; 2| S16 -&gt; 2| S19 -&gt; 2| S28 -&gt; 2| S29 -&gt; 2| </t>
  </si>
  <si>
    <t xml:space="preserve">S24 -&gt; 11| P24 -&gt; 8| S23 -&gt; 7| S25 -&gt; 6| S26 -&gt; 6| S27 -&gt; 5| P23 -&gt; 4| S28 -&gt; 3| S01 -&gt; 2| S09 -&gt; 2| S12 -&gt; 2| S29 -&gt; 2| </t>
  </si>
  <si>
    <t xml:space="preserve">P22 -&gt; 9| S22 -&gt; 6| P21 -&gt; 3| P23 -&gt; 3| </t>
  </si>
  <si>
    <t xml:space="preserve">P21 -&gt; 2| </t>
  </si>
  <si>
    <t xml:space="preserve">S20 -&gt; 2| S22 -&gt; 2| </t>
  </si>
  <si>
    <t xml:space="preserve">P23 -&gt; 7| P24 -&gt; 4| P25 -&gt; 4| P22 -&gt; 3| P26 -&gt; 2| S23 -&gt; 2| </t>
  </si>
  <si>
    <t xml:space="preserve">P22 -&gt; 4| P23 -&gt; 4| P24 -&gt; 3| P25 -&gt; 3| P26 -&gt; 2| </t>
  </si>
  <si>
    <t xml:space="preserve">P23 -&gt; 6| P24 -&gt; 6| P22 -&gt; 3| P25 -&gt; 3| P26 -&gt; 3| S24 -&gt; 3| P27 -&gt; 2| S23 -&gt; 2| </t>
  </si>
  <si>
    <t xml:space="preserve">P25 -&gt; 3| P23 -&gt; 2| P24 -&gt; 2| </t>
  </si>
  <si>
    <t xml:space="preserve">P25 -&gt; 4| P23 -&gt; 2| P24 -&gt; 2| </t>
  </si>
  <si>
    <t xml:space="preserve">S22 -&gt; 2| </t>
  </si>
  <si>
    <t xml:space="preserve">P18 -&gt; 3| P16 -&gt; 2| P17 -&gt; 2| </t>
  </si>
  <si>
    <t xml:space="preserve">P18 -&gt; 12| P21 -&gt; 7| P22 -&gt; 5| S18 -&gt; 5| P17 -&gt; 4| P19 -&gt; 4| P20 -&gt; 3| S22 -&gt; 3| P11 -&gt; 2| P13 -&gt; 2| P16 -&gt; 2| P23 -&gt; 2| </t>
  </si>
  <si>
    <t xml:space="preserve">P17 -&gt; 7| S17 -&gt; 6| P18 -&gt; 3| P21 -&gt; 3| P20 -&gt; 2| </t>
  </si>
  <si>
    <t xml:space="preserve">P14 -&gt; 6| P13 -&gt; 5| S11 -&gt; 5| P15 -&gt; 3| P11 -&gt; 2| S10 -&gt; 2| S12 -&gt; 2| </t>
  </si>
  <si>
    <t xml:space="preserve">S26 -&gt; 3| P27 -&gt; 2| </t>
  </si>
  <si>
    <t xml:space="preserve">P27 -&gt; 2| S26 -&gt; 2| </t>
  </si>
  <si>
    <t xml:space="preserve">P27 -&gt; 3| P28 -&gt; 2| S26 -&gt; 2| S27 -&gt; 2| </t>
  </si>
  <si>
    <t xml:space="preserve">P27 -&gt; 4| P26 -&gt; 2| S26 -&gt; 2| S27 -&gt; 2| </t>
  </si>
  <si>
    <t xml:space="preserve">S19 -&gt; 2| S20 -&gt; 2| S21 -&gt; 2| S22 -&gt; 2| </t>
  </si>
  <si>
    <t xml:space="preserve">P27 -&gt; 4| P26 -&gt; 2| P28 -&gt; 2| S26 -&gt; 2| </t>
  </si>
  <si>
    <t xml:space="preserve">P19 -&gt; 3| </t>
  </si>
  <si>
    <t xml:space="preserve">P25 -&gt; 2| P26 -&gt; 2| </t>
  </si>
  <si>
    <t xml:space="preserve">P23 -&gt; 2| P24 -&gt; 2| P26 -&gt; 2| S23 -&gt; 2| </t>
  </si>
  <si>
    <t xml:space="preserve">P23 -&gt; 3| P22 -&gt; 2| </t>
  </si>
  <si>
    <t xml:space="preserve">S27 -&gt; 2| S29 -&gt; 2| </t>
  </si>
  <si>
    <t xml:space="preserve">P23 -&gt; 3| P25 -&gt; 2| </t>
  </si>
  <si>
    <t xml:space="preserve">P24 -&gt; 3| P25 -&gt; 2| </t>
  </si>
  <si>
    <t xml:space="preserve">P21 -&gt; 4| P22 -&gt; 3| </t>
  </si>
  <si>
    <t xml:space="preserve">P25 -&gt; 3| </t>
  </si>
  <si>
    <t xml:space="preserve">S28 -&gt; 3| P04 -&gt; 2| P07 -&gt; 2| P22 -&gt; 2| P28 -&gt; 2| P31 -&gt; 2| S04 -&gt; 2| S05 -&gt; 2| S10 -&gt; 2| S29 -&gt; 2| </t>
  </si>
  <si>
    <t xml:space="preserve">P23 -&gt; 2| S23 -&gt; 2| </t>
  </si>
  <si>
    <t xml:space="preserve">P27 -&gt; 5| </t>
  </si>
  <si>
    <t xml:space="preserve">P22 -&gt; 2| </t>
  </si>
  <si>
    <t xml:space="preserve">P26 -&gt; 5| P25 -&gt; 2| </t>
  </si>
  <si>
    <t xml:space="preserve">P19 -&gt; 2| </t>
  </si>
  <si>
    <t xml:space="preserve">P16 -&gt; 2| P17 -&gt; 2| P18 -&gt; 2| P29 -&gt; 2| </t>
  </si>
  <si>
    <t xml:space="preserve">P28 -&gt; 2| P29 -&gt; 2| </t>
  </si>
  <si>
    <t>MG11 -&gt; GFYDcGSTTDAw 18|</t>
  </si>
  <si>
    <t>MG17 -&gt; AcAsNTdA 18|</t>
  </si>
  <si>
    <t>MG12 -&gt; EIPG 19|MG13 -&gt; EIPGMKKA 19|MG14 -&gt; EIPGMKkA 19|MG15 -&gt; EIPGMKKA 19|</t>
  </si>
  <si>
    <t>MG12 -&gt; EIPG 16|MG13 -&gt; EIPGMKKA 16|MG14 -&gt; EIPGMKkA 16|MG15 -&gt; EIPGMKKA 16|</t>
  </si>
  <si>
    <t>MG17 -&gt; AcAsNTdA 17|</t>
  </si>
  <si>
    <t>1 D gel Edman results</t>
  </si>
  <si>
    <t>1D MS/MS gel - Fraction name with larger coverage -&gt; ions</t>
  </si>
  <si>
    <t>2D MS/MS gel - Fraction name with larger coverage</t>
  </si>
  <si>
    <t>Percent Ser+Thr</t>
  </si>
  <si>
    <t>Percent Gly</t>
  </si>
  <si>
    <t>Percent Pro</t>
  </si>
  <si>
    <t>.</t>
  </si>
  <si>
    <t>ProP furin cleavage predictions</t>
  </si>
  <si>
    <t>1 | 45    AGSRVKR|TV  0.836 *ProP*  |</t>
  </si>
  <si>
    <t>1 | 45    AGSRVKR|TV  0.815 *ProP*  |</t>
  </si>
  <si>
    <t>1 | 49    GGTRVKR|TV  0.649 *ProP*  |</t>
  </si>
  <si>
    <t>1 | 49    AGTRVKR|TV  0.613 *ProP*  |</t>
  </si>
  <si>
    <t>1 | 6    -LVRARR|GC  0.515 *ProP*  |</t>
  </si>
  <si>
    <t>2 | 107    SIRRRKR|RG  0.501 *ProP*  | 108    IRRRKRR|GT  0.806 *ProP*  |</t>
  </si>
  <si>
    <t>4 | 56    FENRMNR|WV  0.506 *ProP*  | 129    PRKRRRR|AE  0.587 *ProP*  | 165    TKSRRRR|AR  0.660 *ProP*  | 168    RRRRARR|RN  0.632 *ProP*  |</t>
  </si>
  <si>
    <t>1 | 64    RRGCEKR|KV  0.621 *ProP*  |</t>
  </si>
  <si>
    <t>1 | 25    KQARALR|KV  0.585 *ProP*  |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</si>
</sst>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8"/>
      <name val="Verdana"/>
      <family val="0"/>
    </font>
    <font>
      <b/>
      <sz val="8"/>
      <color indexed="12"/>
      <name val="Verdana"/>
      <family val="2"/>
    </font>
    <font>
      <u val="single"/>
      <sz val="8"/>
      <color indexed="36"/>
      <name val="Verdana"/>
      <family val="0"/>
    </font>
    <font>
      <u val="single"/>
      <sz val="8"/>
      <color indexed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1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4" borderId="2" xfId="0" applyFont="1" applyFill="1" applyBorder="1" applyAlignment="1">
      <alignment horizontal="left" shrinkToFit="1"/>
    </xf>
    <xf numFmtId="0" fontId="1" fillId="2" borderId="2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1" fontId="1" fillId="3" borderId="3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left"/>
    </xf>
    <xf numFmtId="0" fontId="3" fillId="0" borderId="0" xfId="20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0.5"/>
  <cols>
    <col min="1" max="1" width="16.00390625" style="0" customWidth="1"/>
    <col min="2" max="2" width="6.421875" style="1" customWidth="1"/>
    <col min="3" max="3" width="5.8515625" style="0" customWidth="1"/>
    <col min="4" max="4" width="33.28125" style="0" customWidth="1"/>
    <col min="6" max="7" width="7.57421875" style="1" customWidth="1"/>
    <col min="8" max="8" width="6.7109375" style="5" customWidth="1"/>
    <col min="9" max="9" width="6.7109375" style="0" customWidth="1"/>
    <col min="10" max="13" width="6.7109375" style="1" customWidth="1"/>
    <col min="14" max="14" width="6.7109375" style="19" hidden="1" customWidth="1"/>
    <col min="15" max="15" width="6.00390625" style="5" customWidth="1"/>
    <col min="16" max="18" width="6.7109375" style="1" customWidth="1"/>
    <col min="19" max="19" width="6.00390625" style="27" customWidth="1"/>
    <col min="20" max="20" width="6.7109375" style="1" customWidth="1"/>
    <col min="21" max="21" width="9.140625" style="4" customWidth="1"/>
    <col min="22" max="22" width="6.7109375" style="1" customWidth="1"/>
    <col min="23" max="23" width="9.140625" style="5" customWidth="1"/>
    <col min="24" max="24" width="9.140625" style="27" customWidth="1"/>
    <col min="25" max="25" width="9.00390625" style="22" customWidth="1"/>
    <col min="26" max="26" width="9.140625" style="27" customWidth="1"/>
    <col min="27" max="28" width="7.7109375" style="1" customWidth="1"/>
    <col min="29" max="29" width="9.00390625" style="22" customWidth="1"/>
    <col min="30" max="30" width="9.140625" style="27" customWidth="1"/>
    <col min="31" max="32" width="7.7109375" style="1" customWidth="1"/>
    <col min="33" max="33" width="9.00390625" style="26" customWidth="1"/>
    <col min="34" max="34" width="9.140625" style="4" customWidth="1"/>
    <col min="40" max="40" width="13.57421875" style="0" customWidth="1"/>
    <col min="41" max="43" width="9.140625" style="0" hidden="1" customWidth="1"/>
    <col min="44" max="44" width="9.140625" style="4" customWidth="1"/>
    <col min="51" max="51" width="9.140625" style="4" customWidth="1"/>
    <col min="54" max="54" width="9.140625" style="4" customWidth="1"/>
    <col min="57" max="57" width="9.140625" style="4" customWidth="1"/>
    <col min="59" max="59" width="9.140625" style="4" customWidth="1"/>
    <col min="60" max="60" width="6.28125" style="0" customWidth="1"/>
    <col min="61" max="61" width="6.28125" style="2" hidden="1" customWidth="1"/>
    <col min="62" max="62" width="6.28125" style="1" hidden="1" customWidth="1"/>
    <col min="63" max="63" width="6.28125" style="2" hidden="1" customWidth="1"/>
    <col min="64" max="64" width="6.28125" style="1" hidden="1" customWidth="1"/>
    <col min="65" max="65" width="6.28125" style="2" hidden="1" customWidth="1"/>
    <col min="66" max="66" width="6.28125" style="1" hidden="1" customWidth="1"/>
    <col min="67" max="67" width="6.28125" style="2" hidden="1" customWidth="1"/>
    <col min="68" max="68" width="6.28125" style="1" hidden="1" customWidth="1"/>
    <col min="69" max="69" width="6.28125" style="2" hidden="1" customWidth="1"/>
    <col min="70" max="70" width="6.28125" style="1" hidden="1" customWidth="1"/>
    <col min="71" max="71" width="6.28125" style="2" hidden="1" customWidth="1"/>
    <col min="72" max="72" width="6.28125" style="1" hidden="1" customWidth="1"/>
    <col min="73" max="73" width="6.28125" style="2" hidden="1" customWidth="1"/>
    <col min="74" max="74" width="6.28125" style="1" hidden="1" customWidth="1"/>
  </cols>
  <sheetData>
    <row r="1" spans="1:74" s="7" customFormat="1" ht="147">
      <c r="A1" s="7" t="s">
        <v>110</v>
      </c>
      <c r="B1" s="7" t="s">
        <v>111</v>
      </c>
      <c r="C1" s="7" t="s">
        <v>112</v>
      </c>
      <c r="D1" s="7" t="s">
        <v>113</v>
      </c>
      <c r="E1" s="7" t="s">
        <v>197</v>
      </c>
      <c r="F1" s="7" t="s">
        <v>193</v>
      </c>
      <c r="G1" s="8" t="s">
        <v>198</v>
      </c>
      <c r="H1" s="9" t="s">
        <v>534</v>
      </c>
      <c r="I1" s="10" t="s">
        <v>535</v>
      </c>
      <c r="J1" s="7" t="s">
        <v>536</v>
      </c>
      <c r="K1" s="7" t="s">
        <v>537</v>
      </c>
      <c r="L1" s="7" t="s">
        <v>538</v>
      </c>
      <c r="M1" s="7" t="s">
        <v>537</v>
      </c>
      <c r="N1" s="16" t="str">
        <f>HYPERLINK("http://www.cbs.dtu.dk/services/SecretomeP/","SecretomeP score/Odds/Weighted Prior value (score&gt;0.6 is significant)")</f>
        <v>SecretomeP score/Odds/Weighted Prior value (score&gt;0.6 is significant)</v>
      </c>
      <c r="O1" s="9" t="str">
        <f>HYPERLINK("http://www.cbs.dtu.dk/services/NetOGlyc/","No. potential glyc sites")</f>
        <v>No. potential glyc sites</v>
      </c>
      <c r="P1" s="9" t="s">
        <v>630</v>
      </c>
      <c r="Q1" s="9" t="s">
        <v>631</v>
      </c>
      <c r="R1" s="9" t="s">
        <v>632</v>
      </c>
      <c r="S1" s="16" t="s">
        <v>634</v>
      </c>
      <c r="U1" s="7" t="s">
        <v>266</v>
      </c>
      <c r="V1" s="7" t="s">
        <v>208</v>
      </c>
      <c r="W1" s="9" t="s">
        <v>560</v>
      </c>
      <c r="X1" s="16" t="s">
        <v>627</v>
      </c>
      <c r="Y1" s="16" t="s">
        <v>564</v>
      </c>
      <c r="Z1" s="16" t="s">
        <v>629</v>
      </c>
      <c r="AA1" s="9" t="s">
        <v>565</v>
      </c>
      <c r="AB1" s="9" t="s">
        <v>566</v>
      </c>
      <c r="AC1" s="16" t="s">
        <v>571</v>
      </c>
      <c r="AD1" s="16" t="s">
        <v>628</v>
      </c>
      <c r="AE1" s="9" t="s">
        <v>565</v>
      </c>
      <c r="AF1" s="9" t="s">
        <v>566</v>
      </c>
      <c r="AG1" s="23" t="s">
        <v>109</v>
      </c>
      <c r="AH1" s="7" t="s">
        <v>207</v>
      </c>
      <c r="AI1" s="10" t="s">
        <v>208</v>
      </c>
      <c r="AJ1" s="7" t="s">
        <v>209</v>
      </c>
      <c r="AK1" s="7" t="s">
        <v>210</v>
      </c>
      <c r="AL1" s="7" t="s">
        <v>211</v>
      </c>
      <c r="AM1" s="7" t="s">
        <v>212</v>
      </c>
      <c r="AN1" s="7" t="s">
        <v>215</v>
      </c>
      <c r="AO1" s="7" t="s">
        <v>212</v>
      </c>
      <c r="AP1" s="7" t="s">
        <v>213</v>
      </c>
      <c r="AQ1" s="7" t="s">
        <v>214</v>
      </c>
      <c r="AR1" s="7" t="s">
        <v>216</v>
      </c>
      <c r="AS1" s="10" t="s">
        <v>208</v>
      </c>
      <c r="AT1" s="7" t="s">
        <v>217</v>
      </c>
      <c r="AU1" s="7" t="s">
        <v>218</v>
      </c>
      <c r="AV1" s="7" t="s">
        <v>219</v>
      </c>
      <c r="AW1" s="7" t="s">
        <v>220</v>
      </c>
      <c r="AX1" s="7" t="s">
        <v>221</v>
      </c>
      <c r="AY1" s="7" t="s">
        <v>222</v>
      </c>
      <c r="AZ1" s="10" t="s">
        <v>208</v>
      </c>
      <c r="BA1" s="7" t="s">
        <v>223</v>
      </c>
      <c r="BB1" s="7" t="s">
        <v>224</v>
      </c>
      <c r="BC1" s="10" t="s">
        <v>208</v>
      </c>
      <c r="BD1" s="7" t="s">
        <v>225</v>
      </c>
      <c r="BE1" s="7" t="s">
        <v>226</v>
      </c>
      <c r="BF1" s="10" t="s">
        <v>227</v>
      </c>
      <c r="BG1" s="7" t="s">
        <v>228</v>
      </c>
      <c r="BH1" s="10" t="s">
        <v>227</v>
      </c>
      <c r="BI1" s="7" t="s">
        <v>199</v>
      </c>
      <c r="BJ1" s="7" t="s">
        <v>200</v>
      </c>
      <c r="BK1" s="7" t="s">
        <v>201</v>
      </c>
      <c r="BL1" s="7" t="s">
        <v>200</v>
      </c>
      <c r="BM1" s="7" t="s">
        <v>202</v>
      </c>
      <c r="BN1" s="7" t="s">
        <v>200</v>
      </c>
      <c r="BO1" s="7" t="s">
        <v>203</v>
      </c>
      <c r="BP1" s="7" t="s">
        <v>200</v>
      </c>
      <c r="BQ1" s="7" t="s">
        <v>204</v>
      </c>
      <c r="BR1" s="7" t="s">
        <v>200</v>
      </c>
      <c r="BS1" s="7" t="s">
        <v>205</v>
      </c>
      <c r="BT1" s="7" t="s">
        <v>200</v>
      </c>
      <c r="BU1" s="7" t="s">
        <v>206</v>
      </c>
      <c r="BV1" s="7" t="s">
        <v>200</v>
      </c>
    </row>
    <row r="2" spans="1:33" s="14" customFormat="1" ht="10.5">
      <c r="A2" s="13" t="s">
        <v>265</v>
      </c>
      <c r="H2" s="15"/>
      <c r="N2" s="17" t="s">
        <v>196</v>
      </c>
      <c r="O2" s="15"/>
      <c r="P2" s="15"/>
      <c r="Q2" s="15"/>
      <c r="R2" s="15"/>
      <c r="S2" s="17" t="s">
        <v>196</v>
      </c>
      <c r="W2" s="15"/>
      <c r="X2" s="17"/>
      <c r="Y2" s="20" t="s">
        <v>196</v>
      </c>
      <c r="Z2" s="17"/>
      <c r="AA2" s="15"/>
      <c r="AB2" s="15"/>
      <c r="AC2" s="20"/>
      <c r="AD2" s="17"/>
      <c r="AE2" s="15"/>
      <c r="AF2" s="15"/>
      <c r="AG2" s="24"/>
    </row>
    <row r="3" spans="1:33" s="6" customFormat="1" ht="10.5">
      <c r="A3" s="12" t="s">
        <v>243</v>
      </c>
      <c r="H3" s="11"/>
      <c r="N3" s="18"/>
      <c r="O3" s="11"/>
      <c r="P3" s="11"/>
      <c r="Q3" s="11"/>
      <c r="R3" s="11"/>
      <c r="S3" s="18"/>
      <c r="W3" s="11"/>
      <c r="X3" s="18"/>
      <c r="Y3" s="21" t="s">
        <v>196</v>
      </c>
      <c r="Z3" s="18"/>
      <c r="AA3" s="11"/>
      <c r="AB3" s="11"/>
      <c r="AC3" s="21" t="s">
        <v>196</v>
      </c>
      <c r="AD3" s="18"/>
      <c r="AE3" s="11"/>
      <c r="AF3" s="11"/>
      <c r="AG3" s="25"/>
    </row>
    <row r="4" spans="1:74" ht="10.5">
      <c r="A4" t="str">
        <f>HYPERLINK("http://exon.niaid.nih.gov/transcriptome/O_coriaceus/Sup2/links/pep/OC-14-pep.txt","OC-14")</f>
        <v>OC-14</v>
      </c>
      <c r="B4" s="1" t="s">
        <v>114</v>
      </c>
      <c r="C4">
        <v>166</v>
      </c>
      <c r="D4" t="s">
        <v>115</v>
      </c>
      <c r="E4" t="str">
        <f>HYPERLINK("http://exon.niaid.nih.gov/transcriptome/O_coriaceus/Sup2/links/nuc/OC-14-nuc.txt","OC-14")</f>
        <v>OC-14</v>
      </c>
      <c r="F4" s="1" t="s">
        <v>195</v>
      </c>
      <c r="G4" s="1" t="s">
        <v>194</v>
      </c>
      <c r="H4" s="5" t="str">
        <f>HYPERLINK("http://exon.niaid.nih.gov/transcriptome/O_coriaceus/Sup2/links/Sigp/OC-14-SigP.txt","SIG")</f>
        <v>SIG</v>
      </c>
      <c r="I4" t="s">
        <v>539</v>
      </c>
      <c r="J4" s="1">
        <v>17.386</v>
      </c>
      <c r="K4" s="1">
        <v>5.32</v>
      </c>
      <c r="L4" s="1">
        <v>15.356</v>
      </c>
      <c r="M4" s="1">
        <v>5.1</v>
      </c>
      <c r="O4" s="5" t="str">
        <f>HYPERLINK("http://exon.niaid.nih.gov/transcriptome/O_coriaceus/Sup2/links/netoglyc/OC-14-netoglyc.txt","0")</f>
        <v>0</v>
      </c>
      <c r="P4" s="1">
        <v>15.7</v>
      </c>
      <c r="Q4" s="1">
        <v>12.7</v>
      </c>
      <c r="R4" s="1">
        <v>2.4</v>
      </c>
      <c r="U4" s="4" t="str">
        <f>HYPERLINK("http://exon.niaid.nih.gov/transcriptome/O_coriaceus/Sup2/links/OCORI-EST/OC-14-OCORI-EST.txt","OCM-P19_D06")</f>
        <v>OCM-P19_D06</v>
      </c>
      <c r="V4" s="1">
        <v>0</v>
      </c>
      <c r="W4" s="5" t="str">
        <f>HYPERLINK("http://exon.niaid.nih.gov/transcriptome/O_coriaceus/Sup2/links/OCORI-EST/OC-14-OCORI-EST.txt"," 17")</f>
        <v> 17</v>
      </c>
      <c r="Y4" s="28"/>
      <c r="AH4" t="str">
        <f>HYPERLINK("http://exon.niaid.nih.gov/transcriptome/O_coriaceus/Sup2/links/NR/OC-14-NR.txt","salivary lipocalin")</f>
        <v>salivary lipocalin</v>
      </c>
      <c r="AI4" t="str">
        <f>HYPERLINK("http://www.ncbi.nlm.nih.gov/sutils/blink.cgi?pid=149287038","5E-025")</f>
        <v>5E-025</v>
      </c>
      <c r="AJ4" t="s">
        <v>229</v>
      </c>
      <c r="AK4">
        <v>40</v>
      </c>
      <c r="AL4">
        <v>101</v>
      </c>
      <c r="AM4">
        <v>1</v>
      </c>
      <c r="AN4" t="s">
        <v>230</v>
      </c>
      <c r="AR4" s="4" t="s">
        <v>196</v>
      </c>
      <c r="BB4" s="4" t="str">
        <f>HYPERLINK("http://exon.niaid.nih.gov/transcriptome/O_coriaceus/Sup2/links/CDD/OC-14-CDD.txt","His_binding")</f>
        <v>His_binding</v>
      </c>
      <c r="BC4" t="str">
        <f>HYPERLINK("http://www.ncbi.nlm.nih.gov/Structure/cdd/cddsrv.cgi?uid=pfam02098&amp;version=v4.0","0.004")</f>
        <v>0.004</v>
      </c>
      <c r="BD4" t="s">
        <v>21</v>
      </c>
      <c r="BE4" s="4" t="str">
        <f>HYPERLINK("http://exon.niaid.nih.gov/transcriptome/O_coriaceus/Sup2/links/PFAM/OC-14-PFAM.txt","His_binding")</f>
        <v>His_binding</v>
      </c>
      <c r="BF4" t="str">
        <f>HYPERLINK("http://pfam.janelia.org/cgi-bin/getdesc?acc=PF02098","0.001")</f>
        <v>0.001</v>
      </c>
      <c r="BI4" s="2">
        <f>HYPERLINK("http://exon.niaid.nih.gov/transcriptome/O_coriaceus/Sup2/links/cluster/o-cori-COMP35-50-Sim-CLU1.txt",1)</f>
        <v>1</v>
      </c>
      <c r="BJ4" s="1">
        <f>HYPERLINK("http://exon.niaid.nih.gov/transcriptome/O_coriaceus/Sup2/links/cluster/o-cori-COMP35-50-Sim-CLTL1.txt",6)</f>
        <v>6</v>
      </c>
      <c r="BK4" s="2">
        <f>HYPERLINK("http://exon.niaid.nih.gov/transcriptome/O_coriaceus/Sup2/links/cluster/o-cori-COMP45-50-Sim-CLU2.txt",2)</f>
        <v>2</v>
      </c>
      <c r="BL4" s="1">
        <f>HYPERLINK("http://exon.niaid.nih.gov/transcriptome/O_coriaceus/Sup2/links/cluster/o-cori-COMP45-50-Sim-CLTL2.txt",5)</f>
        <v>5</v>
      </c>
      <c r="BM4" s="2">
        <f>HYPERLINK("http://exon.niaid.nih.gov/transcriptome/O_coriaceus/Sup2/links/cluster/o-cori-COMP55-50-Sim-CLU2.txt",2)</f>
        <v>2</v>
      </c>
      <c r="BN4" s="1">
        <f>HYPERLINK("http://exon.niaid.nih.gov/transcriptome/O_coriaceus/Sup2/links/cluster/o-cori-COMP55-50-Sim-CLTL2.txt",5)</f>
        <v>5</v>
      </c>
      <c r="BO4" s="2">
        <f>HYPERLINK("http://exon.niaid.nih.gov/transcriptome/O_coriaceus/Sup2/links/cluster/o-cori-COMP65-50-Sim-CLU3.txt",3)</f>
        <v>3</v>
      </c>
      <c r="BP4" s="1">
        <f>HYPERLINK("http://exon.niaid.nih.gov/transcriptome/O_coriaceus/Sup2/links/cluster/o-cori-COMP65-50-Sim-CLTL3.txt",3)</f>
        <v>3</v>
      </c>
      <c r="BQ4" s="2">
        <v>27</v>
      </c>
      <c r="BR4" s="1">
        <v>1</v>
      </c>
      <c r="BS4" s="2">
        <v>27</v>
      </c>
      <c r="BT4" s="1">
        <v>1</v>
      </c>
      <c r="BU4" s="2">
        <v>27</v>
      </c>
      <c r="BV4" s="1">
        <v>1</v>
      </c>
    </row>
    <row r="5" spans="1:74" ht="10.5">
      <c r="A5" t="str">
        <f>HYPERLINK("http://exon.niaid.nih.gov/transcriptome/O_coriaceus/Sup2/links/pep/OC-15-pep.txt","OC-15")</f>
        <v>OC-15</v>
      </c>
      <c r="B5" s="1" t="s">
        <v>114</v>
      </c>
      <c r="C5">
        <v>170</v>
      </c>
      <c r="D5" t="s">
        <v>115</v>
      </c>
      <c r="E5" t="str">
        <f>HYPERLINK("http://exon.niaid.nih.gov/transcriptome/O_coriaceus/Sup2/links/nuc/OC-15-nuc.txt","OC-15")</f>
        <v>OC-15</v>
      </c>
      <c r="F5" s="1" t="s">
        <v>195</v>
      </c>
      <c r="G5" s="1" t="s">
        <v>194</v>
      </c>
      <c r="H5" s="5" t="str">
        <f>HYPERLINK("http://exon.niaid.nih.gov/transcriptome/O_coriaceus/Sup2/links/Sigp/OC-15-SigP.txt","SIG")</f>
        <v>SIG</v>
      </c>
      <c r="I5" t="s">
        <v>539</v>
      </c>
      <c r="J5" s="1">
        <v>17.885</v>
      </c>
      <c r="K5" s="1">
        <v>7.44</v>
      </c>
      <c r="L5" s="1">
        <v>15.875</v>
      </c>
      <c r="M5" s="1">
        <v>6.73</v>
      </c>
      <c r="N5" s="19" t="s">
        <v>5</v>
      </c>
      <c r="O5" s="5" t="str">
        <f>HYPERLINK("http://exon.niaid.nih.gov/transcriptome/O_coriaceus/Sup2/links/netoglyc/OC-15-netoglyc.txt","4")</f>
        <v>4</v>
      </c>
      <c r="P5" s="1">
        <v>17.1</v>
      </c>
      <c r="Q5" s="1">
        <v>12.4</v>
      </c>
      <c r="R5" s="1">
        <v>4.7</v>
      </c>
      <c r="S5" s="27" t="s">
        <v>196</v>
      </c>
      <c r="U5" s="4" t="str">
        <f>HYPERLINK("http://exon.niaid.nih.gov/transcriptome/O_coriaceus/Sup2/links/OCORI-EST/OC-15-OCORI-EST.txt","OCL-P13_D02")</f>
        <v>OCL-P13_D02</v>
      </c>
      <c r="V5" s="1">
        <v>0</v>
      </c>
      <c r="W5" s="5" t="str">
        <f>HYPERLINK("http://exon.niaid.nih.gov/transcriptome/O_coriaceus/Sup2/links/OCORI-EST/OC-15-OCORI-EST.txt"," 21")</f>
        <v> 21</v>
      </c>
      <c r="X5" s="27" t="s">
        <v>622</v>
      </c>
      <c r="Y5" s="28" t="str">
        <f>HYPERLINK("http://exon.niaid.nih.gov/transcriptome/O_coriaceus/Sup2/links/OC-2D/OC-15-OC-2D.txt","IF-21_10 |25 -&gt; 2")</f>
        <v>IF-21_10 |25 -&gt; 2</v>
      </c>
      <c r="Z5" s="27" t="s">
        <v>108</v>
      </c>
      <c r="AC5" s="22" t="str">
        <f>HYPERLINK("http://exon.niaid.nih.gov/transcriptome/O_coriaceus/Sup2/links/OC-1D/OC-15-OC-1D.txt","P12_62 |P23_75 |P24_30 |P25_94 |P26_77 |S01_13 |S09_26 |S12_16 |S13_27 |S14_8 |S14_9 |S15_34 |S16_47 |S18_54 |S19_54 |S20_26 |S20_27 |S21_49 |S22_56 |S23_51 |S23_52 |S24_35 |S24_36 |S24_37 |S24_38 ")</f>
        <v>P12_62 |P23_75 |P24_30 |P25_94 |P26_77 |S01_13 |S09_26 |S12_16 |S13_27 |S14_8 |S14_9 |S15_34 |S16_47 |S18_54 |S19_54 |S20_26 |S20_27 |S21_49 |S22_56 |S23_51 |S23_52 |S24_35 |S24_36 |S24_37 |S24_38 </v>
      </c>
      <c r="AD5" s="27" t="s">
        <v>572</v>
      </c>
      <c r="AE5" s="1">
        <v>5</v>
      </c>
      <c r="AF5" s="1">
        <v>65</v>
      </c>
      <c r="AG5" s="26">
        <f aca="true" t="shared" si="0" ref="AG5:AG12">100*AF5/C5</f>
        <v>38.23529411764706</v>
      </c>
      <c r="AH5" s="4" t="str">
        <f>HYPERLINK("http://exon.niaid.nih.gov/transcriptome/O_coriaceus/Sup2/links/NR/OC-15-NR.txt","salivary lipocalin")</f>
        <v>salivary lipocalin</v>
      </c>
      <c r="AI5" t="str">
        <f>HYPERLINK("http://www.ncbi.nlm.nih.gov/sutils/blink.cgi?pid=149287038","2E-022")</f>
        <v>2E-022</v>
      </c>
      <c r="AJ5" t="s">
        <v>229</v>
      </c>
      <c r="AK5">
        <v>40</v>
      </c>
      <c r="AL5">
        <v>90</v>
      </c>
      <c r="AM5">
        <v>23</v>
      </c>
      <c r="AN5" t="s">
        <v>230</v>
      </c>
      <c r="AO5">
        <v>23</v>
      </c>
      <c r="AP5">
        <v>23</v>
      </c>
      <c r="AQ5">
        <v>1</v>
      </c>
      <c r="AR5" s="4" t="s">
        <v>196</v>
      </c>
      <c r="AS5" t="s">
        <v>196</v>
      </c>
      <c r="AT5" t="s">
        <v>196</v>
      </c>
      <c r="AU5" t="s">
        <v>196</v>
      </c>
      <c r="AV5" t="s">
        <v>196</v>
      </c>
      <c r="AW5" t="s">
        <v>196</v>
      </c>
      <c r="AX5" t="s">
        <v>196</v>
      </c>
      <c r="AY5" s="4" t="str">
        <f>HYPERLINK("http://exon.niaid.nih.gov/transcriptome/O_coriaceus/Sup2/links/KOG/OC-15-KOG.txt","Cu2+/Zn2+ superoxide dismutase SOD1")</f>
        <v>Cu2+/Zn2+ superoxide dismutase SOD1</v>
      </c>
      <c r="AZ5" t="str">
        <f>HYPERLINK("http://www.ncbi.nlm.nih.gov/COG/grace/shokog.cgi?KOG0441","0.87")</f>
        <v>0.87</v>
      </c>
      <c r="BA5" t="s">
        <v>324</v>
      </c>
      <c r="BB5" s="4" t="str">
        <f>HYPERLINK("http://exon.niaid.nih.gov/transcriptome/O_coriaceus/Sup2/links/CDD/OC-15-CDD.txt","NrdD")</f>
        <v>NrdD</v>
      </c>
      <c r="BC5" t="str">
        <f>HYPERLINK("http://www.ncbi.nlm.nih.gov/Structure/cdd/cddsrv.cgi?uid=COG1328&amp;version=v4.0","0.10")</f>
        <v>0.10</v>
      </c>
      <c r="BD5" t="s">
        <v>325</v>
      </c>
      <c r="BE5" s="4" t="str">
        <f>HYPERLINK("http://exon.niaid.nih.gov/transcriptome/O_coriaceus/Sup2/links/PFAM/OC-15-PFAM.txt","Fer4_NifH")</f>
        <v>Fer4_NifH</v>
      </c>
      <c r="BF5" t="str">
        <f>HYPERLINK("http://pfam.janelia.org/cgi-bin/getdesc?acc=PF00142","0.85")</f>
        <v>0.85</v>
      </c>
      <c r="BG5" s="4" t="s">
        <v>196</v>
      </c>
      <c r="BH5" t="s">
        <v>196</v>
      </c>
      <c r="BI5" s="2">
        <f>HYPERLINK("http://exon.niaid.nih.gov/transcriptome/O_coriaceus/Sup2/links/cluster/o-cori-COMP35-50-Sim-CLU1.txt",1)</f>
        <v>1</v>
      </c>
      <c r="BJ5" s="1">
        <f>HYPERLINK("http://exon.niaid.nih.gov/transcriptome/O_coriaceus/Sup2/links/cluster/o-cori-COMP35-50-Sim-CLTL1.txt",6)</f>
        <v>6</v>
      </c>
      <c r="BK5" s="2">
        <f>HYPERLINK("http://exon.niaid.nih.gov/transcriptome/O_coriaceus/Sup2/links/cluster/o-cori-COMP45-50-Sim-CLU2.txt",2)</f>
        <v>2</v>
      </c>
      <c r="BL5" s="1">
        <f>HYPERLINK("http://exon.niaid.nih.gov/transcriptome/O_coriaceus/Sup2/links/cluster/o-cori-COMP45-50-Sim-CLTL2.txt",5)</f>
        <v>5</v>
      </c>
      <c r="BM5" s="2">
        <f>HYPERLINK("http://exon.niaid.nih.gov/transcriptome/O_coriaceus/Sup2/links/cluster/o-cori-COMP55-50-Sim-CLU2.txt",2)</f>
        <v>2</v>
      </c>
      <c r="BN5" s="1">
        <f>HYPERLINK("http://exon.niaid.nih.gov/transcriptome/O_coriaceus/Sup2/links/cluster/o-cori-COMP55-50-Sim-CLTL2.txt",5)</f>
        <v>5</v>
      </c>
      <c r="BO5" s="2">
        <f>HYPERLINK("http://exon.niaid.nih.gov/transcriptome/O_coriaceus/Sup2/links/cluster/o-cori-COMP65-50-Sim-CLU3.txt",3)</f>
        <v>3</v>
      </c>
      <c r="BP5" s="1">
        <f>HYPERLINK("http://exon.niaid.nih.gov/transcriptome/O_coriaceus/Sup2/links/cluster/o-cori-COMP65-50-Sim-CLTL3.txt",3)</f>
        <v>3</v>
      </c>
      <c r="BQ5" s="2">
        <v>28</v>
      </c>
      <c r="BR5" s="1">
        <v>1</v>
      </c>
      <c r="BS5" s="2">
        <v>28</v>
      </c>
      <c r="BT5" s="1">
        <v>1</v>
      </c>
      <c r="BU5" s="2">
        <v>21</v>
      </c>
      <c r="BV5" s="1">
        <v>1</v>
      </c>
    </row>
    <row r="6" spans="1:74" ht="10.5">
      <c r="A6" t="str">
        <f>HYPERLINK("http://exon.niaid.nih.gov/transcriptome/O_coriaceus/Sup2/links/pep/OC-43-pep.txt","OC-43")</f>
        <v>OC-43</v>
      </c>
      <c r="B6" s="1" t="s">
        <v>114</v>
      </c>
      <c r="C6">
        <v>166</v>
      </c>
      <c r="D6" t="s">
        <v>115</v>
      </c>
      <c r="E6" t="str">
        <f>HYPERLINK("http://exon.niaid.nih.gov/transcriptome/O_coriaceus/Sup2/links/nuc/OC-43-nuc.txt","OC-43")</f>
        <v>OC-43</v>
      </c>
      <c r="F6" s="1" t="s">
        <v>195</v>
      </c>
      <c r="G6" s="1" t="s">
        <v>194</v>
      </c>
      <c r="H6" s="5" t="str">
        <f>HYPERLINK("http://exon.niaid.nih.gov/transcriptome/O_coriaceus/Sup2/links/Sigp/OC-43-SigP.txt","SIG")</f>
        <v>SIG</v>
      </c>
      <c r="I6" t="s">
        <v>546</v>
      </c>
      <c r="J6" s="1">
        <v>17.964</v>
      </c>
      <c r="K6" s="1">
        <v>4.59</v>
      </c>
      <c r="L6" s="1">
        <v>16.078</v>
      </c>
      <c r="M6" s="1">
        <v>4.5</v>
      </c>
      <c r="N6" s="19" t="s">
        <v>6</v>
      </c>
      <c r="O6" s="5" t="str">
        <f>HYPERLINK("http://exon.niaid.nih.gov/transcriptome/O_coriaceus/Sup2/links/netoglyc/OC-43-netoglyc.txt","2")</f>
        <v>2</v>
      </c>
      <c r="P6" s="1">
        <v>15.7</v>
      </c>
      <c r="Q6" s="1">
        <v>10.2</v>
      </c>
      <c r="R6" s="1">
        <v>3.6</v>
      </c>
      <c r="S6" s="27" t="s">
        <v>196</v>
      </c>
      <c r="U6" s="4" t="str">
        <f>HYPERLINK("http://exon.niaid.nih.gov/transcriptome/O_coriaceus/Sup2/links/OCORI-EST/OC-43-OCORI-EST.txt","OCS14.F10_07053102FA")</f>
        <v>OCS14.F10_07053102FA</v>
      </c>
      <c r="V6" s="1">
        <v>0</v>
      </c>
      <c r="W6" s="5" t="str">
        <f>HYPERLINK("http://exon.niaid.nih.gov/transcriptome/O_coriaceus/Sup2/links/OCORI-EST/OC-43-OCORI-EST.txt"," 11")</f>
        <v> 11</v>
      </c>
      <c r="Y6" s="22" t="str">
        <f>HYPERLINK("http://exon.niaid.nih.gov/transcriptome/O_coriaceus/Sup2/links/OC-2D/OC-43-OC-2D.txt","IF-5_12 |")</f>
        <v>IF-5_12 |</v>
      </c>
      <c r="AA6" s="1" t="s">
        <v>196</v>
      </c>
      <c r="AC6" s="22" t="str">
        <f>HYPERLINK("http://exon.niaid.nih.gov/transcriptome/O_coriaceus/Sup2/links/OC-1D/OC-43-OC-1D.txt","P23_73 |P23_74 |S23_41 |S23_42 |S24_50 |S24_51 |S25_40 |S25_41 |S25_42 |S26_35 |S26_36 |S29_41 |")</f>
        <v>P23_73 |P23_74 |S23_41 |S23_42 |S24_50 |S24_51 |S25_40 |S25_41 |S25_42 |S26_35 |S26_36 |S29_41 |</v>
      </c>
      <c r="AD6" s="27" t="s">
        <v>573</v>
      </c>
      <c r="AE6" s="1">
        <v>3</v>
      </c>
      <c r="AF6" s="1">
        <v>34</v>
      </c>
      <c r="AG6" s="26">
        <f t="shared" si="0"/>
        <v>20.481927710843372</v>
      </c>
      <c r="AH6" s="4" t="str">
        <f>HYPERLINK("http://exon.niaid.nih.gov/transcriptome/O_coriaceus/Sup2/links/NR/OC-43-NR.txt","salivary lipocalin")</f>
        <v>salivary lipocalin</v>
      </c>
      <c r="AI6" t="str">
        <f>HYPERLINK("http://www.ncbi.nlm.nih.gov/sutils/blink.cgi?pid=149287038","9E-031")</f>
        <v>9E-031</v>
      </c>
      <c r="AJ6" t="s">
        <v>229</v>
      </c>
      <c r="AK6">
        <v>45</v>
      </c>
      <c r="AL6">
        <v>87</v>
      </c>
      <c r="AM6">
        <v>23</v>
      </c>
      <c r="AN6" t="s">
        <v>230</v>
      </c>
      <c r="AO6">
        <v>23</v>
      </c>
      <c r="AP6">
        <v>19</v>
      </c>
      <c r="AQ6">
        <v>1</v>
      </c>
      <c r="AR6" s="4" t="s">
        <v>196</v>
      </c>
      <c r="AS6" t="s">
        <v>196</v>
      </c>
      <c r="AT6" t="s">
        <v>196</v>
      </c>
      <c r="AU6" t="s">
        <v>196</v>
      </c>
      <c r="AV6" t="s">
        <v>196</v>
      </c>
      <c r="AW6" t="s">
        <v>196</v>
      </c>
      <c r="AX6" t="s">
        <v>196</v>
      </c>
      <c r="AY6" s="4" t="s">
        <v>196</v>
      </c>
      <c r="AZ6" t="s">
        <v>196</v>
      </c>
      <c r="BA6" t="s">
        <v>196</v>
      </c>
      <c r="BB6" s="4" t="str">
        <f>HYPERLINK("http://exon.niaid.nih.gov/transcriptome/O_coriaceus/Sup2/links/CDD/OC-43-CDD.txt","His_binding")</f>
        <v>His_binding</v>
      </c>
      <c r="BC6" t="str">
        <f>HYPERLINK("http://www.ncbi.nlm.nih.gov/Structure/cdd/cddsrv.cgi?uid=pfam02098&amp;version=v4.0","3E-010")</f>
        <v>3E-010</v>
      </c>
      <c r="BD6" t="s">
        <v>414</v>
      </c>
      <c r="BE6" s="4" t="str">
        <f>HYPERLINK("http://exon.niaid.nih.gov/transcriptome/O_coriaceus/Sup2/links/PFAM/OC-43-PFAM.txt","His_binding")</f>
        <v>His_binding</v>
      </c>
      <c r="BF6" t="str">
        <f>HYPERLINK("http://pfam.janelia.org/cgi-bin/getdesc?acc=PF02098","1E-010")</f>
        <v>1E-010</v>
      </c>
      <c r="BG6" s="4" t="str">
        <f>HYPERLINK("http://exon.niaid.nih.gov/transcriptome/O_coriaceus/Sup2/links/SMART/OC-43-SMART.txt","MYSc")</f>
        <v>MYSc</v>
      </c>
      <c r="BH6" t="str">
        <f>HYPERLINK("http://smart.embl-heidelberg.de/smart/do_annotation.pl?DOMAIN=MYSc&amp;BLAST=DUMMY","0.81")</f>
        <v>0.81</v>
      </c>
      <c r="BI6" s="2">
        <f>HYPERLINK("http://exon.niaid.nih.gov/transcriptome/O_coriaceus/Sup2/links/cluster/o-cori-COMP35-50-Sim-CLU1.txt",1)</f>
        <v>1</v>
      </c>
      <c r="BJ6" s="1">
        <f>HYPERLINK("http://exon.niaid.nih.gov/transcriptome/O_coriaceus/Sup2/links/cluster/o-cori-COMP35-50-Sim-CLTL1.txt",6)</f>
        <v>6</v>
      </c>
      <c r="BK6" s="2">
        <f>HYPERLINK("http://exon.niaid.nih.gov/transcriptome/O_coriaceus/Sup2/links/cluster/o-cori-COMP45-50-Sim-CLU2.txt",2)</f>
        <v>2</v>
      </c>
      <c r="BL6" s="1">
        <f>HYPERLINK("http://exon.niaid.nih.gov/transcriptome/O_coriaceus/Sup2/links/cluster/o-cori-COMP45-50-Sim-CLTL2.txt",5)</f>
        <v>5</v>
      </c>
      <c r="BM6" s="2">
        <f>HYPERLINK("http://exon.niaid.nih.gov/transcriptome/O_coriaceus/Sup2/links/cluster/o-cori-COMP55-50-Sim-CLU2.txt",2)</f>
        <v>2</v>
      </c>
      <c r="BN6" s="1">
        <f>HYPERLINK("http://exon.niaid.nih.gov/transcriptome/O_coriaceus/Sup2/links/cluster/o-cori-COMP55-50-Sim-CLTL2.txt",5)</f>
        <v>5</v>
      </c>
      <c r="BO6" s="2">
        <f>HYPERLINK("http://exon.niaid.nih.gov/transcriptome/O_coriaceus/Sup2/links/cluster/o-cori-COMP65-50-Sim-CLU3.txt",3)</f>
        <v>3</v>
      </c>
      <c r="BP6" s="1">
        <f>HYPERLINK("http://exon.niaid.nih.gov/transcriptome/O_coriaceus/Sup2/links/cluster/o-cori-COMP65-50-Sim-CLTL3.txt",3)</f>
        <v>3</v>
      </c>
      <c r="BQ6" s="2">
        <v>48</v>
      </c>
      <c r="BR6" s="1">
        <v>1</v>
      </c>
      <c r="BS6" s="2">
        <v>51</v>
      </c>
      <c r="BT6" s="1">
        <v>1</v>
      </c>
      <c r="BU6" s="2">
        <v>55</v>
      </c>
      <c r="BV6" s="1">
        <v>1</v>
      </c>
    </row>
    <row r="7" spans="1:74" ht="10.5">
      <c r="A7" t="str">
        <f>HYPERLINK("http://exon.niaid.nih.gov/transcriptome/O_coriaceus/Sup2/links/pep/OC-41-pep.txt","OC-41")</f>
        <v>OC-41</v>
      </c>
      <c r="B7" s="1" t="s">
        <v>114</v>
      </c>
      <c r="C7">
        <v>206</v>
      </c>
      <c r="D7" t="s">
        <v>115</v>
      </c>
      <c r="E7" t="str">
        <f>HYPERLINK("http://exon.niaid.nih.gov/transcriptome/O_coriaceus/Sup2/links/nuc/OC-41-nuc.txt","OC-41")</f>
        <v>OC-41</v>
      </c>
      <c r="F7" s="1" t="s">
        <v>195</v>
      </c>
      <c r="G7" s="1" t="s">
        <v>194</v>
      </c>
      <c r="H7" s="5" t="str">
        <f>HYPERLINK("http://exon.niaid.nih.gov/transcriptome/O_coriaceus/Sup2/links/Sigp/OC-41-SigP.txt","SIG")</f>
        <v>SIG</v>
      </c>
      <c r="I7" t="s">
        <v>539</v>
      </c>
      <c r="J7" s="1">
        <v>23.251</v>
      </c>
      <c r="K7" s="1">
        <v>6.98</v>
      </c>
      <c r="L7" s="1">
        <v>21.445</v>
      </c>
      <c r="M7" s="1">
        <v>6.66</v>
      </c>
      <c r="N7" s="19" t="s">
        <v>7</v>
      </c>
      <c r="O7" s="5" t="str">
        <f>HYPERLINK("http://exon.niaid.nih.gov/transcriptome/O_coriaceus/Sup2/links/netoglyc/OC-41-netoglyc.txt","0")</f>
        <v>0</v>
      </c>
      <c r="P7" s="1">
        <v>10.2</v>
      </c>
      <c r="Q7" s="1">
        <v>4.4</v>
      </c>
      <c r="R7" s="1">
        <v>3.9</v>
      </c>
      <c r="S7" s="27" t="s">
        <v>196</v>
      </c>
      <c r="U7" s="4" t="str">
        <f>HYPERLINK("http://exon.niaid.nih.gov/transcriptome/O_coriaceus/Sup2/links/OCORI-EST/OC-41-OCORI-EST.txt","OCL-P11_F04")</f>
        <v>OCL-P11_F04</v>
      </c>
      <c r="V7" s="1">
        <v>0</v>
      </c>
      <c r="W7" s="5" t="str">
        <f>HYPERLINK("http://exon.niaid.nih.gov/transcriptome/O_coriaceus/Sup2/links/OCORI-EST/OC-41-OCORI-EST.txt"," 10")</f>
        <v> 10</v>
      </c>
      <c r="Y7" s="22" t="s">
        <v>196</v>
      </c>
      <c r="AC7" s="22" t="str">
        <f>HYPERLINK("http://exon.niaid.nih.gov/transcriptome/O_coriaceus/Sup2/links/OC-1D/OC-41-OC-1D.txt","P01_7 |P01_8 |P01_9 |P02_9 |P03_18 |P08_55 |P09_66 |P13_62 |P14_21 |P14_22 |P15_22 |P16_77 |P17_45 |P17_46 |P18_103 |P19_20 |P19_21 |P19_22 |P19_23 |P20_1 |P20_2 |P20_3 |P20_4 |P20_5 |P20_6 |P20_7 ")</f>
        <v>P01_7 |P01_8 |P01_9 |P02_9 |P03_18 |P08_55 |P09_66 |P13_62 |P14_21 |P14_22 |P15_22 |P16_77 |P17_45 |P17_46 |P18_103 |P19_20 |P19_21 |P19_22 |P19_23 |P20_1 |P20_2 |P20_3 |P20_4 |P20_5 |P20_6 |P20_7 </v>
      </c>
      <c r="AD7" s="27" t="s">
        <v>574</v>
      </c>
      <c r="AE7" s="1">
        <v>8</v>
      </c>
      <c r="AF7" s="1">
        <v>107</v>
      </c>
      <c r="AG7" s="26">
        <f t="shared" si="0"/>
        <v>51.94174757281554</v>
      </c>
      <c r="AH7" s="4" t="str">
        <f>HYPERLINK("http://exon.niaid.nih.gov/transcriptome/O_coriaceus/Sup2/links/NR/OC-41-NR.txt","lipocalin")</f>
        <v>lipocalin</v>
      </c>
      <c r="AI7" t="str">
        <f>HYPERLINK("http://www.ncbi.nlm.nih.gov/sutils/blink.cgi?pid=114152990","1E-024")</f>
        <v>1E-024</v>
      </c>
      <c r="AJ7" t="s">
        <v>400</v>
      </c>
      <c r="AK7">
        <v>36</v>
      </c>
      <c r="AL7">
        <v>86</v>
      </c>
      <c r="AM7">
        <v>36</v>
      </c>
      <c r="AN7" t="s">
        <v>294</v>
      </c>
      <c r="AO7">
        <v>36</v>
      </c>
      <c r="AP7">
        <v>22</v>
      </c>
      <c r="AQ7">
        <v>1</v>
      </c>
      <c r="AR7" s="4" t="s">
        <v>196</v>
      </c>
      <c r="AS7" t="s">
        <v>196</v>
      </c>
      <c r="AT7" t="s">
        <v>196</v>
      </c>
      <c r="AU7" t="s">
        <v>196</v>
      </c>
      <c r="AV7" t="s">
        <v>196</v>
      </c>
      <c r="AW7" t="s">
        <v>196</v>
      </c>
      <c r="AX7" t="s">
        <v>196</v>
      </c>
      <c r="AY7" s="4" t="s">
        <v>196</v>
      </c>
      <c r="AZ7" t="s">
        <v>196</v>
      </c>
      <c r="BA7" t="s">
        <v>196</v>
      </c>
      <c r="BB7" s="4" t="str">
        <f>HYPERLINK("http://exon.niaid.nih.gov/transcriptome/O_coriaceus/Sup2/links/CDD/OC-41-CDD.txt","His_binding")</f>
        <v>His_binding</v>
      </c>
      <c r="BC7" t="str">
        <f>HYPERLINK("http://www.ncbi.nlm.nih.gov/Structure/cdd/cddsrv.cgi?uid=pfam02098&amp;version=v4.0","6E-015")</f>
        <v>6E-015</v>
      </c>
      <c r="BD7" t="s">
        <v>401</v>
      </c>
      <c r="BE7" s="4" t="str">
        <f>HYPERLINK("http://exon.niaid.nih.gov/transcriptome/O_coriaceus/Sup2/links/PFAM/OC-41-PFAM.txt","His_binding")</f>
        <v>His_binding</v>
      </c>
      <c r="BF7" t="str">
        <f>HYPERLINK("http://pfam.janelia.org/cgi-bin/getdesc?acc=PF02098","2E-015")</f>
        <v>2E-015</v>
      </c>
      <c r="BG7" s="4" t="s">
        <v>196</v>
      </c>
      <c r="BH7" t="s">
        <v>196</v>
      </c>
      <c r="BI7" s="2">
        <v>41</v>
      </c>
      <c r="BJ7" s="1">
        <v>1</v>
      </c>
      <c r="BK7" s="2">
        <v>43</v>
      </c>
      <c r="BL7" s="1">
        <v>1</v>
      </c>
      <c r="BM7" s="2">
        <v>42</v>
      </c>
      <c r="BN7" s="1">
        <v>1</v>
      </c>
      <c r="BO7" s="2">
        <v>45</v>
      </c>
      <c r="BP7" s="1">
        <v>1</v>
      </c>
      <c r="BQ7" s="2">
        <v>44</v>
      </c>
      <c r="BR7" s="1">
        <v>1</v>
      </c>
      <c r="BS7" s="2">
        <v>47</v>
      </c>
      <c r="BT7" s="1">
        <v>1</v>
      </c>
      <c r="BU7" s="2">
        <v>51</v>
      </c>
      <c r="BV7" s="1">
        <v>1</v>
      </c>
    </row>
    <row r="8" spans="1:74" ht="10.5">
      <c r="A8" t="str">
        <f>HYPERLINK("http://exon.niaid.nih.gov/transcriptome/O_coriaceus/Sup2/links/pep/OC-2-pep.txt","OC-2")</f>
        <v>OC-2</v>
      </c>
      <c r="B8" s="1" t="s">
        <v>114</v>
      </c>
      <c r="C8">
        <v>160</v>
      </c>
      <c r="D8" t="s">
        <v>115</v>
      </c>
      <c r="E8" t="str">
        <f>HYPERLINK("http://exon.niaid.nih.gov/transcriptome/O_coriaceus/Sup2/links/nuc/OC-2-nuc.txt","OC-2")</f>
        <v>OC-2</v>
      </c>
      <c r="F8" s="1" t="s">
        <v>195</v>
      </c>
      <c r="G8" s="1" t="s">
        <v>194</v>
      </c>
      <c r="H8" s="5" t="str">
        <f>HYPERLINK("http://exon.niaid.nih.gov/transcriptome/O_coriaceus/Sup2/links/Sigp/OC-2-SigP.txt","SIG")</f>
        <v>SIG</v>
      </c>
      <c r="I8" t="s">
        <v>539</v>
      </c>
      <c r="J8" s="1">
        <v>16.931</v>
      </c>
      <c r="K8" s="1">
        <v>7.41</v>
      </c>
      <c r="L8" s="1">
        <v>14.911</v>
      </c>
      <c r="M8" s="1">
        <v>8.13</v>
      </c>
      <c r="N8" s="19" t="s">
        <v>8</v>
      </c>
      <c r="O8" s="5" t="str">
        <f>HYPERLINK("http://exon.niaid.nih.gov/transcriptome/O_coriaceus/Sup2/links/netoglyc/OC-2-netoglyc.txt","0")</f>
        <v>0</v>
      </c>
      <c r="P8" s="1">
        <v>15.6</v>
      </c>
      <c r="Q8" s="1">
        <v>13.1</v>
      </c>
      <c r="R8" s="1">
        <v>3.1</v>
      </c>
      <c r="S8" s="27" t="s">
        <v>196</v>
      </c>
      <c r="U8" s="4" t="str">
        <f>HYPERLINK("http://exon.niaid.nih.gov/transcriptome/O_coriaceus/Sup2/links/OCORI-EST/OC-2-OCORI-EST.txt","OCL_PLATE1_A11")</f>
        <v>OCL_PLATE1_A11</v>
      </c>
      <c r="V8" s="1">
        <v>0</v>
      </c>
      <c r="W8" s="5" t="str">
        <f>HYPERLINK("http://exon.niaid.nih.gov/transcriptome/O_coriaceus/Sup2/links/OCORI-EST/OC-2-OCORI-EST.txt"," 7")</f>
        <v> 7</v>
      </c>
      <c r="X8" s="27" t="s">
        <v>623</v>
      </c>
      <c r="Y8" s="22" t="str">
        <f>HYPERLINK("http://exon.niaid.nih.gov/transcriptome/O_coriaceus/Sup2/links/OC-2D/OC-2-OC-2D.txt","IF-24_6 |IF-35_18 |")</f>
        <v>IF-24_6 |IF-35_18 |</v>
      </c>
      <c r="AA8" s="1" t="s">
        <v>196</v>
      </c>
      <c r="AC8" s="22" t="str">
        <f>HYPERLINK("http://exon.niaid.nih.gov/transcriptome/O_coriaceus/Sup2/links/OC-1D/OC-2-OC-1D.txt","P14_64 |P22_121 |P23_15 |P23_16 |P23_17 |P23_18 |P24_98 |P27_64 |S10_27 |S23_15 |S23_16 |S23_17 |S23_18 |S23_19 |S23_20 |S24_94 |S25_45 |S26_25 |S26_26 |S26_27 |S27_22 |S27_23 |S27_24 |S28_1 |S28_2 ")</f>
        <v>P14_64 |P22_121 |P23_15 |P23_16 |P23_17 |P23_18 |P24_98 |P27_64 |S10_27 |S23_15 |S23_16 |S23_17 |S23_18 |S23_19 |S23_20 |S24_94 |S25_45 |S26_25 |S26_26 |S26_27 |S27_22 |S27_23 |S27_24 |S28_1 |S28_2 </v>
      </c>
      <c r="AD8" s="27" t="s">
        <v>575</v>
      </c>
      <c r="AE8" s="1">
        <v>6</v>
      </c>
      <c r="AF8" s="1">
        <v>65</v>
      </c>
      <c r="AG8" s="26">
        <f t="shared" si="0"/>
        <v>40.625</v>
      </c>
      <c r="AH8" s="4" t="str">
        <f>HYPERLINK("http://exon.niaid.nih.gov/transcriptome/O_coriaceus/Sup2/links/NR/OC-2-NR.txt","salivary lipocalin")</f>
        <v>salivary lipocalin</v>
      </c>
      <c r="AI8" t="str">
        <f>HYPERLINK("http://www.ncbi.nlm.nih.gov/sutils/blink.cgi?pid=149287038","1E-016")</f>
        <v>1E-016</v>
      </c>
      <c r="AJ8" t="s">
        <v>229</v>
      </c>
      <c r="AK8">
        <v>34</v>
      </c>
      <c r="AL8">
        <v>102</v>
      </c>
      <c r="AM8">
        <v>1</v>
      </c>
      <c r="AN8" t="s">
        <v>230</v>
      </c>
      <c r="AO8">
        <v>1</v>
      </c>
      <c r="AP8">
        <v>1</v>
      </c>
      <c r="AQ8">
        <v>1</v>
      </c>
      <c r="AR8" s="4" t="s">
        <v>196</v>
      </c>
      <c r="AS8" t="s">
        <v>196</v>
      </c>
      <c r="AT8" t="s">
        <v>196</v>
      </c>
      <c r="AU8" t="s">
        <v>196</v>
      </c>
      <c r="AV8" t="s">
        <v>196</v>
      </c>
      <c r="AW8" t="s">
        <v>196</v>
      </c>
      <c r="AX8" t="s">
        <v>196</v>
      </c>
      <c r="AY8" s="4" t="s">
        <v>196</v>
      </c>
      <c r="AZ8" t="s">
        <v>196</v>
      </c>
      <c r="BA8" t="s">
        <v>196</v>
      </c>
      <c r="BB8" s="4" t="str">
        <f>HYPERLINK("http://exon.niaid.nih.gov/transcriptome/O_coriaceus/Sup2/links/CDD/OC-2-CDD.txt","His_binding")</f>
        <v>His_binding</v>
      </c>
      <c r="BC8" t="str">
        <f>HYPERLINK("http://www.ncbi.nlm.nih.gov/Structure/cdd/cddsrv.cgi?uid=pfam02098&amp;version=v4.0","4E-007")</f>
        <v>4E-007</v>
      </c>
      <c r="BD8" t="s">
        <v>343</v>
      </c>
      <c r="BE8" s="4" t="str">
        <f>HYPERLINK("http://exon.niaid.nih.gov/transcriptome/O_coriaceus/Sup2/links/PFAM/OC-2-PFAM.txt","His_binding")</f>
        <v>His_binding</v>
      </c>
      <c r="BF8" t="str">
        <f>HYPERLINK("http://pfam.janelia.org/cgi-bin/getdesc?acc=PF02098","1E-007")</f>
        <v>1E-007</v>
      </c>
      <c r="BG8" s="4" t="str">
        <f>HYPERLINK("http://exon.niaid.nih.gov/transcriptome/O_coriaceus/Sup2/links/SMART/OC-2-SMART.txt","SEC63")</f>
        <v>SEC63</v>
      </c>
      <c r="BH8" t="str">
        <f>HYPERLINK("http://smart.embl-heidelberg.de/smart/do_annotation.pl?DOMAIN=SEC63&amp;BLAST=DUMMY","0.20")</f>
        <v>0.20</v>
      </c>
      <c r="BI8" s="2">
        <f>HYPERLINK("http://exon.niaid.nih.gov/transcriptome/O_coriaceus/Sup2/links/cluster/o-cori-COMP35-50-Sim-CLU1.txt",1)</f>
        <v>1</v>
      </c>
      <c r="BJ8" s="1">
        <f>HYPERLINK("http://exon.niaid.nih.gov/transcriptome/O_coriaceus/Sup2/links/cluster/o-cori-COMP35-50-Sim-CLTL1.txt",6)</f>
        <v>6</v>
      </c>
      <c r="BK8" s="2">
        <f>HYPERLINK("http://exon.niaid.nih.gov/transcriptome/O_coriaceus/Sup2/links/cluster/o-cori-COMP45-50-Sim-CLU2.txt",2)</f>
        <v>2</v>
      </c>
      <c r="BL8" s="1">
        <f>HYPERLINK("http://exon.niaid.nih.gov/transcriptome/O_coriaceus/Sup2/links/cluster/o-cori-COMP45-50-Sim-CLTL2.txt",5)</f>
        <v>5</v>
      </c>
      <c r="BM8" s="2">
        <f>HYPERLINK("http://exon.niaid.nih.gov/transcriptome/O_coriaceus/Sup2/links/cluster/o-cori-COMP55-50-Sim-CLU2.txt",2)</f>
        <v>2</v>
      </c>
      <c r="BN8" s="1">
        <f>HYPERLINK("http://exon.niaid.nih.gov/transcriptome/O_coriaceus/Sup2/links/cluster/o-cori-COMP55-50-Sim-CLTL2.txt",5)</f>
        <v>5</v>
      </c>
      <c r="BO8" s="2">
        <f>HYPERLINK("http://exon.niaid.nih.gov/transcriptome/O_coriaceus/Sup2/links/cluster/o-cori-COMP65-50-Sim-CLU8.txt",8)</f>
        <v>8</v>
      </c>
      <c r="BP8" s="1">
        <f>HYPERLINK("http://exon.niaid.nih.gov/transcriptome/O_coriaceus/Sup2/links/cluster/o-cori-COMP65-50-Sim-CLTL8.txt",2)</f>
        <v>2</v>
      </c>
      <c r="BQ8" s="2">
        <f>HYPERLINK("http://exon.niaid.nih.gov/transcriptome/O_coriaceus/Sup2/links/cluster/o-cori-COMP75-50-Sim-CLU5.txt",5)</f>
        <v>5</v>
      </c>
      <c r="BR8" s="1">
        <f>HYPERLINK("http://exon.niaid.nih.gov/transcriptome/O_coriaceus/Sup2/links/cluster/o-cori-COMP75-50-Sim-CLTL5.txt",2)</f>
        <v>2</v>
      </c>
      <c r="BS8" s="2">
        <f>HYPERLINK("http://exon.niaid.nih.gov/transcriptome/O_coriaceus/Sup2/links/cluster/o-cori-COMP85-50-Sim-CLU2.txt",2)</f>
        <v>2</v>
      </c>
      <c r="BT8" s="1">
        <f>HYPERLINK("http://exon.niaid.nih.gov/transcriptome/O_coriaceus/Sup2/links/cluster/o-cori-COMP85-50-Sim-CLTL2.txt",2)</f>
        <v>2</v>
      </c>
      <c r="BU8" s="2">
        <v>26</v>
      </c>
      <c r="BV8" s="1">
        <v>1</v>
      </c>
    </row>
    <row r="9" spans="1:74" ht="10.5">
      <c r="A9" t="str">
        <f>HYPERLINK("http://exon.niaid.nih.gov/transcriptome/O_coriaceus/Sup2/links/pep/OC-3-pep.txt","OC-3")</f>
        <v>OC-3</v>
      </c>
      <c r="B9" s="1" t="s">
        <v>114</v>
      </c>
      <c r="C9">
        <v>159</v>
      </c>
      <c r="D9" t="s">
        <v>115</v>
      </c>
      <c r="E9" t="str">
        <f>HYPERLINK("http://exon.niaid.nih.gov/transcriptome/O_coriaceus/Sup2/links/nuc/OC-3-nuc.txt","OC-3")</f>
        <v>OC-3</v>
      </c>
      <c r="F9" s="1" t="s">
        <v>195</v>
      </c>
      <c r="G9" s="1" t="s">
        <v>194</v>
      </c>
      <c r="H9" s="5" t="str">
        <f>HYPERLINK("http://exon.niaid.nih.gov/transcriptome/O_coriaceus/Sup2/links/Sigp/OC-3-SigP.txt","SIG")</f>
        <v>SIG</v>
      </c>
      <c r="I9" t="s">
        <v>546</v>
      </c>
      <c r="J9" s="1">
        <v>16.706</v>
      </c>
      <c r="K9" s="1">
        <v>6.55</v>
      </c>
      <c r="L9" s="1">
        <v>14.807</v>
      </c>
      <c r="M9" s="1">
        <v>7.69</v>
      </c>
      <c r="N9" s="19" t="s">
        <v>9</v>
      </c>
      <c r="O9" s="5" t="str">
        <f>HYPERLINK("http://exon.niaid.nih.gov/transcriptome/O_coriaceus/Sup2/links/netoglyc/OC-3-netoglyc.txt","0")</f>
        <v>0</v>
      </c>
      <c r="P9" s="1">
        <v>18.2</v>
      </c>
      <c r="Q9" s="1">
        <v>12.6</v>
      </c>
      <c r="R9" s="1">
        <v>2.5</v>
      </c>
      <c r="S9" s="27" t="s">
        <v>196</v>
      </c>
      <c r="U9" s="4" t="str">
        <f>HYPERLINK("http://exon.niaid.nih.gov/transcriptome/O_coriaceus/Sup2/links/OCORI-EST/OC-3-OCORI-EST.txt","OCL-P11_A02")</f>
        <v>OCL-P11_A02</v>
      </c>
      <c r="V9" s="1">
        <v>0</v>
      </c>
      <c r="W9" s="5" t="str">
        <f>HYPERLINK("http://exon.niaid.nih.gov/transcriptome/O_coriaceus/Sup2/links/OCORI-EST/OC-3-OCORI-EST.txt"," 7")</f>
        <v> 7</v>
      </c>
      <c r="X9" s="27" t="s">
        <v>626</v>
      </c>
      <c r="Y9" s="22" t="str">
        <f>HYPERLINK("http://exon.niaid.nih.gov/transcriptome/O_coriaceus/Sup2/links/OC-2D/OC-3-OC-2D.txt","IF-23_8 |IF-24_6 |IF-35_18 |")</f>
        <v>IF-23_8 |IF-24_6 |IF-35_18 |</v>
      </c>
      <c r="AA9" s="1" t="s">
        <v>196</v>
      </c>
      <c r="AC9" s="22" t="str">
        <f>HYPERLINK("http://exon.niaid.nih.gov/transcriptome/O_coriaceus/Sup2/links/OC-1D/OC-3-OC-1D.txt","P14_63 |P14_64 |P23_17 |P23_18 |P23_55 |P23_56 |P24_98 |S20_47 |S23_1 |S23_2 |S23_3 |S23_4 |S23_17 |S23_19 |S24_40 |S24_41 |S25_17 |S25_45 |S26_25 |S27_17 |S27_18 |S27_19 |S27_24 |S28_2 |S29_16 |")</f>
        <v>P14_63 |P14_64 |P23_17 |P23_18 |P23_55 |P23_56 |P24_98 |S20_47 |S23_1 |S23_2 |S23_3 |S23_4 |S23_17 |S23_19 |S24_40 |S24_41 |S25_17 |S25_45 |S26_25 |S27_17 |S27_18 |S27_19 |S27_24 |S28_2 |S29_16 |</v>
      </c>
      <c r="AD9" s="27" t="s">
        <v>576</v>
      </c>
      <c r="AE9" s="1">
        <v>6</v>
      </c>
      <c r="AF9" s="1">
        <v>91</v>
      </c>
      <c r="AG9" s="26">
        <f t="shared" si="0"/>
        <v>57.23270440251572</v>
      </c>
      <c r="AH9" s="4" t="str">
        <f>HYPERLINK("http://exon.niaid.nih.gov/transcriptome/O_coriaceus/Sup2/links/NR/OC-3-NR.txt","salivary lipocalin")</f>
        <v>salivary lipocalin</v>
      </c>
      <c r="AI9" t="str">
        <f>HYPERLINK("http://www.ncbi.nlm.nih.gov/sutils/blink.cgi?pid=149287038","2E-015")</f>
        <v>2E-015</v>
      </c>
      <c r="AJ9" t="s">
        <v>229</v>
      </c>
      <c r="AK9">
        <v>34</v>
      </c>
      <c r="AL9">
        <v>98</v>
      </c>
      <c r="AM9">
        <v>8</v>
      </c>
      <c r="AN9" t="s">
        <v>230</v>
      </c>
      <c r="AO9">
        <v>8</v>
      </c>
      <c r="AP9">
        <v>3</v>
      </c>
      <c r="AQ9">
        <v>1</v>
      </c>
      <c r="AR9" s="4" t="s">
        <v>196</v>
      </c>
      <c r="AS9" t="s">
        <v>196</v>
      </c>
      <c r="AT9" t="s">
        <v>196</v>
      </c>
      <c r="AU9" t="s">
        <v>196</v>
      </c>
      <c r="AV9" t="s">
        <v>196</v>
      </c>
      <c r="AW9" t="s">
        <v>196</v>
      </c>
      <c r="AX9" t="s">
        <v>196</v>
      </c>
      <c r="AY9" s="4" t="s">
        <v>196</v>
      </c>
      <c r="AZ9" t="s">
        <v>196</v>
      </c>
      <c r="BA9" t="s">
        <v>196</v>
      </c>
      <c r="BB9" s="4" t="str">
        <f>HYPERLINK("http://exon.niaid.nih.gov/transcriptome/O_coriaceus/Sup2/links/CDD/OC-3-CDD.txt","His_binding")</f>
        <v>His_binding</v>
      </c>
      <c r="BC9" t="str">
        <f>HYPERLINK("http://www.ncbi.nlm.nih.gov/Structure/cdd/cddsrv.cgi?uid=pfam02098&amp;version=v4.0","1E-006")</f>
        <v>1E-006</v>
      </c>
      <c r="BD9" t="s">
        <v>367</v>
      </c>
      <c r="BE9" s="4" t="str">
        <f>HYPERLINK("http://exon.niaid.nih.gov/transcriptome/O_coriaceus/Sup2/links/PFAM/OC-3-PFAM.txt","His_binding")</f>
        <v>His_binding</v>
      </c>
      <c r="BF9" t="str">
        <f>HYPERLINK("http://pfam.janelia.org/cgi-bin/getdesc?acc=PF02098","4E-007")</f>
        <v>4E-007</v>
      </c>
      <c r="BG9" s="4" t="str">
        <f>HYPERLINK("http://exon.niaid.nih.gov/transcriptome/O_coriaceus/Sup2/links/SMART/OC-3-SMART.txt","SEC63")</f>
        <v>SEC63</v>
      </c>
      <c r="BH9" t="str">
        <f>HYPERLINK("http://smart.embl-heidelberg.de/smart/do_annotation.pl?DOMAIN=SEC63&amp;BLAST=DUMMY","0.20")</f>
        <v>0.20</v>
      </c>
      <c r="BI9" s="2">
        <f>HYPERLINK("http://exon.niaid.nih.gov/transcriptome/O_coriaceus/Sup2/links/cluster/o-cori-COMP35-50-Sim-CLU1.txt",1)</f>
        <v>1</v>
      </c>
      <c r="BJ9" s="1">
        <f>HYPERLINK("http://exon.niaid.nih.gov/transcriptome/O_coriaceus/Sup2/links/cluster/o-cori-COMP35-50-Sim-CLTL1.txt",6)</f>
        <v>6</v>
      </c>
      <c r="BK9" s="2">
        <f>HYPERLINK("http://exon.niaid.nih.gov/transcriptome/O_coriaceus/Sup2/links/cluster/o-cori-COMP45-50-Sim-CLU2.txt",2)</f>
        <v>2</v>
      </c>
      <c r="BL9" s="1">
        <f>HYPERLINK("http://exon.niaid.nih.gov/transcriptome/O_coriaceus/Sup2/links/cluster/o-cori-COMP45-50-Sim-CLTL2.txt",5)</f>
        <v>5</v>
      </c>
      <c r="BM9" s="2">
        <f>HYPERLINK("http://exon.niaid.nih.gov/transcriptome/O_coriaceus/Sup2/links/cluster/o-cori-COMP55-50-Sim-CLU2.txt",2)</f>
        <v>2</v>
      </c>
      <c r="BN9" s="1">
        <f>HYPERLINK("http://exon.niaid.nih.gov/transcriptome/O_coriaceus/Sup2/links/cluster/o-cori-COMP55-50-Sim-CLTL2.txt",5)</f>
        <v>5</v>
      </c>
      <c r="BO9" s="2">
        <f>HYPERLINK("http://exon.niaid.nih.gov/transcriptome/O_coriaceus/Sup2/links/cluster/o-cori-COMP65-50-Sim-CLU8.txt",8)</f>
        <v>8</v>
      </c>
      <c r="BP9" s="1">
        <f>HYPERLINK("http://exon.niaid.nih.gov/transcriptome/O_coriaceus/Sup2/links/cluster/o-cori-COMP65-50-Sim-CLTL8.txt",2)</f>
        <v>2</v>
      </c>
      <c r="BQ9" s="2">
        <f>HYPERLINK("http://exon.niaid.nih.gov/transcriptome/O_coriaceus/Sup2/links/cluster/o-cori-COMP75-50-Sim-CLU5.txt",5)</f>
        <v>5</v>
      </c>
      <c r="BR9" s="1">
        <f>HYPERLINK("http://exon.niaid.nih.gov/transcriptome/O_coriaceus/Sup2/links/cluster/o-cori-COMP75-50-Sim-CLTL5.txt",2)</f>
        <v>2</v>
      </c>
      <c r="BS9" s="2">
        <f>HYPERLINK("http://exon.niaid.nih.gov/transcriptome/O_coriaceus/Sup2/links/cluster/o-cori-COMP85-50-Sim-CLU2.txt",2)</f>
        <v>2</v>
      </c>
      <c r="BT9" s="1">
        <f>HYPERLINK("http://exon.niaid.nih.gov/transcriptome/O_coriaceus/Sup2/links/cluster/o-cori-COMP85-50-Sim-CLTL2.txt",2)</f>
        <v>2</v>
      </c>
      <c r="BU9" s="2">
        <v>39</v>
      </c>
      <c r="BV9" s="1">
        <v>1</v>
      </c>
    </row>
    <row r="10" spans="1:74" ht="10.5">
      <c r="A10" t="str">
        <f>HYPERLINK("http://exon.niaid.nih.gov/transcriptome/O_coriaceus/Sup2/links/pep/OC-62-pep.txt","OC-62")</f>
        <v>OC-62</v>
      </c>
      <c r="B10" s="1" t="s">
        <v>114</v>
      </c>
      <c r="C10">
        <v>185</v>
      </c>
      <c r="D10" t="s">
        <v>115</v>
      </c>
      <c r="E10" t="str">
        <f>HYPERLINK("http://exon.niaid.nih.gov/transcriptome/O_coriaceus/Sup2/links/nuc/OC-62-nuc.txt","OC-62")</f>
        <v>OC-62</v>
      </c>
      <c r="F10" s="1" t="s">
        <v>195</v>
      </c>
      <c r="G10" s="1" t="s">
        <v>194</v>
      </c>
      <c r="H10" s="5" t="str">
        <f>HYPERLINK("http://exon.niaid.nih.gov/transcriptome/O_coriaceus/Sup2/links/Sigp/OC-62-SigP.txt","SIG")</f>
        <v>SIG</v>
      </c>
      <c r="I10" t="s">
        <v>540</v>
      </c>
      <c r="J10" s="1">
        <v>20.05</v>
      </c>
      <c r="K10" s="1">
        <v>4.56</v>
      </c>
      <c r="L10" s="1">
        <v>17.92</v>
      </c>
      <c r="M10" s="1">
        <v>4.61</v>
      </c>
      <c r="N10" s="19" t="s">
        <v>10</v>
      </c>
      <c r="O10" s="5" t="str">
        <f>HYPERLINK("http://exon.niaid.nih.gov/transcriptome/O_coriaceus/Sup2/links/netoglyc/OC-62-netoglyc.txt","0")</f>
        <v>0</v>
      </c>
      <c r="P10" s="1">
        <v>14.6</v>
      </c>
      <c r="Q10" s="1">
        <v>5.4</v>
      </c>
      <c r="R10" s="1">
        <v>2.2</v>
      </c>
      <c r="S10" s="27" t="s">
        <v>196</v>
      </c>
      <c r="U10" s="4" t="str">
        <f>HYPERLINK("http://exon.niaid.nih.gov/transcriptome/O_coriaceus/Sup2/links/OCORI-EST/OC-62-OCORI-EST.txt","OCL_PLATE1_E04")</f>
        <v>OCL_PLATE1_E04</v>
      </c>
      <c r="V10" s="1">
        <v>0</v>
      </c>
      <c r="W10" s="5" t="str">
        <f>HYPERLINK("http://exon.niaid.nih.gov/transcriptome/O_coriaceus/Sup2/links/OCORI-EST/OC-62-OCORI-EST.txt"," 5")</f>
        <v> 5</v>
      </c>
      <c r="Y10" s="22" t="s">
        <v>196</v>
      </c>
      <c r="AC10" s="22" t="str">
        <f>HYPERLINK("http://exon.niaid.nih.gov/transcriptome/O_coriaceus/Sup2/links/OC-1D/OC-62-OC-1D.txt","P20_26 |P21_17 |P21_18 |P21_19 |P21_20 |P22_32 |P22_33 |P22_34 |P22_35 |P22_36 |P23_111 |S21_20 |S21_21 |S22_6 |S22_7 |S22_8 |S22_9 |S23_43 |S23_44 |S23_45 |S23_46 |S24_53 |S24_54 |S25_70 |S26_39 ")</f>
        <v>P20_26 |P21_17 |P21_18 |P21_19 |P21_20 |P22_32 |P22_33 |P22_34 |P22_35 |P22_36 |P23_111 |S21_20 |S21_21 |S22_6 |S22_7 |S22_8 |S22_9 |S23_43 |S23_44 |S23_45 |S23_46 |S24_53 |S24_54 |S25_70 |S26_39 </v>
      </c>
      <c r="AD10" s="27" t="s">
        <v>577</v>
      </c>
      <c r="AE10" s="1">
        <v>5</v>
      </c>
      <c r="AF10" s="1">
        <v>55</v>
      </c>
      <c r="AG10" s="26">
        <f t="shared" si="0"/>
        <v>29.72972972972973</v>
      </c>
      <c r="AH10" s="4" t="str">
        <f>HYPERLINK("http://exon.niaid.nih.gov/transcriptome/O_coriaceus/Sup2/links/NR/OC-62-NR.txt","salivary lipocalin")</f>
        <v>salivary lipocalin</v>
      </c>
      <c r="AI10" t="str">
        <f>HYPERLINK("http://www.ncbi.nlm.nih.gov/sutils/blink.cgi?pid=149287038","2E-008")</f>
        <v>2E-008</v>
      </c>
      <c r="AJ10" t="s">
        <v>229</v>
      </c>
      <c r="AK10">
        <v>28</v>
      </c>
      <c r="AL10">
        <v>86</v>
      </c>
      <c r="AM10">
        <v>28</v>
      </c>
      <c r="AN10" t="s">
        <v>230</v>
      </c>
      <c r="AO10">
        <v>28</v>
      </c>
      <c r="AP10">
        <v>32</v>
      </c>
      <c r="AQ10">
        <v>1</v>
      </c>
      <c r="AR10" s="4" t="s">
        <v>196</v>
      </c>
      <c r="AS10" t="s">
        <v>196</v>
      </c>
      <c r="AT10" t="s">
        <v>196</v>
      </c>
      <c r="AU10" t="s">
        <v>196</v>
      </c>
      <c r="AV10" t="s">
        <v>196</v>
      </c>
      <c r="AW10" t="s">
        <v>196</v>
      </c>
      <c r="AX10" t="s">
        <v>196</v>
      </c>
      <c r="AY10" s="4" t="str">
        <f>HYPERLINK("http://exon.niaid.nih.gov/transcriptome/O_coriaceus/Sup2/links/KOG/OC-62-KOG.txt","Predicted acyltransferase")</f>
        <v>Predicted acyltransferase</v>
      </c>
      <c r="AZ10" t="str">
        <f>HYPERLINK("http://www.ncbi.nlm.nih.gov/COG/grace/shokog.cgi?KOG4312","0.41")</f>
        <v>0.41</v>
      </c>
      <c r="BA10" t="s">
        <v>234</v>
      </c>
      <c r="BB10" s="4" t="str">
        <f>HYPERLINK("http://exon.niaid.nih.gov/transcriptome/O_coriaceus/Sup2/links/CDD/OC-62-CDD.txt","His_binding")</f>
        <v>His_binding</v>
      </c>
      <c r="BC10" t="str">
        <f>HYPERLINK("http://www.ncbi.nlm.nih.gov/Structure/cdd/cddsrv.cgi?uid=pfam02098&amp;version=v4.0","0.095")</f>
        <v>0.095</v>
      </c>
      <c r="BD10" t="s">
        <v>483</v>
      </c>
      <c r="BE10" s="4" t="str">
        <f>HYPERLINK("http://exon.niaid.nih.gov/transcriptome/O_coriaceus/Sup2/links/PFAM/OC-62-PFAM.txt","His_binding")</f>
        <v>His_binding</v>
      </c>
      <c r="BF10" t="str">
        <f>HYPERLINK("http://pfam.janelia.org/cgi-bin/getdesc?acc=PF02098","0.027")</f>
        <v>0.027</v>
      </c>
      <c r="BG10" s="4" t="str">
        <f>HYPERLINK("http://exon.niaid.nih.gov/transcriptome/O_coriaceus/Sup2/links/SMART/OC-62-SMART.txt","PP2C_SIG")</f>
        <v>PP2C_SIG</v>
      </c>
      <c r="BH10" t="str">
        <f>HYPERLINK("http://smart.embl-heidelberg.de/smart/do_annotation.pl?DOMAIN=PP2C_SIG&amp;BLAST=DUMMY","0.12")</f>
        <v>0.12</v>
      </c>
      <c r="BI10" s="2">
        <f>HYPERLINK("http://exon.niaid.nih.gov/transcriptome/O_coriaceus/Sup2/links/cluster/o-cori-COMP35-50-Sim-CLU1.txt",1)</f>
        <v>1</v>
      </c>
      <c r="BJ10" s="1">
        <f>HYPERLINK("http://exon.niaid.nih.gov/transcriptome/O_coriaceus/Sup2/links/cluster/o-cori-COMP35-50-Sim-CLTL1.txt",6)</f>
        <v>6</v>
      </c>
      <c r="BK10" s="2">
        <v>63</v>
      </c>
      <c r="BL10" s="1">
        <v>1</v>
      </c>
      <c r="BM10" s="2">
        <v>63</v>
      </c>
      <c r="BN10" s="1">
        <v>1</v>
      </c>
      <c r="BO10" s="2">
        <v>67</v>
      </c>
      <c r="BP10" s="1">
        <v>1</v>
      </c>
      <c r="BQ10" s="2">
        <v>72</v>
      </c>
      <c r="BR10" s="1">
        <v>1</v>
      </c>
      <c r="BS10" s="2">
        <v>75</v>
      </c>
      <c r="BT10" s="1">
        <v>1</v>
      </c>
      <c r="BU10" s="2">
        <v>82</v>
      </c>
      <c r="BV10" s="1">
        <v>1</v>
      </c>
    </row>
    <row r="11" spans="1:74" ht="10.5">
      <c r="A11" t="str">
        <f>HYPERLINK("http://exon.niaid.nih.gov/transcriptome/O_coriaceus/Sup2/links/pep/OC-80-pep.txt","OC-80")</f>
        <v>OC-80</v>
      </c>
      <c r="B11" s="1" t="s">
        <v>114</v>
      </c>
      <c r="C11">
        <v>189</v>
      </c>
      <c r="D11" t="s">
        <v>115</v>
      </c>
      <c r="E11" t="str">
        <f>HYPERLINK("http://exon.niaid.nih.gov/transcriptome/O_coriaceus/Sup2/links/nuc/OC-80-nuc.txt","OC-80")</f>
        <v>OC-80</v>
      </c>
      <c r="F11" s="1" t="s">
        <v>195</v>
      </c>
      <c r="G11" s="1" t="s">
        <v>194</v>
      </c>
      <c r="H11" s="5" t="str">
        <f>HYPERLINK("http://exon.niaid.nih.gov/transcriptome/O_coriaceus/Sup2/links/Sigp/OC-80-SigP.txt","SIG")</f>
        <v>SIG</v>
      </c>
      <c r="I11" t="s">
        <v>549</v>
      </c>
      <c r="J11" s="1">
        <v>20.769</v>
      </c>
      <c r="K11" s="1">
        <v>5.91</v>
      </c>
      <c r="L11" s="1">
        <v>18.386</v>
      </c>
      <c r="M11" s="1">
        <v>5.93</v>
      </c>
      <c r="N11" s="19" t="s">
        <v>11</v>
      </c>
      <c r="O11" s="5" t="str">
        <f>HYPERLINK("http://exon.niaid.nih.gov/transcriptome/O_coriaceus/Sup2/links/netoglyc/OC-80-netoglyc.txt","0")</f>
        <v>0</v>
      </c>
      <c r="P11" s="1">
        <v>16.4</v>
      </c>
      <c r="Q11" s="1">
        <v>7.9</v>
      </c>
      <c r="R11" s="1">
        <v>5.3</v>
      </c>
      <c r="S11" s="27" t="s">
        <v>196</v>
      </c>
      <c r="U11" s="4" t="str">
        <f>HYPERLINK("http://exon.niaid.nih.gov/transcriptome/O_coriaceus/Sup2/links/OCORI-EST/OC-80-OCORI-EST.txt","OCL-P12_F07")</f>
        <v>OCL-P12_F07</v>
      </c>
      <c r="V11" s="1">
        <v>0</v>
      </c>
      <c r="W11" s="5" t="str">
        <f>HYPERLINK("http://exon.niaid.nih.gov/transcriptome/O_coriaceus/Sup2/links/OCORI-EST/OC-80-OCORI-EST.txt"," 3")</f>
        <v> 3</v>
      </c>
      <c r="Y11" s="22" t="s">
        <v>196</v>
      </c>
      <c r="AC11" s="22" t="str">
        <f>HYPERLINK("http://exon.niaid.nih.gov/transcriptome/O_coriaceus/Sup2/links/OC-1D/OC-80-OC-1D.txt","S16_15 |S16_16 |S17_17 |S17_18 |S18_16 |S18_17 |S19_55 |S24_62 |")</f>
        <v>S16_15 |S16_16 |S17_17 |S17_18 |S18_16 |S18_17 |S19_55 |S24_62 |</v>
      </c>
      <c r="AD11" s="27" t="s">
        <v>578</v>
      </c>
      <c r="AE11" s="1">
        <v>2</v>
      </c>
      <c r="AF11" s="1">
        <v>18</v>
      </c>
      <c r="AG11" s="26">
        <f t="shared" si="0"/>
        <v>9.523809523809524</v>
      </c>
      <c r="AH11" s="4" t="str">
        <f>HYPERLINK("http://exon.niaid.nih.gov/transcriptome/O_coriaceus/Sup2/links/NR/OC-80-NR.txt","salivary lipocalin")</f>
        <v>salivary lipocalin</v>
      </c>
      <c r="AI11" t="str">
        <f>HYPERLINK("http://www.ncbi.nlm.nih.gov/sutils/blink.cgi?pid=149287076","6E-021")</f>
        <v>6E-021</v>
      </c>
      <c r="AJ11" t="s">
        <v>511</v>
      </c>
      <c r="AK11">
        <v>33</v>
      </c>
      <c r="AL11">
        <v>99</v>
      </c>
      <c r="AM11">
        <v>2</v>
      </c>
      <c r="AN11" t="s">
        <v>230</v>
      </c>
      <c r="AO11">
        <v>2</v>
      </c>
      <c r="AP11">
        <v>7</v>
      </c>
      <c r="AQ11">
        <v>1</v>
      </c>
      <c r="AR11" s="4" t="s">
        <v>196</v>
      </c>
      <c r="AS11" t="s">
        <v>196</v>
      </c>
      <c r="AT11" t="s">
        <v>196</v>
      </c>
      <c r="AU11" t="s">
        <v>196</v>
      </c>
      <c r="AV11" t="s">
        <v>196</v>
      </c>
      <c r="AW11" t="s">
        <v>196</v>
      </c>
      <c r="AX11" t="s">
        <v>196</v>
      </c>
      <c r="AY11" s="4" t="str">
        <f>HYPERLINK("http://exon.niaid.nih.gov/transcriptome/O_coriaceus/Sup2/links/KOG/OC-80-KOG.txt","cGMP-dependent protein kinase")</f>
        <v>cGMP-dependent protein kinase</v>
      </c>
      <c r="AZ11" t="str">
        <f>HYPERLINK("http://www.ncbi.nlm.nih.gov/COG/grace/shokog.cgi?KOG0614","0.14")</f>
        <v>0.14</v>
      </c>
      <c r="BA11" t="s">
        <v>378</v>
      </c>
      <c r="BB11" s="4" t="str">
        <f>HYPERLINK("http://exon.niaid.nih.gov/transcriptome/O_coriaceus/Sup2/links/CDD/OC-80-CDD.txt","His_binding")</f>
        <v>His_binding</v>
      </c>
      <c r="BC11" t="str">
        <f>HYPERLINK("http://www.ncbi.nlm.nih.gov/Structure/cdd/cddsrv.cgi?uid=pfam02098&amp;version=v4.0","0.002")</f>
        <v>0.002</v>
      </c>
      <c r="BD11" t="s">
        <v>512</v>
      </c>
      <c r="BE11" s="4" t="str">
        <f>HYPERLINK("http://exon.niaid.nih.gov/transcriptome/O_coriaceus/Sup2/links/PFAM/OC-80-PFAM.txt","His_binding")</f>
        <v>His_binding</v>
      </c>
      <c r="BF11" t="str">
        <f>HYPERLINK("http://pfam.janelia.org/cgi-bin/getdesc?acc=PF02098","6E-004")</f>
        <v>6E-004</v>
      </c>
      <c r="BG11" s="4" t="s">
        <v>196</v>
      </c>
      <c r="BH11" t="s">
        <v>196</v>
      </c>
      <c r="BI11" s="2">
        <v>69</v>
      </c>
      <c r="BJ11" s="1">
        <v>1</v>
      </c>
      <c r="BK11" s="2">
        <v>73</v>
      </c>
      <c r="BL11" s="1">
        <v>1</v>
      </c>
      <c r="BM11" s="2">
        <v>73</v>
      </c>
      <c r="BN11" s="1">
        <v>1</v>
      </c>
      <c r="BO11" s="2">
        <v>78</v>
      </c>
      <c r="BP11" s="1">
        <v>1</v>
      </c>
      <c r="BQ11" s="2">
        <v>83</v>
      </c>
      <c r="BR11" s="1">
        <v>1</v>
      </c>
      <c r="BS11" s="2">
        <v>87</v>
      </c>
      <c r="BT11" s="1">
        <v>1</v>
      </c>
      <c r="BU11" s="2">
        <v>95</v>
      </c>
      <c r="BV11" s="1">
        <v>1</v>
      </c>
    </row>
    <row r="12" spans="1:74" ht="10.5">
      <c r="A12" t="str">
        <f>HYPERLINK("http://exon.niaid.nih.gov/transcriptome/O_coriaceus/Sup2/links/pep/OC-169-pep.txt","OC-169")</f>
        <v>OC-169</v>
      </c>
      <c r="B12" s="1" t="s">
        <v>114</v>
      </c>
      <c r="C12">
        <v>176</v>
      </c>
      <c r="D12" t="s">
        <v>116</v>
      </c>
      <c r="E12" t="str">
        <f>HYPERLINK("http://exon.niaid.nih.gov/transcriptome/O_coriaceus/Sup2/links/nuc/OC-169-nuc.txt","OC-169")</f>
        <v>OC-169</v>
      </c>
      <c r="F12" s="1" t="s">
        <v>195</v>
      </c>
      <c r="G12" s="1" t="s">
        <v>194</v>
      </c>
      <c r="H12" s="5" t="str">
        <f>HYPERLINK("http://exon.niaid.nih.gov/transcriptome/O_coriaceus/Sup2/links/Sigp/OC-169-SigP.txt","SIG")</f>
        <v>SIG</v>
      </c>
      <c r="I12" t="s">
        <v>540</v>
      </c>
      <c r="J12" s="1">
        <v>20.128</v>
      </c>
      <c r="K12" s="1">
        <v>8.04</v>
      </c>
      <c r="L12" s="1">
        <v>17.814</v>
      </c>
      <c r="M12" s="1">
        <v>8.17</v>
      </c>
      <c r="N12" s="19" t="s">
        <v>12</v>
      </c>
      <c r="O12" s="5" t="str">
        <f>HYPERLINK("http://exon.niaid.nih.gov/transcriptome/O_coriaceus/Sup2/links/netoglyc/OC-169-netoglyc.txt","2")</f>
        <v>2</v>
      </c>
      <c r="P12" s="1">
        <v>13.6</v>
      </c>
      <c r="Q12" s="1">
        <v>7.4</v>
      </c>
      <c r="R12" s="1">
        <v>5.1</v>
      </c>
      <c r="S12" s="27" t="s">
        <v>196</v>
      </c>
      <c r="U12" s="4" t="str">
        <f>HYPERLINK("http://exon.niaid.nih.gov/transcriptome/O_coriaceus/Sup2/links/OCORI-EST/OC-169-OCORI-EST.txt","OCL-P11_G06")</f>
        <v>OCL-P11_G06</v>
      </c>
      <c r="V12" s="1">
        <v>0</v>
      </c>
      <c r="W12" s="5" t="str">
        <f>HYPERLINK("http://exon.niaid.nih.gov/transcriptome/O_coriaceus/Sup2/links/OCORI-EST/OC-169-OCORI-EST.txt"," 1")</f>
        <v> 1</v>
      </c>
      <c r="Y12" s="22" t="s">
        <v>196</v>
      </c>
      <c r="AC12" s="22" t="str">
        <f>HYPERLINK("http://exon.niaid.nih.gov/transcriptome/O_coriaceus/Sup2/links/OC-1D/OC-169-OC-1D.txt","P23_8 |P23_9 |P23_10 |P23_11 |P23_12 |P23_13 |P24_49 |P24_50 |P25_67 |P25_68 |P28_58 |S22_53 |S22_54 |S23_28 |S23_29 |S23_30 |S23_31 |S23_32 |S23_33 |S23_34 |S24_46 |S24_47 |S24_48 |S24_49 |S25_37 ")</f>
        <v>P23_8 |P23_9 |P23_10 |P23_11 |P23_12 |P23_13 |P24_49 |P24_50 |P25_67 |P25_68 |P28_58 |S22_53 |S22_54 |S23_28 |S23_29 |S23_30 |S23_31 |S23_32 |S23_33 |S23_34 |S24_46 |S24_47 |S24_48 |S24_49 |S25_37 </v>
      </c>
      <c r="AD12" s="27" t="s">
        <v>579</v>
      </c>
      <c r="AE12" s="1">
        <v>7</v>
      </c>
      <c r="AF12" s="1">
        <v>94</v>
      </c>
      <c r="AG12" s="26">
        <f t="shared" si="0"/>
        <v>53.40909090909091</v>
      </c>
      <c r="AH12" s="4" t="str">
        <f>HYPERLINK("http://exon.niaid.nih.gov/transcriptome/O_coriaceus/Sup2/links/NR/OC-169-NR.txt","moubatin-like 5")</f>
        <v>moubatin-like 5</v>
      </c>
      <c r="AI12" t="str">
        <f>HYPERLINK("http://www.ncbi.nlm.nih.gov/sutils/blink.cgi?pid=149287116","3E-015")</f>
        <v>3E-015</v>
      </c>
      <c r="AJ12" t="s">
        <v>231</v>
      </c>
      <c r="AK12">
        <v>35</v>
      </c>
      <c r="AL12">
        <v>101</v>
      </c>
      <c r="AM12">
        <v>1</v>
      </c>
      <c r="AN12" t="s">
        <v>230</v>
      </c>
      <c r="AO12">
        <v>1</v>
      </c>
      <c r="AP12">
        <v>1</v>
      </c>
      <c r="AQ12">
        <v>1</v>
      </c>
      <c r="AR12" s="4" t="s">
        <v>196</v>
      </c>
      <c r="AS12" t="s">
        <v>196</v>
      </c>
      <c r="AT12" t="s">
        <v>196</v>
      </c>
      <c r="AU12" t="s">
        <v>196</v>
      </c>
      <c r="AV12" t="s">
        <v>196</v>
      </c>
      <c r="AW12" t="s">
        <v>196</v>
      </c>
      <c r="AX12" t="s">
        <v>196</v>
      </c>
      <c r="AY12" s="4" t="s">
        <v>196</v>
      </c>
      <c r="AZ12" t="s">
        <v>196</v>
      </c>
      <c r="BA12" t="s">
        <v>196</v>
      </c>
      <c r="BB12" s="4" t="str">
        <f>HYPERLINK("http://exon.niaid.nih.gov/transcriptome/O_coriaceus/Sup2/links/CDD/OC-169-CDD.txt","His_binding")</f>
        <v>His_binding</v>
      </c>
      <c r="BC12" t="str">
        <f>HYPERLINK("http://www.ncbi.nlm.nih.gov/Structure/cdd/cddsrv.cgi?uid=pfam02098&amp;version=v4.0","7E-004")</f>
        <v>7E-004</v>
      </c>
      <c r="BD12" t="s">
        <v>232</v>
      </c>
      <c r="BE12" s="4" t="str">
        <f>HYPERLINK("http://exon.niaid.nih.gov/transcriptome/O_coriaceus/Sup2/links/PFAM/OC-169-PFAM.txt","His_binding")</f>
        <v>His_binding</v>
      </c>
      <c r="BF12" t="str">
        <f>HYPERLINK("http://pfam.janelia.org/cgi-bin/getdesc?acc=PF02098","2E-004")</f>
        <v>2E-004</v>
      </c>
      <c r="BG12" s="4" t="s">
        <v>196</v>
      </c>
      <c r="BH12" t="s">
        <v>196</v>
      </c>
      <c r="BI12" s="2">
        <v>13</v>
      </c>
      <c r="BJ12" s="1">
        <v>1</v>
      </c>
      <c r="BK12" s="2">
        <v>13</v>
      </c>
      <c r="BL12" s="1">
        <v>1</v>
      </c>
      <c r="BM12" s="2">
        <v>12</v>
      </c>
      <c r="BN12" s="1">
        <v>1</v>
      </c>
      <c r="BO12" s="2">
        <v>14</v>
      </c>
      <c r="BP12" s="1">
        <v>1</v>
      </c>
      <c r="BQ12" s="2">
        <v>10</v>
      </c>
      <c r="BR12" s="1">
        <v>1</v>
      </c>
      <c r="BS12" s="2">
        <v>10</v>
      </c>
      <c r="BT12" s="1">
        <v>1</v>
      </c>
      <c r="BU12" s="2">
        <v>3</v>
      </c>
      <c r="BV12" s="1">
        <v>1</v>
      </c>
    </row>
    <row r="13" spans="1:74" ht="10.5">
      <c r="A13" t="str">
        <f>HYPERLINK("http://exon.niaid.nih.gov/transcriptome/O_coriaceus/Sup2/links/pep/OC-677-pep.txt","OC-677")</f>
        <v>OC-677</v>
      </c>
      <c r="B13" s="1" t="s">
        <v>114</v>
      </c>
      <c r="C13">
        <v>206</v>
      </c>
      <c r="D13" t="s">
        <v>115</v>
      </c>
      <c r="E13" t="str">
        <f>HYPERLINK("http://exon.niaid.nih.gov/transcriptome/O_coriaceus/Sup2/links/nuc/OC-677-nuc.txt","OC-677")</f>
        <v>OC-677</v>
      </c>
      <c r="F13" s="1" t="s">
        <v>195</v>
      </c>
      <c r="G13" s="1" t="s">
        <v>194</v>
      </c>
      <c r="H13" s="5" t="str">
        <f>HYPERLINK("http://exon.niaid.nih.gov/transcriptome/O_coriaceus/Sup2/links/Sigp/OC-677-SigP.txt","SIG")</f>
        <v>SIG</v>
      </c>
      <c r="I13" t="s">
        <v>545</v>
      </c>
      <c r="J13" s="1">
        <v>23.345</v>
      </c>
      <c r="K13" s="1">
        <v>8.85</v>
      </c>
      <c r="L13" s="1">
        <v>21.373</v>
      </c>
      <c r="M13" s="1">
        <v>8.73</v>
      </c>
      <c r="N13" s="19" t="s">
        <v>13</v>
      </c>
      <c r="O13" s="5" t="str">
        <f>HYPERLINK("http://exon.niaid.nih.gov/transcriptome/O_coriaceus/Sup2/links/netoglyc/OC-677-netoglyc.txt","2")</f>
        <v>2</v>
      </c>
      <c r="P13" s="1">
        <v>14.1</v>
      </c>
      <c r="Q13" s="1">
        <v>4.9</v>
      </c>
      <c r="R13" s="1">
        <v>5.8</v>
      </c>
      <c r="S13" s="27" t="s">
        <v>196</v>
      </c>
      <c r="U13" s="4" t="str">
        <f>HYPERLINK("http://exon.niaid.nih.gov/transcriptome/O_coriaceus/Sup2/links/OCORI-EST/OC-677-OCORI-EST.txt","OCM-PLATE09_D12")</f>
        <v>OCM-PLATE09_D12</v>
      </c>
      <c r="V13" s="1">
        <v>0</v>
      </c>
      <c r="W13" s="5" t="str">
        <f>HYPERLINK("http://exon.niaid.nih.gov/transcriptome/O_coriaceus/Sup2/links/OCORI-EST/OC-677-OCORI-EST.txt"," 1")</f>
        <v> 1</v>
      </c>
      <c r="Y13" s="22" t="s">
        <v>196</v>
      </c>
      <c r="AC13" s="22" t="str">
        <f>HYPERLINK("http://exon.niaid.nih.gov/transcriptome/O_coriaceus/Sup2/links/OC-1D/OC-677-OC-1D.txt","P19_101 |S18_55 |S19_56 |S20_49 |S21_29 |")</f>
        <v>P19_101 |S18_55 |S19_56 |S20_49 |S21_29 |</v>
      </c>
      <c r="AE13" s="1" t="s">
        <v>196</v>
      </c>
      <c r="AG13" s="26" t="s">
        <v>196</v>
      </c>
      <c r="AH13" s="4" t="str">
        <f>HYPERLINK("http://exon.niaid.nih.gov/transcriptome/O_coriaceus/Sup2/links/NR/OC-677-NR.txt","truncated salivary lipocalin")</f>
        <v>truncated salivary lipocalin</v>
      </c>
      <c r="AI13" t="str">
        <f>HYPERLINK("http://www.ncbi.nlm.nih.gov/sutils/blink.cgi?pid=149286990","1E-032")</f>
        <v>1E-032</v>
      </c>
      <c r="AJ13" t="s">
        <v>491</v>
      </c>
      <c r="AK13">
        <v>46</v>
      </c>
      <c r="AL13">
        <v>94</v>
      </c>
      <c r="AM13">
        <v>13</v>
      </c>
      <c r="AN13" t="s">
        <v>230</v>
      </c>
      <c r="AO13">
        <v>13</v>
      </c>
      <c r="AP13">
        <v>29</v>
      </c>
      <c r="AQ13">
        <v>1</v>
      </c>
      <c r="AR13" s="4" t="s">
        <v>196</v>
      </c>
      <c r="AS13" t="s">
        <v>196</v>
      </c>
      <c r="AT13" t="s">
        <v>196</v>
      </c>
      <c r="AU13" t="s">
        <v>196</v>
      </c>
      <c r="AV13" t="s">
        <v>196</v>
      </c>
      <c r="AW13" t="s">
        <v>196</v>
      </c>
      <c r="AX13" t="s">
        <v>196</v>
      </c>
      <c r="AY13" s="4" t="s">
        <v>196</v>
      </c>
      <c r="AZ13" t="s">
        <v>196</v>
      </c>
      <c r="BA13" t="s">
        <v>196</v>
      </c>
      <c r="BB13" s="4" t="str">
        <f>HYPERLINK("http://exon.niaid.nih.gov/transcriptome/O_coriaceus/Sup2/links/CDD/OC-677-CDD.txt","His_binding")</f>
        <v>His_binding</v>
      </c>
      <c r="BC13" t="str">
        <f>HYPERLINK("http://www.ncbi.nlm.nih.gov/Structure/cdd/cddsrv.cgi?uid=pfam02098&amp;version=v4.0","5E-015")</f>
        <v>5E-015</v>
      </c>
      <c r="BD13" t="s">
        <v>492</v>
      </c>
      <c r="BE13" s="4" t="str">
        <f>HYPERLINK("http://exon.niaid.nih.gov/transcriptome/O_coriaceus/Sup2/links/PFAM/OC-677-PFAM.txt","His_binding")</f>
        <v>His_binding</v>
      </c>
      <c r="BF13" t="str">
        <f>HYPERLINK("http://pfam.janelia.org/cgi-bin/getdesc?acc=PF02098","1E-015")</f>
        <v>1E-015</v>
      </c>
      <c r="BG13" s="4" t="s">
        <v>196</v>
      </c>
      <c r="BH13" t="s">
        <v>196</v>
      </c>
      <c r="BI13" s="2">
        <v>63</v>
      </c>
      <c r="BJ13" s="1">
        <v>1</v>
      </c>
      <c r="BK13" s="2">
        <v>67</v>
      </c>
      <c r="BL13" s="1">
        <v>1</v>
      </c>
      <c r="BM13" s="2">
        <v>67</v>
      </c>
      <c r="BN13" s="1">
        <v>1</v>
      </c>
      <c r="BO13" s="2">
        <v>71</v>
      </c>
      <c r="BP13" s="1">
        <v>1</v>
      </c>
      <c r="BQ13" s="2">
        <v>76</v>
      </c>
      <c r="BR13" s="1">
        <v>1</v>
      </c>
      <c r="BS13" s="2">
        <v>79</v>
      </c>
      <c r="BT13" s="1">
        <v>1</v>
      </c>
      <c r="BU13" s="2">
        <v>86</v>
      </c>
      <c r="BV13" s="1">
        <v>1</v>
      </c>
    </row>
    <row r="14" spans="1:74" ht="10.5">
      <c r="A14" t="str">
        <f>HYPERLINK("http://exon.niaid.nih.gov/transcriptome/O_coriaceus/Sup2/links/pep/OC-477-pep.txt","OC-477")</f>
        <v>OC-477</v>
      </c>
      <c r="B14" s="1" t="s">
        <v>114</v>
      </c>
      <c r="C14">
        <v>193</v>
      </c>
      <c r="D14" t="s">
        <v>164</v>
      </c>
      <c r="E14" t="str">
        <f>HYPERLINK("http://exon.niaid.nih.gov/transcriptome/O_coriaceus/Sup2/links/nuc/OC-477-nuc.txt","OC-477")</f>
        <v>OC-477</v>
      </c>
      <c r="F14" s="1" t="s">
        <v>195</v>
      </c>
      <c r="G14" s="1" t="s">
        <v>194</v>
      </c>
      <c r="H14" s="5" t="str">
        <f>HYPERLINK("http://exon.niaid.nih.gov/transcriptome/O_coriaceus/Sup2/links/Sigp/OC-477-SigP.txt","SIG")</f>
        <v>SIG</v>
      </c>
      <c r="I14" t="s">
        <v>545</v>
      </c>
      <c r="J14" s="1">
        <v>21.734</v>
      </c>
      <c r="K14" s="1">
        <v>9.14</v>
      </c>
      <c r="L14" s="1">
        <v>19.725</v>
      </c>
      <c r="M14" s="1">
        <v>9.22</v>
      </c>
      <c r="N14" s="19" t="s">
        <v>88</v>
      </c>
      <c r="O14" s="5" t="str">
        <f>HYPERLINK("http://exon.niaid.nih.gov/transcriptome/O_coriaceus/Sup2/links/netoglyc/OC-477-netoglyc.txt","0")</f>
        <v>0</v>
      </c>
      <c r="P14" s="1">
        <v>11.9</v>
      </c>
      <c r="Q14" s="1">
        <v>5.2</v>
      </c>
      <c r="R14" s="1">
        <v>4.1</v>
      </c>
      <c r="S14" s="27" t="s">
        <v>196</v>
      </c>
      <c r="U14" s="4" t="str">
        <f>HYPERLINK("http://exon.niaid.nih.gov/transcriptome/O_coriaceus/Sup2/links/OCORI-EST/OC-477-OCORI-EST.txt","OCL-PLATE04_E11")</f>
        <v>OCL-PLATE04_E11</v>
      </c>
      <c r="V14" s="1">
        <v>0</v>
      </c>
      <c r="W14" s="5" t="str">
        <f>HYPERLINK("http://exon.niaid.nih.gov/transcriptome/O_coriaceus/Sup2/links/OCORI-EST/OC-477-OCORI-EST.txt"," 1")</f>
        <v> 1</v>
      </c>
      <c r="Y14" s="22" t="s">
        <v>196</v>
      </c>
      <c r="AC14" s="22" t="str">
        <f>HYPERLINK("http://exon.niaid.nih.gov/transcriptome/O_coriaceus/Sup2/links/OC-1D/OC-477-OC-1D.txt","P21_13 |P21_14 |P21_15 |P21_16 |P22_64 |P22_65 |P23_112 |P24_64 |P25_95 |P27_29 |S22_16 |S22_17 |S22_18 |S22_19 |S22_20 |S22_21 |S22_22 |")</f>
        <v>P21_13 |P21_14 |P21_15 |P21_16 |P22_64 |P22_65 |P23_112 |P24_64 |P25_95 |P27_29 |S22_16 |S22_17 |S22_18 |S22_19 |S22_20 |S22_21 |S22_22 |</v>
      </c>
      <c r="AD14" s="27" t="s">
        <v>580</v>
      </c>
      <c r="AE14" s="1">
        <v>7</v>
      </c>
      <c r="AF14" s="1">
        <v>71</v>
      </c>
      <c r="AG14" s="26">
        <f>100*AF14/C14</f>
        <v>36.78756476683938</v>
      </c>
      <c r="AH14" s="4" t="str">
        <f>HYPERLINK("http://exon.niaid.nih.gov/transcriptome/O_coriaceus/Sup2/links/NR/OC-477-NR.txt","salivary lipocalin")</f>
        <v>salivary lipocalin</v>
      </c>
      <c r="AI14" t="str">
        <f>HYPERLINK("http://www.ncbi.nlm.nih.gov/sutils/blink.cgi?pid=149287008","5E-007")</f>
        <v>5E-007</v>
      </c>
      <c r="AJ14" t="s">
        <v>424</v>
      </c>
      <c r="AK14">
        <v>24</v>
      </c>
      <c r="AL14">
        <v>106</v>
      </c>
      <c r="AM14">
        <v>1</v>
      </c>
      <c r="AN14" t="s">
        <v>230</v>
      </c>
      <c r="AO14">
        <v>1</v>
      </c>
      <c r="AP14">
        <v>1</v>
      </c>
      <c r="AQ14">
        <v>1</v>
      </c>
      <c r="AR14" s="4" t="s">
        <v>196</v>
      </c>
      <c r="AS14" t="s">
        <v>196</v>
      </c>
      <c r="AT14" t="s">
        <v>196</v>
      </c>
      <c r="AU14" t="s">
        <v>196</v>
      </c>
      <c r="AV14" t="s">
        <v>196</v>
      </c>
      <c r="AW14" t="s">
        <v>196</v>
      </c>
      <c r="AX14" t="s">
        <v>196</v>
      </c>
      <c r="AY14" s="4" t="str">
        <f>HYPERLINK("http://exon.niaid.nih.gov/transcriptome/O_coriaceus/Sup2/links/KOG/OC-477-KOG.txt","Pyrazinamidase/nicotinamidase PNC1")</f>
        <v>Pyrazinamidase/nicotinamidase PNC1</v>
      </c>
      <c r="AZ14" t="str">
        <f>HYPERLINK("http://www.ncbi.nlm.nih.gov/COG/grace/shokog.cgi?KOG4003","0.24")</f>
        <v>0.24</v>
      </c>
      <c r="BA14" t="s">
        <v>425</v>
      </c>
      <c r="BB14" s="4" t="str">
        <f>HYPERLINK("http://exon.niaid.nih.gov/transcriptome/O_coriaceus/Sup2/links/CDD/OC-477-CDD.txt","His_binding")</f>
        <v>His_binding</v>
      </c>
      <c r="BC14" t="str">
        <f>HYPERLINK("http://www.ncbi.nlm.nih.gov/Structure/cdd/cddsrv.cgi?uid=pfam02098&amp;version=v4.0","3E-009")</f>
        <v>3E-009</v>
      </c>
      <c r="BD14" t="s">
        <v>426</v>
      </c>
      <c r="BE14" s="4" t="str">
        <f>HYPERLINK("http://exon.niaid.nih.gov/transcriptome/O_coriaceus/Sup2/links/PFAM/OC-477-PFAM.txt","His_binding")</f>
        <v>His_binding</v>
      </c>
      <c r="BF14" t="str">
        <f>HYPERLINK("http://pfam.janelia.org/cgi-bin/getdesc?acc=PF02098","9E-010")</f>
        <v>9E-010</v>
      </c>
      <c r="BG14" s="4" t="str">
        <f>HYPERLINK("http://exon.niaid.nih.gov/transcriptome/O_coriaceus/Sup2/links/SMART/OC-477-SMART.txt","Int_alpha")</f>
        <v>Int_alpha</v>
      </c>
      <c r="BH14" t="str">
        <f>HYPERLINK("http://smart.embl-heidelberg.de/smart/do_annotation.pl?DOMAIN=Int_alpha&amp;BLAST=DUMMY","0.18")</f>
        <v>0.18</v>
      </c>
      <c r="BI14" s="2">
        <v>49</v>
      </c>
      <c r="BJ14" s="1">
        <v>1</v>
      </c>
      <c r="BK14" s="2">
        <v>52</v>
      </c>
      <c r="BL14" s="1">
        <v>1</v>
      </c>
      <c r="BM14" s="2">
        <v>51</v>
      </c>
      <c r="BN14" s="1">
        <v>1</v>
      </c>
      <c r="BO14" s="2">
        <v>54</v>
      </c>
      <c r="BP14" s="1">
        <v>1</v>
      </c>
      <c r="BQ14" s="2">
        <v>54</v>
      </c>
      <c r="BR14" s="1">
        <v>1</v>
      </c>
      <c r="BS14" s="2">
        <v>57</v>
      </c>
      <c r="BT14" s="1">
        <v>1</v>
      </c>
      <c r="BU14" s="2">
        <v>61</v>
      </c>
      <c r="BV14" s="1">
        <v>1</v>
      </c>
    </row>
    <row r="15" spans="1:33" s="6" customFormat="1" ht="10.5">
      <c r="A15" s="12" t="s">
        <v>244</v>
      </c>
      <c r="H15" s="11"/>
      <c r="N15" s="18" t="s">
        <v>196</v>
      </c>
      <c r="O15" s="11"/>
      <c r="P15" s="11"/>
      <c r="Q15" s="11"/>
      <c r="R15" s="11"/>
      <c r="S15" s="18" t="s">
        <v>196</v>
      </c>
      <c r="W15" s="11"/>
      <c r="X15" s="18"/>
      <c r="Y15" s="21" t="s">
        <v>196</v>
      </c>
      <c r="Z15" s="18"/>
      <c r="AA15" s="11"/>
      <c r="AB15" s="11"/>
      <c r="AC15" s="21" t="s">
        <v>196</v>
      </c>
      <c r="AD15" s="18"/>
      <c r="AE15" s="11"/>
      <c r="AF15" s="11"/>
      <c r="AG15" s="25" t="s">
        <v>196</v>
      </c>
    </row>
    <row r="16" spans="1:74" ht="10.5">
      <c r="A16" t="str">
        <f>HYPERLINK("http://exon.niaid.nih.gov/transcriptome/O_coriaceus/Sup2/links/pep/OC-6-pep.txt","OC-6")</f>
        <v>OC-6</v>
      </c>
      <c r="B16" s="1" t="s">
        <v>114</v>
      </c>
      <c r="C16">
        <v>165</v>
      </c>
      <c r="D16" t="s">
        <v>115</v>
      </c>
      <c r="E16" t="str">
        <f>HYPERLINK("http://exon.niaid.nih.gov/transcriptome/O_coriaceus/Sup2/links/nuc/OC-6-nuc.txt","OC-6")</f>
        <v>OC-6</v>
      </c>
      <c r="F16" s="1" t="s">
        <v>195</v>
      </c>
      <c r="G16" s="1" t="s">
        <v>194</v>
      </c>
      <c r="H16" s="5" t="str">
        <f>HYPERLINK("http://exon.niaid.nih.gov/transcriptome/O_coriaceus/Sup2/links/Sigp/OC-6-SigP.txt","SIG")</f>
        <v>SIG</v>
      </c>
      <c r="I16" t="s">
        <v>540</v>
      </c>
      <c r="J16" s="1">
        <v>18.3</v>
      </c>
      <c r="K16" s="1">
        <v>8.47</v>
      </c>
      <c r="L16" s="1">
        <v>16.173</v>
      </c>
      <c r="M16" s="1">
        <v>7.76</v>
      </c>
      <c r="N16" s="19" t="s">
        <v>14</v>
      </c>
      <c r="O16" s="5" t="str">
        <f>HYPERLINK("http://exon.niaid.nih.gov/transcriptome/O_coriaceus/Sup2/links/netoglyc/OC-6-netoglyc.txt","0")</f>
        <v>0</v>
      </c>
      <c r="P16" s="1">
        <v>12.1</v>
      </c>
      <c r="Q16" s="1">
        <v>7.3</v>
      </c>
      <c r="R16" s="1">
        <v>5.5</v>
      </c>
      <c r="S16" s="27" t="s">
        <v>196</v>
      </c>
      <c r="U16" s="4" t="str">
        <f>HYPERLINK("http://exon.niaid.nih.gov/transcriptome/O_coriaceus/Sup2/links/OCORI-EST/OC-6-OCORI-EST.txt","OCL17.A03_070530151C")</f>
        <v>OCL17.A03_070530151C</v>
      </c>
      <c r="V16" s="1">
        <v>0</v>
      </c>
      <c r="W16" s="5" t="str">
        <f>HYPERLINK("http://exon.niaid.nih.gov/transcriptome/O_coriaceus/Sup2/links/OCORI-EST/OC-6-OCORI-EST.txt"," 25")</f>
        <v> 25</v>
      </c>
      <c r="Y16" s="22" t="str">
        <f>HYPERLINK("http://exon.niaid.nih.gov/transcriptome/O_coriaceus/Sup2/links/OC-2D/OC-6-OC-2D.txt","IF-24_1 |IF-30_1 |IF-30_2 |IF-30_3 |IF-30_4 |IF-30_5 |IF-30_6 |IF-30_7 |IF-30_8 |IF-30_9 |IF-30_10 |IF-30_11 |IF-30_12 |IF-30_13 |IF-30_15 |IF-30_16 |IF-30_19 |IF-31_1 |IF-31_2 |IF-31_3 |IF-31_4 |IF-31_5 |IF-31_6")</f>
        <v>IF-24_1 |IF-30_1 |IF-30_2 |IF-30_3 |IF-30_4 |IF-30_5 |IF-30_6 |IF-30_7 |IF-30_8 |IF-30_9 |IF-30_10 |IF-30_11 |IF-30_12 |IF-30_13 |IF-30_15 |IF-30_16 |IF-30_19 |IF-31_1 |IF-31_2 |IF-31_3 |IF-31_4 |IF-31_5 |IF-31_6</v>
      </c>
      <c r="Z16" s="27" t="s">
        <v>569</v>
      </c>
      <c r="AA16" s="1">
        <v>16</v>
      </c>
      <c r="AB16" s="1">
        <v>119</v>
      </c>
      <c r="AC16" s="22" t="str">
        <f>HYPERLINK("http://exon.niaid.nih.gov/transcriptome/O_coriaceus/Sup2/links/OC-1D/OC-6-OC-1D.txt","P22_120 |P23_48 |P23_108 |P24_15 |P24_16 |P24_17 |P24_18 |P24_19 |P24_20 |P24_26 |P25_3 |P25_4 |P25_5 |P25_6 |P25_7 |P25_8 |P25_9 |P25_14 |P26_17 |P26_18 |P26_19 |P26_75 |P27_62 |P27_63 |P30_3 ")</f>
        <v>P22_120 |P23_48 |P23_108 |P24_15 |P24_16 |P24_17 |P24_18 |P24_19 |P24_20 |P24_26 |P25_3 |P25_4 |P25_5 |P25_6 |P25_7 |P25_8 |P25_9 |P25_14 |P26_17 |P26_18 |P26_19 |P26_75 |P27_62 |P27_63 |P30_3 </v>
      </c>
      <c r="AD16" s="27" t="s">
        <v>581</v>
      </c>
      <c r="AE16" s="1">
        <v>13</v>
      </c>
      <c r="AF16" s="1">
        <v>164</v>
      </c>
      <c r="AG16" s="26">
        <f aca="true" t="shared" si="1" ref="AG16:AG21">100*AF16/C16</f>
        <v>99.39393939393939</v>
      </c>
      <c r="AH16" s="4" t="str">
        <f>HYPERLINK("http://exon.niaid.nih.gov/transcriptome/O_coriaceus/Sup2/links/NR/OC-6-NR.txt","salivary lipocalin")</f>
        <v>salivary lipocalin</v>
      </c>
      <c r="AI16" t="str">
        <f>HYPERLINK("http://www.ncbi.nlm.nih.gov/sutils/blink.cgi?pid=149286972","1E-019")</f>
        <v>1E-019</v>
      </c>
      <c r="AJ16" t="s">
        <v>366</v>
      </c>
      <c r="AK16">
        <v>33</v>
      </c>
      <c r="AL16">
        <v>94</v>
      </c>
      <c r="AM16">
        <v>10</v>
      </c>
      <c r="AN16" t="s">
        <v>230</v>
      </c>
      <c r="AO16">
        <v>10</v>
      </c>
      <c r="AP16">
        <v>8</v>
      </c>
      <c r="AQ16">
        <v>1</v>
      </c>
      <c r="AR16" s="4" t="s">
        <v>196</v>
      </c>
      <c r="AS16" t="s">
        <v>196</v>
      </c>
      <c r="AT16" t="s">
        <v>196</v>
      </c>
      <c r="AU16" t="s">
        <v>196</v>
      </c>
      <c r="AV16" t="s">
        <v>196</v>
      </c>
      <c r="AW16" t="s">
        <v>196</v>
      </c>
      <c r="AX16" t="s">
        <v>196</v>
      </c>
      <c r="AY16" s="4" t="s">
        <v>196</v>
      </c>
      <c r="AZ16" t="s">
        <v>196</v>
      </c>
      <c r="BA16" t="s">
        <v>196</v>
      </c>
      <c r="BB16" s="4" t="str">
        <f>HYPERLINK("http://exon.niaid.nih.gov/transcriptome/O_coriaceus/Sup2/links/CDD/OC-6-CDD.txt","AMP-binding")</f>
        <v>AMP-binding</v>
      </c>
      <c r="BC16" t="str">
        <f>HYPERLINK("http://www.ncbi.nlm.nih.gov/Structure/cdd/cddsrv.cgi?uid=pfam00501&amp;version=v4.0","0.003")</f>
        <v>0.003</v>
      </c>
      <c r="BD16" t="s">
        <v>476</v>
      </c>
      <c r="BE16" s="4" t="str">
        <f>HYPERLINK("http://exon.niaid.nih.gov/transcriptome/O_coriaceus/Sup2/links/PFAM/OC-6-PFAM.txt","AMP-binding")</f>
        <v>AMP-binding</v>
      </c>
      <c r="BF16" t="str">
        <f>HYPERLINK("http://pfam.janelia.org/cgi-bin/getdesc?acc=PF00501","8E-004")</f>
        <v>8E-004</v>
      </c>
      <c r="BG16" s="4" t="str">
        <f>HYPERLINK("http://exon.niaid.nih.gov/transcriptome/O_coriaceus/Sup2/links/SMART/OC-6-SMART.txt","PLCXc")</f>
        <v>PLCXc</v>
      </c>
      <c r="BH16" t="str">
        <f>HYPERLINK("http://smart.embl-heidelberg.de/smart/do_annotation.pl?DOMAIN=PLCXc&amp;BLAST=DUMMY","0.004")</f>
        <v>0.004</v>
      </c>
      <c r="BI16" s="2">
        <f aca="true" t="shared" si="2" ref="BI16:BI21">HYPERLINK("http://exon.niaid.nih.gov/transcriptome/O_coriaceus/Sup2/links/cluster/o-cori-COMP35-50-Sim-CLU3.txt",3)</f>
        <v>3</v>
      </c>
      <c r="BJ16" s="1">
        <f aca="true" t="shared" si="3" ref="BJ16:BJ21">HYPERLINK("http://exon.niaid.nih.gov/transcriptome/O_coriaceus/Sup2/links/cluster/o-cori-COMP35-50-Sim-CLTL3.txt",6)</f>
        <v>6</v>
      </c>
      <c r="BK16" s="2">
        <f aca="true" t="shared" si="4" ref="BK16:BK21">HYPERLINK("http://exon.niaid.nih.gov/transcriptome/O_coriaceus/Sup2/links/cluster/o-cori-COMP45-50-Sim-CLU1.txt",1)</f>
        <v>1</v>
      </c>
      <c r="BL16" s="1">
        <f aca="true" t="shared" si="5" ref="BL16:BL21">HYPERLINK("http://exon.niaid.nih.gov/transcriptome/O_coriaceus/Sup2/links/cluster/o-cori-COMP45-50-Sim-CLTL1.txt",6)</f>
        <v>6</v>
      </c>
      <c r="BM16" s="2">
        <f aca="true" t="shared" si="6" ref="BM16:BM21">HYPERLINK("http://exon.niaid.nih.gov/transcriptome/O_coriaceus/Sup2/links/cluster/o-cori-COMP55-50-Sim-CLU1.txt",1)</f>
        <v>1</v>
      </c>
      <c r="BN16" s="1">
        <f aca="true" t="shared" si="7" ref="BN16:BN21">HYPERLINK("http://exon.niaid.nih.gov/transcriptome/O_coriaceus/Sup2/links/cluster/o-cori-COMP55-50-Sim-CLTL1.txt",6)</f>
        <v>6</v>
      </c>
      <c r="BO16" s="2">
        <f>HYPERLINK("http://exon.niaid.nih.gov/transcriptome/O_coriaceus/Sup2/links/cluster/o-cori-COMP65-50-Sim-CLU7.txt",7)</f>
        <v>7</v>
      </c>
      <c r="BP16" s="1">
        <f>HYPERLINK("http://exon.niaid.nih.gov/transcriptome/O_coriaceus/Sup2/links/cluster/o-cori-COMP65-50-Sim-CLTL7.txt",3)</f>
        <v>3</v>
      </c>
      <c r="BQ16" s="2">
        <f>HYPERLINK("http://exon.niaid.nih.gov/transcriptome/O_coriaceus/Sup2/links/cluster/o-cori-COMP75-50-Sim-CLU4.txt",4)</f>
        <v>4</v>
      </c>
      <c r="BR16" s="1">
        <f>HYPERLINK("http://exon.niaid.nih.gov/transcriptome/O_coriaceus/Sup2/links/cluster/o-cori-COMP75-50-Sim-CLTL4.txt",3)</f>
        <v>3</v>
      </c>
      <c r="BS16" s="2">
        <f>HYPERLINK("http://exon.niaid.nih.gov/transcriptome/O_coriaceus/Sup2/links/cluster/o-cori-COMP85-50-Sim-CLU8.txt",8)</f>
        <v>8</v>
      </c>
      <c r="BT16" s="1">
        <f>HYPERLINK("http://exon.niaid.nih.gov/transcriptome/O_coriaceus/Sup2/links/cluster/o-cori-COMP85-50-Sim-CLTL8.txt",2)</f>
        <v>2</v>
      </c>
      <c r="BU16" s="2">
        <v>79</v>
      </c>
      <c r="BV16" s="1">
        <v>1</v>
      </c>
    </row>
    <row r="17" spans="1:74" ht="10.5">
      <c r="A17" t="str">
        <f>HYPERLINK("http://exon.niaid.nih.gov/transcriptome/O_coriaceus/Sup2/links/pep/OC-7-pep.txt","OC-7")</f>
        <v>OC-7</v>
      </c>
      <c r="B17" s="1" t="s">
        <v>136</v>
      </c>
      <c r="C17">
        <v>152</v>
      </c>
      <c r="D17" t="s">
        <v>184</v>
      </c>
      <c r="E17" t="str">
        <f>HYPERLINK("http://exon.niaid.nih.gov/transcriptome/O_coriaceus/Sup2/links/nuc/OC-7-nuc.txt","OC-7")</f>
        <v>OC-7</v>
      </c>
      <c r="F17" s="1" t="s">
        <v>196</v>
      </c>
      <c r="G17" s="1" t="s">
        <v>194</v>
      </c>
      <c r="H17" s="5" t="str">
        <f>HYPERLINK("http://exon.niaid.nih.gov/transcriptome/O_coriaceus/Sup2/links/Sigp/OC-7-SigP.txt","CYT")</f>
        <v>CYT</v>
      </c>
      <c r="I17" t="s">
        <v>196</v>
      </c>
      <c r="J17" s="1">
        <v>16.748</v>
      </c>
      <c r="K17" s="1">
        <v>6.99</v>
      </c>
      <c r="N17" s="19" t="s">
        <v>15</v>
      </c>
      <c r="O17" s="5" t="str">
        <f>HYPERLINK("http://exon.niaid.nih.gov/transcriptome/O_coriaceus/Sup2/links/netoglyc/OC-7-netoglyc.txt","3")</f>
        <v>3</v>
      </c>
      <c r="P17" s="1">
        <v>16.4</v>
      </c>
      <c r="Q17" s="1">
        <v>7.2</v>
      </c>
      <c r="R17" s="1">
        <v>4.6</v>
      </c>
      <c r="S17" s="27" t="s">
        <v>196</v>
      </c>
      <c r="U17" s="4" t="str">
        <f>HYPERLINK("http://exon.niaid.nih.gov/transcriptome/O_coriaceus/Sup2/links/OCORI-EST/OC-7-OCORI-EST.txt","OCL-P13_F09")</f>
        <v>OCL-P13_F09</v>
      </c>
      <c r="V17" s="1">
        <v>0</v>
      </c>
      <c r="W17" s="5" t="str">
        <f>HYPERLINK("http://exon.niaid.nih.gov/transcriptome/O_coriaceus/Sup2/links/OCORI-EST/OC-7-OCORI-EST.txt"," 25")</f>
        <v> 25</v>
      </c>
      <c r="Y17" s="22" t="str">
        <f>HYPERLINK("http://exon.niaid.nih.gov/transcriptome/O_coriaceus/Sup2/links/OC-2D/OC-7-OC-2D.txt","IF-24_1 |IF-24_2 |IF-24_3 |IF-30_1 |IF-30_14 |IF-30_17 |IF-30_18 |IF-30_19 |IF-30_20 |IF-30_21 |IF-31_1 |IF-31_10 |IF-31_21 |IF-31_28 |IF-32_1 |IF-45_13 |IF-50_1 |")</f>
        <v>IF-24_1 |IF-24_2 |IF-24_3 |IF-30_1 |IF-30_14 |IF-30_17 |IF-30_18 |IF-30_19 |IF-30_20 |IF-30_21 |IF-31_1 |IF-31_10 |IF-31_21 |IF-31_28 |IF-32_1 |IF-45_13 |IF-50_1 |</v>
      </c>
      <c r="Z17" s="27" t="s">
        <v>568</v>
      </c>
      <c r="AA17" s="1">
        <v>7</v>
      </c>
      <c r="AB17" s="1">
        <v>55</v>
      </c>
      <c r="AC17" s="22" t="str">
        <f>HYPERLINK("http://exon.niaid.nih.gov/transcriptome/O_coriaceus/Sup2/links/OC-1D/OC-7-OC-1D.txt","P11_45 |P12_61 |P22_120 |P23_48 |P23_49 |P24_25 |P24_26 |P24_27 |P24_28 |P24_29 |P25_13 |P25_14 |P25_15 |P25_16 |P26_75 |P27_62 |P30_3 |P30_4 |S01_7 |S02_4 |S05_12 |S06_13 |S07_23 |S08_19 |S09_24 ")</f>
        <v>P11_45 |P12_61 |P22_120 |P23_48 |P23_49 |P24_25 |P24_26 |P24_27 |P24_28 |P24_29 |P25_13 |P25_14 |P25_15 |P25_16 |P26_75 |P27_62 |P30_3 |P30_4 |S01_7 |S02_4 |S05_12 |S06_13 |S07_23 |S08_19 |S09_24 </v>
      </c>
      <c r="AD17" s="27" t="s">
        <v>582</v>
      </c>
      <c r="AE17" s="1">
        <v>7</v>
      </c>
      <c r="AF17" s="1">
        <v>101</v>
      </c>
      <c r="AG17" s="26">
        <f t="shared" si="1"/>
        <v>66.44736842105263</v>
      </c>
      <c r="AH17" s="4" t="str">
        <f>HYPERLINK("http://exon.niaid.nih.gov/transcriptome/O_coriaceus/Sup2/links/NR/OC-7-NR.txt","salivary lipocalin")</f>
        <v>salivary lipocalin</v>
      </c>
      <c r="AI17" t="str">
        <f>HYPERLINK("http://www.ncbi.nlm.nih.gov/sutils/blink.cgi?pid=149286972","3E-018")</f>
        <v>3E-018</v>
      </c>
      <c r="AJ17" t="s">
        <v>366</v>
      </c>
      <c r="AK17">
        <v>34</v>
      </c>
      <c r="AL17">
        <v>92</v>
      </c>
      <c r="AM17">
        <v>14</v>
      </c>
      <c r="AN17" t="s">
        <v>230</v>
      </c>
      <c r="AO17">
        <v>14</v>
      </c>
      <c r="AP17">
        <v>1</v>
      </c>
      <c r="AQ17">
        <v>1</v>
      </c>
      <c r="AR17" s="4" t="s">
        <v>196</v>
      </c>
      <c r="AS17" t="s">
        <v>196</v>
      </c>
      <c r="AT17" t="s">
        <v>196</v>
      </c>
      <c r="AU17" t="s">
        <v>196</v>
      </c>
      <c r="AV17" t="s">
        <v>196</v>
      </c>
      <c r="AW17" t="s">
        <v>196</v>
      </c>
      <c r="AX17" t="s">
        <v>196</v>
      </c>
      <c r="AY17" s="4" t="s">
        <v>196</v>
      </c>
      <c r="AZ17" t="s">
        <v>196</v>
      </c>
      <c r="BA17" t="s">
        <v>196</v>
      </c>
      <c r="BB17" s="4" t="s">
        <v>196</v>
      </c>
      <c r="BC17" t="s">
        <v>196</v>
      </c>
      <c r="BD17" t="s">
        <v>196</v>
      </c>
      <c r="BE17" s="4" t="s">
        <v>196</v>
      </c>
      <c r="BF17" t="s">
        <v>196</v>
      </c>
      <c r="BG17" s="4" t="str">
        <f>HYPERLINK("http://exon.niaid.nih.gov/transcriptome/O_coriaceus/Sup2/links/SMART/OC-7-SMART.txt","TUDOR")</f>
        <v>TUDOR</v>
      </c>
      <c r="BH17" t="str">
        <f>HYPERLINK("http://smart.embl-heidelberg.de/smart/do_annotation.pl?DOMAIN=TUDOR&amp;BLAST=DUMMY","0.45")</f>
        <v>0.45</v>
      </c>
      <c r="BI17" s="2">
        <f t="shared" si="2"/>
        <v>3</v>
      </c>
      <c r="BJ17" s="1">
        <f t="shared" si="3"/>
        <v>6</v>
      </c>
      <c r="BK17" s="2">
        <f t="shared" si="4"/>
        <v>1</v>
      </c>
      <c r="BL17" s="1">
        <f t="shared" si="5"/>
        <v>6</v>
      </c>
      <c r="BM17" s="2">
        <f t="shared" si="6"/>
        <v>1</v>
      </c>
      <c r="BN17" s="1">
        <f t="shared" si="7"/>
        <v>6</v>
      </c>
      <c r="BO17" s="2">
        <f>HYPERLINK("http://exon.niaid.nih.gov/transcriptome/O_coriaceus/Sup2/links/cluster/o-cori-COMP65-50-Sim-CLU7.txt",7)</f>
        <v>7</v>
      </c>
      <c r="BP17" s="1">
        <f>HYPERLINK("http://exon.niaid.nih.gov/transcriptome/O_coriaceus/Sup2/links/cluster/o-cori-COMP65-50-Sim-CLTL7.txt",3)</f>
        <v>3</v>
      </c>
      <c r="BQ17" s="2">
        <f>HYPERLINK("http://exon.niaid.nih.gov/transcriptome/O_coriaceus/Sup2/links/cluster/o-cori-COMP75-50-Sim-CLU4.txt",4)</f>
        <v>4</v>
      </c>
      <c r="BR17" s="1">
        <f>HYPERLINK("http://exon.niaid.nih.gov/transcriptome/O_coriaceus/Sup2/links/cluster/o-cori-COMP75-50-Sim-CLTL4.txt",3)</f>
        <v>3</v>
      </c>
      <c r="BS17" s="2">
        <v>81</v>
      </c>
      <c r="BT17" s="1">
        <v>1</v>
      </c>
      <c r="BU17" s="2">
        <v>88</v>
      </c>
      <c r="BV17" s="1">
        <v>1</v>
      </c>
    </row>
    <row r="18" spans="1:74" ht="10.5">
      <c r="A18" t="str">
        <f>HYPERLINK("http://exon.niaid.nih.gov/transcriptome/O_coriaceus/Sup2/links/pep/OC-8-pep.txt","OC-8")</f>
        <v>OC-8</v>
      </c>
      <c r="B18" s="1" t="s">
        <v>114</v>
      </c>
      <c r="C18">
        <v>165</v>
      </c>
      <c r="D18" t="s">
        <v>115</v>
      </c>
      <c r="E18" t="str">
        <f>HYPERLINK("http://exon.niaid.nih.gov/transcriptome/O_coriaceus/Sup2/links/nuc/OC-8-nuc.txt","OC-8")</f>
        <v>OC-8</v>
      </c>
      <c r="F18" s="1" t="s">
        <v>195</v>
      </c>
      <c r="G18" s="1" t="s">
        <v>194</v>
      </c>
      <c r="H18" s="5" t="str">
        <f>HYPERLINK("http://exon.niaid.nih.gov/transcriptome/O_coriaceus/Sup2/links/Sigp/OC-8-SigP.txt","SIG")</f>
        <v>SIG</v>
      </c>
      <c r="I18" t="s">
        <v>540</v>
      </c>
      <c r="J18" s="1">
        <v>18.127</v>
      </c>
      <c r="K18" s="1">
        <v>5.33</v>
      </c>
      <c r="L18" s="1">
        <v>15.888</v>
      </c>
      <c r="M18" s="1">
        <v>5.53</v>
      </c>
      <c r="N18" s="19" t="s">
        <v>16</v>
      </c>
      <c r="O18" s="5" t="str">
        <f>HYPERLINK("http://exon.niaid.nih.gov/transcriptome/O_coriaceus/Sup2/links/netoglyc/OC-8-netoglyc.txt","3")</f>
        <v>3</v>
      </c>
      <c r="P18" s="1">
        <v>13.9</v>
      </c>
      <c r="Q18" s="1">
        <v>6.7</v>
      </c>
      <c r="R18" s="1">
        <v>4.8</v>
      </c>
      <c r="S18" s="27" t="s">
        <v>196</v>
      </c>
      <c r="U18" s="4" t="str">
        <f>HYPERLINK("http://exon.niaid.nih.gov/transcriptome/O_coriaceus/Sup2/links/OCORI-EST/OC-8-OCORI-EST.txt","OCL-PLATE04_A10")</f>
        <v>OCL-PLATE04_A10</v>
      </c>
      <c r="V18" s="1">
        <v>0</v>
      </c>
      <c r="W18" s="5" t="str">
        <f>HYPERLINK("http://exon.niaid.nih.gov/transcriptome/O_coriaceus/Sup2/links/OCORI-EST/OC-8-OCORI-EST.txt"," 25")</f>
        <v> 25</v>
      </c>
      <c r="Y18" s="22" t="str">
        <f>HYPERLINK("http://exon.niaid.nih.gov/transcriptome/O_coriaceus/Sup2/links/OC-2D/OC-8-OC-2D.txt","IF-24_1 |IF-30_19 |")</f>
        <v>IF-24_1 |IF-30_19 |</v>
      </c>
      <c r="AA18" s="1" t="s">
        <v>196</v>
      </c>
      <c r="AC18" s="22" t="str">
        <f>HYPERLINK("http://exon.niaid.nih.gov/transcriptome/O_coriaceus/Sup2/links/OC-1D/OC-8-OC-1D.txt","P11_46 |P22_25 |P22_26 |P22_27 |P22_28 |P22_120 |P23_19 |P23_20 |P23_21 |P23_22 |P23_48 |P24_26 |P24_41 |P24_42 |P25_14 |P26_75 |P26_76 |P27_62 |P30_3 |S01_7 |S01_12 |S02_4 |S03_9 |S04_1 |S05_12 ")</f>
        <v>P11_46 |P22_25 |P22_26 |P22_27 |P22_28 |P22_120 |P23_19 |P23_20 |P23_21 |P23_22 |P23_48 |P24_26 |P24_41 |P24_42 |P25_14 |P26_75 |P26_76 |P27_62 |P30_3 |S01_7 |S01_12 |S02_4 |S03_9 |S04_1 |S05_12 </v>
      </c>
      <c r="AD18" s="27" t="s">
        <v>583</v>
      </c>
      <c r="AE18" s="1">
        <v>8</v>
      </c>
      <c r="AF18" s="1">
        <v>112</v>
      </c>
      <c r="AG18" s="26">
        <f t="shared" si="1"/>
        <v>67.87878787878788</v>
      </c>
      <c r="AH18" s="4" t="str">
        <f>HYPERLINK("http://exon.niaid.nih.gov/transcriptome/O_coriaceus/Sup2/links/NR/OC-8-NR.txt","salivary lipocalin")</f>
        <v>salivary lipocalin</v>
      </c>
      <c r="AI18" t="str">
        <f>HYPERLINK("http://www.ncbi.nlm.nih.gov/sutils/blink.cgi?pid=149286972","6E-017")</f>
        <v>6E-017</v>
      </c>
      <c r="AJ18" t="s">
        <v>366</v>
      </c>
      <c r="AK18">
        <v>31</v>
      </c>
      <c r="AL18">
        <v>96</v>
      </c>
      <c r="AM18">
        <v>8</v>
      </c>
      <c r="AN18" t="s">
        <v>230</v>
      </c>
      <c r="AO18">
        <v>8</v>
      </c>
      <c r="AP18">
        <v>6</v>
      </c>
      <c r="AQ18">
        <v>1</v>
      </c>
      <c r="AR18" s="4" t="s">
        <v>196</v>
      </c>
      <c r="AS18" t="s">
        <v>196</v>
      </c>
      <c r="AT18" t="s">
        <v>196</v>
      </c>
      <c r="AU18" t="s">
        <v>196</v>
      </c>
      <c r="AV18" t="s">
        <v>196</v>
      </c>
      <c r="AW18" t="s">
        <v>196</v>
      </c>
      <c r="AX18" t="s">
        <v>196</v>
      </c>
      <c r="AY18" s="4" t="s">
        <v>196</v>
      </c>
      <c r="AZ18" t="s">
        <v>196</v>
      </c>
      <c r="BA18" t="s">
        <v>196</v>
      </c>
      <c r="BB18" s="4" t="s">
        <v>196</v>
      </c>
      <c r="BC18" t="s">
        <v>196</v>
      </c>
      <c r="BD18" t="s">
        <v>196</v>
      </c>
      <c r="BE18" s="4" t="s">
        <v>196</v>
      </c>
      <c r="BF18" t="s">
        <v>196</v>
      </c>
      <c r="BG18" s="4" t="str">
        <f>HYPERLINK("http://exon.niaid.nih.gov/transcriptome/O_coriaceus/Sup2/links/SMART/OC-8-SMART.txt","TUDOR")</f>
        <v>TUDOR</v>
      </c>
      <c r="BH18" t="str">
        <f>HYPERLINK("http://smart.embl-heidelberg.de/smart/do_annotation.pl?DOMAIN=TUDOR&amp;BLAST=DUMMY","0.31")</f>
        <v>0.31</v>
      </c>
      <c r="BI18" s="2">
        <f t="shared" si="2"/>
        <v>3</v>
      </c>
      <c r="BJ18" s="1">
        <f t="shared" si="3"/>
        <v>6</v>
      </c>
      <c r="BK18" s="2">
        <f t="shared" si="4"/>
        <v>1</v>
      </c>
      <c r="BL18" s="1">
        <f t="shared" si="5"/>
        <v>6</v>
      </c>
      <c r="BM18" s="2">
        <f t="shared" si="6"/>
        <v>1</v>
      </c>
      <c r="BN18" s="1">
        <f t="shared" si="7"/>
        <v>6</v>
      </c>
      <c r="BO18" s="2">
        <f>HYPERLINK("http://exon.niaid.nih.gov/transcriptome/O_coriaceus/Sup2/links/cluster/o-cori-COMP65-50-Sim-CLU7.txt",7)</f>
        <v>7</v>
      </c>
      <c r="BP18" s="1">
        <f>HYPERLINK("http://exon.niaid.nih.gov/transcriptome/O_coriaceus/Sup2/links/cluster/o-cori-COMP65-50-Sim-CLTL7.txt",3)</f>
        <v>3</v>
      </c>
      <c r="BQ18" s="2">
        <f>HYPERLINK("http://exon.niaid.nih.gov/transcriptome/O_coriaceus/Sup2/links/cluster/o-cori-COMP75-50-Sim-CLU4.txt",4)</f>
        <v>4</v>
      </c>
      <c r="BR18" s="1">
        <f>HYPERLINK("http://exon.niaid.nih.gov/transcriptome/O_coriaceus/Sup2/links/cluster/o-cori-COMP75-50-Sim-CLTL4.txt",3)</f>
        <v>3</v>
      </c>
      <c r="BS18" s="2">
        <f>HYPERLINK("http://exon.niaid.nih.gov/transcriptome/O_coriaceus/Sup2/links/cluster/o-cori-COMP85-50-Sim-CLU8.txt",8)</f>
        <v>8</v>
      </c>
      <c r="BT18" s="1">
        <f>HYPERLINK("http://exon.niaid.nih.gov/transcriptome/O_coriaceus/Sup2/links/cluster/o-cori-COMP85-50-Sim-CLTL8.txt",2)</f>
        <v>2</v>
      </c>
      <c r="BU18" s="2">
        <v>94</v>
      </c>
      <c r="BV18" s="1">
        <v>1</v>
      </c>
    </row>
    <row r="19" spans="1:74" ht="10.5">
      <c r="A19" t="str">
        <f>HYPERLINK("http://exon.niaid.nih.gov/transcriptome/O_coriaceus/Sup2/links/pep/OC-29-pep.txt","OC-29")</f>
        <v>OC-29</v>
      </c>
      <c r="B19" s="1" t="s">
        <v>114</v>
      </c>
      <c r="C19">
        <v>163</v>
      </c>
      <c r="D19" t="s">
        <v>115</v>
      </c>
      <c r="E19" t="str">
        <f>HYPERLINK("http://exon.niaid.nih.gov/transcriptome/O_coriaceus/Sup2/links/nuc/OC-29-nuc.txt","OC-29")</f>
        <v>OC-29</v>
      </c>
      <c r="F19" s="1" t="s">
        <v>195</v>
      </c>
      <c r="G19" s="1" t="s">
        <v>194</v>
      </c>
      <c r="H19" s="5" t="str">
        <f>HYPERLINK("http://exon.niaid.nih.gov/transcriptome/O_coriaceus/Sup2/links/Sigp/OC-29-SigP.txt","SIG")</f>
        <v>SIG</v>
      </c>
      <c r="I19" t="s">
        <v>545</v>
      </c>
      <c r="J19" s="1">
        <v>17.575</v>
      </c>
      <c r="K19" s="1">
        <v>5.26</v>
      </c>
      <c r="L19" s="1">
        <v>15.604</v>
      </c>
      <c r="M19" s="1">
        <v>5.26</v>
      </c>
      <c r="N19" s="19" t="s">
        <v>17</v>
      </c>
      <c r="O19" s="5" t="str">
        <f>HYPERLINK("http://exon.niaid.nih.gov/transcriptome/O_coriaceus/Sup2/links/netoglyc/OC-29-netoglyc.txt","5")</f>
        <v>5</v>
      </c>
      <c r="P19" s="1">
        <v>16.6</v>
      </c>
      <c r="Q19" s="1">
        <v>8.6</v>
      </c>
      <c r="R19" s="1">
        <v>3.7</v>
      </c>
      <c r="S19" s="27" t="s">
        <v>196</v>
      </c>
      <c r="U19" s="4" t="str">
        <f>HYPERLINK("http://exon.niaid.nih.gov/transcriptome/O_coriaceus/Sup2/links/OCORI-EST/OC-29-OCORI-EST.txt","OCM02.B05_07053018AE")</f>
        <v>OCM02.B05_07053018AE</v>
      </c>
      <c r="V19" s="1">
        <v>0</v>
      </c>
      <c r="W19" s="5" t="str">
        <f>HYPERLINK("http://exon.niaid.nih.gov/transcriptome/O_coriaceus/Sup2/links/OCORI-EST/OC-29-OCORI-EST.txt"," 17")</f>
        <v> 17</v>
      </c>
      <c r="Y19" s="22" t="str">
        <f>HYPERLINK("http://exon.niaid.nih.gov/transcriptome/O_coriaceus/Sup2/links/OC-2D/OC-29-OC-2D.txt","IF-11_2 |IF-11_3 |IF-11_4 |IF-11_5 |IF-14_1 |IF-14_2 |IF-14_3 |IF-14_4 |IF-17_13 |IF-34_2 |")</f>
        <v>IF-11_2 |IF-11_3 |IF-11_4 |IF-11_5 |IF-14_1 |IF-14_2 |IF-14_3 |IF-14_4 |IF-17_13 |IF-34_2 |</v>
      </c>
      <c r="Z19" s="27" t="s">
        <v>570</v>
      </c>
      <c r="AA19" s="1">
        <v>4</v>
      </c>
      <c r="AB19" s="1">
        <v>28</v>
      </c>
      <c r="AC19" s="22" t="str">
        <f>HYPERLINK("http://exon.niaid.nih.gov/transcriptome/O_coriaceus/Sup2/links/OC-1D/OC-29-OC-1D.txt","P23_27 |P23_28 |P23_29 |P23_110 |P24_3 |P24_4 |P24_6 |P24_7 |P24_10 |P24_31 |P24_32 |P25_54 |P25_70 |S01_1 |S01_2 |S01_8 |S02_6 |S08_1 |S09_8 |S09_9 |S09_10 |S10_28 |S11_28 |S12_9 |S12_39 |S13_25 ")</f>
        <v>P23_27 |P23_28 |P23_29 |P23_110 |P24_3 |P24_4 |P24_6 |P24_7 |P24_10 |P24_31 |P24_32 |P25_54 |P25_70 |S01_1 |S01_2 |S01_8 |S02_6 |S08_1 |S09_8 |S09_9 |S09_10 |S10_28 |S11_28 |S12_9 |S12_39 |S13_25 </v>
      </c>
      <c r="AD19" s="27" t="s">
        <v>584</v>
      </c>
      <c r="AE19" s="1">
        <v>8</v>
      </c>
      <c r="AF19" s="1">
        <v>94</v>
      </c>
      <c r="AG19" s="26">
        <f t="shared" si="1"/>
        <v>57.668711656441715</v>
      </c>
      <c r="AH19" s="4" t="str">
        <f>HYPERLINK("http://exon.niaid.nih.gov/transcriptome/O_coriaceus/Sup2/links/NR/OC-29-NR.txt","salivary lipocalin")</f>
        <v>salivary lipocalin</v>
      </c>
      <c r="AI19" t="str">
        <f>HYPERLINK("http://www.ncbi.nlm.nih.gov/sutils/blink.cgi?pid=149286972","6E-018")</f>
        <v>6E-018</v>
      </c>
      <c r="AJ19" t="s">
        <v>366</v>
      </c>
      <c r="AK19">
        <v>35</v>
      </c>
      <c r="AL19">
        <v>96</v>
      </c>
      <c r="AM19">
        <v>7</v>
      </c>
      <c r="AN19" t="s">
        <v>230</v>
      </c>
      <c r="AO19">
        <v>7</v>
      </c>
      <c r="AP19">
        <v>5</v>
      </c>
      <c r="AQ19">
        <v>1</v>
      </c>
      <c r="AR19" s="4" t="s">
        <v>196</v>
      </c>
      <c r="AS19" t="s">
        <v>196</v>
      </c>
      <c r="AT19" t="s">
        <v>196</v>
      </c>
      <c r="AU19" t="s">
        <v>196</v>
      </c>
      <c r="AV19" t="s">
        <v>196</v>
      </c>
      <c r="AW19" t="s">
        <v>196</v>
      </c>
      <c r="AX19" t="s">
        <v>196</v>
      </c>
      <c r="AY19" s="4" t="s">
        <v>196</v>
      </c>
      <c r="AZ19" t="s">
        <v>196</v>
      </c>
      <c r="BA19" t="s">
        <v>196</v>
      </c>
      <c r="BB19" s="4" t="s">
        <v>196</v>
      </c>
      <c r="BC19" t="s">
        <v>196</v>
      </c>
      <c r="BD19" t="s">
        <v>196</v>
      </c>
      <c r="BE19" s="4" t="str">
        <f>HYPERLINK("http://exon.niaid.nih.gov/transcriptome/O_coriaceus/Sup2/links/PFAM/OC-29-PFAM.txt","SrfB")</f>
        <v>SrfB</v>
      </c>
      <c r="BF19" t="str">
        <f>HYPERLINK("http://pfam.janelia.org/cgi-bin/getdesc?acc=PF07520","0.63")</f>
        <v>0.63</v>
      </c>
      <c r="BG19" s="4" t="s">
        <v>196</v>
      </c>
      <c r="BH19" t="s">
        <v>196</v>
      </c>
      <c r="BI19" s="2">
        <f t="shared" si="2"/>
        <v>3</v>
      </c>
      <c r="BJ19" s="1">
        <f t="shared" si="3"/>
        <v>6</v>
      </c>
      <c r="BK19" s="2">
        <f t="shared" si="4"/>
        <v>1</v>
      </c>
      <c r="BL19" s="1">
        <f t="shared" si="5"/>
        <v>6</v>
      </c>
      <c r="BM19" s="2">
        <f t="shared" si="6"/>
        <v>1</v>
      </c>
      <c r="BN19" s="1">
        <f t="shared" si="7"/>
        <v>6</v>
      </c>
      <c r="BO19" s="2">
        <f>HYPERLINK("http://exon.niaid.nih.gov/transcriptome/O_coriaceus/Sup2/links/cluster/o-cori-COMP65-50-Sim-CLU9.txt",9)</f>
        <v>9</v>
      </c>
      <c r="BP19" s="1">
        <f>HYPERLINK("http://exon.niaid.nih.gov/transcriptome/O_coriaceus/Sup2/links/cluster/o-cori-COMP65-50-Sim-CLTL9.txt",2)</f>
        <v>2</v>
      </c>
      <c r="BQ19" s="2">
        <f>HYPERLINK("http://exon.niaid.nih.gov/transcriptome/O_coriaceus/Sup2/links/cluster/o-cori-COMP75-50-Sim-CLU6.txt",6)</f>
        <v>6</v>
      </c>
      <c r="BR19" s="1">
        <f>HYPERLINK("http://exon.niaid.nih.gov/transcriptome/O_coriaceus/Sup2/links/cluster/o-cori-COMP75-50-Sim-CLTL6.txt",2)</f>
        <v>2</v>
      </c>
      <c r="BS19" s="2">
        <f>HYPERLINK("http://exon.niaid.nih.gov/transcriptome/O_coriaceus/Sup2/links/cluster/o-cori-COMP85-50-Sim-CLU4.txt",4)</f>
        <v>4</v>
      </c>
      <c r="BT19" s="1">
        <f>HYPERLINK("http://exon.niaid.nih.gov/transcriptome/O_coriaceus/Sup2/links/cluster/o-cori-COMP85-50-Sim-CLTL4.txt",2)</f>
        <v>2</v>
      </c>
      <c r="BU19" s="2">
        <v>38</v>
      </c>
      <c r="BV19" s="1">
        <v>1</v>
      </c>
    </row>
    <row r="20" spans="1:74" ht="10.5">
      <c r="A20" t="str">
        <f>HYPERLINK("http://exon.niaid.nih.gov/transcriptome/O_coriaceus/Sup2/links/pep/OC-28-pep.txt","OC-28")</f>
        <v>OC-28</v>
      </c>
      <c r="B20" s="1" t="s">
        <v>114</v>
      </c>
      <c r="C20">
        <v>164</v>
      </c>
      <c r="D20" t="s">
        <v>115</v>
      </c>
      <c r="E20" t="str">
        <f>HYPERLINK("http://exon.niaid.nih.gov/transcriptome/O_coriaceus/Sup2/links/nuc/OC-28-nuc.txt","OC-28")</f>
        <v>OC-28</v>
      </c>
      <c r="F20" s="1" t="s">
        <v>195</v>
      </c>
      <c r="G20" s="1" t="s">
        <v>194</v>
      </c>
      <c r="H20" s="5" t="str">
        <f>HYPERLINK("http://exon.niaid.nih.gov/transcriptome/O_coriaceus/Sup2/links/Sigp/OC-28-SigP.txt","SIG")</f>
        <v>SIG</v>
      </c>
      <c r="I20" t="s">
        <v>540</v>
      </c>
      <c r="J20" s="1">
        <v>17.847</v>
      </c>
      <c r="K20" s="1">
        <v>4.89</v>
      </c>
      <c r="L20" s="1">
        <v>15.705</v>
      </c>
      <c r="M20" s="1">
        <v>4.89</v>
      </c>
      <c r="N20" s="19" t="s">
        <v>18</v>
      </c>
      <c r="O20" s="5" t="str">
        <f>HYPERLINK("http://exon.niaid.nih.gov/transcriptome/O_coriaceus/Sup2/links/netoglyc/OC-28-netoglyc.txt","6")</f>
        <v>6</v>
      </c>
      <c r="P20" s="1">
        <v>17.1</v>
      </c>
      <c r="Q20" s="1">
        <v>7.3</v>
      </c>
      <c r="R20" s="1">
        <v>3.7</v>
      </c>
      <c r="S20" s="27" t="s">
        <v>196</v>
      </c>
      <c r="U20" s="4" t="str">
        <f>HYPERLINK("http://exon.niaid.nih.gov/transcriptome/O_coriaceus/Sup2/links/OCORI-EST/OC-28-OCORI-EST.txt","OCL-P11_G02")</f>
        <v>OCL-P11_G02</v>
      </c>
      <c r="V20" s="1">
        <v>0</v>
      </c>
      <c r="W20" s="5" t="str">
        <f>HYPERLINK("http://exon.niaid.nih.gov/transcriptome/O_coriaceus/Sup2/links/OCORI-EST/OC-28-OCORI-EST.txt"," 16")</f>
        <v> 16</v>
      </c>
      <c r="Y20" s="22" t="str">
        <f>HYPERLINK("http://exon.niaid.nih.gov/transcriptome/O_coriaceus/Sup2/links/OC-2D/OC-28-OC-2D.txt","IF-11_2 |IF-11_3 |IF-11_4 |IF-11_5 |IF-11_6 |IF-14_1 |IF-14_2 |IF-14_3 |IF-14_4 |IF-17_13 |IF-34_2 |")</f>
        <v>IF-11_2 |IF-11_3 |IF-11_4 |IF-11_5 |IF-11_6 |IF-14_1 |IF-14_2 |IF-14_3 |IF-14_4 |IF-17_13 |IF-34_2 |</v>
      </c>
      <c r="Z20" s="27" t="s">
        <v>567</v>
      </c>
      <c r="AA20" s="1">
        <v>5</v>
      </c>
      <c r="AB20" s="1">
        <v>35</v>
      </c>
      <c r="AC20" s="22" t="str">
        <f>HYPERLINK("http://exon.niaid.nih.gov/transcriptome/O_coriaceus/Sup2/links/OC-1D/OC-28-OC-1D.txt","P06_71 |P23_26 |P23_27 |P23_28 |P23_29 |P24_3 |P24_4 |P24_5 |P24_6 |P24_7 |P24_8 |P24_9 |P24_10 |P25_70 |S01_1 |S01_2 |S02_6 |S08_1 |S09_9 |S09_10 |S11_28 |S12_9 |S12_10 |S14_23 |S15_33 |S16_14 ")</f>
        <v>P06_71 |P23_26 |P23_27 |P23_28 |P23_29 |P24_3 |P24_4 |P24_5 |P24_6 |P24_7 |P24_8 |P24_9 |P24_10 |P25_70 |S01_1 |S01_2 |S02_6 |S08_1 |S09_9 |S09_10 |S11_28 |S12_9 |S12_10 |S14_23 |S15_33 |S16_14 </v>
      </c>
      <c r="AD20" s="27" t="s">
        <v>585</v>
      </c>
      <c r="AE20" s="1">
        <v>11</v>
      </c>
      <c r="AF20" s="1">
        <v>146</v>
      </c>
      <c r="AG20" s="26">
        <f t="shared" si="1"/>
        <v>89.02439024390245</v>
      </c>
      <c r="AH20" s="4" t="str">
        <f>HYPERLINK("http://exon.niaid.nih.gov/transcriptome/O_coriaceus/Sup2/links/NR/OC-28-NR.txt","moubatin-like 6")</f>
        <v>moubatin-like 6</v>
      </c>
      <c r="AI20" t="str">
        <f>HYPERLINK("http://www.ncbi.nlm.nih.gov/sutils/blink.cgi?pid=149286962","2E-017")</f>
        <v>2E-017</v>
      </c>
      <c r="AJ20" t="s">
        <v>365</v>
      </c>
      <c r="AK20">
        <v>36</v>
      </c>
      <c r="AL20">
        <v>96</v>
      </c>
      <c r="AM20">
        <v>7</v>
      </c>
      <c r="AN20" t="s">
        <v>230</v>
      </c>
      <c r="AO20">
        <v>7</v>
      </c>
      <c r="AP20">
        <v>5</v>
      </c>
      <c r="AQ20">
        <v>1</v>
      </c>
      <c r="AR20" s="4" t="s">
        <v>196</v>
      </c>
      <c r="AS20" t="s">
        <v>196</v>
      </c>
      <c r="AT20" t="s">
        <v>196</v>
      </c>
      <c r="AU20" t="s">
        <v>196</v>
      </c>
      <c r="AV20" t="s">
        <v>196</v>
      </c>
      <c r="AW20" t="s">
        <v>196</v>
      </c>
      <c r="AX20" t="s">
        <v>196</v>
      </c>
      <c r="AY20" s="4" t="s">
        <v>196</v>
      </c>
      <c r="AZ20" t="s">
        <v>196</v>
      </c>
      <c r="BA20" t="s">
        <v>196</v>
      </c>
      <c r="BB20" s="4" t="s">
        <v>196</v>
      </c>
      <c r="BC20" t="s">
        <v>196</v>
      </c>
      <c r="BD20" t="s">
        <v>196</v>
      </c>
      <c r="BE20" s="4" t="s">
        <v>196</v>
      </c>
      <c r="BF20" t="s">
        <v>196</v>
      </c>
      <c r="BG20" s="4" t="str">
        <f>HYPERLINK("http://exon.niaid.nih.gov/transcriptome/O_coriaceus/Sup2/links/SMART/OC-28-SMART.txt","DEATH")</f>
        <v>DEATH</v>
      </c>
      <c r="BH20" t="str">
        <f>HYPERLINK("http://smart.embl-heidelberg.de/smart/do_annotation.pl?DOMAIN=DEATH&amp;BLAST=DUMMY","0.76")</f>
        <v>0.76</v>
      </c>
      <c r="BI20" s="2">
        <f t="shared" si="2"/>
        <v>3</v>
      </c>
      <c r="BJ20" s="1">
        <f t="shared" si="3"/>
        <v>6</v>
      </c>
      <c r="BK20" s="2">
        <f t="shared" si="4"/>
        <v>1</v>
      </c>
      <c r="BL20" s="1">
        <f t="shared" si="5"/>
        <v>6</v>
      </c>
      <c r="BM20" s="2">
        <f t="shared" si="6"/>
        <v>1</v>
      </c>
      <c r="BN20" s="1">
        <f t="shared" si="7"/>
        <v>6</v>
      </c>
      <c r="BO20" s="2">
        <f>HYPERLINK("http://exon.niaid.nih.gov/transcriptome/O_coriaceus/Sup2/links/cluster/o-cori-COMP65-50-Sim-CLU9.txt",9)</f>
        <v>9</v>
      </c>
      <c r="BP20" s="1">
        <f>HYPERLINK("http://exon.niaid.nih.gov/transcriptome/O_coriaceus/Sup2/links/cluster/o-cori-COMP65-50-Sim-CLTL9.txt",2)</f>
        <v>2</v>
      </c>
      <c r="BQ20" s="2">
        <f>HYPERLINK("http://exon.niaid.nih.gov/transcriptome/O_coriaceus/Sup2/links/cluster/o-cori-COMP75-50-Sim-CLU6.txt",6)</f>
        <v>6</v>
      </c>
      <c r="BR20" s="1">
        <f>HYPERLINK("http://exon.niaid.nih.gov/transcriptome/O_coriaceus/Sup2/links/cluster/o-cori-COMP75-50-Sim-CLTL6.txt",2)</f>
        <v>2</v>
      </c>
      <c r="BS20" s="2">
        <f>HYPERLINK("http://exon.niaid.nih.gov/transcriptome/O_coriaceus/Sup2/links/cluster/o-cori-COMP85-50-Sim-CLU4.txt",4)</f>
        <v>4</v>
      </c>
      <c r="BT20" s="1">
        <f>HYPERLINK("http://exon.niaid.nih.gov/transcriptome/O_coriaceus/Sup2/links/cluster/o-cori-COMP85-50-Sim-CLTL4.txt",2)</f>
        <v>2</v>
      </c>
      <c r="BU20" s="2">
        <v>37</v>
      </c>
      <c r="BV20" s="1">
        <v>1</v>
      </c>
    </row>
    <row r="21" spans="1:74" ht="10.5">
      <c r="A21" t="str">
        <f>HYPERLINK("http://exon.niaid.nih.gov/transcriptome/O_coriaceus/Sup2/links/pep/OC-60-pep.txt","OC-60")</f>
        <v>OC-60</v>
      </c>
      <c r="B21" s="1" t="s">
        <v>114</v>
      </c>
      <c r="C21">
        <v>166</v>
      </c>
      <c r="D21" t="s">
        <v>116</v>
      </c>
      <c r="E21" t="str">
        <f>HYPERLINK("http://exon.niaid.nih.gov/transcriptome/O_coriaceus/Sup2/links/nuc/OC-60-nuc.txt","OC-60")</f>
        <v>OC-60</v>
      </c>
      <c r="F21" s="1" t="s">
        <v>195</v>
      </c>
      <c r="G21" s="1" t="s">
        <v>194</v>
      </c>
      <c r="H21" s="5" t="str">
        <f>HYPERLINK("http://exon.niaid.nih.gov/transcriptome/O_coriaceus/Sup2/links/Sigp/OC-60-SigP.txt","SIG")</f>
        <v>SIG</v>
      </c>
      <c r="I21" t="s">
        <v>545</v>
      </c>
      <c r="J21" s="1">
        <v>18.649</v>
      </c>
      <c r="K21" s="1">
        <v>9.51</v>
      </c>
      <c r="L21" s="1">
        <v>16.616</v>
      </c>
      <c r="M21" s="1">
        <v>9.65</v>
      </c>
      <c r="N21" s="19" t="s">
        <v>19</v>
      </c>
      <c r="O21" s="5" t="str">
        <f>HYPERLINK("http://exon.niaid.nih.gov/transcriptome/O_coriaceus/Sup2/links/netoglyc/OC-60-netoglyc.txt","3")</f>
        <v>3</v>
      </c>
      <c r="P21" s="1">
        <v>13.3</v>
      </c>
      <c r="Q21" s="1">
        <v>8.4</v>
      </c>
      <c r="R21" s="1">
        <v>4.8</v>
      </c>
      <c r="S21" s="27" t="s">
        <v>196</v>
      </c>
      <c r="U21" s="4" t="str">
        <f>HYPERLINK("http://exon.niaid.nih.gov/transcriptome/O_coriaceus/Sup2/links/OCORI-EST/OC-60-OCORI-EST.txt","OCL-P13_E02")</f>
        <v>OCL-P13_E02</v>
      </c>
      <c r="V21" s="1">
        <v>0</v>
      </c>
      <c r="W21" s="5" t="str">
        <f>HYPERLINK("http://exon.niaid.nih.gov/transcriptome/O_coriaceus/Sup2/links/OCORI-EST/OC-60-OCORI-EST.txt"," 7")</f>
        <v> 7</v>
      </c>
      <c r="Y21" s="22" t="s">
        <v>196</v>
      </c>
      <c r="AC21" s="22" t="str">
        <f>HYPERLINK("http://exon.niaid.nih.gov/transcriptome/O_coriaceus/Sup2/links/OC-1D/OC-60-OC-1D.txt","P21_32 |P21_33 |P21_34 |P22_11 |P22_12 |P22_13 |P22_14 |P22_15 |P22_16 |P22_17 |P22_18 |P22_19 |P23_59 |P23_60 |P23_61 |P26_71 |S22_10 |S22_11 |S22_12 |S22_13 |S22_14 |S22_15 |")</f>
        <v>P21_32 |P21_33 |P21_34 |P22_11 |P22_12 |P22_13 |P22_14 |P22_15 |P22_16 |P22_17 |P22_18 |P22_19 |P23_59 |P23_60 |P23_61 |P26_71 |S22_10 |S22_11 |S22_12 |S22_13 |S22_14 |S22_15 |</v>
      </c>
      <c r="AD21" s="27" t="s">
        <v>586</v>
      </c>
      <c r="AE21" s="1">
        <v>9</v>
      </c>
      <c r="AF21" s="1">
        <v>87</v>
      </c>
      <c r="AG21" s="26">
        <f t="shared" si="1"/>
        <v>52.40963855421687</v>
      </c>
      <c r="AH21" s="4" t="str">
        <f>HYPERLINK("http://exon.niaid.nih.gov/transcriptome/O_coriaceus/Sup2/links/NR/OC-60-NR.txt","Moubatin precursor &gt;gi|159945|gb|AAA29432.1| moubatin")</f>
        <v>Moubatin precursor &gt;gi|159945|gb|AAA29432.1| moubatin</v>
      </c>
      <c r="AI21" t="str">
        <f>HYPERLINK("http://www.ncbi.nlm.nih.gov/sutils/blink.cgi?pid=462613","3E-020")</f>
        <v>3E-020</v>
      </c>
      <c r="AJ21" t="s">
        <v>477</v>
      </c>
      <c r="AK21">
        <v>36</v>
      </c>
      <c r="AL21">
        <v>99</v>
      </c>
      <c r="AM21">
        <v>1</v>
      </c>
      <c r="AN21" t="s">
        <v>196</v>
      </c>
      <c r="AO21">
        <v>1</v>
      </c>
      <c r="AP21">
        <v>4</v>
      </c>
      <c r="AQ21">
        <v>1</v>
      </c>
      <c r="AR21" s="4" t="s">
        <v>196</v>
      </c>
      <c r="AS21" t="s">
        <v>196</v>
      </c>
      <c r="AT21" t="s">
        <v>196</v>
      </c>
      <c r="AU21" t="s">
        <v>196</v>
      </c>
      <c r="AV21" t="s">
        <v>196</v>
      </c>
      <c r="AW21" t="s">
        <v>196</v>
      </c>
      <c r="AX21" t="s">
        <v>196</v>
      </c>
      <c r="AY21" s="4" t="s">
        <v>196</v>
      </c>
      <c r="AZ21" t="s">
        <v>196</v>
      </c>
      <c r="BA21" t="s">
        <v>196</v>
      </c>
      <c r="BB21" s="4" t="s">
        <v>196</v>
      </c>
      <c r="BC21" t="s">
        <v>196</v>
      </c>
      <c r="BD21" t="s">
        <v>196</v>
      </c>
      <c r="BE21" s="4" t="s">
        <v>196</v>
      </c>
      <c r="BF21" t="s">
        <v>196</v>
      </c>
      <c r="BG21" s="4" t="str">
        <f>HYPERLINK("http://exon.niaid.nih.gov/transcriptome/O_coriaceus/Sup2/links/SMART/OC-60-SMART.txt","CBF")</f>
        <v>CBF</v>
      </c>
      <c r="BH21" t="str">
        <f>HYPERLINK("http://smart.embl-heidelberg.de/smart/do_annotation.pl?DOMAIN=CBF&amp;BLAST=DUMMY","0.95")</f>
        <v>0.95</v>
      </c>
      <c r="BI21" s="2">
        <f t="shared" si="2"/>
        <v>3</v>
      </c>
      <c r="BJ21" s="1">
        <f t="shared" si="3"/>
        <v>6</v>
      </c>
      <c r="BK21" s="2">
        <f t="shared" si="4"/>
        <v>1</v>
      </c>
      <c r="BL21" s="1">
        <f t="shared" si="5"/>
        <v>6</v>
      </c>
      <c r="BM21" s="2">
        <f t="shared" si="6"/>
        <v>1</v>
      </c>
      <c r="BN21" s="1">
        <f t="shared" si="7"/>
        <v>6</v>
      </c>
      <c r="BO21" s="2">
        <v>65</v>
      </c>
      <c r="BP21" s="1">
        <v>1</v>
      </c>
      <c r="BQ21" s="2">
        <v>70</v>
      </c>
      <c r="BR21" s="1">
        <v>1</v>
      </c>
      <c r="BS21" s="2">
        <v>73</v>
      </c>
      <c r="BT21" s="1">
        <v>1</v>
      </c>
      <c r="BU21" s="2">
        <v>80</v>
      </c>
      <c r="BV21" s="1">
        <v>1</v>
      </c>
    </row>
    <row r="22" spans="1:33" s="6" customFormat="1" ht="10.5">
      <c r="A22" s="12" t="s">
        <v>250</v>
      </c>
      <c r="H22" s="11"/>
      <c r="N22" s="18" t="s">
        <v>196</v>
      </c>
      <c r="O22" s="11"/>
      <c r="P22" s="11"/>
      <c r="Q22" s="11"/>
      <c r="R22" s="11"/>
      <c r="S22" s="18" t="s">
        <v>196</v>
      </c>
      <c r="W22" s="11"/>
      <c r="X22" s="18"/>
      <c r="Y22" s="21" t="s">
        <v>196</v>
      </c>
      <c r="Z22" s="18"/>
      <c r="AA22" s="11"/>
      <c r="AB22" s="11"/>
      <c r="AC22" s="21" t="s">
        <v>196</v>
      </c>
      <c r="AD22" s="18"/>
      <c r="AE22" s="11"/>
      <c r="AF22" s="11"/>
      <c r="AG22" s="25" t="s">
        <v>196</v>
      </c>
    </row>
    <row r="23" spans="1:74" ht="10.5">
      <c r="A23" t="str">
        <f>HYPERLINK("http://exon.niaid.nih.gov/transcriptome/O_coriaceus/Sup2/links/pep/OC-481-pep.txt","OC-481")</f>
        <v>OC-481</v>
      </c>
      <c r="B23" s="1" t="s">
        <v>114</v>
      </c>
      <c r="C23">
        <v>183</v>
      </c>
      <c r="D23" t="s">
        <v>115</v>
      </c>
      <c r="E23" t="str">
        <f>HYPERLINK("http://exon.niaid.nih.gov/transcriptome/O_coriaceus/Sup2/links/nuc/OC-481-nuc.txt","OC-481")</f>
        <v>OC-481</v>
      </c>
      <c r="F23" s="1" t="s">
        <v>195</v>
      </c>
      <c r="G23" s="1" t="s">
        <v>194</v>
      </c>
      <c r="H23" s="5" t="str">
        <f>HYPERLINK("http://exon.niaid.nih.gov/transcriptome/O_coriaceus/Sup2/links/Sigp/OC-481-SigP.txt","SIG")</f>
        <v>SIG</v>
      </c>
      <c r="I23" t="s">
        <v>539</v>
      </c>
      <c r="J23" s="1">
        <v>19.317</v>
      </c>
      <c r="K23" s="1">
        <v>8.95</v>
      </c>
      <c r="L23" s="1">
        <v>17.326</v>
      </c>
      <c r="M23" s="1">
        <v>8.98</v>
      </c>
      <c r="N23" s="19" t="s">
        <v>20</v>
      </c>
      <c r="O23" s="5" t="str">
        <f>HYPERLINK("http://exon.niaid.nih.gov/transcriptome/O_coriaceus/Sup2/links/netoglyc/OC-481-netoglyc.txt","0")</f>
        <v>0</v>
      </c>
      <c r="P23" s="1">
        <v>14.2</v>
      </c>
      <c r="Q23" s="1">
        <v>6</v>
      </c>
      <c r="R23" s="1">
        <v>3.8</v>
      </c>
      <c r="S23" s="27" t="s">
        <v>196</v>
      </c>
      <c r="U23" s="4" t="str">
        <f>HYPERLINK("http://exon.niaid.nih.gov/transcriptome/O_coriaceus/Sup2/links/OCORI-EST/OC-481-OCORI-EST.txt","OCL-PLATE04_F07")</f>
        <v>OCL-PLATE04_F07</v>
      </c>
      <c r="V23" s="1">
        <v>0</v>
      </c>
      <c r="W23" s="5" t="str">
        <f>HYPERLINK("http://exon.niaid.nih.gov/transcriptome/O_coriaceus/Sup2/links/OCORI-EST/OC-481-OCORI-EST.txt"," 1")</f>
        <v> 1</v>
      </c>
      <c r="Y23" s="22" t="s">
        <v>196</v>
      </c>
      <c r="AC23" s="22" t="str">
        <f>HYPERLINK("http://exon.niaid.nih.gov/transcriptome/O_coriaceus/Sup2/links/OC-1D/OC-481-OC-1D.txt","P19_59 |P20_63 |P21_57 |P21_58 |P22_81 |P23_109 |P25_93 |S20_46 |S21_48 |S22_55 |S26_65 |S29_40 |")</f>
        <v>P19_59 |P20_63 |P21_57 |P21_58 |P22_81 |P23_109 |P25_93 |S20_46 |S21_48 |S22_55 |S26_65 |S29_40 |</v>
      </c>
      <c r="AD23" s="27" t="s">
        <v>587</v>
      </c>
      <c r="AE23" s="1">
        <v>2</v>
      </c>
      <c r="AF23" s="1">
        <v>18</v>
      </c>
      <c r="AG23" s="26">
        <f>100*AF23/C23</f>
        <v>9.836065573770492</v>
      </c>
      <c r="AH23" s="4" t="str">
        <f>HYPERLINK("http://exon.niaid.nih.gov/transcriptome/O_coriaceus/Sup2/links/NR/OC-481-NR.txt","salivary lipocalin")</f>
        <v>salivary lipocalin</v>
      </c>
      <c r="AI23" t="str">
        <f>HYPERLINK("http://www.ncbi.nlm.nih.gov/sutils/blink.cgi?pid=149287038","0.014")</f>
        <v>0.014</v>
      </c>
      <c r="AJ23" t="s">
        <v>229</v>
      </c>
      <c r="AK23">
        <v>26</v>
      </c>
      <c r="AL23">
        <v>86</v>
      </c>
      <c r="AM23">
        <v>21</v>
      </c>
      <c r="AN23" t="s">
        <v>230</v>
      </c>
      <c r="AO23">
        <v>21</v>
      </c>
      <c r="AP23">
        <v>26</v>
      </c>
      <c r="AQ23">
        <v>1</v>
      </c>
      <c r="AR23" s="4" t="s">
        <v>196</v>
      </c>
      <c r="AS23" t="s">
        <v>196</v>
      </c>
      <c r="AT23" t="s">
        <v>196</v>
      </c>
      <c r="AU23" t="s">
        <v>196</v>
      </c>
      <c r="AV23" t="s">
        <v>196</v>
      </c>
      <c r="AW23" t="s">
        <v>196</v>
      </c>
      <c r="AX23" t="s">
        <v>196</v>
      </c>
      <c r="AY23" s="4" t="s">
        <v>196</v>
      </c>
      <c r="AZ23" t="s">
        <v>196</v>
      </c>
      <c r="BA23" t="s">
        <v>196</v>
      </c>
      <c r="BB23" s="4" t="s">
        <v>196</v>
      </c>
      <c r="BC23" t="s">
        <v>196</v>
      </c>
      <c r="BD23" t="s">
        <v>196</v>
      </c>
      <c r="BE23" s="4" t="s">
        <v>196</v>
      </c>
      <c r="BF23" t="s">
        <v>196</v>
      </c>
      <c r="BG23" s="4" t="s">
        <v>196</v>
      </c>
      <c r="BH23" t="s">
        <v>196</v>
      </c>
      <c r="BI23" s="2">
        <v>12</v>
      </c>
      <c r="BJ23" s="1">
        <v>1</v>
      </c>
      <c r="BK23" s="2">
        <v>12</v>
      </c>
      <c r="BL23" s="1">
        <v>1</v>
      </c>
      <c r="BM23" s="2">
        <v>11</v>
      </c>
      <c r="BN23" s="1">
        <v>1</v>
      </c>
      <c r="BO23" s="2">
        <v>13</v>
      </c>
      <c r="BP23" s="1">
        <v>1</v>
      </c>
      <c r="BQ23" s="2">
        <v>9</v>
      </c>
      <c r="BR23" s="1">
        <v>1</v>
      </c>
      <c r="BS23" s="2">
        <v>9</v>
      </c>
      <c r="BT23" s="1">
        <v>1</v>
      </c>
      <c r="BU23" s="2">
        <v>2</v>
      </c>
      <c r="BV23" s="1">
        <v>1</v>
      </c>
    </row>
    <row r="24" spans="1:74" ht="10.5">
      <c r="A24" t="str">
        <f>HYPERLINK("http://exon.niaid.nih.gov/transcriptome/O_coriaceus/Sup2/links/pep/OC-128-pep.txt","OC-128")</f>
        <v>OC-128</v>
      </c>
      <c r="B24" s="1" t="s">
        <v>114</v>
      </c>
      <c r="C24">
        <v>179</v>
      </c>
      <c r="D24" t="s">
        <v>115</v>
      </c>
      <c r="E24" t="str">
        <f>HYPERLINK("http://exon.niaid.nih.gov/transcriptome/O_coriaceus/Sup2/links/nuc/OC-128-nuc.txt","OC-128")</f>
        <v>OC-128</v>
      </c>
      <c r="F24" s="1" t="s">
        <v>195</v>
      </c>
      <c r="G24" s="1" t="s">
        <v>194</v>
      </c>
      <c r="H24" s="5" t="str">
        <f>HYPERLINK("http://exon.niaid.nih.gov/transcriptome/O_coriaceus/Sup2/links/Sigp/OC-128-SigP.txt","SIG")</f>
        <v>SIG</v>
      </c>
      <c r="I24" t="s">
        <v>545</v>
      </c>
      <c r="J24" s="1">
        <v>19.157</v>
      </c>
      <c r="K24" s="1">
        <v>4.74</v>
      </c>
      <c r="L24" s="1">
        <v>17.187</v>
      </c>
      <c r="M24" s="1">
        <v>4.65</v>
      </c>
      <c r="N24" s="19" t="s">
        <v>22</v>
      </c>
      <c r="O24" s="5" t="str">
        <f>HYPERLINK("http://exon.niaid.nih.gov/transcriptome/O_coriaceus/Sup2/links/netoglyc/OC-128-netoglyc.txt","7")</f>
        <v>7</v>
      </c>
      <c r="P24" s="1">
        <v>21.2</v>
      </c>
      <c r="Q24" s="1">
        <v>11.2</v>
      </c>
      <c r="R24" s="1">
        <v>2.8</v>
      </c>
      <c r="S24" s="27" t="s">
        <v>196</v>
      </c>
      <c r="U24" s="4" t="str">
        <f>HYPERLINK("http://exon.niaid.nih.gov/transcriptome/O_coriaceus/Sup2/links/OCORI-EST/OC-128-OCORI-EST.txt","OCL-PLATE02_C04")</f>
        <v>OCL-PLATE02_C04</v>
      </c>
      <c r="V24" s="1">
        <v>0</v>
      </c>
      <c r="W24" s="5" t="str">
        <f>HYPERLINK("http://exon.niaid.nih.gov/transcriptome/O_coriaceus/Sup2/links/OCORI-EST/OC-128-OCORI-EST.txt"," 3")</f>
        <v> 3</v>
      </c>
      <c r="Y24" s="22" t="s">
        <v>196</v>
      </c>
      <c r="AC24" s="22" t="str">
        <f>HYPERLINK("http://exon.niaid.nih.gov/transcriptome/O_coriaceus/Sup2/links/OC-1D/OC-128-OC-1D.txt","P06_72 |P19_100 |P20_64 |P21_51 |P22_123 |S20_28 |S20_29 |S21_15 |S22_31 |S22_32 |")</f>
        <v>P06_72 |P19_100 |P20_64 |P21_51 |P22_123 |S20_28 |S20_29 |S21_15 |S22_31 |S22_32 |</v>
      </c>
      <c r="AD24" s="27" t="s">
        <v>588</v>
      </c>
      <c r="AE24" s="1">
        <v>2</v>
      </c>
      <c r="AF24" s="1">
        <v>21</v>
      </c>
      <c r="AG24" s="26">
        <f>100*AF24/C24</f>
        <v>11.731843575418994</v>
      </c>
      <c r="AH24" s="4" t="str">
        <f>HYPERLINK("http://exon.niaid.nih.gov/transcriptome/O_coriaceus/Sup2/links/NR/OC-128-NR.txt","salivary lipocalin")</f>
        <v>salivary lipocalin</v>
      </c>
      <c r="AI24" t="str">
        <f>HYPERLINK("http://www.ncbi.nlm.nih.gov/sutils/blink.cgi?pid=149287084","7E-031")</f>
        <v>7E-031</v>
      </c>
      <c r="AJ24" t="s">
        <v>295</v>
      </c>
      <c r="AK24">
        <v>44</v>
      </c>
      <c r="AL24">
        <v>110</v>
      </c>
      <c r="AM24">
        <v>1</v>
      </c>
      <c r="AN24" t="s">
        <v>230</v>
      </c>
      <c r="AO24">
        <v>1</v>
      </c>
      <c r="AP24">
        <v>1</v>
      </c>
      <c r="AQ24">
        <v>1</v>
      </c>
      <c r="AR24" s="4" t="s">
        <v>196</v>
      </c>
      <c r="AS24" t="s">
        <v>196</v>
      </c>
      <c r="AT24" t="s">
        <v>196</v>
      </c>
      <c r="AU24" t="s">
        <v>196</v>
      </c>
      <c r="AV24" t="s">
        <v>196</v>
      </c>
      <c r="AW24" t="s">
        <v>196</v>
      </c>
      <c r="AX24" t="s">
        <v>196</v>
      </c>
      <c r="AY24" s="4" t="s">
        <v>196</v>
      </c>
      <c r="AZ24" t="s">
        <v>196</v>
      </c>
      <c r="BA24" t="s">
        <v>196</v>
      </c>
      <c r="BB24" s="4" t="s">
        <v>196</v>
      </c>
      <c r="BC24" t="s">
        <v>196</v>
      </c>
      <c r="BD24" t="s">
        <v>196</v>
      </c>
      <c r="BE24" s="4" t="s">
        <v>196</v>
      </c>
      <c r="BF24" t="s">
        <v>196</v>
      </c>
      <c r="BG24" s="4" t="s">
        <v>196</v>
      </c>
      <c r="BH24" t="s">
        <v>196</v>
      </c>
      <c r="BI24" s="2">
        <v>19</v>
      </c>
      <c r="BJ24" s="1">
        <v>1</v>
      </c>
      <c r="BK24" s="2">
        <v>21</v>
      </c>
      <c r="BL24" s="1">
        <v>1</v>
      </c>
      <c r="BM24" s="2">
        <v>20</v>
      </c>
      <c r="BN24" s="1">
        <v>1</v>
      </c>
      <c r="BO24" s="2">
        <v>22</v>
      </c>
      <c r="BP24" s="1">
        <v>1</v>
      </c>
      <c r="BQ24" s="2">
        <v>19</v>
      </c>
      <c r="BR24" s="1">
        <v>1</v>
      </c>
      <c r="BS24" s="2">
        <v>19</v>
      </c>
      <c r="BT24" s="1">
        <v>1</v>
      </c>
      <c r="BU24" s="2">
        <v>12</v>
      </c>
      <c r="BV24" s="1">
        <v>1</v>
      </c>
    </row>
    <row r="25" spans="1:33" s="6" customFormat="1" ht="10.5">
      <c r="A25" s="12" t="s">
        <v>248</v>
      </c>
      <c r="H25" s="11"/>
      <c r="N25" s="18" t="s">
        <v>196</v>
      </c>
      <c r="O25" s="11"/>
      <c r="P25" s="11"/>
      <c r="Q25" s="11"/>
      <c r="R25" s="11"/>
      <c r="S25" s="18" t="s">
        <v>196</v>
      </c>
      <c r="W25" s="11"/>
      <c r="X25" s="18"/>
      <c r="Y25" s="21" t="s">
        <v>196</v>
      </c>
      <c r="Z25" s="18"/>
      <c r="AA25" s="11"/>
      <c r="AB25" s="11"/>
      <c r="AC25" s="21" t="s">
        <v>196</v>
      </c>
      <c r="AD25" s="18"/>
      <c r="AE25" s="11"/>
      <c r="AF25" s="11"/>
      <c r="AG25" s="25" t="s">
        <v>196</v>
      </c>
    </row>
    <row r="26" spans="1:74" ht="10.5">
      <c r="A26" t="str">
        <f>HYPERLINK("http://exon.niaid.nih.gov/transcriptome/O_coriaceus/Sup2/links/pep/OC-51-pep.txt","OC-51")</f>
        <v>OC-51</v>
      </c>
      <c r="B26" s="1" t="s">
        <v>114</v>
      </c>
      <c r="C26">
        <v>80</v>
      </c>
      <c r="D26" t="s">
        <v>169</v>
      </c>
      <c r="E26" t="str">
        <f>HYPERLINK("http://exon.niaid.nih.gov/transcriptome/O_coriaceus/Sup2/links/nuc/OC-51-nuc.txt","OC-51")</f>
        <v>OC-51</v>
      </c>
      <c r="F26" s="1" t="s">
        <v>195</v>
      </c>
      <c r="G26" s="1" t="s">
        <v>194</v>
      </c>
      <c r="H26" s="5" t="str">
        <f>HYPERLINK("http://exon.niaid.nih.gov/transcriptome/O_coriaceus/Sup2/links/Sigp/OC-51-SigP.txt","SIG")</f>
        <v>SIG</v>
      </c>
      <c r="I26" t="s">
        <v>540</v>
      </c>
      <c r="J26" s="1">
        <v>8.649</v>
      </c>
      <c r="K26" s="1">
        <v>4.79</v>
      </c>
      <c r="L26" s="1">
        <v>6.46</v>
      </c>
      <c r="M26" s="1">
        <v>4.36</v>
      </c>
      <c r="N26" s="19" t="s">
        <v>23</v>
      </c>
      <c r="O26" s="5" t="str">
        <f>HYPERLINK("http://exon.niaid.nih.gov/transcriptome/O_coriaceus/Sup2/links/netoglyc/OC-51-netoglyc.txt","2")</f>
        <v>2</v>
      </c>
      <c r="P26" s="1">
        <v>16.3</v>
      </c>
      <c r="Q26" s="1">
        <v>7.5</v>
      </c>
      <c r="R26" s="1">
        <v>7.5</v>
      </c>
      <c r="S26" s="27" t="s">
        <v>196</v>
      </c>
      <c r="U26" s="4" t="str">
        <f>HYPERLINK("http://exon.niaid.nih.gov/transcriptome/O_coriaceus/Sup2/links/OCORI-EST/OC-51-OCORI-EST.txt","OCL-PLATE04_G03")</f>
        <v>OCL-PLATE04_G03</v>
      </c>
      <c r="V26" s="1">
        <v>1E-137</v>
      </c>
      <c r="W26" s="5" t="str">
        <f>HYPERLINK("http://exon.niaid.nih.gov/transcriptome/O_coriaceus/Sup2/links/OCORI-EST/OC-51-OCORI-EST.txt"," 4")</f>
        <v> 4</v>
      </c>
      <c r="Y26" s="22" t="s">
        <v>196</v>
      </c>
      <c r="AC26" s="22" t="s">
        <v>196</v>
      </c>
      <c r="AG26" s="26" t="s">
        <v>196</v>
      </c>
      <c r="AH26" s="4" t="str">
        <f>HYPERLINK("http://exon.niaid.nih.gov/transcriptome/O_coriaceus/Sup2/links/NR/OC-51-NR.txt","savignygrin-like 2")</f>
        <v>savignygrin-like 2</v>
      </c>
      <c r="AI26" t="str">
        <f>HYPERLINK("http://www.ncbi.nlm.nih.gov/sutils/blink.cgi?pid=149286898","9E-011")</f>
        <v>9E-011</v>
      </c>
      <c r="AJ26" t="s">
        <v>443</v>
      </c>
      <c r="AK26">
        <v>49</v>
      </c>
      <c r="AL26">
        <v>101</v>
      </c>
      <c r="AM26">
        <v>1</v>
      </c>
      <c r="AN26" t="s">
        <v>230</v>
      </c>
      <c r="AO26">
        <v>1</v>
      </c>
      <c r="AP26">
        <v>1</v>
      </c>
      <c r="AQ26">
        <v>1</v>
      </c>
      <c r="AR26" s="4" t="s">
        <v>196</v>
      </c>
      <c r="AS26" t="s">
        <v>196</v>
      </c>
      <c r="AT26" t="s">
        <v>196</v>
      </c>
      <c r="AU26" t="s">
        <v>196</v>
      </c>
      <c r="AV26" t="s">
        <v>196</v>
      </c>
      <c r="AW26" t="s">
        <v>196</v>
      </c>
      <c r="AX26" t="s">
        <v>196</v>
      </c>
      <c r="AY26" s="4" t="s">
        <v>196</v>
      </c>
      <c r="AZ26" t="s">
        <v>196</v>
      </c>
      <c r="BA26" t="s">
        <v>196</v>
      </c>
      <c r="BB26" s="4" t="s">
        <v>196</v>
      </c>
      <c r="BC26" t="s">
        <v>196</v>
      </c>
      <c r="BD26" t="s">
        <v>196</v>
      </c>
      <c r="BE26" s="4" t="s">
        <v>196</v>
      </c>
      <c r="BF26" t="s">
        <v>196</v>
      </c>
      <c r="BG26" s="4" t="str">
        <f>HYPERLINK("http://exon.niaid.nih.gov/transcriptome/O_coriaceus/Sup2/links/SMART/OC-51-SMART.txt","KU")</f>
        <v>KU</v>
      </c>
      <c r="BH26" t="str">
        <f>HYPERLINK("http://smart.embl-heidelberg.de/smart/do_annotation.pl?DOMAIN=KU&amp;BLAST=DUMMY","0.94")</f>
        <v>0.94</v>
      </c>
      <c r="BI26" s="2">
        <f>HYPERLINK("http://exon.niaid.nih.gov/transcriptome/O_coriaceus/Sup2/links/cluster/o-cori-COMP35-50-Sim-CLU8.txt",8)</f>
        <v>8</v>
      </c>
      <c r="BJ26" s="1">
        <f>HYPERLINK("http://exon.niaid.nih.gov/transcriptome/O_coriaceus/Sup2/links/cluster/o-cori-COMP35-50-Sim-CLTL8.txt",3)</f>
        <v>3</v>
      </c>
      <c r="BK26" s="2">
        <f>HYPERLINK("http://exon.niaid.nih.gov/transcriptome/O_coriaceus/Sup2/links/cluster/o-cori-COMP45-50-Sim-CLU7.txt",7)</f>
        <v>7</v>
      </c>
      <c r="BL26" s="1">
        <f>HYPERLINK("http://exon.niaid.nih.gov/transcriptome/O_coriaceus/Sup2/links/cluster/o-cori-COMP45-50-Sim-CLTL7.txt",3)</f>
        <v>3</v>
      </c>
      <c r="BM26" s="2">
        <f>HYPERLINK("http://exon.niaid.nih.gov/transcriptome/O_coriaceus/Sup2/links/cluster/o-cori-COMP55-50-Sim-CLU7.txt",7)</f>
        <v>7</v>
      </c>
      <c r="BN26" s="1">
        <f>HYPERLINK("http://exon.niaid.nih.gov/transcriptome/O_coriaceus/Sup2/links/cluster/o-cori-COMP55-50-Sim-CLTL7.txt",3)</f>
        <v>3</v>
      </c>
      <c r="BO26" s="2">
        <f>HYPERLINK("http://exon.niaid.nih.gov/transcriptome/O_coriaceus/Sup2/links/cluster/o-cori-COMP65-50-Sim-CLU6.txt",6)</f>
        <v>6</v>
      </c>
      <c r="BP26" s="1">
        <f>HYPERLINK("http://exon.niaid.nih.gov/transcriptome/O_coriaceus/Sup2/links/cluster/o-cori-COMP65-50-Sim-CLTL6.txt",3)</f>
        <v>3</v>
      </c>
      <c r="BQ26" s="2">
        <v>57</v>
      </c>
      <c r="BR26" s="1">
        <v>1</v>
      </c>
      <c r="BS26" s="2">
        <v>60</v>
      </c>
      <c r="BT26" s="1">
        <v>1</v>
      </c>
      <c r="BU26" s="2">
        <v>66</v>
      </c>
      <c r="BV26" s="1">
        <v>1</v>
      </c>
    </row>
    <row r="27" spans="1:74" ht="10.5">
      <c r="A27" t="str">
        <f>HYPERLINK("http://exon.niaid.nih.gov/transcriptome/O_coriaceus/Sup2/links/pep/OC-52-pep.txt","OC-52")</f>
        <v>OC-52</v>
      </c>
      <c r="B27" s="1" t="s">
        <v>114</v>
      </c>
      <c r="C27">
        <v>81</v>
      </c>
      <c r="D27" t="s">
        <v>170</v>
      </c>
      <c r="E27" t="str">
        <f>HYPERLINK("http://exon.niaid.nih.gov/transcriptome/O_coriaceus/Sup2/links/nuc/OC-52-nuc.txt","OC-52")</f>
        <v>OC-52</v>
      </c>
      <c r="F27" s="1" t="s">
        <v>195</v>
      </c>
      <c r="G27" s="1" t="s">
        <v>194</v>
      </c>
      <c r="H27" s="5" t="str">
        <f>HYPERLINK("http://exon.niaid.nih.gov/transcriptome/O_coriaceus/Sup2/links/Sigp/OC-52-SigP.txt","SIG")</f>
        <v>SIG</v>
      </c>
      <c r="I27" t="s">
        <v>540</v>
      </c>
      <c r="J27" s="1">
        <v>8.785</v>
      </c>
      <c r="K27" s="1">
        <v>6.51</v>
      </c>
      <c r="L27" s="1">
        <v>6.507</v>
      </c>
      <c r="M27" s="1">
        <v>4.99</v>
      </c>
      <c r="N27" s="19" t="s">
        <v>24</v>
      </c>
      <c r="O27" s="5" t="str">
        <f>HYPERLINK("http://exon.niaid.nih.gov/transcriptome/O_coriaceus/Sup2/links/netoglyc/OC-52-netoglyc.txt","0")</f>
        <v>0</v>
      </c>
      <c r="P27" s="1">
        <v>13.6</v>
      </c>
      <c r="Q27" s="1">
        <v>8.6</v>
      </c>
      <c r="R27" s="1">
        <v>6.2</v>
      </c>
      <c r="S27" s="27" t="s">
        <v>196</v>
      </c>
      <c r="U27" s="4" t="str">
        <f>HYPERLINK("http://exon.niaid.nih.gov/transcriptome/O_coriaceus/Sup2/links/OCORI-EST/OC-52-OCORI-EST.txt","OCL-P11_F03")</f>
        <v>OCL-P11_F03</v>
      </c>
      <c r="V27" s="1">
        <v>1E-137</v>
      </c>
      <c r="W27" s="5" t="str">
        <f>HYPERLINK("http://exon.niaid.nih.gov/transcriptome/O_coriaceus/Sup2/links/OCORI-EST/OC-52-OCORI-EST.txt"," 1")</f>
        <v> 1</v>
      </c>
      <c r="Y27" s="22" t="s">
        <v>196</v>
      </c>
      <c r="AC27" s="22" t="s">
        <v>196</v>
      </c>
      <c r="AG27" s="26" t="s">
        <v>196</v>
      </c>
      <c r="AH27" s="4" t="str">
        <f>HYPERLINK("http://exon.niaid.nih.gov/transcriptome/O_coriaceus/Sup2/links/NR/OC-52-NR.txt","savignygrin-like 2")</f>
        <v>savignygrin-like 2</v>
      </c>
      <c r="AI27" t="str">
        <f>HYPERLINK("http://www.ncbi.nlm.nih.gov/sutils/blink.cgi?pid=149286898","1E-010")</f>
        <v>1E-010</v>
      </c>
      <c r="AJ27" t="s">
        <v>443</v>
      </c>
      <c r="AK27">
        <v>49</v>
      </c>
      <c r="AL27">
        <v>104</v>
      </c>
      <c r="AM27">
        <v>1</v>
      </c>
      <c r="AN27" t="s">
        <v>230</v>
      </c>
      <c r="AO27">
        <v>1</v>
      </c>
      <c r="AP27">
        <v>1</v>
      </c>
      <c r="AQ27">
        <v>1</v>
      </c>
      <c r="AR27" s="4" t="s">
        <v>196</v>
      </c>
      <c r="AS27" t="s">
        <v>196</v>
      </c>
      <c r="AT27" t="s">
        <v>196</v>
      </c>
      <c r="AU27" t="s">
        <v>196</v>
      </c>
      <c r="AV27" t="s">
        <v>196</v>
      </c>
      <c r="AW27" t="s">
        <v>196</v>
      </c>
      <c r="AX27" t="s">
        <v>196</v>
      </c>
      <c r="AY27" s="4" t="str">
        <f>HYPERLINK("http://exon.niaid.nih.gov/transcriptome/O_coriaceus/Sup2/links/KOG/OC-52-KOG.txt","Alpha-amylase")</f>
        <v>Alpha-amylase</v>
      </c>
      <c r="AZ27" t="str">
        <f>HYPERLINK("http://www.ncbi.nlm.nih.gov/COG/grace/shokog.cgi?KOG0471","0.81")</f>
        <v>0.81</v>
      </c>
      <c r="BA27" t="s">
        <v>335</v>
      </c>
      <c r="BB27" s="4" t="s">
        <v>196</v>
      </c>
      <c r="BC27" t="s">
        <v>196</v>
      </c>
      <c r="BD27" t="s">
        <v>196</v>
      </c>
      <c r="BE27" s="4" t="s">
        <v>196</v>
      </c>
      <c r="BF27" t="s">
        <v>196</v>
      </c>
      <c r="BG27" s="4" t="s">
        <v>196</v>
      </c>
      <c r="BH27" t="s">
        <v>196</v>
      </c>
      <c r="BI27" s="2">
        <f>HYPERLINK("http://exon.niaid.nih.gov/transcriptome/O_coriaceus/Sup2/links/cluster/o-cori-COMP35-50-Sim-CLU8.txt",8)</f>
        <v>8</v>
      </c>
      <c r="BJ27" s="1">
        <f>HYPERLINK("http://exon.niaid.nih.gov/transcriptome/O_coriaceus/Sup2/links/cluster/o-cori-COMP35-50-Sim-CLTL8.txt",3)</f>
        <v>3</v>
      </c>
      <c r="BK27" s="2">
        <f>HYPERLINK("http://exon.niaid.nih.gov/transcriptome/O_coriaceus/Sup2/links/cluster/o-cori-COMP45-50-Sim-CLU7.txt",7)</f>
        <v>7</v>
      </c>
      <c r="BL27" s="1">
        <f>HYPERLINK("http://exon.niaid.nih.gov/transcriptome/O_coriaceus/Sup2/links/cluster/o-cori-COMP45-50-Sim-CLTL7.txt",3)</f>
        <v>3</v>
      </c>
      <c r="BM27" s="2">
        <f>HYPERLINK("http://exon.niaid.nih.gov/transcriptome/O_coriaceus/Sup2/links/cluster/o-cori-COMP55-50-Sim-CLU7.txt",7)</f>
        <v>7</v>
      </c>
      <c r="BN27" s="1">
        <f>HYPERLINK("http://exon.niaid.nih.gov/transcriptome/O_coriaceus/Sup2/links/cluster/o-cori-COMP55-50-Sim-CLTL7.txt",3)</f>
        <v>3</v>
      </c>
      <c r="BO27" s="2">
        <f>HYPERLINK("http://exon.niaid.nih.gov/transcriptome/O_coriaceus/Sup2/links/cluster/o-cori-COMP65-50-Sim-CLU6.txt",6)</f>
        <v>6</v>
      </c>
      <c r="BP27" s="1">
        <f>HYPERLINK("http://exon.niaid.nih.gov/transcriptome/O_coriaceus/Sup2/links/cluster/o-cori-COMP65-50-Sim-CLTL6.txt",3)</f>
        <v>3</v>
      </c>
      <c r="BQ27" s="2">
        <v>59</v>
      </c>
      <c r="BR27" s="1">
        <v>1</v>
      </c>
      <c r="BS27" s="2">
        <v>62</v>
      </c>
      <c r="BT27" s="1">
        <v>1</v>
      </c>
      <c r="BU27" s="2">
        <v>68</v>
      </c>
      <c r="BV27" s="1">
        <v>1</v>
      </c>
    </row>
    <row r="28" spans="1:74" ht="10.5">
      <c r="A28" t="str">
        <f>HYPERLINK("http://exon.niaid.nih.gov/transcriptome/O_coriaceus/Sup2/links/pep/OC-53-pep.txt","OC-53")</f>
        <v>OC-53</v>
      </c>
      <c r="B28" s="1" t="s">
        <v>114</v>
      </c>
      <c r="C28">
        <v>81</v>
      </c>
      <c r="D28" t="s">
        <v>172</v>
      </c>
      <c r="E28" t="str">
        <f>HYPERLINK("http://exon.niaid.nih.gov/transcriptome/O_coriaceus/Sup2/links/nuc/OC-53-nuc.txt","OC-53")</f>
        <v>OC-53</v>
      </c>
      <c r="F28" s="1" t="s">
        <v>195</v>
      </c>
      <c r="G28" s="1" t="s">
        <v>194</v>
      </c>
      <c r="H28" s="5" t="str">
        <f>HYPERLINK("http://exon.niaid.nih.gov/transcriptome/O_coriaceus/Sup2/links/Sigp/OC-53-SigP.txt","SIG")</f>
        <v>SIG</v>
      </c>
      <c r="I28" t="s">
        <v>540</v>
      </c>
      <c r="J28" s="1">
        <v>9.433</v>
      </c>
      <c r="K28" s="1">
        <v>5.82</v>
      </c>
      <c r="L28" s="1">
        <v>7.134</v>
      </c>
      <c r="M28" s="1">
        <v>5.13</v>
      </c>
      <c r="N28" s="19" t="s">
        <v>25</v>
      </c>
      <c r="O28" s="5" t="str">
        <f>HYPERLINK("http://exon.niaid.nih.gov/transcriptome/O_coriaceus/Sup2/links/netoglyc/OC-53-netoglyc.txt","1")</f>
        <v>1</v>
      </c>
      <c r="P28" s="1">
        <v>16</v>
      </c>
      <c r="Q28" s="1">
        <v>3.7</v>
      </c>
      <c r="R28" s="1">
        <v>4.9</v>
      </c>
      <c r="S28" s="27" t="s">
        <v>196</v>
      </c>
      <c r="U28" s="4" t="str">
        <f>HYPERLINK("http://exon.niaid.nih.gov/transcriptome/O_coriaceus/Sup2/links/OCORI-EST/OC-53-OCORI-EST.txt","OCM-PLATE06_B11")</f>
        <v>OCM-PLATE06_B11</v>
      </c>
      <c r="V28" s="1">
        <v>1E-102</v>
      </c>
      <c r="W28" s="5" t="str">
        <f>HYPERLINK("http://exon.niaid.nih.gov/transcriptome/O_coriaceus/Sup2/links/OCORI-EST/OC-53-OCORI-EST.txt"," 2")</f>
        <v> 2</v>
      </c>
      <c r="Y28" s="22" t="s">
        <v>196</v>
      </c>
      <c r="AC28" s="22" t="s">
        <v>196</v>
      </c>
      <c r="AG28" s="26" t="s">
        <v>196</v>
      </c>
      <c r="AH28" s="4" t="str">
        <f>HYPERLINK("http://exon.niaid.nih.gov/transcriptome/O_coriaceus/Sup2/links/NR/OC-53-NR.txt","savignygrin-like 1")</f>
        <v>savignygrin-like 1</v>
      </c>
      <c r="AI28" t="str">
        <f>HYPERLINK("http://www.ncbi.nlm.nih.gov/sutils/blink.cgi?pid=149287172","2E-012")</f>
        <v>2E-012</v>
      </c>
      <c r="AJ28" t="s">
        <v>450</v>
      </c>
      <c r="AK28">
        <v>45</v>
      </c>
      <c r="AL28">
        <v>103</v>
      </c>
      <c r="AM28">
        <v>1</v>
      </c>
      <c r="AN28" t="s">
        <v>230</v>
      </c>
      <c r="AO28">
        <v>1</v>
      </c>
      <c r="AP28">
        <v>1</v>
      </c>
      <c r="AQ28">
        <v>1</v>
      </c>
      <c r="AR28" s="4" t="s">
        <v>196</v>
      </c>
      <c r="AS28" t="s">
        <v>196</v>
      </c>
      <c r="AT28" t="s">
        <v>196</v>
      </c>
      <c r="AU28" t="s">
        <v>196</v>
      </c>
      <c r="AV28" t="s">
        <v>196</v>
      </c>
      <c r="AW28" t="s">
        <v>196</v>
      </c>
      <c r="AX28" t="s">
        <v>196</v>
      </c>
      <c r="AY28" s="4" t="s">
        <v>196</v>
      </c>
      <c r="AZ28" t="s">
        <v>196</v>
      </c>
      <c r="BA28" t="s">
        <v>196</v>
      </c>
      <c r="BB28" s="4" t="str">
        <f>HYPERLINK("http://exon.niaid.nih.gov/transcriptome/O_coriaceus/Sup2/links/CDD/OC-53-CDD.txt","MntH")</f>
        <v>MntH</v>
      </c>
      <c r="BC28" t="str">
        <f>HYPERLINK("http://www.ncbi.nlm.nih.gov/Structure/cdd/cddsrv.cgi?uid=COG1914&amp;version=v4.0","0.078")</f>
        <v>0.078</v>
      </c>
      <c r="BD28" t="s">
        <v>451</v>
      </c>
      <c r="BE28" s="4" t="str">
        <f>HYPERLINK("http://exon.niaid.nih.gov/transcriptome/O_coriaceus/Sup2/links/PFAM/OC-53-PFAM.txt","Tenui_PVC2")</f>
        <v>Tenui_PVC2</v>
      </c>
      <c r="BF28" t="str">
        <f>HYPERLINK("http://pfam.janelia.org/cgi-bin/getdesc?acc=PF06656","0.73")</f>
        <v>0.73</v>
      </c>
      <c r="BG28" s="4" t="str">
        <f>HYPERLINK("http://exon.niaid.nih.gov/transcriptome/O_coriaceus/Sup2/links/SMART/OC-53-SMART.txt","KU")</f>
        <v>KU</v>
      </c>
      <c r="BH28" t="str">
        <f>HYPERLINK("http://smart.embl-heidelberg.de/smart/do_annotation.pl?DOMAIN=KU&amp;BLAST=DUMMY","0.29")</f>
        <v>0.29</v>
      </c>
      <c r="BI28" s="2">
        <f>HYPERLINK("http://exon.niaid.nih.gov/transcriptome/O_coriaceus/Sup2/links/cluster/o-cori-COMP35-50-Sim-CLU8.txt",8)</f>
        <v>8</v>
      </c>
      <c r="BJ28" s="1">
        <f>HYPERLINK("http://exon.niaid.nih.gov/transcriptome/O_coriaceus/Sup2/links/cluster/o-cori-COMP35-50-Sim-CLTL8.txt",3)</f>
        <v>3</v>
      </c>
      <c r="BK28" s="2">
        <f>HYPERLINK("http://exon.niaid.nih.gov/transcriptome/O_coriaceus/Sup2/links/cluster/o-cori-COMP45-50-Sim-CLU7.txt",7)</f>
        <v>7</v>
      </c>
      <c r="BL28" s="1">
        <f>HYPERLINK("http://exon.niaid.nih.gov/transcriptome/O_coriaceus/Sup2/links/cluster/o-cori-COMP45-50-Sim-CLTL7.txt",3)</f>
        <v>3</v>
      </c>
      <c r="BM28" s="2">
        <f>HYPERLINK("http://exon.niaid.nih.gov/transcriptome/O_coriaceus/Sup2/links/cluster/o-cori-COMP55-50-Sim-CLU7.txt",7)</f>
        <v>7</v>
      </c>
      <c r="BN28" s="1">
        <f>HYPERLINK("http://exon.niaid.nih.gov/transcriptome/O_coriaceus/Sup2/links/cluster/o-cori-COMP55-50-Sim-CLTL7.txt",3)</f>
        <v>3</v>
      </c>
      <c r="BO28" s="2">
        <f>HYPERLINK("http://exon.niaid.nih.gov/transcriptome/O_coriaceus/Sup2/links/cluster/o-cori-COMP65-50-Sim-CLU6.txt",6)</f>
        <v>6</v>
      </c>
      <c r="BP28" s="1">
        <f>HYPERLINK("http://exon.niaid.nih.gov/transcriptome/O_coriaceus/Sup2/links/cluster/o-cori-COMP65-50-Sim-CLTL6.txt",3)</f>
        <v>3</v>
      </c>
      <c r="BQ28" s="2">
        <v>61</v>
      </c>
      <c r="BR28" s="1">
        <v>1</v>
      </c>
      <c r="BS28" s="2">
        <v>64</v>
      </c>
      <c r="BT28" s="1">
        <v>1</v>
      </c>
      <c r="BU28" s="2">
        <v>70</v>
      </c>
      <c r="BV28" s="1">
        <v>1</v>
      </c>
    </row>
    <row r="29" spans="1:33" s="6" customFormat="1" ht="10.5">
      <c r="A29" s="12" t="s">
        <v>247</v>
      </c>
      <c r="H29" s="11"/>
      <c r="N29" s="18" t="s">
        <v>196</v>
      </c>
      <c r="O29" s="11"/>
      <c r="P29" s="11"/>
      <c r="Q29" s="11"/>
      <c r="R29" s="11"/>
      <c r="S29" s="18" t="s">
        <v>196</v>
      </c>
      <c r="W29" s="11"/>
      <c r="X29" s="18"/>
      <c r="Y29" s="21" t="s">
        <v>196</v>
      </c>
      <c r="Z29" s="18"/>
      <c r="AA29" s="11"/>
      <c r="AB29" s="11"/>
      <c r="AC29" s="21" t="s">
        <v>196</v>
      </c>
      <c r="AD29" s="18"/>
      <c r="AE29" s="11"/>
      <c r="AF29" s="11"/>
      <c r="AG29" s="25" t="s">
        <v>196</v>
      </c>
    </row>
    <row r="30" spans="1:74" ht="10.5">
      <c r="A30" t="str">
        <f>HYPERLINK("http://exon.niaid.nih.gov/transcriptome/O_coriaceus/Sup2/links/pep/OC-24-pep.txt","OC-24")</f>
        <v>OC-24</v>
      </c>
      <c r="B30" s="1" t="s">
        <v>114</v>
      </c>
      <c r="C30">
        <v>160</v>
      </c>
      <c r="D30" t="s">
        <v>138</v>
      </c>
      <c r="E30" t="str">
        <f>HYPERLINK("http://exon.niaid.nih.gov/transcriptome/O_coriaceus/Sup2/links/nuc/OC-24-nuc.txt","OC-24")</f>
        <v>OC-24</v>
      </c>
      <c r="F30" s="1" t="s">
        <v>195</v>
      </c>
      <c r="G30" s="1" t="s">
        <v>194</v>
      </c>
      <c r="H30" s="5" t="str">
        <f>HYPERLINK("http://exon.niaid.nih.gov/transcriptome/O_coriaceus/Sup2/links/Sigp/OC-24-SigP.txt","SIG")</f>
        <v>SIG</v>
      </c>
      <c r="I30" t="s">
        <v>542</v>
      </c>
      <c r="J30" s="1">
        <v>17.813</v>
      </c>
      <c r="K30" s="1">
        <v>9.73</v>
      </c>
      <c r="L30" s="1">
        <v>15.604</v>
      </c>
      <c r="M30" s="1">
        <v>9.78</v>
      </c>
      <c r="N30" s="19" t="s">
        <v>26</v>
      </c>
      <c r="O30" s="5" t="str">
        <f>HYPERLINK("http://exon.niaid.nih.gov/transcriptome/O_coriaceus/Sup2/links/netoglyc/OC-24-netoglyc.txt","0")</f>
        <v>0</v>
      </c>
      <c r="P30" s="1">
        <v>12.5</v>
      </c>
      <c r="Q30" s="1">
        <v>10</v>
      </c>
      <c r="R30" s="1">
        <v>4.4</v>
      </c>
      <c r="S30" s="27" t="s">
        <v>196</v>
      </c>
      <c r="U30" s="4" t="str">
        <f>HYPERLINK("http://exon.niaid.nih.gov/transcriptome/O_coriaceus/Sup2/links/OCORI-EST/OC-24-OCORI-EST.txt","OCL-P11_C05")</f>
        <v>OCL-P11_C05</v>
      </c>
      <c r="V30" s="1">
        <v>0</v>
      </c>
      <c r="W30" s="5" t="str">
        <f>HYPERLINK("http://exon.niaid.nih.gov/transcriptome/O_coriaceus/Sup2/links/OCORI-EST/OC-24-OCORI-EST.txt"," 15")</f>
        <v> 15</v>
      </c>
      <c r="Y30" s="22" t="s">
        <v>196</v>
      </c>
      <c r="AC30" s="22" t="str">
        <f>HYPERLINK("http://exon.niaid.nih.gov/transcriptome/O_coriaceus/Sup2/links/OC-1D/OC-24-OC-1D.txt","P12_59 |P22_29 |P22_30 |P22_31 |P23_1 |P23_2 |P23_3 |P23_4 |P23_5 |P23_6 |P23_7 |P24_11 |P24_12 |P24_13 |P24_14 |P25_20 |P25_21 |P25_22 |P25_23 |P26_37 |P26_38 |P27_56 |S22_88 |S23_54 |S23_55 ")</f>
        <v>P12_59 |P22_29 |P22_30 |P22_31 |P23_1 |P23_2 |P23_3 |P23_4 |P23_5 |P23_6 |P23_7 |P24_11 |P24_12 |P24_13 |P24_14 |P25_20 |P25_21 |P25_22 |P25_23 |P26_37 |P26_38 |P27_56 |S22_88 |S23_54 |S23_55 </v>
      </c>
      <c r="AD30" s="27" t="s">
        <v>589</v>
      </c>
      <c r="AE30" s="1">
        <v>7</v>
      </c>
      <c r="AF30" s="1">
        <v>100</v>
      </c>
      <c r="AG30" s="26">
        <f>100*AF30/C30</f>
        <v>62.5</v>
      </c>
      <c r="AH30" s="4" t="str">
        <f>HYPERLINK("http://exon.niaid.nih.gov/transcriptome/O_coriaceus/Sup2/links/NR/OC-24-NR.txt","dual kunitz salivary protein")</f>
        <v>dual kunitz salivary protein</v>
      </c>
      <c r="AI30" t="str">
        <f>HYPERLINK("http://www.ncbi.nlm.nih.gov/sutils/blink.cgi?pid=149287150","6E-031")</f>
        <v>6E-031</v>
      </c>
      <c r="AJ30" t="s">
        <v>352</v>
      </c>
      <c r="AK30">
        <v>52</v>
      </c>
      <c r="AL30">
        <v>92</v>
      </c>
      <c r="AM30">
        <v>1</v>
      </c>
      <c r="AN30" t="s">
        <v>230</v>
      </c>
      <c r="AO30">
        <v>1</v>
      </c>
      <c r="AP30">
        <v>1</v>
      </c>
      <c r="AQ30">
        <v>1</v>
      </c>
      <c r="AR30" s="4" t="s">
        <v>353</v>
      </c>
      <c r="AS30">
        <f>HYPERLINK("http://exon.niaid.nih.gov/transcriptome/O_coriaceus/Sup2/links/GO/OC-24-GO.txt",0.0002)</f>
        <v>0.0002</v>
      </c>
      <c r="AT30" t="s">
        <v>354</v>
      </c>
      <c r="AU30" t="s">
        <v>273</v>
      </c>
      <c r="AV30" t="s">
        <v>355</v>
      </c>
      <c r="AW30" t="s">
        <v>356</v>
      </c>
      <c r="AX30">
        <v>0.0002</v>
      </c>
      <c r="AY30" s="4" t="s">
        <v>196</v>
      </c>
      <c r="AZ30" t="s">
        <v>196</v>
      </c>
      <c r="BA30" t="s">
        <v>196</v>
      </c>
      <c r="BB30" s="4" t="str">
        <f>HYPERLINK("http://exon.niaid.nih.gov/transcriptome/O_coriaceus/Sup2/links/CDD/OC-24-CDD.txt","RAD52")</f>
        <v>RAD52</v>
      </c>
      <c r="BC30" t="str">
        <f>HYPERLINK("http://www.ncbi.nlm.nih.gov/Structure/cdd/cddsrv.cgi?uid=COG5055&amp;version=v4.0","0.54")</f>
        <v>0.54</v>
      </c>
      <c r="BD30" t="s">
        <v>357</v>
      </c>
      <c r="BE30" s="4" t="s">
        <v>196</v>
      </c>
      <c r="BF30" t="s">
        <v>196</v>
      </c>
      <c r="BG30" s="4" t="str">
        <f>HYPERLINK("http://exon.niaid.nih.gov/transcriptome/O_coriaceus/Sup2/links/SMART/OC-24-SMART.txt","KU")</f>
        <v>KU</v>
      </c>
      <c r="BH30" t="str">
        <f>HYPERLINK("http://smart.embl-heidelberg.de/smart/do_annotation.pl?DOMAIN=KU&amp;BLAST=DUMMY","0.037")</f>
        <v>0.037</v>
      </c>
      <c r="BI30" s="2">
        <f>HYPERLINK("http://exon.niaid.nih.gov/transcriptome/O_coriaceus/Sup2/links/cluster/o-cori-COMP35-50-Sim-CLU6.txt",6)</f>
        <v>6</v>
      </c>
      <c r="BJ30" s="1">
        <f>HYPERLINK("http://exon.niaid.nih.gov/transcriptome/O_coriaceus/Sup2/links/cluster/o-cori-COMP35-50-Sim-CLTL6.txt",3)</f>
        <v>3</v>
      </c>
      <c r="BK30" s="2">
        <f>HYPERLINK("http://exon.niaid.nih.gov/transcriptome/O_coriaceus/Sup2/links/cluster/o-cori-COMP45-50-Sim-CLU6.txt",6)</f>
        <v>6</v>
      </c>
      <c r="BL30" s="1">
        <f>HYPERLINK("http://exon.niaid.nih.gov/transcriptome/O_coriaceus/Sup2/links/cluster/o-cori-COMP45-50-Sim-CLTL6.txt",3)</f>
        <v>3</v>
      </c>
      <c r="BM30" s="2">
        <f>HYPERLINK("http://exon.niaid.nih.gov/transcriptome/O_coriaceus/Sup2/links/cluster/o-cori-COMP55-50-Sim-CLU6.txt",6)</f>
        <v>6</v>
      </c>
      <c r="BN30" s="1">
        <f>HYPERLINK("http://exon.niaid.nih.gov/transcriptome/O_coriaceus/Sup2/links/cluster/o-cori-COMP55-50-Sim-CLTL6.txt",3)</f>
        <v>3</v>
      </c>
      <c r="BO30" s="2">
        <f>HYPERLINK("http://exon.niaid.nih.gov/transcriptome/O_coriaceus/Sup2/links/cluster/o-cori-COMP65-50-Sim-CLU5.txt",5)</f>
        <v>5</v>
      </c>
      <c r="BP30" s="1">
        <f>HYPERLINK("http://exon.niaid.nih.gov/transcriptome/O_coriaceus/Sup2/links/cluster/o-cori-COMP65-50-Sim-CLTL5.txt",3)</f>
        <v>3</v>
      </c>
      <c r="BQ30" s="2">
        <f>HYPERLINK("http://exon.niaid.nih.gov/transcriptome/O_coriaceus/Sup2/links/cluster/o-cori-COMP75-50-Sim-CLU3.txt",3)</f>
        <v>3</v>
      </c>
      <c r="BR30" s="1">
        <f>HYPERLINK("http://exon.niaid.nih.gov/transcriptome/O_coriaceus/Sup2/links/cluster/o-cori-COMP75-50-Sim-CLTL3.txt",3)</f>
        <v>3</v>
      </c>
      <c r="BS30" s="2">
        <f>HYPERLINK("http://exon.niaid.nih.gov/transcriptome/O_coriaceus/Sup2/links/cluster/o-cori-COMP85-50-Sim-CLU1.txt",1)</f>
        <v>1</v>
      </c>
      <c r="BT30" s="1">
        <f>HYPERLINK("http://exon.niaid.nih.gov/transcriptome/O_coriaceus/Sup2/links/cluster/o-cori-COMP85-50-Sim-CLTL1.txt",3)</f>
        <v>3</v>
      </c>
      <c r="BU30" s="2">
        <v>32</v>
      </c>
      <c r="BV30" s="1">
        <v>1</v>
      </c>
    </row>
    <row r="31" spans="1:74" ht="10.5">
      <c r="A31" t="str">
        <f>HYPERLINK("http://exon.niaid.nih.gov/transcriptome/O_coriaceus/Sup2/links/pep/OC-25-pep.txt","OC-25")</f>
        <v>OC-25</v>
      </c>
      <c r="B31" s="1" t="s">
        <v>114</v>
      </c>
      <c r="C31">
        <v>163</v>
      </c>
      <c r="D31" t="s">
        <v>138</v>
      </c>
      <c r="E31" t="str">
        <f>HYPERLINK("http://exon.niaid.nih.gov/transcriptome/O_coriaceus/Sup2/links/nuc/OC-25-nuc.txt","OC-25")</f>
        <v>OC-25</v>
      </c>
      <c r="F31" s="1" t="s">
        <v>195</v>
      </c>
      <c r="G31" s="1" t="s">
        <v>194</v>
      </c>
      <c r="H31" s="5" t="str">
        <f>HYPERLINK("http://exon.niaid.nih.gov/transcriptome/O_coriaceus/Sup2/links/Sigp/OC-25-SigP.txt","SIG")</f>
        <v>SIG</v>
      </c>
      <c r="I31" t="s">
        <v>542</v>
      </c>
      <c r="J31" s="1">
        <v>18.237</v>
      </c>
      <c r="K31" s="1">
        <v>9.71</v>
      </c>
      <c r="L31" s="1">
        <v>15.973</v>
      </c>
      <c r="M31" s="1">
        <v>9.76</v>
      </c>
      <c r="N31" s="19" t="s">
        <v>27</v>
      </c>
      <c r="O31" s="5" t="str">
        <f>HYPERLINK("http://exon.niaid.nih.gov/transcriptome/O_coriaceus/Sup2/links/netoglyc/OC-25-netoglyc.txt","0")</f>
        <v>0</v>
      </c>
      <c r="P31" s="1">
        <v>12.3</v>
      </c>
      <c r="Q31" s="1">
        <v>9.2</v>
      </c>
      <c r="R31" s="1">
        <v>4.9</v>
      </c>
      <c r="S31" s="27" t="s">
        <v>196</v>
      </c>
      <c r="U31" s="4" t="str">
        <f>HYPERLINK("http://exon.niaid.nih.gov/transcriptome/O_coriaceus/Sup2/links/OCORI-EST/OC-25-OCORI-EST.txt","OCL-PLATE05_F11")</f>
        <v>OCL-PLATE05_F11</v>
      </c>
      <c r="V31" s="1">
        <v>0</v>
      </c>
      <c r="W31" s="5" t="str">
        <f>HYPERLINK("http://exon.niaid.nih.gov/transcriptome/O_coriaceus/Sup2/links/OCORI-EST/OC-25-OCORI-EST.txt"," 14")</f>
        <v> 14</v>
      </c>
      <c r="Y31" s="22" t="s">
        <v>196</v>
      </c>
      <c r="AC31" s="22" t="str">
        <f>HYPERLINK("http://exon.niaid.nih.gov/transcriptome/O_coriaceus/Sup2/links/OC-1D/OC-25-OC-1D.txt","P12_59 |P22_29 |P22_30 |P22_31 |P22_118 |P23_1 |P23_5 |P23_6 |P23_7 |P24_11 |P24_12 |P24_14 |P25_21 |P25_22 |P25_23 |P26_37 |P26_38 |P27_56 |S22_88 |S23_55 |S24_93 |")</f>
        <v>P12_59 |P22_29 |P22_30 |P22_31 |P22_118 |P23_1 |P23_5 |P23_6 |P23_7 |P24_11 |P24_12 |P24_14 |P25_21 |P25_22 |P25_23 |P26_37 |P26_38 |P27_56 |S22_88 |S23_55 |S24_93 |</v>
      </c>
      <c r="AD31" s="27" t="s">
        <v>590</v>
      </c>
      <c r="AE31" s="1">
        <v>4</v>
      </c>
      <c r="AF31" s="1">
        <v>60</v>
      </c>
      <c r="AG31" s="26">
        <f>100*AF31/C31</f>
        <v>36.809815950920246</v>
      </c>
      <c r="AH31" s="4" t="str">
        <f>HYPERLINK("http://exon.niaid.nih.gov/transcriptome/O_coriaceus/Sup2/links/NR/OC-25-NR.txt","dual kunitz salivary protein")</f>
        <v>dual kunitz salivary protein</v>
      </c>
      <c r="AI31" t="str">
        <f>HYPERLINK("http://www.ncbi.nlm.nih.gov/sutils/blink.cgi?pid=149287150","5E-032")</f>
        <v>5E-032</v>
      </c>
      <c r="AJ31" t="s">
        <v>352</v>
      </c>
      <c r="AK31">
        <v>51</v>
      </c>
      <c r="AL31">
        <v>92</v>
      </c>
      <c r="AM31">
        <v>1</v>
      </c>
      <c r="AN31" t="s">
        <v>230</v>
      </c>
      <c r="AO31">
        <v>1</v>
      </c>
      <c r="AP31">
        <v>1</v>
      </c>
      <c r="AQ31">
        <v>1</v>
      </c>
      <c r="AR31" s="4" t="s">
        <v>353</v>
      </c>
      <c r="AS31">
        <f>HYPERLINK("http://exon.niaid.nih.gov/transcriptome/O_coriaceus/Sup2/links/GO/OC-25-GO.txt",0.00006)</f>
        <v>6E-05</v>
      </c>
      <c r="AT31" t="s">
        <v>354</v>
      </c>
      <c r="AU31" t="s">
        <v>273</v>
      </c>
      <c r="AV31" t="s">
        <v>355</v>
      </c>
      <c r="AW31" t="s">
        <v>356</v>
      </c>
      <c r="AX31">
        <v>6E-05</v>
      </c>
      <c r="AY31" s="4" t="str">
        <f>HYPERLINK("http://exon.niaid.nih.gov/transcriptome/O_coriaceus/Sup2/links/KOG/OC-25-KOG.txt","Arginyl-tRNA synthetase")</f>
        <v>Arginyl-tRNA synthetase</v>
      </c>
      <c r="AZ31" t="str">
        <f>HYPERLINK("http://www.ncbi.nlm.nih.gov/COG/grace/shokog.cgi?KOG1195","0.52")</f>
        <v>0.52</v>
      </c>
      <c r="BA31" t="s">
        <v>276</v>
      </c>
      <c r="BB31" s="4" t="str">
        <f>HYPERLINK("http://exon.niaid.nih.gov/transcriptome/O_coriaceus/Sup2/links/CDD/OC-25-CDD.txt","KU")</f>
        <v>KU</v>
      </c>
      <c r="BC31" t="str">
        <f>HYPERLINK("http://www.ncbi.nlm.nih.gov/Structure/cdd/cddsrv.cgi?uid=cd00109&amp;version=v4.0","0.76")</f>
        <v>0.76</v>
      </c>
      <c r="BD31" t="s">
        <v>361</v>
      </c>
      <c r="BE31" s="4" t="str">
        <f>HYPERLINK("http://exon.niaid.nih.gov/transcriptome/O_coriaceus/Sup2/links/PFAM/OC-25-PFAM.txt","DHC_N1")</f>
        <v>DHC_N1</v>
      </c>
      <c r="BF31" t="str">
        <f>HYPERLINK("http://pfam.janelia.org/cgi-bin/getdesc?acc=PF08385","0.19")</f>
        <v>0.19</v>
      </c>
      <c r="BG31" s="4" t="str">
        <f>HYPERLINK("http://exon.niaid.nih.gov/transcriptome/O_coriaceus/Sup2/links/SMART/OC-25-SMART.txt","KU")</f>
        <v>KU</v>
      </c>
      <c r="BH31" t="str">
        <f>HYPERLINK("http://smart.embl-heidelberg.de/smart/do_annotation.pl?DOMAIN=KU&amp;BLAST=DUMMY","0.038")</f>
        <v>0.038</v>
      </c>
      <c r="BI31" s="2">
        <f>HYPERLINK("http://exon.niaid.nih.gov/transcriptome/O_coriaceus/Sup2/links/cluster/o-cori-COMP35-50-Sim-CLU6.txt",6)</f>
        <v>6</v>
      </c>
      <c r="BJ31" s="1">
        <f>HYPERLINK("http://exon.niaid.nih.gov/transcriptome/O_coriaceus/Sup2/links/cluster/o-cori-COMP35-50-Sim-CLTL6.txt",3)</f>
        <v>3</v>
      </c>
      <c r="BK31" s="2">
        <f>HYPERLINK("http://exon.niaid.nih.gov/transcriptome/O_coriaceus/Sup2/links/cluster/o-cori-COMP45-50-Sim-CLU6.txt",6)</f>
        <v>6</v>
      </c>
      <c r="BL31" s="1">
        <f>HYPERLINK("http://exon.niaid.nih.gov/transcriptome/O_coriaceus/Sup2/links/cluster/o-cori-COMP45-50-Sim-CLTL6.txt",3)</f>
        <v>3</v>
      </c>
      <c r="BM31" s="2">
        <f>HYPERLINK("http://exon.niaid.nih.gov/transcriptome/O_coriaceus/Sup2/links/cluster/o-cori-COMP55-50-Sim-CLU6.txt",6)</f>
        <v>6</v>
      </c>
      <c r="BN31" s="1">
        <f>HYPERLINK("http://exon.niaid.nih.gov/transcriptome/O_coriaceus/Sup2/links/cluster/o-cori-COMP55-50-Sim-CLTL6.txt",3)</f>
        <v>3</v>
      </c>
      <c r="BO31" s="2">
        <f>HYPERLINK("http://exon.niaid.nih.gov/transcriptome/O_coriaceus/Sup2/links/cluster/o-cori-COMP65-50-Sim-CLU5.txt",5)</f>
        <v>5</v>
      </c>
      <c r="BP31" s="1">
        <f>HYPERLINK("http://exon.niaid.nih.gov/transcriptome/O_coriaceus/Sup2/links/cluster/o-cori-COMP65-50-Sim-CLTL5.txt",3)</f>
        <v>3</v>
      </c>
      <c r="BQ31" s="2">
        <f>HYPERLINK("http://exon.niaid.nih.gov/transcriptome/O_coriaceus/Sup2/links/cluster/o-cori-COMP75-50-Sim-CLU3.txt",3)</f>
        <v>3</v>
      </c>
      <c r="BR31" s="1">
        <f>HYPERLINK("http://exon.niaid.nih.gov/transcriptome/O_coriaceus/Sup2/links/cluster/o-cori-COMP75-50-Sim-CLTL3.txt",3)</f>
        <v>3</v>
      </c>
      <c r="BS31" s="2">
        <f>HYPERLINK("http://exon.niaid.nih.gov/transcriptome/O_coriaceus/Sup2/links/cluster/o-cori-COMP85-50-Sim-CLU1.txt",1)</f>
        <v>1</v>
      </c>
      <c r="BT31" s="1">
        <f>HYPERLINK("http://exon.niaid.nih.gov/transcriptome/O_coriaceus/Sup2/links/cluster/o-cori-COMP85-50-Sim-CLTL1.txt",3)</f>
        <v>3</v>
      </c>
      <c r="BU31" s="2">
        <v>34</v>
      </c>
      <c r="BV31" s="1">
        <v>1</v>
      </c>
    </row>
    <row r="32" spans="1:74" ht="10.5">
      <c r="A32" t="str">
        <f>HYPERLINK("http://exon.niaid.nih.gov/transcriptome/O_coriaceus/Sup2/links/pep/OC-26-pep.txt","OC-26")</f>
        <v>OC-26</v>
      </c>
      <c r="B32" s="1" t="s">
        <v>114</v>
      </c>
      <c r="C32">
        <v>155</v>
      </c>
      <c r="D32" t="s">
        <v>138</v>
      </c>
      <c r="E32" t="str">
        <f>HYPERLINK("http://exon.niaid.nih.gov/transcriptome/O_coriaceus/Sup2/links/nuc/OC-26-nuc.txt","OC-26")</f>
        <v>OC-26</v>
      </c>
      <c r="F32" s="1" t="s">
        <v>195</v>
      </c>
      <c r="G32" s="1" t="s">
        <v>194</v>
      </c>
      <c r="H32" s="5" t="str">
        <f>HYPERLINK("http://exon.niaid.nih.gov/transcriptome/O_coriaceus/Sup2/links/Sigp/OC-26-SigP.txt","SIG")</f>
        <v>SIG</v>
      </c>
      <c r="I32" t="s">
        <v>542</v>
      </c>
      <c r="J32" s="1">
        <v>17.471</v>
      </c>
      <c r="K32" s="1">
        <v>9.55</v>
      </c>
      <c r="L32" s="1">
        <v>15.207</v>
      </c>
      <c r="M32" s="1">
        <v>9.54</v>
      </c>
      <c r="N32" s="19" t="s">
        <v>28</v>
      </c>
      <c r="O32" s="5" t="str">
        <f>HYPERLINK("http://exon.niaid.nih.gov/transcriptome/O_coriaceus/Sup2/links/netoglyc/OC-26-netoglyc.txt","0")</f>
        <v>0</v>
      </c>
      <c r="P32" s="1">
        <v>12.3</v>
      </c>
      <c r="Q32" s="1">
        <v>8.4</v>
      </c>
      <c r="R32" s="1">
        <v>3.9</v>
      </c>
      <c r="S32" s="27" t="s">
        <v>196</v>
      </c>
      <c r="U32" s="4" t="str">
        <f>HYPERLINK("http://exon.niaid.nih.gov/transcriptome/O_coriaceus/Sup2/links/OCORI-EST/OC-26-OCORI-EST.txt","OCL-P13_H11")</f>
        <v>OCL-P13_H11</v>
      </c>
      <c r="V32" s="1">
        <v>0</v>
      </c>
      <c r="W32" s="5" t="str">
        <f>HYPERLINK("http://exon.niaid.nih.gov/transcriptome/O_coriaceus/Sup2/links/OCORI-EST/OC-26-OCORI-EST.txt"," 14")</f>
        <v> 14</v>
      </c>
      <c r="Y32" s="22" t="s">
        <v>196</v>
      </c>
      <c r="AC32" s="22" t="str">
        <f>HYPERLINK("http://exon.niaid.nih.gov/transcriptome/O_coriaceus/Sup2/links/OC-1D/OC-26-OC-1D.txt","P08_52 |P09_65 |P10_48 |P11_17 |P12_59 |P17_98 |P22_30 |P22_31 |P22_117 |P23_6 |P23_7 |P23_42 |P23_43 |P23_44 |P23_45 |P24_11 |P24_12 |P24_21 |P24_22 |P24_23 |P24_24 |P25_21 |P25_22 |P25_66 |P26_37 ")</f>
        <v>P08_52 |P09_65 |P10_48 |P11_17 |P12_59 |P17_98 |P22_30 |P22_31 |P22_117 |P23_6 |P23_7 |P23_42 |P23_43 |P23_44 |P23_45 |P24_11 |P24_12 |P24_21 |P24_22 |P24_23 |P24_24 |P25_21 |P25_22 |P25_66 |P26_37 </v>
      </c>
      <c r="AD32" s="27" t="s">
        <v>591</v>
      </c>
      <c r="AE32" s="1">
        <v>6</v>
      </c>
      <c r="AF32" s="1">
        <v>94</v>
      </c>
      <c r="AG32" s="26">
        <f>100*AF32/C32</f>
        <v>60.645161290322584</v>
      </c>
      <c r="AH32" s="4" t="str">
        <f>HYPERLINK("http://exon.niaid.nih.gov/transcriptome/O_coriaceus/Sup2/links/NR/OC-26-NR.txt","dual kunitz salivary protein")</f>
        <v>dual kunitz salivary protein</v>
      </c>
      <c r="AI32" t="str">
        <f>HYPERLINK("http://www.ncbi.nlm.nih.gov/sutils/blink.cgi?pid=149287150","3E-029")</f>
        <v>3E-029</v>
      </c>
      <c r="AJ32" t="s">
        <v>352</v>
      </c>
      <c r="AK32">
        <v>50</v>
      </c>
      <c r="AL32">
        <v>87</v>
      </c>
      <c r="AM32">
        <v>9</v>
      </c>
      <c r="AN32" t="s">
        <v>230</v>
      </c>
      <c r="AO32">
        <v>9</v>
      </c>
      <c r="AP32">
        <v>9</v>
      </c>
      <c r="AQ32">
        <v>1</v>
      </c>
      <c r="AR32" s="4" t="s">
        <v>353</v>
      </c>
      <c r="AS32">
        <f>HYPERLINK("http://exon.niaid.nih.gov/transcriptome/O_coriaceus/Sup2/links/GO/OC-26-GO.txt",0.000006)</f>
        <v>6E-06</v>
      </c>
      <c r="AT32" t="s">
        <v>354</v>
      </c>
      <c r="AU32" t="s">
        <v>273</v>
      </c>
      <c r="AV32" t="s">
        <v>355</v>
      </c>
      <c r="AW32" t="s">
        <v>356</v>
      </c>
      <c r="AX32">
        <v>6E-06</v>
      </c>
      <c r="AY32" s="4" t="s">
        <v>196</v>
      </c>
      <c r="AZ32" t="s">
        <v>196</v>
      </c>
      <c r="BA32" t="s">
        <v>196</v>
      </c>
      <c r="BB32" s="4" t="s">
        <v>196</v>
      </c>
      <c r="BC32" t="s">
        <v>196</v>
      </c>
      <c r="BD32" t="s">
        <v>196</v>
      </c>
      <c r="BE32" s="4" t="str">
        <f>HYPERLINK("http://exon.niaid.nih.gov/transcriptome/O_coriaceus/Sup2/links/PFAM/OC-26-PFAM.txt","Kunitz_BPTI")</f>
        <v>Kunitz_BPTI</v>
      </c>
      <c r="BF32" t="str">
        <f>HYPERLINK("http://pfam.janelia.org/cgi-bin/getdesc?acc=PF00014","0.97")</f>
        <v>0.97</v>
      </c>
      <c r="BG32" s="4" t="str">
        <f>HYPERLINK("http://exon.niaid.nih.gov/transcriptome/O_coriaceus/Sup2/links/SMART/OC-26-SMART.txt","KU")</f>
        <v>KU</v>
      </c>
      <c r="BH32" t="str">
        <f>HYPERLINK("http://smart.embl-heidelberg.de/smart/do_annotation.pl?DOMAIN=KU&amp;BLAST=DUMMY","0.030")</f>
        <v>0.030</v>
      </c>
      <c r="BI32" s="2">
        <f>HYPERLINK("http://exon.niaid.nih.gov/transcriptome/O_coriaceus/Sup2/links/cluster/o-cori-COMP35-50-Sim-CLU6.txt",6)</f>
        <v>6</v>
      </c>
      <c r="BJ32" s="1">
        <f>HYPERLINK("http://exon.niaid.nih.gov/transcriptome/O_coriaceus/Sup2/links/cluster/o-cori-COMP35-50-Sim-CLTL6.txt",3)</f>
        <v>3</v>
      </c>
      <c r="BK32" s="2">
        <f>HYPERLINK("http://exon.niaid.nih.gov/transcriptome/O_coriaceus/Sup2/links/cluster/o-cori-COMP45-50-Sim-CLU6.txt",6)</f>
        <v>6</v>
      </c>
      <c r="BL32" s="1">
        <f>HYPERLINK("http://exon.niaid.nih.gov/transcriptome/O_coriaceus/Sup2/links/cluster/o-cori-COMP45-50-Sim-CLTL6.txt",3)</f>
        <v>3</v>
      </c>
      <c r="BM32" s="2">
        <f>HYPERLINK("http://exon.niaid.nih.gov/transcriptome/O_coriaceus/Sup2/links/cluster/o-cori-COMP55-50-Sim-CLU6.txt",6)</f>
        <v>6</v>
      </c>
      <c r="BN32" s="1">
        <f>HYPERLINK("http://exon.niaid.nih.gov/transcriptome/O_coriaceus/Sup2/links/cluster/o-cori-COMP55-50-Sim-CLTL6.txt",3)</f>
        <v>3</v>
      </c>
      <c r="BO32" s="2">
        <f>HYPERLINK("http://exon.niaid.nih.gov/transcriptome/O_coriaceus/Sup2/links/cluster/o-cori-COMP65-50-Sim-CLU5.txt",5)</f>
        <v>5</v>
      </c>
      <c r="BP32" s="1">
        <f>HYPERLINK("http://exon.niaid.nih.gov/transcriptome/O_coriaceus/Sup2/links/cluster/o-cori-COMP65-50-Sim-CLTL5.txt",3)</f>
        <v>3</v>
      </c>
      <c r="BQ32" s="2">
        <f>HYPERLINK("http://exon.niaid.nih.gov/transcriptome/O_coriaceus/Sup2/links/cluster/o-cori-COMP75-50-Sim-CLU3.txt",3)</f>
        <v>3</v>
      </c>
      <c r="BR32" s="1">
        <f>HYPERLINK("http://exon.niaid.nih.gov/transcriptome/O_coriaceus/Sup2/links/cluster/o-cori-COMP75-50-Sim-CLTL3.txt",3)</f>
        <v>3</v>
      </c>
      <c r="BS32" s="2">
        <f>HYPERLINK("http://exon.niaid.nih.gov/transcriptome/O_coriaceus/Sup2/links/cluster/o-cori-COMP85-50-Sim-CLU1.txt",1)</f>
        <v>1</v>
      </c>
      <c r="BT32" s="1">
        <f>HYPERLINK("http://exon.niaid.nih.gov/transcriptome/O_coriaceus/Sup2/links/cluster/o-cori-COMP85-50-Sim-CLTL1.txt",3)</f>
        <v>3</v>
      </c>
      <c r="BU32" s="2">
        <v>36</v>
      </c>
      <c r="BV32" s="1">
        <v>1</v>
      </c>
    </row>
    <row r="33" spans="1:33" s="6" customFormat="1" ht="10.5">
      <c r="A33" s="12" t="s">
        <v>249</v>
      </c>
      <c r="H33" s="11"/>
      <c r="N33" s="18" t="s">
        <v>196</v>
      </c>
      <c r="O33" s="11"/>
      <c r="P33" s="11"/>
      <c r="Q33" s="11"/>
      <c r="R33" s="11"/>
      <c r="S33" s="18" t="s">
        <v>196</v>
      </c>
      <c r="W33" s="11"/>
      <c r="X33" s="18"/>
      <c r="Y33" s="21" t="s">
        <v>196</v>
      </c>
      <c r="Z33" s="18"/>
      <c r="AA33" s="11"/>
      <c r="AB33" s="11"/>
      <c r="AC33" s="21" t="s">
        <v>196</v>
      </c>
      <c r="AD33" s="18"/>
      <c r="AE33" s="11"/>
      <c r="AF33" s="11"/>
      <c r="AG33" s="25" t="s">
        <v>196</v>
      </c>
    </row>
    <row r="34" spans="1:74" ht="10.5">
      <c r="A34" t="str">
        <f>HYPERLINK("http://exon.niaid.nih.gov/transcriptome/O_coriaceus/Sup2/links/pep/OC-38-pep.txt","OC-38")</f>
        <v>OC-38</v>
      </c>
      <c r="B34" s="1" t="s">
        <v>114</v>
      </c>
      <c r="C34">
        <v>139</v>
      </c>
      <c r="D34" t="s">
        <v>155</v>
      </c>
      <c r="E34" t="str">
        <f>HYPERLINK("http://exon.niaid.nih.gov/transcriptome/O_coriaceus/Sup2/links/nuc/OC-38-nuc.txt","OC-38")</f>
        <v>OC-38</v>
      </c>
      <c r="F34" s="1" t="s">
        <v>195</v>
      </c>
      <c r="G34" s="1" t="s">
        <v>194</v>
      </c>
      <c r="H34" s="5" t="str">
        <f>HYPERLINK("http://exon.niaid.nih.gov/transcriptome/O_coriaceus/Sup2/links/Sigp/OC-38-SigP.txt","SIG")</f>
        <v>SIG</v>
      </c>
      <c r="I34" t="s">
        <v>547</v>
      </c>
      <c r="J34" s="1">
        <v>15.314</v>
      </c>
      <c r="K34" s="1">
        <v>9.99</v>
      </c>
      <c r="L34" s="1">
        <v>12.929</v>
      </c>
      <c r="M34" s="1">
        <v>10.02</v>
      </c>
      <c r="N34" s="19" t="s">
        <v>29</v>
      </c>
      <c r="O34" s="5" t="str">
        <f>HYPERLINK("http://exon.niaid.nih.gov/transcriptome/O_coriaceus/Sup2/links/netoglyc/OC-38-netoglyc.txt","0")</f>
        <v>0</v>
      </c>
      <c r="P34" s="1">
        <v>14.4</v>
      </c>
      <c r="Q34" s="1">
        <v>7.2</v>
      </c>
      <c r="R34" s="1">
        <v>3.6</v>
      </c>
      <c r="S34" s="27" t="s">
        <v>196</v>
      </c>
      <c r="U34" s="4" t="str">
        <f>HYPERLINK("http://exon.niaid.nih.gov/transcriptome/O_coriaceus/Sup2/links/OCORI-EST/OC-38-OCORI-EST.txt","OCL_PLATE1_C12")</f>
        <v>OCL_PLATE1_C12</v>
      </c>
      <c r="V34" s="1">
        <v>0</v>
      </c>
      <c r="W34" s="5" t="str">
        <f>HYPERLINK("http://exon.niaid.nih.gov/transcriptome/O_coriaceus/Sup2/links/OCORI-EST/OC-38-OCORI-EST.txt"," 12")</f>
        <v> 12</v>
      </c>
      <c r="Y34" s="22" t="s">
        <v>196</v>
      </c>
      <c r="AC34" s="22" t="str">
        <f>HYPERLINK("http://exon.niaid.nih.gov/transcriptome/O_coriaceus/Sup2/links/OC-1D/OC-38-OC-1D.txt","P22_80 |P23_71 |P23_72 |P24_62 |P24_63 |P25_42 |P25_45 |P25_69 |P26_74 |P27_61 |S24_61 |S25_69 |")</f>
        <v>P22_80 |P23_71 |P23_72 |P24_62 |P24_63 |P25_42 |P25_45 |P25_69 |P26_74 |P27_61 |S24_61 |S25_69 |</v>
      </c>
      <c r="AD34" s="27" t="s">
        <v>592</v>
      </c>
      <c r="AE34" s="1">
        <v>3</v>
      </c>
      <c r="AF34" s="1">
        <v>29</v>
      </c>
      <c r="AG34" s="26">
        <f>100*AF34/C34</f>
        <v>20.863309352517987</v>
      </c>
      <c r="AH34" s="4" t="str">
        <f>HYPERLINK("http://exon.niaid.nih.gov/transcriptome/O_coriaceus/Sup2/links/NR/OC-38-NR.txt","salivary cystatin")</f>
        <v>salivary cystatin</v>
      </c>
      <c r="AI34" t="str">
        <f>HYPERLINK("http://www.ncbi.nlm.nih.gov/sutils/blink.cgi?pid=149287198","3E-011")</f>
        <v>3E-011</v>
      </c>
      <c r="AJ34" t="s">
        <v>387</v>
      </c>
      <c r="AK34">
        <v>45</v>
      </c>
      <c r="AL34">
        <v>96</v>
      </c>
      <c r="AM34">
        <v>1</v>
      </c>
      <c r="AN34" t="s">
        <v>230</v>
      </c>
      <c r="AO34">
        <v>1</v>
      </c>
      <c r="AP34">
        <v>31</v>
      </c>
      <c r="AQ34">
        <v>1</v>
      </c>
      <c r="AR34" s="4" t="s">
        <v>196</v>
      </c>
      <c r="AS34" t="s">
        <v>196</v>
      </c>
      <c r="AT34" t="s">
        <v>196</v>
      </c>
      <c r="AU34" t="s">
        <v>196</v>
      </c>
      <c r="AV34" t="s">
        <v>196</v>
      </c>
      <c r="AW34" t="s">
        <v>196</v>
      </c>
      <c r="AX34" t="s">
        <v>196</v>
      </c>
      <c r="AY34" s="4" t="s">
        <v>196</v>
      </c>
      <c r="AZ34" t="s">
        <v>196</v>
      </c>
      <c r="BA34" t="s">
        <v>196</v>
      </c>
      <c r="BB34" s="4" t="str">
        <f>HYPERLINK("http://exon.niaid.nih.gov/transcriptome/O_coriaceus/Sup2/links/CDD/OC-38-CDD.txt","CY")</f>
        <v>CY</v>
      </c>
      <c r="BC34" t="str">
        <f>HYPERLINK("http://www.ncbi.nlm.nih.gov/Structure/cdd/cddsrv.cgi?uid=cd00042&amp;version=v4.0","0.015")</f>
        <v>0.015</v>
      </c>
      <c r="BD34" t="s">
        <v>395</v>
      </c>
      <c r="BE34" s="4" t="str">
        <f>HYPERLINK("http://exon.niaid.nih.gov/transcriptome/O_coriaceus/Sup2/links/PFAM/OC-38-PFAM.txt","Cystatin")</f>
        <v>Cystatin</v>
      </c>
      <c r="BF34" t="str">
        <f>HYPERLINK("http://pfam.janelia.org/cgi-bin/getdesc?acc=PF00031","0.034")</f>
        <v>0.034</v>
      </c>
      <c r="BG34" s="4" t="str">
        <f>HYPERLINK("http://exon.niaid.nih.gov/transcriptome/O_coriaceus/Sup2/links/SMART/OC-38-SMART.txt","CY")</f>
        <v>CY</v>
      </c>
      <c r="BH34" t="str">
        <f>HYPERLINK("http://smart.embl-heidelberg.de/smart/do_annotation.pl?DOMAIN=CY&amp;BLAST=DUMMY","0.017")</f>
        <v>0.017</v>
      </c>
      <c r="BI34" s="2">
        <f>HYPERLINK("http://exon.niaid.nih.gov/transcriptome/O_coriaceus/Sup2/links/cluster/o-cori-COMP35-50-Sim-CLU10.txt",10)</f>
        <v>10</v>
      </c>
      <c r="BJ34" s="1">
        <f>HYPERLINK("http://exon.niaid.nih.gov/transcriptome/O_coriaceus/Sup2/links/cluster/o-cori-COMP35-50-Sim-CLTL10.txt",2)</f>
        <v>2</v>
      </c>
      <c r="BK34" s="2">
        <f>HYPERLINK("http://exon.niaid.nih.gov/transcriptome/O_coriaceus/Sup2/links/cluster/o-cori-COMP45-50-Sim-CLU8.txt",8)</f>
        <v>8</v>
      </c>
      <c r="BL34" s="1">
        <f>HYPERLINK("http://exon.niaid.nih.gov/transcriptome/O_coriaceus/Sup2/links/cluster/o-cori-COMP45-50-Sim-CLTL8.txt",2)</f>
        <v>2</v>
      </c>
      <c r="BM34" s="2">
        <f>HYPERLINK("http://exon.niaid.nih.gov/transcriptome/O_coriaceus/Sup2/links/cluster/o-cori-COMP55-50-Sim-CLU8.txt",8)</f>
        <v>8</v>
      </c>
      <c r="BN34" s="1">
        <f>HYPERLINK("http://exon.niaid.nih.gov/transcriptome/O_coriaceus/Sup2/links/cluster/o-cori-COMP55-50-Sim-CLTL8.txt",2)</f>
        <v>2</v>
      </c>
      <c r="BO34" s="2">
        <f>HYPERLINK("http://exon.niaid.nih.gov/transcriptome/O_coriaceus/Sup2/links/cluster/o-cori-COMP65-50-Sim-CLU10.txt",10)</f>
        <v>10</v>
      </c>
      <c r="BP34" s="1">
        <f>HYPERLINK("http://exon.niaid.nih.gov/transcriptome/O_coriaceus/Sup2/links/cluster/o-cori-COMP65-50-Sim-CLTL10.txt",2)</f>
        <v>2</v>
      </c>
      <c r="BQ34" s="2">
        <f>HYPERLINK("http://exon.niaid.nih.gov/transcriptome/O_coriaceus/Sup2/links/cluster/o-cori-COMP75-50-Sim-CLU8.txt",8)</f>
        <v>8</v>
      </c>
      <c r="BR34" s="1">
        <f>HYPERLINK("http://exon.niaid.nih.gov/transcriptome/O_coriaceus/Sup2/links/cluster/o-cori-COMP75-50-Sim-CLTL8.txt",2)</f>
        <v>2</v>
      </c>
      <c r="BS34" s="2">
        <f>HYPERLINK("http://exon.niaid.nih.gov/transcriptome/O_coriaceus/Sup2/links/cluster/o-cori-COMP85-50-Sim-CLU5.txt",5)</f>
        <v>5</v>
      </c>
      <c r="BT34" s="1">
        <f>HYPERLINK("http://exon.niaid.nih.gov/transcriptome/O_coriaceus/Sup2/links/cluster/o-cori-COMP85-50-Sim-CLTL5.txt",2)</f>
        <v>2</v>
      </c>
      <c r="BU34" s="2">
        <f>HYPERLINK("http://exon.niaid.nih.gov/transcriptome/O_coriaceus/Sup2/links/cluster/o-cori-COMP95-50-Sim-CLU1.txt",1)</f>
        <v>1</v>
      </c>
      <c r="BV34" s="1">
        <f>HYPERLINK("http://exon.niaid.nih.gov/transcriptome/O_coriaceus/Sup2/links/cluster/o-cori-COMP95-50-Sim-CLTL1.txt",2)</f>
        <v>2</v>
      </c>
    </row>
    <row r="35" spans="1:74" ht="10.5">
      <c r="A35" t="str">
        <f>HYPERLINK("http://exon.niaid.nih.gov/transcriptome/O_coriaceus/Sup2/links/pep/OC-37-pep.txt","OC-37")</f>
        <v>OC-37</v>
      </c>
      <c r="B35" s="1" t="s">
        <v>114</v>
      </c>
      <c r="C35">
        <v>139</v>
      </c>
      <c r="D35" t="s">
        <v>152</v>
      </c>
      <c r="E35" t="str">
        <f>HYPERLINK("http://exon.niaid.nih.gov/transcriptome/O_coriaceus/Sup2/links/nuc/OC-37-nuc.txt","OC-37")</f>
        <v>OC-37</v>
      </c>
      <c r="F35" s="1" t="s">
        <v>195</v>
      </c>
      <c r="G35" s="1" t="s">
        <v>194</v>
      </c>
      <c r="H35" s="5" t="str">
        <f>HYPERLINK("http://exon.niaid.nih.gov/transcriptome/O_coriaceus/Sup2/links/Sigp/OC-37-SigP.txt","SIG")</f>
        <v>SIG</v>
      </c>
      <c r="I35" t="s">
        <v>547</v>
      </c>
      <c r="J35" s="1">
        <v>15.205</v>
      </c>
      <c r="K35" s="1">
        <v>9.66</v>
      </c>
      <c r="L35" s="1">
        <v>12.892</v>
      </c>
      <c r="M35" s="1">
        <v>9.67</v>
      </c>
      <c r="N35" s="19" t="s">
        <v>30</v>
      </c>
      <c r="O35" s="5" t="str">
        <f>HYPERLINK("http://exon.niaid.nih.gov/transcriptome/O_coriaceus/Sup2/links/netoglyc/OC-37-netoglyc.txt","0")</f>
        <v>0</v>
      </c>
      <c r="P35" s="1">
        <v>14.4</v>
      </c>
      <c r="Q35" s="1">
        <v>7.9</v>
      </c>
      <c r="R35" s="1">
        <v>3.6</v>
      </c>
      <c r="S35" s="27" t="s">
        <v>196</v>
      </c>
      <c r="U35" s="4" t="str">
        <f>HYPERLINK("http://exon.niaid.nih.gov/transcriptome/O_coriaceus/Sup2/links/OCORI-EST/OC-37-OCORI-EST.txt","OCL-P13_A11")</f>
        <v>OCL-P13_A11</v>
      </c>
      <c r="V35" s="1">
        <v>0</v>
      </c>
      <c r="W35" s="5" t="str">
        <f>HYPERLINK("http://exon.niaid.nih.gov/transcriptome/O_coriaceus/Sup2/links/OCORI-EST/OC-37-OCORI-EST.txt"," 12")</f>
        <v> 12</v>
      </c>
      <c r="Y35" s="22" t="s">
        <v>196</v>
      </c>
      <c r="AC35" s="22" t="str">
        <f>HYPERLINK("http://exon.niaid.nih.gov/transcriptome/O_coriaceus/Sup2/links/OC-1D/OC-37-OC-1D.txt","P22_80 |P23_71 |P23_72 |P24_62 |P24_63 |P25_42 |P25_43 |P25_44 |P25_45 |P26_74 |P27_61 |S24_61 |S25_69 |")</f>
        <v>P22_80 |P23_71 |P23_72 |P24_62 |P24_63 |P25_42 |P25_43 |P25_44 |P25_45 |P26_74 |P27_61 |S24_61 |S25_69 |</v>
      </c>
      <c r="AD35" s="27" t="s">
        <v>593</v>
      </c>
      <c r="AE35" s="1">
        <v>4</v>
      </c>
      <c r="AF35" s="1">
        <v>40</v>
      </c>
      <c r="AG35" s="26">
        <f>100*AF35/C35</f>
        <v>28.776978417266186</v>
      </c>
      <c r="AH35" s="4" t="str">
        <f>HYPERLINK("http://exon.niaid.nih.gov/transcriptome/O_coriaceus/Sup2/links/NR/OC-37-NR.txt","salivary cystatin")</f>
        <v>salivary cystatin</v>
      </c>
      <c r="AI35" t="str">
        <f>HYPERLINK("http://www.ncbi.nlm.nih.gov/sutils/blink.cgi?pid=149287198","2E-012")</f>
        <v>2E-012</v>
      </c>
      <c r="AJ35" t="s">
        <v>387</v>
      </c>
      <c r="AK35">
        <v>45</v>
      </c>
      <c r="AL35">
        <v>96</v>
      </c>
      <c r="AM35">
        <v>1</v>
      </c>
      <c r="AN35" t="s">
        <v>230</v>
      </c>
      <c r="AO35">
        <v>1</v>
      </c>
      <c r="AP35">
        <v>31</v>
      </c>
      <c r="AQ35">
        <v>1</v>
      </c>
      <c r="AR35" s="4" t="s">
        <v>196</v>
      </c>
      <c r="AS35" t="s">
        <v>196</v>
      </c>
      <c r="AT35" t="s">
        <v>196</v>
      </c>
      <c r="AU35" t="s">
        <v>196</v>
      </c>
      <c r="AV35" t="s">
        <v>196</v>
      </c>
      <c r="AW35" t="s">
        <v>196</v>
      </c>
      <c r="AX35" t="s">
        <v>196</v>
      </c>
      <c r="AY35" s="4" t="s">
        <v>196</v>
      </c>
      <c r="AZ35" t="s">
        <v>196</v>
      </c>
      <c r="BA35" t="s">
        <v>196</v>
      </c>
      <c r="BB35" s="4" t="str">
        <f>HYPERLINK("http://exon.niaid.nih.gov/transcriptome/O_coriaceus/Sup2/links/CDD/OC-37-CDD.txt","CY")</f>
        <v>CY</v>
      </c>
      <c r="BC35" t="str">
        <f>HYPERLINK("http://www.ncbi.nlm.nih.gov/Structure/cdd/cddsrv.cgi?uid=cd00042&amp;version=v4.0","0.008")</f>
        <v>0.008</v>
      </c>
      <c r="BD35" t="s">
        <v>388</v>
      </c>
      <c r="BE35" s="4" t="str">
        <f>HYPERLINK("http://exon.niaid.nih.gov/transcriptome/O_coriaceus/Sup2/links/PFAM/OC-37-PFAM.txt","Cystatin")</f>
        <v>Cystatin</v>
      </c>
      <c r="BF35" t="str">
        <f>HYPERLINK("http://pfam.janelia.org/cgi-bin/getdesc?acc=PF00031","0.051")</f>
        <v>0.051</v>
      </c>
      <c r="BG35" s="4" t="str">
        <f>HYPERLINK("http://exon.niaid.nih.gov/transcriptome/O_coriaceus/Sup2/links/SMART/OC-37-SMART.txt","CY")</f>
        <v>CY</v>
      </c>
      <c r="BH35" t="str">
        <f>HYPERLINK("http://smart.embl-heidelberg.de/smart/do_annotation.pl?DOMAIN=CY&amp;BLAST=DUMMY","0.008")</f>
        <v>0.008</v>
      </c>
      <c r="BI35" s="2">
        <f>HYPERLINK("http://exon.niaid.nih.gov/transcriptome/O_coriaceus/Sup2/links/cluster/o-cori-COMP35-50-Sim-CLU10.txt",10)</f>
        <v>10</v>
      </c>
      <c r="BJ35" s="1">
        <f>HYPERLINK("http://exon.niaid.nih.gov/transcriptome/O_coriaceus/Sup2/links/cluster/o-cori-COMP35-50-Sim-CLTL10.txt",2)</f>
        <v>2</v>
      </c>
      <c r="BK35" s="2">
        <f>HYPERLINK("http://exon.niaid.nih.gov/transcriptome/O_coriaceus/Sup2/links/cluster/o-cori-COMP45-50-Sim-CLU8.txt",8)</f>
        <v>8</v>
      </c>
      <c r="BL35" s="1">
        <f>HYPERLINK("http://exon.niaid.nih.gov/transcriptome/O_coriaceus/Sup2/links/cluster/o-cori-COMP45-50-Sim-CLTL8.txt",2)</f>
        <v>2</v>
      </c>
      <c r="BM35" s="2">
        <f>HYPERLINK("http://exon.niaid.nih.gov/transcriptome/O_coriaceus/Sup2/links/cluster/o-cori-COMP55-50-Sim-CLU8.txt",8)</f>
        <v>8</v>
      </c>
      <c r="BN35" s="1">
        <f>HYPERLINK("http://exon.niaid.nih.gov/transcriptome/O_coriaceus/Sup2/links/cluster/o-cori-COMP55-50-Sim-CLTL8.txt",2)</f>
        <v>2</v>
      </c>
      <c r="BO35" s="2">
        <f>HYPERLINK("http://exon.niaid.nih.gov/transcriptome/O_coriaceus/Sup2/links/cluster/o-cori-COMP65-50-Sim-CLU10.txt",10)</f>
        <v>10</v>
      </c>
      <c r="BP35" s="1">
        <f>HYPERLINK("http://exon.niaid.nih.gov/transcriptome/O_coriaceus/Sup2/links/cluster/o-cori-COMP65-50-Sim-CLTL10.txt",2)</f>
        <v>2</v>
      </c>
      <c r="BQ35" s="2">
        <f>HYPERLINK("http://exon.niaid.nih.gov/transcriptome/O_coriaceus/Sup2/links/cluster/o-cori-COMP75-50-Sim-CLU8.txt",8)</f>
        <v>8</v>
      </c>
      <c r="BR35" s="1">
        <f>HYPERLINK("http://exon.niaid.nih.gov/transcriptome/O_coriaceus/Sup2/links/cluster/o-cori-COMP75-50-Sim-CLTL8.txt",2)</f>
        <v>2</v>
      </c>
      <c r="BS35" s="2">
        <f>HYPERLINK("http://exon.niaid.nih.gov/transcriptome/O_coriaceus/Sup2/links/cluster/o-cori-COMP85-50-Sim-CLU5.txt",5)</f>
        <v>5</v>
      </c>
      <c r="BT35" s="1">
        <f>HYPERLINK("http://exon.niaid.nih.gov/transcriptome/O_coriaceus/Sup2/links/cluster/o-cori-COMP85-50-Sim-CLTL5.txt",2)</f>
        <v>2</v>
      </c>
      <c r="BU35" s="2">
        <f>HYPERLINK("http://exon.niaid.nih.gov/transcriptome/O_coriaceus/Sup2/links/cluster/o-cori-COMP95-50-Sim-CLU1.txt",1)</f>
        <v>1</v>
      </c>
      <c r="BV35" s="1">
        <f>HYPERLINK("http://exon.niaid.nih.gov/transcriptome/O_coriaceus/Sup2/links/cluster/o-cori-COMP95-50-Sim-CLTL1.txt",2)</f>
        <v>2</v>
      </c>
    </row>
    <row r="36" spans="1:33" s="6" customFormat="1" ht="10.5">
      <c r="A36" s="12" t="s">
        <v>246</v>
      </c>
      <c r="H36" s="11"/>
      <c r="N36" s="18" t="s">
        <v>196</v>
      </c>
      <c r="O36" s="11"/>
      <c r="P36" s="11"/>
      <c r="Q36" s="11"/>
      <c r="R36" s="11"/>
      <c r="S36" s="18" t="s">
        <v>196</v>
      </c>
      <c r="W36" s="11"/>
      <c r="X36" s="18"/>
      <c r="Y36" s="21" t="s">
        <v>196</v>
      </c>
      <c r="Z36" s="18"/>
      <c r="AA36" s="11"/>
      <c r="AB36" s="11"/>
      <c r="AC36" s="21" t="s">
        <v>196</v>
      </c>
      <c r="AD36" s="18"/>
      <c r="AE36" s="11"/>
      <c r="AF36" s="11"/>
      <c r="AG36" s="25" t="s">
        <v>196</v>
      </c>
    </row>
    <row r="37" spans="1:74" ht="10.5">
      <c r="A37" t="str">
        <f>HYPERLINK("http://exon.niaid.nih.gov/transcriptome/O_coriaceus/Sup2/links/pep/OC-39-pep.txt","OC-39")</f>
        <v>OC-39</v>
      </c>
      <c r="B37" s="1" t="s">
        <v>114</v>
      </c>
      <c r="C37">
        <v>84</v>
      </c>
      <c r="D37" t="s">
        <v>156</v>
      </c>
      <c r="E37" t="str">
        <f>HYPERLINK("http://exon.niaid.nih.gov/transcriptome/O_coriaceus/Sup2/links/nuc/OC-39-nuc.txt","OC-39")</f>
        <v>OC-39</v>
      </c>
      <c r="F37" s="1" t="s">
        <v>195</v>
      </c>
      <c r="G37" s="1" t="s">
        <v>194</v>
      </c>
      <c r="H37" s="5" t="str">
        <f>HYPERLINK("http://exon.niaid.nih.gov/transcriptome/O_coriaceus/Sup2/links/Sigp/OC-39-SigP.txt","SIG")</f>
        <v>SIG</v>
      </c>
      <c r="I37" t="s">
        <v>541</v>
      </c>
      <c r="J37" s="1">
        <v>8.6</v>
      </c>
      <c r="K37" s="1">
        <v>9.89</v>
      </c>
      <c r="L37" s="1">
        <v>6.437</v>
      </c>
      <c r="M37" s="1">
        <v>9.84</v>
      </c>
      <c r="N37" s="19" t="s">
        <v>31</v>
      </c>
      <c r="O37" s="5" t="str">
        <f>HYPERLINK("http://exon.niaid.nih.gov/transcriptome/O_coriaceus/Sup2/links/netoglyc/OC-39-netoglyc.txt","4")</f>
        <v>4</v>
      </c>
      <c r="P37" s="1">
        <v>19</v>
      </c>
      <c r="Q37" s="1">
        <v>11.9</v>
      </c>
      <c r="R37" s="1">
        <v>4.8</v>
      </c>
      <c r="S37" s="27" t="s">
        <v>635</v>
      </c>
      <c r="U37" s="4" t="str">
        <f>HYPERLINK("http://exon.niaid.nih.gov/transcriptome/O_coriaceus/Sup2/links/OCORI-EST/OC-39-OCORI-EST.txt","OCM-PLATE08_F04")</f>
        <v>OCM-PLATE08_F04</v>
      </c>
      <c r="V37" s="1">
        <v>1E-142</v>
      </c>
      <c r="W37" s="5" t="str">
        <f>HYPERLINK("http://exon.niaid.nih.gov/transcriptome/O_coriaceus/Sup2/links/OCORI-EST/OC-39-OCORI-EST.txt"," 11")</f>
        <v> 11</v>
      </c>
      <c r="Y37" s="22" t="s">
        <v>196</v>
      </c>
      <c r="AC37" s="22" t="s">
        <v>196</v>
      </c>
      <c r="AG37" s="26" t="s">
        <v>196</v>
      </c>
      <c r="AH37" s="4" t="str">
        <f>HYPERLINK("http://exon.niaid.nih.gov/transcriptome/O_coriaceus/Sup2/links/NR/OC-39-NR.txt","unnamed protein product")</f>
        <v>unnamed protein product</v>
      </c>
      <c r="AI37" t="str">
        <f>HYPERLINK("http://www.ncbi.nlm.nih.gov/sutils/blink.cgi?pid=47230446","3.7")</f>
        <v>3.7</v>
      </c>
      <c r="AJ37" t="s">
        <v>396</v>
      </c>
      <c r="AK37">
        <v>29</v>
      </c>
      <c r="AL37">
        <v>26</v>
      </c>
      <c r="AM37">
        <v>115</v>
      </c>
      <c r="AN37" t="s">
        <v>397</v>
      </c>
      <c r="AO37">
        <v>209</v>
      </c>
      <c r="AP37">
        <v>12</v>
      </c>
      <c r="AQ37">
        <v>1</v>
      </c>
      <c r="AR37" s="4" t="s">
        <v>196</v>
      </c>
      <c r="AS37" t="s">
        <v>196</v>
      </c>
      <c r="AT37" t="s">
        <v>196</v>
      </c>
      <c r="AU37" t="s">
        <v>196</v>
      </c>
      <c r="AV37" t="s">
        <v>196</v>
      </c>
      <c r="AW37" t="s">
        <v>196</v>
      </c>
      <c r="AX37" t="s">
        <v>196</v>
      </c>
      <c r="AY37" s="4" t="s">
        <v>196</v>
      </c>
      <c r="AZ37" t="s">
        <v>196</v>
      </c>
      <c r="BA37" t="s">
        <v>196</v>
      </c>
      <c r="BB37" s="4" t="s">
        <v>196</v>
      </c>
      <c r="BC37" t="s">
        <v>196</v>
      </c>
      <c r="BD37" t="s">
        <v>196</v>
      </c>
      <c r="BE37" s="4" t="s">
        <v>196</v>
      </c>
      <c r="BF37" t="s">
        <v>196</v>
      </c>
      <c r="BG37" s="4" t="str">
        <f>HYPERLINK("http://exon.niaid.nih.gov/transcriptome/O_coriaceus/Sup2/links/SMART/OC-39-SMART.txt","PTN")</f>
        <v>PTN</v>
      </c>
      <c r="BH37" t="str">
        <f>HYPERLINK("http://smart.embl-heidelberg.de/smart/do_annotation.pl?DOMAIN=PTN&amp;BLAST=DUMMY","0.086")</f>
        <v>0.086</v>
      </c>
      <c r="BI37" s="2">
        <f>HYPERLINK("http://exon.niaid.nih.gov/transcriptome/O_coriaceus/Sup2/links/cluster/o-cori-COMP35-50-Sim-CLU5.txt",5)</f>
        <v>5</v>
      </c>
      <c r="BJ37" s="1">
        <f>HYPERLINK("http://exon.niaid.nih.gov/transcriptome/O_coriaceus/Sup2/links/cluster/o-cori-COMP35-50-Sim-CLTL5.txt",4)</f>
        <v>4</v>
      </c>
      <c r="BK37" s="2">
        <f>HYPERLINK("http://exon.niaid.nih.gov/transcriptome/O_coriaceus/Sup2/links/cluster/o-cori-COMP45-50-Sim-CLU5.txt",5)</f>
        <v>5</v>
      </c>
      <c r="BL37" s="1">
        <f>HYPERLINK("http://exon.niaid.nih.gov/transcriptome/O_coriaceus/Sup2/links/cluster/o-cori-COMP45-50-Sim-CLTL5.txt",4)</f>
        <v>4</v>
      </c>
      <c r="BM37" s="2">
        <f>HYPERLINK("http://exon.niaid.nih.gov/transcriptome/O_coriaceus/Sup2/links/cluster/o-cori-COMP55-50-Sim-CLU5.txt",5)</f>
        <v>5</v>
      </c>
      <c r="BN37" s="1">
        <f>HYPERLINK("http://exon.niaid.nih.gov/transcriptome/O_coriaceus/Sup2/links/cluster/o-cori-COMP55-50-Sim-CLTL5.txt",4)</f>
        <v>4</v>
      </c>
      <c r="BO37" s="2">
        <f>HYPERLINK("http://exon.niaid.nih.gov/transcriptome/O_coriaceus/Sup2/links/cluster/o-cori-COMP65-50-Sim-CLU1.txt",1)</f>
        <v>1</v>
      </c>
      <c r="BP37" s="1">
        <f>HYPERLINK("http://exon.niaid.nih.gov/transcriptome/O_coriaceus/Sup2/links/cluster/o-cori-COMP65-50-Sim-CLTL1.txt",4)</f>
        <v>4</v>
      </c>
      <c r="BQ37" s="2">
        <f>HYPERLINK("http://exon.niaid.nih.gov/transcriptome/O_coriaceus/Sup2/links/cluster/o-cori-COMP75-50-Sim-CLU1.txt",1)</f>
        <v>1</v>
      </c>
      <c r="BR37" s="1">
        <f>HYPERLINK("http://exon.niaid.nih.gov/transcriptome/O_coriaceus/Sup2/links/cluster/o-cori-COMP75-50-Sim-CLTL1.txt",4)</f>
        <v>4</v>
      </c>
      <c r="BS37" s="2">
        <f>HYPERLINK("http://exon.niaid.nih.gov/transcriptome/O_coriaceus/Sup2/links/cluster/o-cori-COMP85-50-Sim-CLU6.txt",6)</f>
        <v>6</v>
      </c>
      <c r="BT37" s="1">
        <f>HYPERLINK("http://exon.niaid.nih.gov/transcriptome/O_coriaceus/Sup2/links/cluster/o-cori-COMP85-50-Sim-CLTL6.txt",2)</f>
        <v>2</v>
      </c>
      <c r="BU37" s="2">
        <v>49</v>
      </c>
      <c r="BV37" s="1">
        <v>1</v>
      </c>
    </row>
    <row r="38" spans="1:74" ht="10.5">
      <c r="A38" t="str">
        <f>HYPERLINK("http://exon.niaid.nih.gov/transcriptome/O_coriaceus/Sup2/links/pep/OC-40-pep.txt","OC-40")</f>
        <v>OC-40</v>
      </c>
      <c r="B38" s="1" t="s">
        <v>114</v>
      </c>
      <c r="C38">
        <v>84</v>
      </c>
      <c r="D38" t="s">
        <v>157</v>
      </c>
      <c r="E38" t="str">
        <f>HYPERLINK("http://exon.niaid.nih.gov/transcriptome/O_coriaceus/Sup2/links/nuc/OC-40-nuc.txt","OC-40")</f>
        <v>OC-40</v>
      </c>
      <c r="F38" s="1" t="s">
        <v>195</v>
      </c>
      <c r="G38" s="1" t="s">
        <v>194</v>
      </c>
      <c r="H38" s="5" t="str">
        <f>HYPERLINK("http://exon.niaid.nih.gov/transcriptome/O_coriaceus/Sup2/links/Sigp/OC-40-SigP.txt","SIG")</f>
        <v>SIG</v>
      </c>
      <c r="I38" t="s">
        <v>541</v>
      </c>
      <c r="J38" s="1">
        <v>8.524</v>
      </c>
      <c r="K38" s="1">
        <v>10.19</v>
      </c>
      <c r="L38" s="1">
        <v>6.315</v>
      </c>
      <c r="M38" s="1">
        <v>9.69</v>
      </c>
      <c r="N38" s="19" t="s">
        <v>32</v>
      </c>
      <c r="O38" s="5" t="str">
        <f>HYPERLINK("http://exon.niaid.nih.gov/transcriptome/O_coriaceus/Sup2/links/netoglyc/OC-40-netoglyc.txt","2")</f>
        <v>2</v>
      </c>
      <c r="P38" s="1">
        <v>16.7</v>
      </c>
      <c r="Q38" s="1">
        <v>13.1</v>
      </c>
      <c r="R38" s="1">
        <v>3.6</v>
      </c>
      <c r="S38" s="27" t="s">
        <v>636</v>
      </c>
      <c r="U38" s="4" t="str">
        <f>HYPERLINK("http://exon.niaid.nih.gov/transcriptome/O_coriaceus/Sup2/links/OCORI-EST/OC-40-OCORI-EST.txt","OCM-PLATE08_F12")</f>
        <v>OCM-PLATE08_F12</v>
      </c>
      <c r="V38" s="1">
        <v>1E-144</v>
      </c>
      <c r="W38" s="5" t="str">
        <f>HYPERLINK("http://exon.niaid.nih.gov/transcriptome/O_coriaceus/Sup2/links/OCORI-EST/OC-40-OCORI-EST.txt"," 3")</f>
        <v> 3</v>
      </c>
      <c r="Y38" s="22" t="s">
        <v>196</v>
      </c>
      <c r="AC38" s="22" t="str">
        <f>HYPERLINK("http://exon.niaid.nih.gov/transcriptome/O_coriaceus/Sup2/links/OC-1D/OC-40-OC-1D.txt","P19_103 |")</f>
        <v>P19_103 |</v>
      </c>
      <c r="AE38" s="1" t="s">
        <v>196</v>
      </c>
      <c r="AG38" s="26" t="s">
        <v>196</v>
      </c>
      <c r="AH38" s="4" t="str">
        <f>HYPERLINK("http://exon.niaid.nih.gov/transcriptome/O_coriaceus/Sup2/links/NR/OC-40-NR.txt","rCG29635")</f>
        <v>rCG29635</v>
      </c>
      <c r="AI38" t="str">
        <f>HYPERLINK("http://www.ncbi.nlm.nih.gov/sutils/blink.cgi?pid=149049684","0.19")</f>
        <v>0.19</v>
      </c>
      <c r="AJ38" t="s">
        <v>398</v>
      </c>
      <c r="AK38">
        <v>38</v>
      </c>
      <c r="AL38">
        <v>10</v>
      </c>
      <c r="AM38">
        <v>254</v>
      </c>
      <c r="AN38" t="s">
        <v>399</v>
      </c>
      <c r="AO38">
        <v>58</v>
      </c>
      <c r="AP38">
        <v>15</v>
      </c>
      <c r="AQ38">
        <v>1</v>
      </c>
      <c r="AR38" s="4" t="s">
        <v>196</v>
      </c>
      <c r="AS38" t="s">
        <v>196</v>
      </c>
      <c r="AT38" t="s">
        <v>196</v>
      </c>
      <c r="AU38" t="s">
        <v>196</v>
      </c>
      <c r="AV38" t="s">
        <v>196</v>
      </c>
      <c r="AW38" t="s">
        <v>196</v>
      </c>
      <c r="AX38" t="s">
        <v>196</v>
      </c>
      <c r="AY38" s="4" t="s">
        <v>196</v>
      </c>
      <c r="AZ38" t="s">
        <v>196</v>
      </c>
      <c r="BA38" t="s">
        <v>196</v>
      </c>
      <c r="BB38" s="4" t="s">
        <v>196</v>
      </c>
      <c r="BC38" t="s">
        <v>196</v>
      </c>
      <c r="BD38" t="s">
        <v>196</v>
      </c>
      <c r="BE38" s="4" t="str">
        <f>HYPERLINK("http://exon.niaid.nih.gov/transcriptome/O_coriaceus/Sup2/links/PFAM/OC-40-PFAM.txt","Calc_CGRP_IAPP")</f>
        <v>Calc_CGRP_IAPP</v>
      </c>
      <c r="BF38" t="str">
        <f>HYPERLINK("http://pfam.janelia.org/cgi-bin/getdesc?acc=PF00214","0.39")</f>
        <v>0.39</v>
      </c>
      <c r="BG38" s="4" t="str">
        <f>HYPERLINK("http://exon.niaid.nih.gov/transcriptome/O_coriaceus/Sup2/links/SMART/OC-40-SMART.txt","CALCITONIN")</f>
        <v>CALCITONIN</v>
      </c>
      <c r="BH38" t="str">
        <f>HYPERLINK("http://smart.embl-heidelberg.de/smart/do_annotation.pl?DOMAIN=CALCITONIN&amp;BLAST=DUMMY","0.086")</f>
        <v>0.086</v>
      </c>
      <c r="BI38" s="2">
        <f>HYPERLINK("http://exon.niaid.nih.gov/transcriptome/O_coriaceus/Sup2/links/cluster/o-cori-COMP35-50-Sim-CLU5.txt",5)</f>
        <v>5</v>
      </c>
      <c r="BJ38" s="1">
        <f>HYPERLINK("http://exon.niaid.nih.gov/transcriptome/O_coriaceus/Sup2/links/cluster/o-cori-COMP35-50-Sim-CLTL5.txt",4)</f>
        <v>4</v>
      </c>
      <c r="BK38" s="2">
        <f>HYPERLINK("http://exon.niaid.nih.gov/transcriptome/O_coriaceus/Sup2/links/cluster/o-cori-COMP45-50-Sim-CLU5.txt",5)</f>
        <v>5</v>
      </c>
      <c r="BL38" s="1">
        <f>HYPERLINK("http://exon.niaid.nih.gov/transcriptome/O_coriaceus/Sup2/links/cluster/o-cori-COMP45-50-Sim-CLTL5.txt",4)</f>
        <v>4</v>
      </c>
      <c r="BM38" s="2">
        <f>HYPERLINK("http://exon.niaid.nih.gov/transcriptome/O_coriaceus/Sup2/links/cluster/o-cori-COMP55-50-Sim-CLU5.txt",5)</f>
        <v>5</v>
      </c>
      <c r="BN38" s="1">
        <f>HYPERLINK("http://exon.niaid.nih.gov/transcriptome/O_coriaceus/Sup2/links/cluster/o-cori-COMP55-50-Sim-CLTL5.txt",4)</f>
        <v>4</v>
      </c>
      <c r="BO38" s="2">
        <f>HYPERLINK("http://exon.niaid.nih.gov/transcriptome/O_coriaceus/Sup2/links/cluster/o-cori-COMP65-50-Sim-CLU1.txt",1)</f>
        <v>1</v>
      </c>
      <c r="BP38" s="1">
        <f>HYPERLINK("http://exon.niaid.nih.gov/transcriptome/O_coriaceus/Sup2/links/cluster/o-cori-COMP65-50-Sim-CLTL1.txt",4)</f>
        <v>4</v>
      </c>
      <c r="BQ38" s="2">
        <f>HYPERLINK("http://exon.niaid.nih.gov/transcriptome/O_coriaceus/Sup2/links/cluster/o-cori-COMP75-50-Sim-CLU1.txt",1)</f>
        <v>1</v>
      </c>
      <c r="BR38" s="1">
        <f>HYPERLINK("http://exon.niaid.nih.gov/transcriptome/O_coriaceus/Sup2/links/cluster/o-cori-COMP75-50-Sim-CLTL1.txt",4)</f>
        <v>4</v>
      </c>
      <c r="BS38" s="2">
        <f>HYPERLINK("http://exon.niaid.nih.gov/transcriptome/O_coriaceus/Sup2/links/cluster/o-cori-COMP85-50-Sim-CLU6.txt",6)</f>
        <v>6</v>
      </c>
      <c r="BT38" s="1">
        <f>HYPERLINK("http://exon.niaid.nih.gov/transcriptome/O_coriaceus/Sup2/links/cluster/o-cori-COMP85-50-Sim-CLTL6.txt",2)</f>
        <v>2</v>
      </c>
      <c r="BU38" s="2">
        <v>50</v>
      </c>
      <c r="BV38" s="1">
        <v>1</v>
      </c>
    </row>
    <row r="39" spans="1:74" ht="10.5">
      <c r="A39" t="str">
        <f>HYPERLINK("http://exon.niaid.nih.gov/transcriptome/O_coriaceus/Sup2/links/pep/OC-49-pep.txt","OC-49")</f>
        <v>OC-49</v>
      </c>
      <c r="B39" s="1" t="s">
        <v>114</v>
      </c>
      <c r="C39">
        <v>88</v>
      </c>
      <c r="D39" t="s">
        <v>167</v>
      </c>
      <c r="E39" t="str">
        <f>HYPERLINK("http://exon.niaid.nih.gov/transcriptome/O_coriaceus/Sup2/links/nuc/OC-49-nuc.txt","OC-49")</f>
        <v>OC-49</v>
      </c>
      <c r="F39" s="1" t="s">
        <v>195</v>
      </c>
      <c r="G39" s="1" t="s">
        <v>194</v>
      </c>
      <c r="H39" s="5" t="str">
        <f>HYPERLINK("http://exon.niaid.nih.gov/transcriptome/O_coriaceus/Sup2/links/Sigp/OC-49-SigP.txt","SIG")</f>
        <v>SIG</v>
      </c>
      <c r="I39" t="s">
        <v>543</v>
      </c>
      <c r="J39" s="1">
        <v>9.078</v>
      </c>
      <c r="K39" s="1">
        <v>10.04</v>
      </c>
      <c r="L39" s="1">
        <v>6.392</v>
      </c>
      <c r="M39" s="1">
        <v>10.04</v>
      </c>
      <c r="N39" s="19" t="s">
        <v>33</v>
      </c>
      <c r="O39" s="5" t="str">
        <f>HYPERLINK("http://exon.niaid.nih.gov/transcriptome/O_coriaceus/Sup2/links/netoglyc/OC-49-netoglyc.txt","4")</f>
        <v>4</v>
      </c>
      <c r="P39" s="1">
        <v>15.9</v>
      </c>
      <c r="Q39" s="1">
        <v>17</v>
      </c>
      <c r="R39" s="1">
        <v>4.5</v>
      </c>
      <c r="S39" s="27" t="s">
        <v>637</v>
      </c>
      <c r="U39" s="4" t="str">
        <f>HYPERLINK("http://exon.niaid.nih.gov/transcriptome/O_coriaceus/Sup2/links/OCORI-EST/OC-49-OCORI-EST.txt","OCL-PLATE03_H03")</f>
        <v>OCL-PLATE03_H03</v>
      </c>
      <c r="V39" s="1">
        <v>1E-151</v>
      </c>
      <c r="W39" s="5" t="str">
        <f>HYPERLINK("http://exon.niaid.nih.gov/transcriptome/O_coriaceus/Sup2/links/OCORI-EST/OC-49-OCORI-EST.txt"," 3")</f>
        <v> 3</v>
      </c>
      <c r="Y39" s="22" t="s">
        <v>196</v>
      </c>
      <c r="AC39" s="22" t="str">
        <f>HYPERLINK("http://exon.niaid.nih.gov/transcriptome/O_coriaceus/Sup2/links/OC-1D/OC-49-OC-1D.txt","S29_37 |")</f>
        <v>S29_37 |</v>
      </c>
      <c r="AE39" s="1" t="s">
        <v>196</v>
      </c>
      <c r="AG39" s="26" t="s">
        <v>196</v>
      </c>
      <c r="AH39" s="4" t="str">
        <f>HYPERLINK("http://exon.niaid.nih.gov/transcriptome/O_coriaceus/Sup2/links/NR/OC-49-NR.txt","calcitonin/calcitonin-related polypeptide, alpha [Danio rerio]")</f>
        <v>calcitonin/calcitonin-related polypeptide, alpha [Danio rerio]</v>
      </c>
      <c r="AI39" t="str">
        <f>HYPERLINK("http://www.ncbi.nlm.nih.gov/sutils/blink.cgi?pid=50540010","0.77")</f>
        <v>0.77</v>
      </c>
      <c r="AJ39" t="s">
        <v>437</v>
      </c>
      <c r="AK39">
        <v>42</v>
      </c>
      <c r="AL39">
        <v>47</v>
      </c>
      <c r="AM39">
        <v>64</v>
      </c>
      <c r="AN39" t="s">
        <v>438</v>
      </c>
      <c r="AO39">
        <v>44</v>
      </c>
      <c r="AP39">
        <v>52</v>
      </c>
      <c r="AQ39">
        <v>1</v>
      </c>
      <c r="AR39" s="4" t="s">
        <v>196</v>
      </c>
      <c r="AS39" t="s">
        <v>196</v>
      </c>
      <c r="AT39" t="s">
        <v>196</v>
      </c>
      <c r="AU39" t="s">
        <v>196</v>
      </c>
      <c r="AV39" t="s">
        <v>196</v>
      </c>
      <c r="AW39" t="s">
        <v>196</v>
      </c>
      <c r="AX39" t="s">
        <v>196</v>
      </c>
      <c r="AY39" s="4" t="str">
        <f>HYPERLINK("http://exon.niaid.nih.gov/transcriptome/O_coriaceus/Sup2/links/KOG/OC-49-KOG.txt","Asparaginyl peptidases")</f>
        <v>Asparaginyl peptidases</v>
      </c>
      <c r="AZ39" t="str">
        <f>HYPERLINK("http://www.ncbi.nlm.nih.gov/COG/grace/shokog.cgi?KOG1348","0.005")</f>
        <v>0.005</v>
      </c>
      <c r="BA39" t="s">
        <v>393</v>
      </c>
      <c r="BB39" s="4" t="str">
        <f>HYPERLINK("http://exon.niaid.nih.gov/transcriptome/O_coriaceus/Sup2/links/CDD/OC-49-CDD.txt","COG4907")</f>
        <v>COG4907</v>
      </c>
      <c r="BC39" t="str">
        <f>HYPERLINK("http://www.ncbi.nlm.nih.gov/Structure/cdd/cddsrv.cgi?uid=COG4907&amp;version=v4.0","0.049")</f>
        <v>0.049</v>
      </c>
      <c r="BD39" t="s">
        <v>439</v>
      </c>
      <c r="BE39" s="4" t="str">
        <f>HYPERLINK("http://exon.niaid.nih.gov/transcriptome/O_coriaceus/Sup2/links/PFAM/OC-49-PFAM.txt","Adrenomedullin")</f>
        <v>Adrenomedullin</v>
      </c>
      <c r="BF39" t="str">
        <f>HYPERLINK("http://pfam.janelia.org/cgi-bin/getdesc?acc=PF02039","0.36")</f>
        <v>0.36</v>
      </c>
      <c r="BG39" s="4" t="str">
        <f>HYPERLINK("http://exon.niaid.nih.gov/transcriptome/O_coriaceus/Sup2/links/SMART/OC-49-SMART.txt","CALCITONIN")</f>
        <v>CALCITONIN</v>
      </c>
      <c r="BH39" t="str">
        <f>HYPERLINK("http://smart.embl-heidelberg.de/smart/do_annotation.pl?DOMAIN=CALCITONIN&amp;BLAST=DUMMY","0.022")</f>
        <v>0.022</v>
      </c>
      <c r="BI39" s="2">
        <f>HYPERLINK("http://exon.niaid.nih.gov/transcriptome/O_coriaceus/Sup2/links/cluster/o-cori-COMP35-50-Sim-CLU5.txt",5)</f>
        <v>5</v>
      </c>
      <c r="BJ39" s="1">
        <f>HYPERLINK("http://exon.niaid.nih.gov/transcriptome/O_coriaceus/Sup2/links/cluster/o-cori-COMP35-50-Sim-CLTL5.txt",4)</f>
        <v>4</v>
      </c>
      <c r="BK39" s="2">
        <f>HYPERLINK("http://exon.niaid.nih.gov/transcriptome/O_coriaceus/Sup2/links/cluster/o-cori-COMP45-50-Sim-CLU5.txt",5)</f>
        <v>5</v>
      </c>
      <c r="BL39" s="1">
        <f>HYPERLINK("http://exon.niaid.nih.gov/transcriptome/O_coriaceus/Sup2/links/cluster/o-cori-COMP45-50-Sim-CLTL5.txt",4)</f>
        <v>4</v>
      </c>
      <c r="BM39" s="2">
        <f>HYPERLINK("http://exon.niaid.nih.gov/transcriptome/O_coriaceus/Sup2/links/cluster/o-cori-COMP55-50-Sim-CLU5.txt",5)</f>
        <v>5</v>
      </c>
      <c r="BN39" s="1">
        <f>HYPERLINK("http://exon.niaid.nih.gov/transcriptome/O_coriaceus/Sup2/links/cluster/o-cori-COMP55-50-Sim-CLTL5.txt",4)</f>
        <v>4</v>
      </c>
      <c r="BO39" s="2">
        <f>HYPERLINK("http://exon.niaid.nih.gov/transcriptome/O_coriaceus/Sup2/links/cluster/o-cori-COMP65-50-Sim-CLU1.txt",1)</f>
        <v>1</v>
      </c>
      <c r="BP39" s="1">
        <f>HYPERLINK("http://exon.niaid.nih.gov/transcriptome/O_coriaceus/Sup2/links/cluster/o-cori-COMP65-50-Sim-CLTL1.txt",4)</f>
        <v>4</v>
      </c>
      <c r="BQ39" s="2">
        <f>HYPERLINK("http://exon.niaid.nih.gov/transcriptome/O_coriaceus/Sup2/links/cluster/o-cori-COMP75-50-Sim-CLU1.txt",1)</f>
        <v>1</v>
      </c>
      <c r="BR39" s="1">
        <f>HYPERLINK("http://exon.niaid.nih.gov/transcriptome/O_coriaceus/Sup2/links/cluster/o-cori-COMP75-50-Sim-CLTL1.txt",4)</f>
        <v>4</v>
      </c>
      <c r="BS39" s="2">
        <f>HYPERLINK("http://exon.niaid.nih.gov/transcriptome/O_coriaceus/Sup2/links/cluster/o-cori-COMP85-50-Sim-CLU7.txt",7)</f>
        <v>7</v>
      </c>
      <c r="BT39" s="1">
        <f>HYPERLINK("http://exon.niaid.nih.gov/transcriptome/O_coriaceus/Sup2/links/cluster/o-cori-COMP85-50-Sim-CLTL7.txt",2)</f>
        <v>2</v>
      </c>
      <c r="BU39" s="2">
        <v>64</v>
      </c>
      <c r="BV39" s="1">
        <v>1</v>
      </c>
    </row>
    <row r="40" spans="1:74" ht="10.5">
      <c r="A40" t="str">
        <f>HYPERLINK("http://exon.niaid.nih.gov/transcriptome/O_coriaceus/Sup2/links/pep/OC-50-pep.txt","OC-50")</f>
        <v>OC-50</v>
      </c>
      <c r="B40" s="1" t="s">
        <v>114</v>
      </c>
      <c r="C40">
        <v>88</v>
      </c>
      <c r="D40" t="s">
        <v>168</v>
      </c>
      <c r="E40" t="str">
        <f>HYPERLINK("http://exon.niaid.nih.gov/transcriptome/O_coriaceus/Sup2/links/nuc/OC-50-nuc.txt","OC-50")</f>
        <v>OC-50</v>
      </c>
      <c r="F40" s="1" t="s">
        <v>195</v>
      </c>
      <c r="G40" s="1" t="s">
        <v>194</v>
      </c>
      <c r="H40" s="5" t="str">
        <f>HYPERLINK("http://exon.niaid.nih.gov/transcriptome/O_coriaceus/Sup2/links/Sigp/OC-50-SigP.txt","SIG")</f>
        <v>SIG</v>
      </c>
      <c r="I40" t="s">
        <v>542</v>
      </c>
      <c r="J40" s="1">
        <v>9.075</v>
      </c>
      <c r="K40" s="1">
        <v>9.64</v>
      </c>
      <c r="L40" s="1">
        <v>6.597</v>
      </c>
      <c r="M40" s="1">
        <v>9.39</v>
      </c>
      <c r="N40" s="19" t="s">
        <v>34</v>
      </c>
      <c r="O40" s="5" t="str">
        <f>HYPERLINK("http://exon.niaid.nih.gov/transcriptome/O_coriaceus/Sup2/links/netoglyc/OC-50-netoglyc.txt","5")</f>
        <v>5</v>
      </c>
      <c r="P40" s="1">
        <v>15.9</v>
      </c>
      <c r="Q40" s="1">
        <v>17</v>
      </c>
      <c r="R40" s="1">
        <v>4.5</v>
      </c>
      <c r="S40" s="27" t="s">
        <v>638</v>
      </c>
      <c r="U40" s="4" t="str">
        <f>HYPERLINK("http://exon.niaid.nih.gov/transcriptome/O_coriaceus/Sup2/links/OCORI-EST/OC-50-OCORI-EST.txt","OCL-PLATE03_B07")</f>
        <v>OCL-PLATE03_B07</v>
      </c>
      <c r="V40" s="1">
        <v>1E-150</v>
      </c>
      <c r="W40" s="5" t="str">
        <f>HYPERLINK("http://exon.niaid.nih.gov/transcriptome/O_coriaceus/Sup2/links/OCORI-EST/OC-50-OCORI-EST.txt"," 3")</f>
        <v> 3</v>
      </c>
      <c r="Y40" s="22" t="s">
        <v>196</v>
      </c>
      <c r="AC40" s="22" t="s">
        <v>196</v>
      </c>
      <c r="AG40" s="26" t="s">
        <v>196</v>
      </c>
      <c r="AH40" s="4" t="str">
        <f>HYPERLINK("http://exon.niaid.nih.gov/transcriptome/O_coriaceus/Sup2/links/NR/OC-50-NR.txt","dUTPase homolog")</f>
        <v>dUTPase homolog</v>
      </c>
      <c r="AI40" t="str">
        <f>HYPERLINK("http://www.ncbi.nlm.nih.gov/sutils/blink.cgi?pid=3046554","2.0")</f>
        <v>2.0</v>
      </c>
      <c r="AJ40" t="s">
        <v>440</v>
      </c>
      <c r="AK40">
        <v>41</v>
      </c>
      <c r="AL40">
        <v>29</v>
      </c>
      <c r="AM40">
        <v>105</v>
      </c>
      <c r="AN40" t="s">
        <v>441</v>
      </c>
      <c r="AO40">
        <v>45</v>
      </c>
      <c r="AP40">
        <v>36</v>
      </c>
      <c r="AQ40">
        <v>1</v>
      </c>
      <c r="AR40" s="4" t="s">
        <v>196</v>
      </c>
      <c r="AS40" t="s">
        <v>196</v>
      </c>
      <c r="AT40" t="s">
        <v>196</v>
      </c>
      <c r="AU40" t="s">
        <v>196</v>
      </c>
      <c r="AV40" t="s">
        <v>196</v>
      </c>
      <c r="AW40" t="s">
        <v>196</v>
      </c>
      <c r="AX40" t="s">
        <v>196</v>
      </c>
      <c r="AY40" s="4" t="str">
        <f>HYPERLINK("http://exon.niaid.nih.gov/transcriptome/O_coriaceus/Sup2/links/KOG/OC-50-KOG.txt","Asparaginyl peptidases")</f>
        <v>Asparaginyl peptidases</v>
      </c>
      <c r="AZ40" t="str">
        <f>HYPERLINK("http://www.ncbi.nlm.nih.gov/COG/grace/shokog.cgi?KOG1348","0.64")</f>
        <v>0.64</v>
      </c>
      <c r="BA40" t="s">
        <v>393</v>
      </c>
      <c r="BB40" s="4" t="str">
        <f>HYPERLINK("http://exon.niaid.nih.gov/transcriptome/O_coriaceus/Sup2/links/CDD/OC-50-CDD.txt","COG4907")</f>
        <v>COG4907</v>
      </c>
      <c r="BC40" t="str">
        <f>HYPERLINK("http://www.ncbi.nlm.nih.gov/Structure/cdd/cddsrv.cgi?uid=COG4907&amp;version=v4.0","0.18")</f>
        <v>0.18</v>
      </c>
      <c r="BD40" t="s">
        <v>442</v>
      </c>
      <c r="BE40" s="4" t="s">
        <v>196</v>
      </c>
      <c r="BF40" t="s">
        <v>196</v>
      </c>
      <c r="BG40" s="4" t="str">
        <f>HYPERLINK("http://exon.niaid.nih.gov/transcriptome/O_coriaceus/Sup2/links/SMART/OC-50-SMART.txt","CALCITONIN")</f>
        <v>CALCITONIN</v>
      </c>
      <c r="BH40" t="str">
        <f>HYPERLINK("http://smart.embl-heidelberg.de/smart/do_annotation.pl?DOMAIN=CALCITONIN&amp;BLAST=DUMMY","0.14")</f>
        <v>0.14</v>
      </c>
      <c r="BI40" s="2">
        <f>HYPERLINK("http://exon.niaid.nih.gov/transcriptome/O_coriaceus/Sup2/links/cluster/o-cori-COMP35-50-Sim-CLU5.txt",5)</f>
        <v>5</v>
      </c>
      <c r="BJ40" s="1">
        <f>HYPERLINK("http://exon.niaid.nih.gov/transcriptome/O_coriaceus/Sup2/links/cluster/o-cori-COMP35-50-Sim-CLTL5.txt",4)</f>
        <v>4</v>
      </c>
      <c r="BK40" s="2">
        <f>HYPERLINK("http://exon.niaid.nih.gov/transcriptome/O_coriaceus/Sup2/links/cluster/o-cori-COMP45-50-Sim-CLU5.txt",5)</f>
        <v>5</v>
      </c>
      <c r="BL40" s="1">
        <f>HYPERLINK("http://exon.niaid.nih.gov/transcriptome/O_coriaceus/Sup2/links/cluster/o-cori-COMP45-50-Sim-CLTL5.txt",4)</f>
        <v>4</v>
      </c>
      <c r="BM40" s="2">
        <f>HYPERLINK("http://exon.niaid.nih.gov/transcriptome/O_coriaceus/Sup2/links/cluster/o-cori-COMP55-50-Sim-CLU5.txt",5)</f>
        <v>5</v>
      </c>
      <c r="BN40" s="1">
        <f>HYPERLINK("http://exon.niaid.nih.gov/transcriptome/O_coriaceus/Sup2/links/cluster/o-cori-COMP55-50-Sim-CLTL5.txt",4)</f>
        <v>4</v>
      </c>
      <c r="BO40" s="2">
        <f>HYPERLINK("http://exon.niaid.nih.gov/transcriptome/O_coriaceus/Sup2/links/cluster/o-cori-COMP65-50-Sim-CLU1.txt",1)</f>
        <v>1</v>
      </c>
      <c r="BP40" s="1">
        <f>HYPERLINK("http://exon.niaid.nih.gov/transcriptome/O_coriaceus/Sup2/links/cluster/o-cori-COMP65-50-Sim-CLTL1.txt",4)</f>
        <v>4</v>
      </c>
      <c r="BQ40" s="2">
        <f>HYPERLINK("http://exon.niaid.nih.gov/transcriptome/O_coriaceus/Sup2/links/cluster/o-cori-COMP75-50-Sim-CLU1.txt",1)</f>
        <v>1</v>
      </c>
      <c r="BR40" s="1">
        <f>HYPERLINK("http://exon.niaid.nih.gov/transcriptome/O_coriaceus/Sup2/links/cluster/o-cori-COMP75-50-Sim-CLTL1.txt",4)</f>
        <v>4</v>
      </c>
      <c r="BS40" s="2">
        <f>HYPERLINK("http://exon.niaid.nih.gov/transcriptome/O_coriaceus/Sup2/links/cluster/o-cori-COMP85-50-Sim-CLU7.txt",7)</f>
        <v>7</v>
      </c>
      <c r="BT40" s="1">
        <f>HYPERLINK("http://exon.niaid.nih.gov/transcriptome/O_coriaceus/Sup2/links/cluster/o-cori-COMP85-50-Sim-CLTL7.txt",2)</f>
        <v>2</v>
      </c>
      <c r="BU40" s="2">
        <v>65</v>
      </c>
      <c r="BV40" s="1">
        <v>1</v>
      </c>
    </row>
    <row r="41" spans="1:33" s="6" customFormat="1" ht="10.5">
      <c r="A41" s="12" t="s">
        <v>263</v>
      </c>
      <c r="H41" s="11"/>
      <c r="N41" s="18" t="s">
        <v>196</v>
      </c>
      <c r="O41" s="11"/>
      <c r="P41" s="11"/>
      <c r="Q41" s="11"/>
      <c r="R41" s="11"/>
      <c r="S41" s="18" t="s">
        <v>196</v>
      </c>
      <c r="W41" s="11"/>
      <c r="X41" s="18"/>
      <c r="Y41" s="21" t="s">
        <v>196</v>
      </c>
      <c r="Z41" s="18"/>
      <c r="AA41" s="11"/>
      <c r="AB41" s="11"/>
      <c r="AC41" s="21" t="s">
        <v>196</v>
      </c>
      <c r="AD41" s="18"/>
      <c r="AE41" s="11"/>
      <c r="AF41" s="11"/>
      <c r="AG41" s="25" t="s">
        <v>196</v>
      </c>
    </row>
    <row r="42" spans="1:74" ht="10.5">
      <c r="A42" t="str">
        <f>HYPERLINK("http://exon.niaid.nih.gov/transcriptome/O_coriaceus/Sup2/links/pep/OC-57-pep.txt","OC-57")</f>
        <v>OC-57</v>
      </c>
      <c r="B42" s="1" t="s">
        <v>114</v>
      </c>
      <c r="C42">
        <v>218</v>
      </c>
      <c r="D42" t="s">
        <v>176</v>
      </c>
      <c r="E42" t="str">
        <f>HYPERLINK("http://exon.niaid.nih.gov/transcriptome/O_coriaceus/Sup2/links/nuc/OC-57-nuc.txt","OC-57")</f>
        <v>OC-57</v>
      </c>
      <c r="F42" s="1" t="s">
        <v>195</v>
      </c>
      <c r="G42" s="1" t="s">
        <v>194</v>
      </c>
      <c r="H42" s="5" t="str">
        <f>HYPERLINK("http://exon.niaid.nih.gov/transcriptome/O_coriaceus/Sup2/links/Sigp/OC-57-SigP.txt","SIG")</f>
        <v>SIG</v>
      </c>
      <c r="I42" t="s">
        <v>545</v>
      </c>
      <c r="J42" s="1">
        <v>20.327</v>
      </c>
      <c r="K42" s="1">
        <v>4.26</v>
      </c>
      <c r="L42" s="1">
        <v>18.338</v>
      </c>
      <c r="M42" s="1">
        <v>4.26</v>
      </c>
      <c r="N42" s="19" t="s">
        <v>35</v>
      </c>
      <c r="O42" s="5" t="str">
        <f>HYPERLINK("http://exon.niaid.nih.gov/transcriptome/O_coriaceus/Sup2/links/netoglyc/OC-57-netoglyc.txt","41")</f>
        <v>41</v>
      </c>
      <c r="P42" s="1">
        <v>32.1</v>
      </c>
      <c r="Q42" s="1">
        <v>22.5</v>
      </c>
      <c r="R42" s="1">
        <v>4.6</v>
      </c>
      <c r="S42" s="27" t="s">
        <v>196</v>
      </c>
      <c r="U42" s="4" t="str">
        <f>HYPERLINK("http://exon.niaid.nih.gov/transcriptome/O_coriaceus/Sup2/links/OCORI-EST/OC-57-OCORI-EST.txt","OCL-P12_C12")</f>
        <v>OCL-P12_C12</v>
      </c>
      <c r="V42" s="1">
        <v>0</v>
      </c>
      <c r="W42" s="5" t="str">
        <f>HYPERLINK("http://exon.niaid.nih.gov/transcriptome/O_coriaceus/Sup2/links/OCORI-EST/OC-57-OCORI-EST.txt"," 5")</f>
        <v> 5</v>
      </c>
      <c r="Y42" s="22" t="s">
        <v>196</v>
      </c>
      <c r="AC42" s="22" t="str">
        <f>HYPERLINK("http://exon.niaid.nih.gov/transcriptome/O_coriaceus/Sup2/links/OC-1D/OC-57-OC-1D.txt","P19_102 |S22_57 |S22_58 |S23_62 |")</f>
        <v>P19_102 |S22_57 |S22_58 |S23_62 |</v>
      </c>
      <c r="AD42" s="27" t="s">
        <v>594</v>
      </c>
      <c r="AE42" s="1">
        <v>2</v>
      </c>
      <c r="AF42" s="1">
        <v>27</v>
      </c>
      <c r="AG42" s="26">
        <f>100*AF42/C42</f>
        <v>12.385321100917432</v>
      </c>
      <c r="AH42" s="4" t="s">
        <v>196</v>
      </c>
      <c r="AI42" t="s">
        <v>196</v>
      </c>
      <c r="AJ42" t="s">
        <v>196</v>
      </c>
      <c r="AK42" t="s">
        <v>196</v>
      </c>
      <c r="AL42" t="s">
        <v>196</v>
      </c>
      <c r="AM42" t="s">
        <v>196</v>
      </c>
      <c r="AN42" t="s">
        <v>196</v>
      </c>
      <c r="AO42">
        <v>53</v>
      </c>
      <c r="AP42">
        <v>96</v>
      </c>
      <c r="AQ42">
        <v>5</v>
      </c>
      <c r="AR42" s="4" t="s">
        <v>196</v>
      </c>
      <c r="AS42" t="s">
        <v>196</v>
      </c>
      <c r="AT42" t="s">
        <v>196</v>
      </c>
      <c r="AU42" t="s">
        <v>196</v>
      </c>
      <c r="AV42" t="s">
        <v>196</v>
      </c>
      <c r="AW42" t="s">
        <v>196</v>
      </c>
      <c r="AX42" t="s">
        <v>196</v>
      </c>
      <c r="AY42" s="4" t="str">
        <f>HYPERLINK("http://exon.niaid.nih.gov/transcriptome/O_coriaceus/Sup2/links/KOG/OC-57-KOG.txt","Dosage compensation complex, subunit MLE")</f>
        <v>Dosage compensation complex, subunit MLE</v>
      </c>
      <c r="AZ42" t="str">
        <f>HYPERLINK("http://www.ncbi.nlm.nih.gov/COG/grace/shokog.cgi?KOG0921","6E-006")</f>
        <v>6E-006</v>
      </c>
      <c r="BA42" t="s">
        <v>301</v>
      </c>
      <c r="BB42" s="4" t="str">
        <f>HYPERLINK("http://exon.niaid.nih.gov/transcriptome/O_coriaceus/Sup2/links/CDD/OC-57-CDD.txt","CobN")</f>
        <v>CobN</v>
      </c>
      <c r="BC42" t="str">
        <f>HYPERLINK("http://www.ncbi.nlm.nih.gov/Structure/cdd/cddsrv.cgi?uid=COG1429&amp;version=v4.0","3E-004")</f>
        <v>3E-004</v>
      </c>
      <c r="BD42" t="s">
        <v>465</v>
      </c>
      <c r="BE42" s="4" t="str">
        <f>HYPERLINK("http://exon.niaid.nih.gov/transcriptome/O_coriaceus/Sup2/links/PFAM/OC-57-PFAM.txt","Fib_alpha")</f>
        <v>Fib_alpha</v>
      </c>
      <c r="BF42" t="str">
        <f>HYPERLINK("http://pfam.janelia.org/cgi-bin/getdesc?acc=PF08702","0.001")</f>
        <v>0.001</v>
      </c>
      <c r="BG42" s="4" t="s">
        <v>196</v>
      </c>
      <c r="BH42" t="s">
        <v>196</v>
      </c>
      <c r="BI42" s="2">
        <v>55</v>
      </c>
      <c r="BJ42" s="1">
        <v>1</v>
      </c>
      <c r="BK42" s="2">
        <v>58</v>
      </c>
      <c r="BL42" s="1">
        <v>1</v>
      </c>
      <c r="BM42" s="2">
        <v>58</v>
      </c>
      <c r="BN42" s="1">
        <v>1</v>
      </c>
      <c r="BO42" s="2">
        <v>61</v>
      </c>
      <c r="BP42" s="1">
        <v>1</v>
      </c>
      <c r="BQ42" s="2">
        <v>66</v>
      </c>
      <c r="BR42" s="1">
        <v>1</v>
      </c>
      <c r="BS42" s="2">
        <v>69</v>
      </c>
      <c r="BT42" s="1">
        <v>1</v>
      </c>
      <c r="BU42" s="2">
        <v>75</v>
      </c>
      <c r="BV42" s="1">
        <v>1</v>
      </c>
    </row>
    <row r="43" spans="1:33" s="6" customFormat="1" ht="10.5">
      <c r="A43" s="12" t="s">
        <v>245</v>
      </c>
      <c r="H43" s="11"/>
      <c r="N43" s="18" t="s">
        <v>196</v>
      </c>
      <c r="O43" s="11"/>
      <c r="P43" s="11"/>
      <c r="Q43" s="11"/>
      <c r="R43" s="11"/>
      <c r="S43" s="18" t="s">
        <v>196</v>
      </c>
      <c r="W43" s="11"/>
      <c r="X43" s="18"/>
      <c r="Y43" s="21" t="s">
        <v>196</v>
      </c>
      <c r="Z43" s="18"/>
      <c r="AA43" s="11"/>
      <c r="AB43" s="11"/>
      <c r="AC43" s="21" t="s">
        <v>196</v>
      </c>
      <c r="AD43" s="18"/>
      <c r="AE43" s="11"/>
      <c r="AF43" s="11"/>
      <c r="AG43" s="25" t="s">
        <v>196</v>
      </c>
    </row>
    <row r="44" spans="1:74" ht="10.5">
      <c r="A44" t="str">
        <f>HYPERLINK("http://exon.niaid.nih.gov/transcriptome/O_coriaceus/Sup2/links/pep/OC-32-pep.txt","OC-32")</f>
        <v>OC-32</v>
      </c>
      <c r="B44" s="1" t="s">
        <v>117</v>
      </c>
      <c r="C44">
        <v>87</v>
      </c>
      <c r="D44" t="s">
        <v>118</v>
      </c>
      <c r="E44" t="str">
        <f>HYPERLINK("http://exon.niaid.nih.gov/transcriptome/O_coriaceus/Sup2/links/nuc/OC-32-nuc.txt","OC-32")</f>
        <v>OC-32</v>
      </c>
      <c r="F44" s="1" t="s">
        <v>196</v>
      </c>
      <c r="G44" s="1" t="s">
        <v>194</v>
      </c>
      <c r="H44" s="5" t="str">
        <f>HYPERLINK("http://exon.niaid.nih.gov/transcriptome/O_coriaceus/Sup2/links/Sigp/OC-32-SigP.txt","CYT")</f>
        <v>CYT</v>
      </c>
      <c r="I44" t="s">
        <v>196</v>
      </c>
      <c r="J44" s="1">
        <v>10.058</v>
      </c>
      <c r="K44" s="1">
        <v>4.58</v>
      </c>
      <c r="N44" s="19" t="s">
        <v>36</v>
      </c>
      <c r="O44" s="5" t="str">
        <f>HYPERLINK("http://exon.niaid.nih.gov/transcriptome/O_coriaceus/Sup2/links/netoglyc/OC-32-netoglyc.txt","0")</f>
        <v>0</v>
      </c>
      <c r="P44" s="1">
        <v>8</v>
      </c>
      <c r="Q44" s="1">
        <v>2.3</v>
      </c>
      <c r="R44" s="1">
        <v>1.1</v>
      </c>
      <c r="S44" s="27" t="s">
        <v>196</v>
      </c>
      <c r="U44" s="4" t="str">
        <f>HYPERLINK("http://exon.niaid.nih.gov/transcriptome/O_coriaceus/Sup2/links/OCORI-EST/OC-32-OCORI-EST.txt","OCL-PLATE03_B02")</f>
        <v>OCL-PLATE03_B02</v>
      </c>
      <c r="V44" s="1">
        <v>1E-147</v>
      </c>
      <c r="W44" s="5" t="str">
        <f>HYPERLINK("http://exon.niaid.nih.gov/transcriptome/O_coriaceus/Sup2/links/OCORI-EST/OC-32-OCORI-EST.txt"," 19")</f>
        <v> 19</v>
      </c>
      <c r="Y44" s="22" t="s">
        <v>196</v>
      </c>
      <c r="AC44" s="22" t="str">
        <f>HYPERLINK("http://exon.niaid.nih.gov/transcriptome/O_coriaceus/Sup2/links/OC-1D/OC-32-OC-1D.txt","S28_11 |")</f>
        <v>S28_11 |</v>
      </c>
      <c r="AE44" s="1" t="s">
        <v>196</v>
      </c>
      <c r="AG44" s="26" t="s">
        <v>196</v>
      </c>
      <c r="AH44" s="4" t="str">
        <f>HYPERLINK("http://exon.niaid.nih.gov/transcriptome/O_coriaceus/Sup2/links/NR/OC-32-NR.txt","hebreain-like")</f>
        <v>hebreain-like</v>
      </c>
      <c r="AI44" t="str">
        <f>HYPERLINK("http://www.ncbi.nlm.nih.gov/sutils/blink.cgi?pid=149287050","2E-018")</f>
        <v>2E-018</v>
      </c>
      <c r="AJ44" t="s">
        <v>233</v>
      </c>
      <c r="AK44">
        <v>56</v>
      </c>
      <c r="AL44">
        <v>74</v>
      </c>
      <c r="AM44">
        <v>22</v>
      </c>
      <c r="AN44" t="s">
        <v>230</v>
      </c>
      <c r="AO44">
        <v>22</v>
      </c>
      <c r="AP44">
        <v>1</v>
      </c>
      <c r="AQ44">
        <v>1</v>
      </c>
      <c r="AR44" s="4" t="s">
        <v>196</v>
      </c>
      <c r="AS44" t="s">
        <v>196</v>
      </c>
      <c r="AT44" t="s">
        <v>196</v>
      </c>
      <c r="AU44" t="s">
        <v>196</v>
      </c>
      <c r="AV44" t="s">
        <v>196</v>
      </c>
      <c r="AW44" t="s">
        <v>196</v>
      </c>
      <c r="AX44" t="s">
        <v>196</v>
      </c>
      <c r="AY44" s="4" t="str">
        <f>HYPERLINK("http://exon.niaid.nih.gov/transcriptome/O_coriaceus/Sup2/links/KOG/OC-32-KOG.txt","Nuclear protein, contains WD40 repeats")</f>
        <v>Nuclear protein, contains WD40 repeats</v>
      </c>
      <c r="AZ44" t="str">
        <f>HYPERLINK("http://www.ncbi.nlm.nih.gov/COG/grace/shokog.cgi?KOG1916","0.56")</f>
        <v>0.56</v>
      </c>
      <c r="BA44" t="s">
        <v>234</v>
      </c>
      <c r="BB44" s="4" t="s">
        <v>196</v>
      </c>
      <c r="BC44" t="s">
        <v>196</v>
      </c>
      <c r="BD44" t="s">
        <v>196</v>
      </c>
      <c r="BE44" s="4" t="s">
        <v>196</v>
      </c>
      <c r="BF44" t="s">
        <v>196</v>
      </c>
      <c r="BG44" s="4" t="s">
        <v>196</v>
      </c>
      <c r="BH44" t="s">
        <v>196</v>
      </c>
      <c r="BI44" s="2">
        <f>HYPERLINK("http://exon.niaid.nih.gov/transcriptome/O_coriaceus/Sup2/links/cluster/o-cori-COMP35-50-Sim-CLU4.txt",4)</f>
        <v>4</v>
      </c>
      <c r="BJ44" s="1">
        <f>HYPERLINK("http://exon.niaid.nih.gov/transcriptome/O_coriaceus/Sup2/links/cluster/o-cori-COMP35-50-Sim-CLTL4.txt",4)</f>
        <v>4</v>
      </c>
      <c r="BK44" s="2">
        <f>HYPERLINK("http://exon.niaid.nih.gov/transcriptome/O_coriaceus/Sup2/links/cluster/o-cori-COMP45-50-Sim-CLU3.txt",3)</f>
        <v>3</v>
      </c>
      <c r="BL44" s="1">
        <f>HYPERLINK("http://exon.niaid.nih.gov/transcriptome/O_coriaceus/Sup2/links/cluster/o-cori-COMP45-50-Sim-CLTL3.txt",4)</f>
        <v>4</v>
      </c>
      <c r="BM44" s="2">
        <f>HYPERLINK("http://exon.niaid.nih.gov/transcriptome/O_coriaceus/Sup2/links/cluster/o-cori-COMP55-50-Sim-CLU3.txt",3)</f>
        <v>3</v>
      </c>
      <c r="BN44" s="1">
        <f>HYPERLINK("http://exon.niaid.nih.gov/transcriptome/O_coriaceus/Sup2/links/cluster/o-cori-COMP55-50-Sim-CLTL3.txt",4)</f>
        <v>4</v>
      </c>
      <c r="BO44" s="2">
        <f>HYPERLINK("http://exon.niaid.nih.gov/transcriptome/O_coriaceus/Sup2/links/cluster/o-cori-COMP65-50-Sim-CLU2.txt",2)</f>
        <v>2</v>
      </c>
      <c r="BP44" s="1">
        <f>HYPERLINK("http://exon.niaid.nih.gov/transcriptome/O_coriaceus/Sup2/links/cluster/o-cori-COMP65-50-Sim-CLTL2.txt",3)</f>
        <v>3</v>
      </c>
      <c r="BQ44" s="2">
        <v>11</v>
      </c>
      <c r="BR44" s="1">
        <v>1</v>
      </c>
      <c r="BS44" s="2">
        <v>11</v>
      </c>
      <c r="BT44" s="1">
        <v>1</v>
      </c>
      <c r="BU44" s="2">
        <v>4</v>
      </c>
      <c r="BV44" s="1">
        <v>1</v>
      </c>
    </row>
    <row r="45" spans="1:74" ht="10.5">
      <c r="A45" t="str">
        <f>HYPERLINK("http://exon.niaid.nih.gov/transcriptome/O_coriaceus/Sup2/links/pep/OC-31-pep.txt","OC-31")</f>
        <v>OC-31</v>
      </c>
      <c r="B45" s="1" t="s">
        <v>114</v>
      </c>
      <c r="C45">
        <v>108</v>
      </c>
      <c r="D45" t="s">
        <v>144</v>
      </c>
      <c r="E45" t="str">
        <f>HYPERLINK("http://exon.niaid.nih.gov/transcriptome/O_coriaceus/Sup2/links/nuc/OC-31-nuc.txt","OC-31")</f>
        <v>OC-31</v>
      </c>
      <c r="F45" s="1" t="s">
        <v>195</v>
      </c>
      <c r="G45" s="1" t="s">
        <v>194</v>
      </c>
      <c r="H45" s="5" t="str">
        <f>HYPERLINK("http://exon.niaid.nih.gov/transcriptome/O_coriaceus/Sup2/links/Sigp/OC-31-SigP.txt","SIG")</f>
        <v>SIG</v>
      </c>
      <c r="I45" t="s">
        <v>545</v>
      </c>
      <c r="J45" s="1">
        <v>12.137</v>
      </c>
      <c r="K45" s="1">
        <v>5.16</v>
      </c>
      <c r="L45" s="1">
        <v>10.269</v>
      </c>
      <c r="M45" s="1">
        <v>4.96</v>
      </c>
      <c r="N45" s="19" t="s">
        <v>37</v>
      </c>
      <c r="O45" s="5" t="str">
        <f>HYPERLINK("http://exon.niaid.nih.gov/transcriptome/O_coriaceus/Sup2/links/netoglyc/OC-31-netoglyc.txt","0")</f>
        <v>0</v>
      </c>
      <c r="P45" s="1">
        <v>7.4</v>
      </c>
      <c r="Q45" s="1">
        <v>0.9</v>
      </c>
      <c r="R45" s="1">
        <v>0.9</v>
      </c>
      <c r="S45" s="27" t="s">
        <v>196</v>
      </c>
      <c r="U45" s="4" t="str">
        <f>HYPERLINK("http://exon.niaid.nih.gov/transcriptome/O_coriaceus/Sup2/links/OCORI-EST/OC-31-OCORI-EST.txt","OCM-PLAYE07_G05")</f>
        <v>OCM-PLAYE07_G05</v>
      </c>
      <c r="V45" s="1">
        <v>0</v>
      </c>
      <c r="W45" s="5" t="str">
        <f>HYPERLINK("http://exon.niaid.nih.gov/transcriptome/O_coriaceus/Sup2/links/OCORI-EST/OC-31-OCORI-EST.txt"," 21")</f>
        <v> 21</v>
      </c>
      <c r="Y45" s="22" t="s">
        <v>196</v>
      </c>
      <c r="AC45" s="22" t="str">
        <f>HYPERLINK("http://exon.niaid.nih.gov/transcriptome/O_coriaceus/Sup2/links/OC-1D/OC-31-OC-1D.txt","P28_19 |S29_38 |")</f>
        <v>P28_19 |S29_38 |</v>
      </c>
      <c r="AE45" s="1" t="s">
        <v>196</v>
      </c>
      <c r="AG45" s="26" t="s">
        <v>196</v>
      </c>
      <c r="AH45" s="4" t="str">
        <f>HYPERLINK("http://exon.niaid.nih.gov/transcriptome/O_coriaceus/Sup2/links/NR/OC-31-NR.txt","hebreain-like")</f>
        <v>hebreain-like</v>
      </c>
      <c r="AI45" t="str">
        <f>HYPERLINK("http://www.ncbi.nlm.nih.gov/sutils/blink.cgi?pid=149287050","5E-025")</f>
        <v>5E-025</v>
      </c>
      <c r="AJ45" t="s">
        <v>233</v>
      </c>
      <c r="AK45">
        <v>67</v>
      </c>
      <c r="AL45">
        <v>93</v>
      </c>
      <c r="AM45">
        <v>1</v>
      </c>
      <c r="AN45" t="s">
        <v>230</v>
      </c>
      <c r="AO45">
        <v>1</v>
      </c>
      <c r="AP45">
        <v>1</v>
      </c>
      <c r="AQ45">
        <v>1</v>
      </c>
      <c r="AR45" s="4" t="s">
        <v>196</v>
      </c>
      <c r="AS45" t="s">
        <v>196</v>
      </c>
      <c r="AT45" t="s">
        <v>196</v>
      </c>
      <c r="AU45" t="s">
        <v>196</v>
      </c>
      <c r="AV45" t="s">
        <v>196</v>
      </c>
      <c r="AW45" t="s">
        <v>196</v>
      </c>
      <c r="AX45" t="s">
        <v>196</v>
      </c>
      <c r="AY45" s="4" t="str">
        <f>HYPERLINK("http://exon.niaid.nih.gov/transcriptome/O_coriaceus/Sup2/links/KOG/OC-31-KOG.txt","Prolylcarboxypeptidase (angiotensinase C)")</f>
        <v>Prolylcarboxypeptidase (angiotensinase C)</v>
      </c>
      <c r="AZ45" t="str">
        <f>HYPERLINK("http://www.ncbi.nlm.nih.gov/COG/grace/shokog.cgi?KOG2183","0.33")</f>
        <v>0.33</v>
      </c>
      <c r="BA45" t="s">
        <v>371</v>
      </c>
      <c r="BB45" s="4" t="s">
        <v>196</v>
      </c>
      <c r="BC45" t="s">
        <v>196</v>
      </c>
      <c r="BD45" t="s">
        <v>196</v>
      </c>
      <c r="BE45" s="4" t="s">
        <v>196</v>
      </c>
      <c r="BF45" t="s">
        <v>196</v>
      </c>
      <c r="BG45" s="4" t="s">
        <v>196</v>
      </c>
      <c r="BH45" t="s">
        <v>196</v>
      </c>
      <c r="BI45" s="2">
        <f>HYPERLINK("http://exon.niaid.nih.gov/transcriptome/O_coriaceus/Sup2/links/cluster/o-cori-COMP35-50-Sim-CLU4.txt",4)</f>
        <v>4</v>
      </c>
      <c r="BJ45" s="1">
        <f>HYPERLINK("http://exon.niaid.nih.gov/transcriptome/O_coriaceus/Sup2/links/cluster/o-cori-COMP35-50-Sim-CLTL4.txt",4)</f>
        <v>4</v>
      </c>
      <c r="BK45" s="2">
        <f>HYPERLINK("http://exon.niaid.nih.gov/transcriptome/O_coriaceus/Sup2/links/cluster/o-cori-COMP45-50-Sim-CLU3.txt",3)</f>
        <v>3</v>
      </c>
      <c r="BL45" s="1">
        <f>HYPERLINK("http://exon.niaid.nih.gov/transcriptome/O_coriaceus/Sup2/links/cluster/o-cori-COMP45-50-Sim-CLTL3.txt",4)</f>
        <v>4</v>
      </c>
      <c r="BM45" s="2">
        <f>HYPERLINK("http://exon.niaid.nih.gov/transcriptome/O_coriaceus/Sup2/links/cluster/o-cori-COMP55-50-Sim-CLU3.txt",3)</f>
        <v>3</v>
      </c>
      <c r="BN45" s="1">
        <f>HYPERLINK("http://exon.niaid.nih.gov/transcriptome/O_coriaceus/Sup2/links/cluster/o-cori-COMP55-50-Sim-CLTL3.txt",4)</f>
        <v>4</v>
      </c>
      <c r="BO45" s="2">
        <f>HYPERLINK("http://exon.niaid.nih.gov/transcriptome/O_coriaceus/Sup2/links/cluster/o-cori-COMP65-50-Sim-CLU2.txt",2)</f>
        <v>2</v>
      </c>
      <c r="BP45" s="1">
        <f>HYPERLINK("http://exon.niaid.nih.gov/transcriptome/O_coriaceus/Sup2/links/cluster/o-cori-COMP65-50-Sim-CLTL2.txt",3)</f>
        <v>3</v>
      </c>
      <c r="BQ45" s="2">
        <f>HYPERLINK("http://exon.niaid.nih.gov/transcriptome/O_coriaceus/Sup2/links/cluster/o-cori-COMP75-50-Sim-CLU7.txt",7)</f>
        <v>7</v>
      </c>
      <c r="BR45" s="1">
        <f>HYPERLINK("http://exon.niaid.nih.gov/transcriptome/O_coriaceus/Sup2/links/cluster/o-cori-COMP75-50-Sim-CLTL7.txt",2)</f>
        <v>2</v>
      </c>
      <c r="BS45" s="2">
        <v>39</v>
      </c>
      <c r="BT45" s="1">
        <v>1</v>
      </c>
      <c r="BU45" s="2">
        <v>41</v>
      </c>
      <c r="BV45" s="1">
        <v>1</v>
      </c>
    </row>
    <row r="46" spans="1:74" ht="10.5">
      <c r="A46" t="str">
        <f>HYPERLINK("http://exon.niaid.nih.gov/transcriptome/O_coriaceus/Sup2/links/pep/OC-33-pep.txt","OC-33")</f>
        <v>OC-33</v>
      </c>
      <c r="B46" s="1" t="s">
        <v>114</v>
      </c>
      <c r="C46">
        <v>106</v>
      </c>
      <c r="D46" t="s">
        <v>144</v>
      </c>
      <c r="E46" t="str">
        <f>HYPERLINK("http://exon.niaid.nih.gov/transcriptome/O_coriaceus/Sup2/links/nuc/OC-33-nuc.txt","OC-33")</f>
        <v>OC-33</v>
      </c>
      <c r="F46" s="1" t="s">
        <v>195</v>
      </c>
      <c r="G46" s="1" t="s">
        <v>194</v>
      </c>
      <c r="H46" s="5" t="str">
        <f>HYPERLINK("http://exon.niaid.nih.gov/transcriptome/O_coriaceus/Sup2/links/Sigp/OC-33-SigP.txt","SIG")</f>
        <v>SIG</v>
      </c>
      <c r="I46" t="s">
        <v>545</v>
      </c>
      <c r="J46" s="1">
        <v>11.846</v>
      </c>
      <c r="K46" s="1">
        <v>5.16</v>
      </c>
      <c r="L46" s="1">
        <v>9.993</v>
      </c>
      <c r="M46" s="1">
        <v>4.96</v>
      </c>
      <c r="N46" s="19" t="s">
        <v>38</v>
      </c>
      <c r="O46" s="5" t="str">
        <f>HYPERLINK("http://exon.niaid.nih.gov/transcriptome/O_coriaceus/Sup2/links/netoglyc/OC-33-netoglyc.txt","0")</f>
        <v>0</v>
      </c>
      <c r="P46" s="1">
        <v>7.5</v>
      </c>
      <c r="Q46" s="1">
        <v>0.9</v>
      </c>
      <c r="R46" s="1">
        <v>0.9</v>
      </c>
      <c r="S46" s="27" t="s">
        <v>196</v>
      </c>
      <c r="U46" s="4" t="str">
        <f>HYPERLINK("http://exon.niaid.nih.gov/transcriptome/O_coriaceus/Sup2/links/OCORI-EST/OC-33-OCORI-EST.txt","OCL-PLATE04_F09")</f>
        <v>OCL-PLATE04_F09</v>
      </c>
      <c r="V46" s="1">
        <v>0</v>
      </c>
      <c r="W46" s="5" t="str">
        <f>HYPERLINK("http://exon.niaid.nih.gov/transcriptome/O_coriaceus/Sup2/links/OCORI-EST/OC-33-OCORI-EST.txt"," 21")</f>
        <v> 21</v>
      </c>
      <c r="Y46" s="22" t="s">
        <v>196</v>
      </c>
      <c r="AC46" s="22" t="s">
        <v>196</v>
      </c>
      <c r="AG46" s="26" t="s">
        <v>196</v>
      </c>
      <c r="AH46" s="4" t="str">
        <f>HYPERLINK("http://exon.niaid.nih.gov/transcriptome/O_coriaceus/Sup2/links/NR/OC-33-NR.txt","hebreain-like")</f>
        <v>hebreain-like</v>
      </c>
      <c r="AI46" t="str">
        <f>HYPERLINK("http://www.ncbi.nlm.nih.gov/sutils/blink.cgi?pid=149287050","4E-023")</f>
        <v>4E-023</v>
      </c>
      <c r="AJ46" t="s">
        <v>233</v>
      </c>
      <c r="AK46">
        <v>65</v>
      </c>
      <c r="AL46">
        <v>93</v>
      </c>
      <c r="AM46">
        <v>1</v>
      </c>
      <c r="AN46" t="s">
        <v>230</v>
      </c>
      <c r="AO46">
        <v>1</v>
      </c>
      <c r="AP46">
        <v>1</v>
      </c>
      <c r="AQ46">
        <v>1</v>
      </c>
      <c r="AR46" s="4" t="s">
        <v>196</v>
      </c>
      <c r="AS46" t="s">
        <v>196</v>
      </c>
      <c r="AT46" t="s">
        <v>196</v>
      </c>
      <c r="AU46" t="s">
        <v>196</v>
      </c>
      <c r="AV46" t="s">
        <v>196</v>
      </c>
      <c r="AW46" t="s">
        <v>196</v>
      </c>
      <c r="AX46" t="s">
        <v>196</v>
      </c>
      <c r="AY46" s="4" t="str">
        <f>HYPERLINK("http://exon.niaid.nih.gov/transcriptome/O_coriaceus/Sup2/links/KOG/OC-33-KOG.txt","Prolylcarboxypeptidase (angiotensinase C)")</f>
        <v>Prolylcarboxypeptidase (angiotensinase C)</v>
      </c>
      <c r="AZ46" t="str">
        <f>HYPERLINK("http://www.ncbi.nlm.nih.gov/COG/grace/shokog.cgi?KOG2183","0.53")</f>
        <v>0.53</v>
      </c>
      <c r="BA46" t="s">
        <v>371</v>
      </c>
      <c r="BB46" s="4" t="str">
        <f>HYPERLINK("http://exon.niaid.nih.gov/transcriptome/O_coriaceus/Sup2/links/CDD/OC-33-CDD.txt","PRK06872")</f>
        <v>PRK06872</v>
      </c>
      <c r="BC46" t="str">
        <f>HYPERLINK("http://www.ncbi.nlm.nih.gov/Structure/cdd/cddsrv.cgi?uid=PRK06872&amp;version=v4.0","0.93")</f>
        <v>0.93</v>
      </c>
      <c r="BD46" t="s">
        <v>372</v>
      </c>
      <c r="BE46" s="4" t="s">
        <v>196</v>
      </c>
      <c r="BF46" t="s">
        <v>196</v>
      </c>
      <c r="BG46" s="4" t="str">
        <f>HYPERLINK("http://exon.niaid.nih.gov/transcriptome/O_coriaceus/Sup2/links/SMART/OC-33-SMART.txt","LIF_OSM")</f>
        <v>LIF_OSM</v>
      </c>
      <c r="BH46" t="str">
        <f>HYPERLINK("http://smart.embl-heidelberg.de/smart/do_annotation.pl?DOMAIN=LIF_OSM&amp;BLAST=DUMMY","0.64")</f>
        <v>0.64</v>
      </c>
      <c r="BI46" s="2">
        <f>HYPERLINK("http://exon.niaid.nih.gov/transcriptome/O_coriaceus/Sup2/links/cluster/o-cori-COMP35-50-Sim-CLU4.txt",4)</f>
        <v>4</v>
      </c>
      <c r="BJ46" s="1">
        <f>HYPERLINK("http://exon.niaid.nih.gov/transcriptome/O_coriaceus/Sup2/links/cluster/o-cori-COMP35-50-Sim-CLTL4.txt",4)</f>
        <v>4</v>
      </c>
      <c r="BK46" s="2">
        <f>HYPERLINK("http://exon.niaid.nih.gov/transcriptome/O_coriaceus/Sup2/links/cluster/o-cori-COMP45-50-Sim-CLU3.txt",3)</f>
        <v>3</v>
      </c>
      <c r="BL46" s="1">
        <f>HYPERLINK("http://exon.niaid.nih.gov/transcriptome/O_coriaceus/Sup2/links/cluster/o-cori-COMP45-50-Sim-CLTL3.txt",4)</f>
        <v>4</v>
      </c>
      <c r="BM46" s="2">
        <f>HYPERLINK("http://exon.niaid.nih.gov/transcriptome/O_coriaceus/Sup2/links/cluster/o-cori-COMP55-50-Sim-CLU3.txt",3)</f>
        <v>3</v>
      </c>
      <c r="BN46" s="1">
        <f>HYPERLINK("http://exon.niaid.nih.gov/transcriptome/O_coriaceus/Sup2/links/cluster/o-cori-COMP55-50-Sim-CLTL3.txt",4)</f>
        <v>4</v>
      </c>
      <c r="BO46" s="2">
        <f>HYPERLINK("http://exon.niaid.nih.gov/transcriptome/O_coriaceus/Sup2/links/cluster/o-cori-COMP65-50-Sim-CLU2.txt",2)</f>
        <v>2</v>
      </c>
      <c r="BP46" s="1">
        <f>HYPERLINK("http://exon.niaid.nih.gov/transcriptome/O_coriaceus/Sup2/links/cluster/o-cori-COMP65-50-Sim-CLTL2.txt",3)</f>
        <v>3</v>
      </c>
      <c r="BQ46" s="2">
        <f>HYPERLINK("http://exon.niaid.nih.gov/transcriptome/O_coriaceus/Sup2/links/cluster/o-cori-COMP75-50-Sim-CLU7.txt",7)</f>
        <v>7</v>
      </c>
      <c r="BR46" s="1">
        <f>HYPERLINK("http://exon.niaid.nih.gov/transcriptome/O_coriaceus/Sup2/links/cluster/o-cori-COMP75-50-Sim-CLTL7.txt",2)</f>
        <v>2</v>
      </c>
      <c r="BS46" s="2">
        <v>40</v>
      </c>
      <c r="BT46" s="1">
        <v>1</v>
      </c>
      <c r="BU46" s="2">
        <v>42</v>
      </c>
      <c r="BV46" s="1">
        <v>1</v>
      </c>
    </row>
    <row r="47" spans="1:74" ht="10.5">
      <c r="A47" t="str">
        <f>HYPERLINK("http://exon.niaid.nih.gov/transcriptome/O_coriaceus/Sup2/links/pep/OC-696-pep.txt","OC-696")</f>
        <v>OC-696</v>
      </c>
      <c r="B47" s="1" t="s">
        <v>114</v>
      </c>
      <c r="C47">
        <v>111</v>
      </c>
      <c r="D47" t="s">
        <v>144</v>
      </c>
      <c r="E47" t="str">
        <f>HYPERLINK("http://exon.niaid.nih.gov/transcriptome/O_coriaceus/Sup2/links/nuc/OC-696-nuc.txt","OC-696")</f>
        <v>OC-696</v>
      </c>
      <c r="F47" s="1" t="s">
        <v>195</v>
      </c>
      <c r="G47" s="1" t="s">
        <v>194</v>
      </c>
      <c r="H47" s="5" t="str">
        <f>HYPERLINK("http://exon.niaid.nih.gov/transcriptome/O_coriaceus/Sup2/links/Sigp/OC-696-SigP.txt","SIG")</f>
        <v>SIG</v>
      </c>
      <c r="I47" t="s">
        <v>545</v>
      </c>
      <c r="J47" s="1">
        <v>12.7</v>
      </c>
      <c r="K47" s="1">
        <v>5.89</v>
      </c>
      <c r="L47" s="1">
        <v>10.915</v>
      </c>
      <c r="M47" s="1">
        <v>5.77</v>
      </c>
      <c r="N47" s="19" t="s">
        <v>39</v>
      </c>
      <c r="O47" s="5" t="str">
        <f>HYPERLINK("http://exon.niaid.nih.gov/transcriptome/O_coriaceus/Sup2/links/netoglyc/OC-696-netoglyc.txt","0")</f>
        <v>0</v>
      </c>
      <c r="P47" s="1">
        <v>6.3</v>
      </c>
      <c r="Q47" s="1">
        <v>1.8</v>
      </c>
      <c r="R47" s="1">
        <v>1.8</v>
      </c>
      <c r="S47" s="27" t="s">
        <v>196</v>
      </c>
      <c r="U47" s="4" t="str">
        <f>HYPERLINK("http://exon.niaid.nih.gov/transcriptome/O_coriaceus/Sup2/links/OCORI-EST/OC-696-OCORI-EST.txt","OCM-PLATE09_G10")</f>
        <v>OCM-PLATE09_G10</v>
      </c>
      <c r="V47" s="1">
        <v>0</v>
      </c>
      <c r="W47" s="5" t="str">
        <f>HYPERLINK("http://exon.niaid.nih.gov/transcriptome/O_coriaceus/Sup2/links/OCORI-EST/OC-696-OCORI-EST.txt"," 2")</f>
        <v> 2</v>
      </c>
      <c r="Y47" s="22" t="s">
        <v>196</v>
      </c>
      <c r="AC47" s="22" t="str">
        <f>HYPERLINK("http://exon.niaid.nih.gov/transcriptome/O_coriaceus/Sup2/links/OC-1D/OC-696-OC-1D.txt","S16_45 |S27_35 |")</f>
        <v>S16_45 |S27_35 |</v>
      </c>
      <c r="AE47" s="1" t="s">
        <v>196</v>
      </c>
      <c r="AG47" s="26" t="s">
        <v>196</v>
      </c>
      <c r="AH47" s="4" t="str">
        <f>HYPERLINK("http://exon.niaid.nih.gov/transcriptome/O_coriaceus/Sup2/links/NR/OC-696-NR.txt","hebreain-like")</f>
        <v>hebreain-like</v>
      </c>
      <c r="AI47" t="str">
        <f>HYPERLINK("http://www.ncbi.nlm.nih.gov/sutils/blink.cgi?pid=149287050","5E-026")</f>
        <v>5E-026</v>
      </c>
      <c r="AJ47" t="s">
        <v>233</v>
      </c>
      <c r="AK47">
        <v>73</v>
      </c>
      <c r="AL47">
        <v>79</v>
      </c>
      <c r="AM47">
        <v>20</v>
      </c>
      <c r="AN47" t="s">
        <v>230</v>
      </c>
      <c r="AO47">
        <v>20</v>
      </c>
      <c r="AP47">
        <v>20</v>
      </c>
      <c r="AQ47">
        <v>1</v>
      </c>
      <c r="AR47" s="4" t="s">
        <v>196</v>
      </c>
      <c r="AS47" t="s">
        <v>196</v>
      </c>
      <c r="AT47" t="s">
        <v>196</v>
      </c>
      <c r="AU47" t="s">
        <v>196</v>
      </c>
      <c r="AV47" t="s">
        <v>196</v>
      </c>
      <c r="AW47" t="s">
        <v>196</v>
      </c>
      <c r="AX47" t="s">
        <v>196</v>
      </c>
      <c r="AY47" s="4" t="str">
        <f>HYPERLINK("http://exon.niaid.nih.gov/transcriptome/O_coriaceus/Sup2/links/KOG/OC-696-KOG.txt","dTDP-glucose 4-6-dehydratase/UDP-glucuronic acid decarboxylase")</f>
        <v>dTDP-glucose 4-6-dehydratase/UDP-glucuronic acid decarboxylase</v>
      </c>
      <c r="AZ47" t="str">
        <f>HYPERLINK("http://www.ncbi.nlm.nih.gov/COG/grace/shokog.cgi?KOG1429","0.22")</f>
        <v>0.22</v>
      </c>
      <c r="BA47" t="s">
        <v>493</v>
      </c>
      <c r="BB47" s="4" t="str">
        <f>HYPERLINK("http://exon.niaid.nih.gov/transcriptome/O_coriaceus/Sup2/links/CDD/OC-696-CDD.txt","PRK10019")</f>
        <v>PRK10019</v>
      </c>
      <c r="BC47" t="str">
        <f>HYPERLINK("http://www.ncbi.nlm.nih.gov/Structure/cdd/cddsrv.cgi?uid=PRK10019&amp;version=v4.0","0.34")</f>
        <v>0.34</v>
      </c>
      <c r="BD47" t="s">
        <v>494</v>
      </c>
      <c r="BE47" s="4" t="str">
        <f>HYPERLINK("http://exon.niaid.nih.gov/transcriptome/O_coriaceus/Sup2/links/PFAM/OC-696-PFAM.txt","MVIN")</f>
        <v>MVIN</v>
      </c>
      <c r="BF47" t="str">
        <f>HYPERLINK("http://pfam.janelia.org/cgi-bin/getdesc?acc=PF03023","0.038")</f>
        <v>0.038</v>
      </c>
      <c r="BG47" s="4" t="str">
        <f>HYPERLINK("http://exon.niaid.nih.gov/transcriptome/O_coriaceus/Sup2/links/SMART/OC-696-SMART.txt","TOPEUc")</f>
        <v>TOPEUc</v>
      </c>
      <c r="BH47" t="str">
        <f>HYPERLINK("http://smart.embl-heidelberg.de/smart/do_annotation.pl?DOMAIN=TOPEUc&amp;BLAST=DUMMY","0.63")</f>
        <v>0.63</v>
      </c>
      <c r="BI47" s="2">
        <f>HYPERLINK("http://exon.niaid.nih.gov/transcriptome/O_coriaceus/Sup2/links/cluster/o-cori-COMP35-50-Sim-CLU4.txt",4)</f>
        <v>4</v>
      </c>
      <c r="BJ47" s="1">
        <f>HYPERLINK("http://exon.niaid.nih.gov/transcriptome/O_coriaceus/Sup2/links/cluster/o-cori-COMP35-50-Sim-CLTL4.txt",4)</f>
        <v>4</v>
      </c>
      <c r="BK47" s="2">
        <f>HYPERLINK("http://exon.niaid.nih.gov/transcriptome/O_coriaceus/Sup2/links/cluster/o-cori-COMP45-50-Sim-CLU3.txt",3)</f>
        <v>3</v>
      </c>
      <c r="BL47" s="1">
        <f>HYPERLINK("http://exon.niaid.nih.gov/transcriptome/O_coriaceus/Sup2/links/cluster/o-cori-COMP45-50-Sim-CLTL3.txt",4)</f>
        <v>4</v>
      </c>
      <c r="BM47" s="2">
        <f>HYPERLINK("http://exon.niaid.nih.gov/transcriptome/O_coriaceus/Sup2/links/cluster/o-cori-COMP55-50-Sim-CLU3.txt",3)</f>
        <v>3</v>
      </c>
      <c r="BN47" s="1">
        <f>HYPERLINK("http://exon.niaid.nih.gov/transcriptome/O_coriaceus/Sup2/links/cluster/o-cori-COMP55-50-Sim-CLTL3.txt",4)</f>
        <v>4</v>
      </c>
      <c r="BO47" s="2">
        <v>72</v>
      </c>
      <c r="BP47" s="1">
        <v>1</v>
      </c>
      <c r="BQ47" s="2">
        <v>77</v>
      </c>
      <c r="BR47" s="1">
        <v>1</v>
      </c>
      <c r="BS47" s="2">
        <v>80</v>
      </c>
      <c r="BT47" s="1">
        <v>1</v>
      </c>
      <c r="BU47" s="2">
        <v>87</v>
      </c>
      <c r="BV47" s="1">
        <v>1</v>
      </c>
    </row>
    <row r="48" spans="1:33" s="6" customFormat="1" ht="10.5">
      <c r="A48" s="12" t="s">
        <v>252</v>
      </c>
      <c r="H48" s="11"/>
      <c r="N48" s="18" t="s">
        <v>196</v>
      </c>
      <c r="O48" s="11"/>
      <c r="P48" s="11"/>
      <c r="Q48" s="11"/>
      <c r="R48" s="11"/>
      <c r="S48" s="18" t="s">
        <v>196</v>
      </c>
      <c r="W48" s="11"/>
      <c r="X48" s="18"/>
      <c r="Y48" s="21" t="s">
        <v>196</v>
      </c>
      <c r="Z48" s="18"/>
      <c r="AA48" s="11"/>
      <c r="AB48" s="11"/>
      <c r="AC48" s="21" t="s">
        <v>196</v>
      </c>
      <c r="AD48" s="18"/>
      <c r="AE48" s="11"/>
      <c r="AF48" s="11"/>
      <c r="AG48" s="25" t="s">
        <v>196</v>
      </c>
    </row>
    <row r="49" spans="1:74" ht="10.5">
      <c r="A49" t="str">
        <f>HYPERLINK("http://exon.niaid.nih.gov/transcriptome/O_coriaceus/Sup2/links/pep/OC-487-pep.txt","OC-487")</f>
        <v>OC-487</v>
      </c>
      <c r="B49" s="1" t="s">
        <v>136</v>
      </c>
      <c r="C49">
        <v>44</v>
      </c>
      <c r="D49" t="s">
        <v>166</v>
      </c>
      <c r="E49" t="str">
        <f>HYPERLINK("http://exon.niaid.nih.gov/transcriptome/O_coriaceus/Sup2/links/nuc/OC-487-nuc.txt","OC-487")</f>
        <v>OC-487</v>
      </c>
      <c r="F49" s="1" t="s">
        <v>196</v>
      </c>
      <c r="G49" s="1" t="s">
        <v>194</v>
      </c>
      <c r="H49" s="5" t="str">
        <f>HYPERLINK("http://exon.niaid.nih.gov/transcriptome/O_coriaceus/Sup2/links/Sigp/OC-487-SigP.txt","CYT")</f>
        <v>CYT</v>
      </c>
      <c r="I49" t="s">
        <v>196</v>
      </c>
      <c r="J49" s="1">
        <v>4.887</v>
      </c>
      <c r="K49" s="1">
        <v>9.89</v>
      </c>
      <c r="N49" s="19" t="s">
        <v>40</v>
      </c>
      <c r="O49" s="5" t="str">
        <f>HYPERLINK("http://exon.niaid.nih.gov/transcriptome/O_coriaceus/Sup2/links/netoglyc/OC-487-netoglyc.txt","0")</f>
        <v>0</v>
      </c>
      <c r="P49" s="1">
        <v>6.8</v>
      </c>
      <c r="Q49" s="1">
        <v>15.9</v>
      </c>
      <c r="R49" s="1">
        <v>2.3</v>
      </c>
      <c r="S49" s="27" t="s">
        <v>639</v>
      </c>
      <c r="U49" s="4" t="str">
        <f>HYPERLINK("http://exon.niaid.nih.gov/transcriptome/O_coriaceus/Sup2/links/OCORI-EST/OC-487-OCORI-EST.txt","OCL-PLATE04_G11")</f>
        <v>OCL-PLATE04_G11</v>
      </c>
      <c r="V49" s="1">
        <v>7E-71</v>
      </c>
      <c r="W49" s="5" t="str">
        <f>HYPERLINK("http://exon.niaid.nih.gov/transcriptome/O_coriaceus/Sup2/links/OCORI-EST/OC-487-OCORI-EST.txt"," 1")</f>
        <v> 1</v>
      </c>
      <c r="Y49" s="22" t="s">
        <v>196</v>
      </c>
      <c r="AC49" s="22" t="s">
        <v>196</v>
      </c>
      <c r="AG49" s="26" t="s">
        <v>196</v>
      </c>
      <c r="AH49" s="4" t="str">
        <f>HYPERLINK("http://exon.niaid.nih.gov/transcriptome/O_coriaceus/Sup2/links/NR/OC-487-NR.txt","scapularisin preproprotein")</f>
        <v>scapularisin preproprotein</v>
      </c>
      <c r="AI49" t="str">
        <f>HYPERLINK("http://www.ncbi.nlm.nih.gov/sutils/blink.cgi?pid=56122516","6E-011")</f>
        <v>6E-011</v>
      </c>
      <c r="AJ49" t="s">
        <v>434</v>
      </c>
      <c r="AK49">
        <v>83</v>
      </c>
      <c r="AL49">
        <v>58</v>
      </c>
      <c r="AM49">
        <v>32</v>
      </c>
      <c r="AN49" t="s">
        <v>300</v>
      </c>
      <c r="AO49">
        <v>32</v>
      </c>
      <c r="AP49">
        <v>2</v>
      </c>
      <c r="AQ49">
        <v>1</v>
      </c>
      <c r="AR49" s="4" t="s">
        <v>435</v>
      </c>
      <c r="AS49">
        <f>HYPERLINK("http://exon.niaid.nih.gov/transcriptome/O_coriaceus/Sup2/links/GO/OC-487-GO.txt",0.000000002)</f>
        <v>2E-09</v>
      </c>
      <c r="AT49" t="s">
        <v>196</v>
      </c>
      <c r="AU49" t="s">
        <v>196</v>
      </c>
      <c r="AV49" t="s">
        <v>196</v>
      </c>
      <c r="AW49" t="s">
        <v>196</v>
      </c>
      <c r="AX49" t="s">
        <v>196</v>
      </c>
      <c r="AY49" s="4" t="s">
        <v>196</v>
      </c>
      <c r="AZ49" t="s">
        <v>196</v>
      </c>
      <c r="BA49" t="s">
        <v>196</v>
      </c>
      <c r="BB49" s="4" t="str">
        <f>HYPERLINK("http://exon.niaid.nih.gov/transcriptome/O_coriaceus/Sup2/links/CDD/OC-487-CDD.txt","Defensin_2")</f>
        <v>Defensin_2</v>
      </c>
      <c r="BC49" t="str">
        <f>HYPERLINK("http://www.ncbi.nlm.nih.gov/Structure/cdd/cddsrv.cgi?uid=pfam01097&amp;version=v4.0","0.65")</f>
        <v>0.65</v>
      </c>
      <c r="BD49" t="s">
        <v>436</v>
      </c>
      <c r="BE49" s="4" t="str">
        <f>HYPERLINK("http://exon.niaid.nih.gov/transcriptome/O_coriaceus/Sup2/links/PFAM/OC-487-PFAM.txt","Defensin_2")</f>
        <v>Defensin_2</v>
      </c>
      <c r="BF49" t="str">
        <f>HYPERLINK("http://pfam.janelia.org/cgi-bin/getdesc?acc=PF01097","0.19")</f>
        <v>0.19</v>
      </c>
      <c r="BG49" s="4" t="s">
        <v>196</v>
      </c>
      <c r="BH49" t="s">
        <v>196</v>
      </c>
      <c r="BI49" s="2">
        <v>51</v>
      </c>
      <c r="BJ49" s="1">
        <v>1</v>
      </c>
      <c r="BK49" s="2">
        <v>54</v>
      </c>
      <c r="BL49" s="1">
        <v>1</v>
      </c>
      <c r="BM49" s="2">
        <v>53</v>
      </c>
      <c r="BN49" s="1">
        <v>1</v>
      </c>
      <c r="BO49" s="2">
        <v>56</v>
      </c>
      <c r="BP49" s="1">
        <v>1</v>
      </c>
      <c r="BQ49" s="2">
        <v>56</v>
      </c>
      <c r="BR49" s="1">
        <v>1</v>
      </c>
      <c r="BS49" s="2">
        <v>59</v>
      </c>
      <c r="BT49" s="1">
        <v>1</v>
      </c>
      <c r="BU49" s="2">
        <v>63</v>
      </c>
      <c r="BV49" s="1">
        <v>1</v>
      </c>
    </row>
    <row r="50" spans="1:33" s="6" customFormat="1" ht="10.5">
      <c r="A50" s="12" t="s">
        <v>254</v>
      </c>
      <c r="H50" s="11"/>
      <c r="N50" s="18" t="s">
        <v>196</v>
      </c>
      <c r="O50" s="11"/>
      <c r="P50" s="11"/>
      <c r="Q50" s="11"/>
      <c r="R50" s="11"/>
      <c r="S50" s="18" t="s">
        <v>196</v>
      </c>
      <c r="W50" s="11"/>
      <c r="X50" s="18"/>
      <c r="Y50" s="21" t="s">
        <v>196</v>
      </c>
      <c r="Z50" s="18"/>
      <c r="AA50" s="11"/>
      <c r="AB50" s="11"/>
      <c r="AC50" s="21" t="s">
        <v>196</v>
      </c>
      <c r="AD50" s="18"/>
      <c r="AE50" s="11"/>
      <c r="AF50" s="11"/>
      <c r="AG50" s="25" t="s">
        <v>196</v>
      </c>
    </row>
    <row r="51" spans="1:74" ht="10.5">
      <c r="A51" t="str">
        <f>HYPERLINK("http://exon.niaid.nih.gov/transcriptome/O_coriaceus/Sup2/links/pep/OC-1000-pep.txt","OC-1000")</f>
        <v>OC-1000</v>
      </c>
      <c r="B51" s="1" t="s">
        <v>114</v>
      </c>
      <c r="C51">
        <v>103</v>
      </c>
      <c r="D51" t="s">
        <v>119</v>
      </c>
      <c r="E51" t="str">
        <f>HYPERLINK("http://exon.niaid.nih.gov/transcriptome/O_coriaceus/Sup2/links/nuc/OC-1000-nuc.txt","OC-1000")</f>
        <v>OC-1000</v>
      </c>
      <c r="F51" s="1" t="s">
        <v>195</v>
      </c>
      <c r="G51" s="1" t="s">
        <v>194</v>
      </c>
      <c r="H51" s="5" t="str">
        <f>HYPERLINK("http://exon.niaid.nih.gov/transcriptome/O_coriaceus/Sup2/links/Sigp/OC-1000-SigP.txt","SIG")</f>
        <v>SIG</v>
      </c>
      <c r="I51" t="s">
        <v>541</v>
      </c>
      <c r="J51" s="1">
        <v>11.386</v>
      </c>
      <c r="K51" s="1">
        <v>8.38</v>
      </c>
      <c r="L51" s="1">
        <v>9.404</v>
      </c>
      <c r="M51" s="1">
        <v>8.12</v>
      </c>
      <c r="N51" s="19" t="s">
        <v>41</v>
      </c>
      <c r="O51" s="5" t="str">
        <f>HYPERLINK("http://exon.niaid.nih.gov/transcriptome/O_coriaceus/Sup2/links/netoglyc/OC-1000-netoglyc.txt","1")</f>
        <v>1</v>
      </c>
      <c r="P51" s="1">
        <v>10.7</v>
      </c>
      <c r="Q51" s="1">
        <v>6.8</v>
      </c>
      <c r="R51" s="1">
        <v>6.8</v>
      </c>
      <c r="S51" s="27" t="s">
        <v>196</v>
      </c>
      <c r="U51" s="4" t="str">
        <f>HYPERLINK("http://exon.niaid.nih.gov/transcriptome/O_coriaceus/Sup2/links/OCORI-EST/OC-1000-OCORI-EST.txt","OCM-P19_E02")</f>
        <v>OCM-P19_E02</v>
      </c>
      <c r="V51" s="1">
        <v>1E-178</v>
      </c>
      <c r="W51" s="5" t="str">
        <f>HYPERLINK("http://exon.niaid.nih.gov/transcriptome/O_coriaceus/Sup2/links/OCORI-EST/OC-1000-OCORI-EST.txt"," 1")</f>
        <v> 1</v>
      </c>
      <c r="Y51" s="22" t="s">
        <v>196</v>
      </c>
      <c r="AC51" s="22" t="s">
        <v>196</v>
      </c>
      <c r="AH51" s="4" t="str">
        <f>HYPERLINK("http://exon.niaid.nih.gov/transcriptome/O_coriaceus/Sup2/links/NR/OC-1000-NR.txt","unnamed protein product")</f>
        <v>unnamed protein product</v>
      </c>
      <c r="AI51" t="str">
        <f>HYPERLINK("http://www.ncbi.nlm.nih.gov/sutils/blink.cgi?pid=26336919","2E-004")</f>
        <v>2E-004</v>
      </c>
      <c r="AJ51" t="s">
        <v>235</v>
      </c>
      <c r="AK51">
        <v>41</v>
      </c>
      <c r="AL51">
        <v>9</v>
      </c>
      <c r="AM51">
        <v>298</v>
      </c>
      <c r="AN51" t="s">
        <v>236</v>
      </c>
      <c r="AO51">
        <v>83</v>
      </c>
      <c r="AP51">
        <v>29</v>
      </c>
      <c r="AQ51">
        <v>2</v>
      </c>
      <c r="AR51" s="4" t="s">
        <v>237</v>
      </c>
      <c r="AS51">
        <f>HYPERLINK("http://exon.niaid.nih.gov/transcriptome/O_coriaceus/Sup2/links/GO/OC-1000-GO.txt",0.00002)</f>
        <v>2E-05</v>
      </c>
      <c r="AT51" t="s">
        <v>238</v>
      </c>
      <c r="AU51" t="s">
        <v>239</v>
      </c>
      <c r="AV51" t="s">
        <v>240</v>
      </c>
      <c r="AW51" t="s">
        <v>241</v>
      </c>
      <c r="AX51">
        <v>2E-05</v>
      </c>
      <c r="AY51" s="4" t="str">
        <f>HYPERLINK("http://exon.niaid.nih.gov/transcriptome/O_coriaceus/Sup2/links/KOG/OC-1000-KOG.txt","Ca2+-binding proteoglycan Testican")</f>
        <v>Ca2+-binding proteoglycan Testican</v>
      </c>
      <c r="AZ51" t="str">
        <f>HYPERLINK("http://www.ncbi.nlm.nih.gov/COG/grace/shokog.cgi?KOG3555","0.23")</f>
        <v>0.23</v>
      </c>
      <c r="BA51" t="s">
        <v>234</v>
      </c>
      <c r="BB51" s="4" t="str">
        <f>HYPERLINK("http://exon.niaid.nih.gov/transcriptome/O_coriaceus/Sup2/links/CDD/OC-1000-CDD.txt","TIL")</f>
        <v>TIL</v>
      </c>
      <c r="BC51" t="str">
        <f>HYPERLINK("http://www.ncbi.nlm.nih.gov/Structure/cdd/cddsrv.cgi?uid=pfam01826&amp;version=v4.0","0.004")</f>
        <v>0.004</v>
      </c>
      <c r="BD51" t="s">
        <v>267</v>
      </c>
      <c r="BE51" s="4" t="str">
        <f>HYPERLINK("http://exon.niaid.nih.gov/transcriptome/O_coriaceus/Sup2/links/PFAM/OC-1000-PFAM.txt","TIL")</f>
        <v>TIL</v>
      </c>
      <c r="BF51" t="str">
        <f>HYPERLINK("http://pfam.janelia.org/cgi-bin/getdesc?acc=PF01826","0.001")</f>
        <v>0.001</v>
      </c>
      <c r="BG51" s="4" t="s">
        <v>196</v>
      </c>
      <c r="BH51" t="s">
        <v>196</v>
      </c>
      <c r="BI51" s="2">
        <v>14</v>
      </c>
      <c r="BJ51" s="1">
        <v>1</v>
      </c>
      <c r="BK51" s="2">
        <v>14</v>
      </c>
      <c r="BL51" s="1">
        <v>1</v>
      </c>
      <c r="BM51" s="2">
        <v>13</v>
      </c>
      <c r="BN51" s="1">
        <v>1</v>
      </c>
      <c r="BO51" s="2">
        <v>15</v>
      </c>
      <c r="BP51" s="1">
        <v>1</v>
      </c>
      <c r="BQ51" s="2">
        <v>12</v>
      </c>
      <c r="BR51" s="1">
        <v>1</v>
      </c>
      <c r="BS51" s="2">
        <v>12</v>
      </c>
      <c r="BT51" s="1">
        <v>1</v>
      </c>
      <c r="BU51" s="2">
        <v>5</v>
      </c>
      <c r="BV51" s="1">
        <v>1</v>
      </c>
    </row>
    <row r="52" spans="1:74" ht="10.5">
      <c r="A52" t="str">
        <f>HYPERLINK("http://exon.niaid.nih.gov/transcriptome/O_coriaceus/Sup2/links/pep/OC-86-pep.txt","OC-86")</f>
        <v>OC-86</v>
      </c>
      <c r="B52" s="1" t="s">
        <v>114</v>
      </c>
      <c r="C52">
        <v>211</v>
      </c>
      <c r="D52" t="s">
        <v>151</v>
      </c>
      <c r="E52" t="str">
        <f>HYPERLINK("http://exon.niaid.nih.gov/transcriptome/O_coriaceus/Sup2/links/nuc/OC-86-nuc.txt","OC-86")</f>
        <v>OC-86</v>
      </c>
      <c r="F52" s="1" t="s">
        <v>195</v>
      </c>
      <c r="G52" s="1" t="s">
        <v>194</v>
      </c>
      <c r="H52" s="5" t="str">
        <f>HYPERLINK("http://exon.niaid.nih.gov/transcriptome/O_coriaceus/Sup2/links/Sigp/OC-86-SigP.txt","SIG")</f>
        <v>SIG</v>
      </c>
      <c r="I52" t="s">
        <v>546</v>
      </c>
      <c r="J52" s="1">
        <v>23.301</v>
      </c>
      <c r="K52" s="1">
        <v>7.68</v>
      </c>
      <c r="L52" s="1">
        <v>21.533</v>
      </c>
      <c r="M52" s="1">
        <v>7.76</v>
      </c>
      <c r="N52" s="19" t="s">
        <v>42</v>
      </c>
      <c r="O52" s="5" t="str">
        <f>HYPERLINK("http://exon.niaid.nih.gov/transcriptome/O_coriaceus/Sup2/links/netoglyc/OC-86-netoglyc.txt","0")</f>
        <v>0</v>
      </c>
      <c r="P52" s="1">
        <v>12.3</v>
      </c>
      <c r="Q52" s="1">
        <v>6.6</v>
      </c>
      <c r="R52" s="1">
        <v>9</v>
      </c>
      <c r="S52" s="27" t="s">
        <v>196</v>
      </c>
      <c r="U52" s="4" t="str">
        <f>HYPERLINK("http://exon.niaid.nih.gov/transcriptome/O_coriaceus/Sup2/links/OCORI-EST/OC-86-OCORI-EST.txt","OCL-PLATE03_G03")</f>
        <v>OCL-PLATE03_G03</v>
      </c>
      <c r="V52" s="1">
        <v>0</v>
      </c>
      <c r="W52" s="5" t="str">
        <f>HYPERLINK("http://exon.niaid.nih.gov/transcriptome/O_coriaceus/Sup2/links/OCORI-EST/OC-86-OCORI-EST.txt"," 3")</f>
        <v> 3</v>
      </c>
      <c r="Y52" s="22" t="s">
        <v>196</v>
      </c>
      <c r="AC52" s="22" t="s">
        <v>196</v>
      </c>
      <c r="AH52" s="4" t="str">
        <f>HYPERLINK("http://exon.niaid.nih.gov/transcriptome/O_coriaceus/Sup2/links/NR/OC-86-NR.txt","PREDICTED: similar to Y69H2.3a isoform 1")</f>
        <v>PREDICTED: similar to Y69H2.3a isoform 1</v>
      </c>
      <c r="AI52" t="str">
        <f>HYPERLINK("http://www.ncbi.nlm.nih.gov/sutils/blink.cgi?pid=91080607","4E-007")</f>
        <v>4E-007</v>
      </c>
      <c r="AJ52" t="s">
        <v>514</v>
      </c>
      <c r="AK52">
        <v>28</v>
      </c>
      <c r="AL52">
        <v>70</v>
      </c>
      <c r="AM52">
        <v>28</v>
      </c>
      <c r="AN52" t="s">
        <v>403</v>
      </c>
      <c r="AO52">
        <v>59</v>
      </c>
      <c r="AP52">
        <v>65</v>
      </c>
      <c r="AQ52">
        <v>1</v>
      </c>
      <c r="AR52" s="4" t="s">
        <v>515</v>
      </c>
      <c r="AS52">
        <f>HYPERLINK("http://exon.niaid.nih.gov/transcriptome/O_coriaceus/Sup2/links/GO/OC-86-GO.txt",0.0008)</f>
        <v>0.0008</v>
      </c>
      <c r="AT52" t="s">
        <v>516</v>
      </c>
      <c r="AU52" t="s">
        <v>517</v>
      </c>
      <c r="AV52" t="s">
        <v>518</v>
      </c>
      <c r="AW52" t="s">
        <v>519</v>
      </c>
      <c r="AX52">
        <v>0.003</v>
      </c>
      <c r="AY52" s="4" t="str">
        <f>HYPERLINK("http://exon.niaid.nih.gov/transcriptome/O_coriaceus/Sup2/links/KOG/OC-86-KOG.txt","Insulin/growth factor receptor (contains protein kinase domain)")</f>
        <v>Insulin/growth factor receptor (contains protein kinase domain)</v>
      </c>
      <c r="AZ52" t="str">
        <f>HYPERLINK("http://www.ncbi.nlm.nih.gov/COG/grace/shokog.cgi?KOG4258","0.19")</f>
        <v>0.19</v>
      </c>
      <c r="BA52" t="s">
        <v>378</v>
      </c>
      <c r="BB52" s="4" t="str">
        <f>HYPERLINK("http://exon.niaid.nih.gov/transcriptome/O_coriaceus/Sup2/links/CDD/OC-86-CDD.txt","TIL")</f>
        <v>TIL</v>
      </c>
      <c r="BC52" t="str">
        <f>HYPERLINK("http://www.ncbi.nlm.nih.gov/Structure/cdd/cddsrv.cgi?uid=pfam01826&amp;version=v4.0","0.039")</f>
        <v>0.039</v>
      </c>
      <c r="BD52" t="s">
        <v>520</v>
      </c>
      <c r="BE52" s="4" t="str">
        <f>HYPERLINK("http://exon.niaid.nih.gov/transcriptome/O_coriaceus/Sup2/links/PFAM/OC-86-PFAM.txt","TIL")</f>
        <v>TIL</v>
      </c>
      <c r="BF52" t="str">
        <f>HYPERLINK("http://pfam.janelia.org/cgi-bin/getdesc?acc=PF01826","0.011")</f>
        <v>0.011</v>
      </c>
      <c r="BG52" s="4" t="str">
        <f>HYPERLINK("http://exon.niaid.nih.gov/transcriptome/O_coriaceus/Sup2/links/SMART/OC-86-SMART.txt","PSN")</f>
        <v>PSN</v>
      </c>
      <c r="BH52" t="str">
        <f>HYPERLINK("http://smart.embl-heidelberg.de/smart/do_annotation.pl?DOMAIN=PSN&amp;BLAST=DUMMY","0.52")</f>
        <v>0.52</v>
      </c>
      <c r="BI52" s="2">
        <v>70</v>
      </c>
      <c r="BJ52" s="1">
        <v>1</v>
      </c>
      <c r="BK52" s="2">
        <v>74</v>
      </c>
      <c r="BL52" s="1">
        <v>1</v>
      </c>
      <c r="BM52" s="2">
        <v>75</v>
      </c>
      <c r="BN52" s="1">
        <v>1</v>
      </c>
      <c r="BO52" s="2">
        <v>80</v>
      </c>
      <c r="BP52" s="1">
        <v>1</v>
      </c>
      <c r="BQ52" s="2">
        <v>85</v>
      </c>
      <c r="BR52" s="1">
        <v>1</v>
      </c>
      <c r="BS52" s="2">
        <v>89</v>
      </c>
      <c r="BT52" s="1">
        <v>1</v>
      </c>
      <c r="BU52" s="2">
        <v>97</v>
      </c>
      <c r="BV52" s="1">
        <v>1</v>
      </c>
    </row>
    <row r="53" spans="1:33" s="6" customFormat="1" ht="10.5">
      <c r="A53" s="12" t="s">
        <v>256</v>
      </c>
      <c r="H53" s="11"/>
      <c r="N53" s="18" t="s">
        <v>196</v>
      </c>
      <c r="O53" s="11"/>
      <c r="P53" s="11"/>
      <c r="Q53" s="11"/>
      <c r="R53" s="11"/>
      <c r="S53" s="18" t="s">
        <v>196</v>
      </c>
      <c r="W53" s="11"/>
      <c r="X53" s="18"/>
      <c r="Y53" s="21" t="s">
        <v>196</v>
      </c>
      <c r="Z53" s="18"/>
      <c r="AA53" s="11"/>
      <c r="AB53" s="11"/>
      <c r="AC53" s="21" t="s">
        <v>196</v>
      </c>
      <c r="AD53" s="18"/>
      <c r="AE53" s="11"/>
      <c r="AF53" s="11"/>
      <c r="AG53" s="25"/>
    </row>
    <row r="54" spans="1:33" s="6" customFormat="1" ht="10.5">
      <c r="A54" s="12" t="s">
        <v>257</v>
      </c>
      <c r="H54" s="11"/>
      <c r="N54" s="18" t="s">
        <v>196</v>
      </c>
      <c r="O54" s="11"/>
      <c r="P54" s="11"/>
      <c r="Q54" s="11"/>
      <c r="R54" s="11"/>
      <c r="S54" s="18" t="s">
        <v>196</v>
      </c>
      <c r="W54" s="11"/>
      <c r="X54" s="18"/>
      <c r="Y54" s="21"/>
      <c r="Z54" s="18"/>
      <c r="AA54" s="11"/>
      <c r="AB54" s="11"/>
      <c r="AC54" s="21"/>
      <c r="AD54" s="18"/>
      <c r="AE54" s="11"/>
      <c r="AF54" s="11"/>
      <c r="AG54" s="25"/>
    </row>
    <row r="55" spans="1:74" ht="10.5">
      <c r="A55" t="str">
        <f>HYPERLINK("http://exon.niaid.nih.gov/transcriptome/O_coriaceus/Sup2/links/pep/OC-372-pep.txt","OC-372")</f>
        <v>OC-372</v>
      </c>
      <c r="B55" s="1" t="s">
        <v>153</v>
      </c>
      <c r="C55">
        <v>217</v>
      </c>
      <c r="D55" t="s">
        <v>154</v>
      </c>
      <c r="E55" t="str">
        <f>HYPERLINK("http://exon.niaid.nih.gov/transcriptome/O_coriaceus/Sup2/links/nuc/OC-372-nuc.txt","OC-372")</f>
        <v>OC-372</v>
      </c>
      <c r="F55" s="1" t="s">
        <v>196</v>
      </c>
      <c r="G55" s="1" t="s">
        <v>194</v>
      </c>
      <c r="H55" s="5" t="str">
        <f>HYPERLINK("http://exon.niaid.nih.gov/transcriptome/O_coriaceus/Sup2/links/Sigp/OC-372-SigP.txt","CYT")</f>
        <v>CYT</v>
      </c>
      <c r="I55" t="s">
        <v>196</v>
      </c>
      <c r="J55" s="1">
        <v>24.562</v>
      </c>
      <c r="K55" s="1">
        <v>9.45</v>
      </c>
      <c r="N55" s="19" t="s">
        <v>43</v>
      </c>
      <c r="O55" s="5" t="str">
        <f>HYPERLINK("http://exon.niaid.nih.gov/transcriptome/O_coriaceus/Sup2/links/netoglyc/OC-372-netoglyc.txt","1")</f>
        <v>1</v>
      </c>
      <c r="P55" s="1">
        <v>13.4</v>
      </c>
      <c r="Q55" s="1">
        <v>8.3</v>
      </c>
      <c r="R55" s="1">
        <v>6</v>
      </c>
      <c r="S55" s="27" t="s">
        <v>196</v>
      </c>
      <c r="U55" s="4" t="str">
        <f>HYPERLINK("http://exon.niaid.nih.gov/transcriptome/O_coriaceus/Sup2/links/OCORI-EST/OC-372-OCORI-EST.txt","OCL29.E04_07053016NR")</f>
        <v>OCL29.E04_07053016NR</v>
      </c>
      <c r="V55" s="1">
        <v>0</v>
      </c>
      <c r="W55" s="5" t="str">
        <f>HYPERLINK("http://exon.niaid.nih.gov/transcriptome/O_coriaceus/Sup2/links/OCORI-EST/OC-372-OCORI-EST.txt"," 1")</f>
        <v> 1</v>
      </c>
      <c r="Y55" s="22" t="s">
        <v>196</v>
      </c>
      <c r="AC55" s="22" t="str">
        <f>HYPERLINK("http://exon.niaid.nih.gov/transcriptome/O_coriaceus/Sup2/links/OC-1D/OC-372-OC-1D.txt","P07_49 |P16_2 |P16_3 |P17_35 |P17_36 |P18_34 |P18_35 |P18_36 |S17_52 |")</f>
        <v>P07_49 |P16_2 |P16_3 |P17_35 |P17_36 |P18_34 |P18_35 |P18_36 |S17_52 |</v>
      </c>
      <c r="AD55" s="27" t="s">
        <v>595</v>
      </c>
      <c r="AE55" s="1">
        <v>3</v>
      </c>
      <c r="AF55" s="1">
        <v>45</v>
      </c>
      <c r="AG55" s="26">
        <f>100*AF55/C55</f>
        <v>20.737327188940093</v>
      </c>
      <c r="AH55" s="4" t="str">
        <f>HYPERLINK("http://exon.niaid.nih.gov/transcriptome/O_coriaceus/Sup2/links/NR/OC-372-NR.txt","truncated secreted metalloprotease")</f>
        <v>truncated secreted metalloprotease</v>
      </c>
      <c r="AI55" t="str">
        <f>HYPERLINK("http://www.ncbi.nlm.nih.gov/sutils/blink.cgi?pid=22164296","6E-034")</f>
        <v>6E-034</v>
      </c>
      <c r="AJ55" t="s">
        <v>389</v>
      </c>
      <c r="AK55">
        <v>36</v>
      </c>
      <c r="AL55">
        <v>52</v>
      </c>
      <c r="AM55">
        <v>202</v>
      </c>
      <c r="AN55" t="s">
        <v>300</v>
      </c>
      <c r="AO55">
        <v>202</v>
      </c>
      <c r="AP55">
        <v>1</v>
      </c>
      <c r="AQ55">
        <v>1</v>
      </c>
      <c r="AR55" s="4" t="s">
        <v>390</v>
      </c>
      <c r="AS55">
        <f>HYPERLINK("http://exon.niaid.nih.gov/transcriptome/O_coriaceus/Sup2/links/GO/OC-372-GO.txt",0.000000000000000002)</f>
        <v>2E-18</v>
      </c>
      <c r="AT55" t="s">
        <v>391</v>
      </c>
      <c r="AU55" t="s">
        <v>239</v>
      </c>
      <c r="AV55" t="s">
        <v>306</v>
      </c>
      <c r="AW55" t="s">
        <v>392</v>
      </c>
      <c r="AX55">
        <v>8E-06</v>
      </c>
      <c r="AY55" s="4" t="str">
        <f>HYPERLINK("http://exon.niaid.nih.gov/transcriptome/O_coriaceus/Sup2/links/KOG/OC-372-KOG.txt","Disintegrin metalloproteinases with thrombospondin repeats")</f>
        <v>Disintegrin metalloproteinases with thrombospondin repeats</v>
      </c>
      <c r="AZ55" t="str">
        <f>HYPERLINK("http://www.ncbi.nlm.nih.gov/COG/grace/shokog.cgi?KOG3538","1E-008")</f>
        <v>1E-008</v>
      </c>
      <c r="BA55" t="s">
        <v>393</v>
      </c>
      <c r="BB55" s="4" t="str">
        <f>HYPERLINK("http://exon.niaid.nih.gov/transcriptome/O_coriaceus/Sup2/links/CDD/OC-372-CDD.txt","ZnMc_salivary_g")</f>
        <v>ZnMc_salivary_g</v>
      </c>
      <c r="BC55" t="str">
        <f>HYPERLINK("http://www.ncbi.nlm.nih.gov/Structure/cdd/cddsrv.cgi?uid=cd04272&amp;version=v4.0","3E-033")</f>
        <v>3E-033</v>
      </c>
      <c r="BD55" t="s">
        <v>394</v>
      </c>
      <c r="BE55" s="4" t="str">
        <f>HYPERLINK("http://exon.niaid.nih.gov/transcriptome/O_coriaceus/Sup2/links/PFAM/OC-372-PFAM.txt","Reprolysin")</f>
        <v>Reprolysin</v>
      </c>
      <c r="BF55" t="str">
        <f>HYPERLINK("http://pfam.janelia.org/cgi-bin/getdesc?acc=PF01421","6E-007")</f>
        <v>6E-007</v>
      </c>
      <c r="BG55" s="4" t="str">
        <f>HYPERLINK("http://exon.niaid.nih.gov/transcriptome/O_coriaceus/Sup2/links/SMART/OC-372-SMART.txt","ZnMc")</f>
        <v>ZnMc</v>
      </c>
      <c r="BH55" t="str">
        <f>HYPERLINK("http://smart.embl-heidelberg.de/smart/do_annotation.pl?DOMAIN=ZnMc&amp;BLAST=DUMMY","4E-004")</f>
        <v>4E-004</v>
      </c>
      <c r="BI55" s="2">
        <v>40</v>
      </c>
      <c r="BJ55" s="1">
        <v>1</v>
      </c>
      <c r="BK55" s="2">
        <v>42</v>
      </c>
      <c r="BL55" s="1">
        <v>1</v>
      </c>
      <c r="BM55" s="2">
        <v>41</v>
      </c>
      <c r="BN55" s="1">
        <v>1</v>
      </c>
      <c r="BO55" s="2">
        <v>44</v>
      </c>
      <c r="BP55" s="1">
        <v>1</v>
      </c>
      <c r="BQ55" s="2">
        <v>43</v>
      </c>
      <c r="BR55" s="1">
        <v>1</v>
      </c>
      <c r="BS55" s="2">
        <v>46</v>
      </c>
      <c r="BT55" s="1">
        <v>1</v>
      </c>
      <c r="BU55" s="2">
        <v>48</v>
      </c>
      <c r="BV55" s="1">
        <v>1</v>
      </c>
    </row>
    <row r="56" spans="1:74" ht="10.5">
      <c r="A56" t="str">
        <f>HYPERLINK("http://exon.niaid.nih.gov/transcriptome/O_coriaceus/Sup2/links/pep/OC-676-pep.txt","OC-676")</f>
        <v>OC-676</v>
      </c>
      <c r="B56" s="1" t="s">
        <v>182</v>
      </c>
      <c r="C56">
        <v>88</v>
      </c>
      <c r="D56" t="s">
        <v>183</v>
      </c>
      <c r="E56" t="str">
        <f>HYPERLINK("http://exon.niaid.nih.gov/transcriptome/O_coriaceus/Sup2/links/nuc/OC-676-nuc.txt","OC-676")</f>
        <v>OC-676</v>
      </c>
      <c r="F56" s="1" t="s">
        <v>196</v>
      </c>
      <c r="G56" s="1" t="s">
        <v>194</v>
      </c>
      <c r="H56" s="5" t="str">
        <f>HYPERLINK("http://exon.niaid.nih.gov/transcriptome/O_coriaceus/Sup2/links/Sigp/OC-676-SigP.txt","CYT")</f>
        <v>CYT</v>
      </c>
      <c r="I56" t="s">
        <v>196</v>
      </c>
      <c r="J56" s="1">
        <v>9.794</v>
      </c>
      <c r="K56" s="1">
        <v>4.91</v>
      </c>
      <c r="N56" s="19" t="s">
        <v>44</v>
      </c>
      <c r="O56" s="5" t="str">
        <f>HYPERLINK("http://exon.niaid.nih.gov/transcriptome/O_coriaceus/Sup2/links/netoglyc/OC-676-netoglyc.txt","0")</f>
        <v>0</v>
      </c>
      <c r="P56" s="1">
        <v>10.2</v>
      </c>
      <c r="Q56" s="1">
        <v>10.2</v>
      </c>
      <c r="R56" s="1">
        <v>8</v>
      </c>
      <c r="S56" s="27" t="s">
        <v>196</v>
      </c>
      <c r="U56" s="4" t="str">
        <f>HYPERLINK("http://exon.niaid.nih.gov/transcriptome/O_coriaceus/Sup2/links/OCORI-EST/OC-676-OCORI-EST.txt","OCM-PLATE09_D07")</f>
        <v>OCM-PLATE09_D07</v>
      </c>
      <c r="V56" s="1">
        <v>1E-151</v>
      </c>
      <c r="W56" s="5" t="str">
        <f>HYPERLINK("http://exon.niaid.nih.gov/transcriptome/O_coriaceus/Sup2/links/OCORI-EST/OC-676-OCORI-EST.txt"," 1")</f>
        <v> 1</v>
      </c>
      <c r="Y56" s="22" t="s">
        <v>196</v>
      </c>
      <c r="AC56" s="22" t="str">
        <f>HYPERLINK("http://exon.niaid.nih.gov/transcriptome/O_coriaceus/Sup2/links/OC-1D/OC-676-OC-1D.txt","P09_67 |P16_78 |")</f>
        <v>P09_67 |P16_78 |</v>
      </c>
      <c r="AE56" s="1" t="s">
        <v>196</v>
      </c>
      <c r="AG56" s="26" t="s">
        <v>196</v>
      </c>
      <c r="AH56" s="4" t="str">
        <f>HYPERLINK("http://exon.niaid.nih.gov/transcriptome/O_coriaceus/Sup2/links/NR/OC-676-NR.txt","metalloprotease")</f>
        <v>metalloprotease</v>
      </c>
      <c r="AI56" t="str">
        <f>HYPERLINK("http://www.ncbi.nlm.nih.gov/sutils/blink.cgi?pid=114153092","2E-012")</f>
        <v>2E-012</v>
      </c>
      <c r="AJ56" t="s">
        <v>487</v>
      </c>
      <c r="AK56">
        <v>36</v>
      </c>
      <c r="AL56">
        <v>64</v>
      </c>
      <c r="AM56">
        <v>37</v>
      </c>
      <c r="AN56" t="s">
        <v>294</v>
      </c>
      <c r="AO56">
        <v>37</v>
      </c>
      <c r="AP56">
        <v>1</v>
      </c>
      <c r="AQ56">
        <v>1</v>
      </c>
      <c r="AR56" s="4" t="s">
        <v>488</v>
      </c>
      <c r="AS56">
        <f>HYPERLINK("http://exon.niaid.nih.gov/transcriptome/O_coriaceus/Sup2/links/GO/OC-676-GO.txt",0.001)</f>
        <v>0.001</v>
      </c>
      <c r="AT56" t="s">
        <v>489</v>
      </c>
      <c r="AU56" t="s">
        <v>282</v>
      </c>
      <c r="AV56" t="s">
        <v>289</v>
      </c>
      <c r="AW56" t="s">
        <v>490</v>
      </c>
      <c r="AX56">
        <v>0.001</v>
      </c>
      <c r="AY56" s="4" t="str">
        <f>HYPERLINK("http://exon.niaid.nih.gov/transcriptome/O_coriaceus/Sup2/links/KOG/OC-676-KOG.txt","Disintegrin metalloproteinases with thrombospondin repeats")</f>
        <v>Disintegrin metalloproteinases with thrombospondin repeats</v>
      </c>
      <c r="AZ56" t="str">
        <f>HYPERLINK("http://www.ncbi.nlm.nih.gov/COG/grace/shokog.cgi?KOG3538","0.34")</f>
        <v>0.34</v>
      </c>
      <c r="BA56" t="s">
        <v>393</v>
      </c>
      <c r="BB56" s="4" t="s">
        <v>196</v>
      </c>
      <c r="BC56" t="s">
        <v>196</v>
      </c>
      <c r="BD56" t="s">
        <v>196</v>
      </c>
      <c r="BE56" s="4" t="s">
        <v>196</v>
      </c>
      <c r="BF56" t="s">
        <v>196</v>
      </c>
      <c r="BG56" s="4" t="str">
        <f>HYPERLINK("http://exon.niaid.nih.gov/transcriptome/O_coriaceus/Sup2/links/SMART/OC-676-SMART.txt","ACR")</f>
        <v>ACR</v>
      </c>
      <c r="BH56" t="str">
        <f>HYPERLINK("http://smart.embl-heidelberg.de/smart/do_annotation.pl?DOMAIN=ACR&amp;BLAST=DUMMY","0.69")</f>
        <v>0.69</v>
      </c>
      <c r="BI56" s="2">
        <v>62</v>
      </c>
      <c r="BJ56" s="1">
        <v>1</v>
      </c>
      <c r="BK56" s="2">
        <v>66</v>
      </c>
      <c r="BL56" s="1">
        <v>1</v>
      </c>
      <c r="BM56" s="2">
        <v>66</v>
      </c>
      <c r="BN56" s="1">
        <v>1</v>
      </c>
      <c r="BO56" s="2">
        <v>70</v>
      </c>
      <c r="BP56" s="1">
        <v>1</v>
      </c>
      <c r="BQ56" s="2">
        <v>75</v>
      </c>
      <c r="BR56" s="1">
        <v>1</v>
      </c>
      <c r="BS56" s="2">
        <v>78</v>
      </c>
      <c r="BT56" s="1">
        <v>1</v>
      </c>
      <c r="BU56" s="2">
        <v>85</v>
      </c>
      <c r="BV56" s="1">
        <v>1</v>
      </c>
    </row>
    <row r="57" spans="1:33" s="6" customFormat="1" ht="10.5">
      <c r="A57" s="12" t="s">
        <v>258</v>
      </c>
      <c r="H57" s="11"/>
      <c r="N57" s="18" t="s">
        <v>196</v>
      </c>
      <c r="O57" s="11"/>
      <c r="P57" s="11"/>
      <c r="Q57" s="11"/>
      <c r="R57" s="11"/>
      <c r="S57" s="18" t="s">
        <v>196</v>
      </c>
      <c r="W57" s="11"/>
      <c r="X57" s="18"/>
      <c r="Y57" s="21"/>
      <c r="Z57" s="18"/>
      <c r="AA57" s="11"/>
      <c r="AB57" s="11"/>
      <c r="AC57" s="21"/>
      <c r="AD57" s="18"/>
      <c r="AE57" s="11"/>
      <c r="AF57" s="11"/>
      <c r="AG57" s="25" t="s">
        <v>196</v>
      </c>
    </row>
    <row r="58" spans="1:74" ht="10.5">
      <c r="A58" t="str">
        <f>HYPERLINK("http://exon.niaid.nih.gov/transcriptome/O_coriaceus/Sup2/links/pep/OC-420-pep.txt","OC-420")</f>
        <v>OC-420</v>
      </c>
      <c r="B58" s="1" t="s">
        <v>159</v>
      </c>
      <c r="C58">
        <v>181</v>
      </c>
      <c r="D58" t="s">
        <v>160</v>
      </c>
      <c r="E58" t="str">
        <f>HYPERLINK("http://exon.niaid.nih.gov/transcriptome/O_coriaceus/Sup2/links/nuc/OC-420-nuc.txt","OC-420")</f>
        <v>OC-420</v>
      </c>
      <c r="F58" s="1" t="s">
        <v>196</v>
      </c>
      <c r="G58" s="1" t="s">
        <v>194</v>
      </c>
      <c r="H58" s="5" t="str">
        <f>HYPERLINK("http://exon.niaid.nih.gov/transcriptome/O_coriaceus/Sup2/links/Sigp/OC-420-SigP.txt","CYT")</f>
        <v>CYT</v>
      </c>
      <c r="I58" t="s">
        <v>196</v>
      </c>
      <c r="J58" s="1">
        <v>21.25</v>
      </c>
      <c r="K58" s="1">
        <v>8.03</v>
      </c>
      <c r="N58" s="19" t="s">
        <v>45</v>
      </c>
      <c r="O58" s="5" t="str">
        <f>HYPERLINK("http://exon.niaid.nih.gov/transcriptome/O_coriaceus/Sup2/links/netoglyc/OC-420-netoglyc.txt","0")</f>
        <v>0</v>
      </c>
      <c r="P58" s="1">
        <v>11</v>
      </c>
      <c r="Q58" s="1">
        <v>5.5</v>
      </c>
      <c r="R58" s="1">
        <v>7.2</v>
      </c>
      <c r="S58" s="27" t="s">
        <v>196</v>
      </c>
      <c r="U58" s="4" t="str">
        <f>HYPERLINK("http://exon.niaid.nih.gov/transcriptome/O_coriaceus/Sup2/links/OCORI-EST/OC-420-OCORI-EST.txt","OCL-PLATE02_H07")</f>
        <v>OCL-PLATE02_H07</v>
      </c>
      <c r="V58" s="1">
        <v>0</v>
      </c>
      <c r="W58" s="5" t="str">
        <f>HYPERLINK("http://exon.niaid.nih.gov/transcriptome/O_coriaceus/Sup2/links/OCORI-EST/OC-420-OCORI-EST.txt"," 1")</f>
        <v> 1</v>
      </c>
      <c r="Y58" s="22" t="s">
        <v>196</v>
      </c>
      <c r="AC58" s="22" t="str">
        <f>HYPERLINK("http://exon.niaid.nih.gov/transcriptome/O_coriaceus/Sup2/links/OC-1D/OC-420-OC-1D.txt","P18_59 |P26_73 |S17_53 |")</f>
        <v>P18_59 |P26_73 |S17_53 |</v>
      </c>
      <c r="AE58" s="1" t="s">
        <v>196</v>
      </c>
      <c r="AG58" s="26" t="s">
        <v>196</v>
      </c>
      <c r="AH58" s="4" t="str">
        <f>HYPERLINK("http://exon.niaid.nih.gov/transcriptome/O_coriaceus/Sup2/links/NR/OC-420-NR.txt","phospholipase A2")</f>
        <v>phospholipase A2</v>
      </c>
      <c r="AI58" t="str">
        <f>HYPERLINK("http://www.ncbi.nlm.nih.gov/sutils/blink.cgi?pid=114153140","6E-040")</f>
        <v>6E-040</v>
      </c>
      <c r="AJ58" t="s">
        <v>406</v>
      </c>
      <c r="AK58">
        <v>51</v>
      </c>
      <c r="AL58">
        <v>83</v>
      </c>
      <c r="AM58">
        <v>35</v>
      </c>
      <c r="AN58" t="s">
        <v>294</v>
      </c>
      <c r="AO58">
        <v>35</v>
      </c>
      <c r="AP58">
        <v>1</v>
      </c>
      <c r="AQ58">
        <v>1</v>
      </c>
      <c r="AR58" s="4" t="s">
        <v>407</v>
      </c>
      <c r="AS58">
        <f>HYPERLINK("http://exon.niaid.nih.gov/transcriptome/O_coriaceus/Sup2/links/GO/OC-420-GO.txt",0.000000000004)</f>
        <v>4E-12</v>
      </c>
      <c r="AT58" t="s">
        <v>553</v>
      </c>
      <c r="AU58" t="s">
        <v>282</v>
      </c>
      <c r="AV58" t="s">
        <v>289</v>
      </c>
      <c r="AW58" t="s">
        <v>408</v>
      </c>
      <c r="AX58">
        <v>3E-09</v>
      </c>
      <c r="AY58" s="4" t="str">
        <f>HYPERLINK("http://exon.niaid.nih.gov/transcriptome/O_coriaceus/Sup2/links/KOG/OC-420-KOG.txt","Transcriptional regulators binding to the GC-rich sequences")</f>
        <v>Transcriptional regulators binding to the GC-rich sequences</v>
      </c>
      <c r="AZ58" t="str">
        <f>HYPERLINK("http://www.ncbi.nlm.nih.gov/COG/grace/shokog.cgi?KOG2136","0.021")</f>
        <v>0.021</v>
      </c>
      <c r="BA58" t="s">
        <v>301</v>
      </c>
      <c r="BB58" s="4" t="str">
        <f>HYPERLINK("http://exon.niaid.nih.gov/transcriptome/O_coriaceus/Sup2/links/CDD/OC-420-CDD.txt","PLA2_bee_venom_")</f>
        <v>PLA2_bee_venom_</v>
      </c>
      <c r="BC58" t="str">
        <f>HYPERLINK("http://www.ncbi.nlm.nih.gov/Structure/cdd/cddsrv.cgi?uid=cd04704&amp;version=v4.0","1E-020")</f>
        <v>1E-020</v>
      </c>
      <c r="BD58" t="s">
        <v>409</v>
      </c>
      <c r="BE58" s="4" t="str">
        <f>HYPERLINK("http://exon.niaid.nih.gov/transcriptome/O_coriaceus/Sup2/links/PFAM/OC-420-PFAM.txt","Phospholip_A2_2")</f>
        <v>Phospholip_A2_2</v>
      </c>
      <c r="BF58" t="str">
        <f>HYPERLINK("http://pfam.janelia.org/cgi-bin/getdesc?acc=PF05826","8E-017")</f>
        <v>8E-017</v>
      </c>
      <c r="BG58" s="4" t="str">
        <f>HYPERLINK("http://exon.niaid.nih.gov/transcriptome/O_coriaceus/Sup2/links/SMART/OC-420-SMART.txt","PA2c")</f>
        <v>PA2c</v>
      </c>
      <c r="BH58" t="str">
        <f>HYPERLINK("http://smart.embl-heidelberg.de/smart/do_annotation.pl?DOMAIN=PA2c&amp;BLAST=DUMMY","0.27")</f>
        <v>0.27</v>
      </c>
      <c r="BI58" s="2">
        <f>HYPERLINK("http://exon.niaid.nih.gov/transcriptome/O_coriaceus/Sup2/links/cluster/o-cori-COMP35-50-Sim-CLU7.txt",7)</f>
        <v>7</v>
      </c>
      <c r="BJ58" s="1">
        <f>HYPERLINK("http://exon.niaid.nih.gov/transcriptome/O_coriaceus/Sup2/links/cluster/o-cori-COMP35-50-Sim-CLTL7.txt",3)</f>
        <v>3</v>
      </c>
      <c r="BK58" s="2">
        <v>45</v>
      </c>
      <c r="BL58" s="1">
        <v>1</v>
      </c>
      <c r="BM58" s="2">
        <v>44</v>
      </c>
      <c r="BN58" s="1">
        <v>1</v>
      </c>
      <c r="BO58" s="2">
        <v>47</v>
      </c>
      <c r="BP58" s="1">
        <v>1</v>
      </c>
      <c r="BQ58" s="2">
        <v>46</v>
      </c>
      <c r="BR58" s="1">
        <v>1</v>
      </c>
      <c r="BS58" s="2">
        <v>49</v>
      </c>
      <c r="BT58" s="1">
        <v>1</v>
      </c>
      <c r="BU58" s="2">
        <v>53</v>
      </c>
      <c r="BV58" s="1">
        <v>1</v>
      </c>
    </row>
    <row r="59" spans="1:74" ht="10.5">
      <c r="A59" t="str">
        <f>HYPERLINK("http://exon.niaid.nih.gov/transcriptome/O_coriaceus/Sup2/links/pep/OC-92-pep.txt","OC-92")</f>
        <v>OC-92</v>
      </c>
      <c r="B59" s="1" t="s">
        <v>191</v>
      </c>
      <c r="C59">
        <v>181</v>
      </c>
      <c r="D59" t="s">
        <v>160</v>
      </c>
      <c r="E59" t="str">
        <f>HYPERLINK("http://exon.niaid.nih.gov/transcriptome/O_coriaceus/Sup2/links/nuc/OC-92-nuc.txt","OC-92")</f>
        <v>OC-92</v>
      </c>
      <c r="F59" s="1" t="s">
        <v>196</v>
      </c>
      <c r="G59" s="1" t="s">
        <v>194</v>
      </c>
      <c r="H59" s="5" t="str">
        <f>HYPERLINK("http://exon.niaid.nih.gov/transcriptome/O_coriaceus/Sup2/links/Sigp/OC-92-SigP.txt","CYT")</f>
        <v>CYT</v>
      </c>
      <c r="I59" t="s">
        <v>196</v>
      </c>
      <c r="J59" s="1">
        <v>21.262</v>
      </c>
      <c r="K59" s="1">
        <v>8.73</v>
      </c>
      <c r="N59" s="19" t="s">
        <v>46</v>
      </c>
      <c r="O59" s="5" t="str">
        <f>HYPERLINK("http://exon.niaid.nih.gov/transcriptome/O_coriaceus/Sup2/links/netoglyc/OC-92-netoglyc.txt","0")</f>
        <v>0</v>
      </c>
      <c r="P59" s="1">
        <v>11</v>
      </c>
      <c r="Q59" s="1">
        <v>2.8</v>
      </c>
      <c r="R59" s="1">
        <v>6.6</v>
      </c>
      <c r="S59" s="27" t="s">
        <v>196</v>
      </c>
      <c r="U59" s="4" t="str">
        <f>HYPERLINK("http://exon.niaid.nih.gov/transcriptome/O_coriaceus/Sup2/links/OCORI-EST/OC-92-OCORI-EST.txt","OCL-PLATE04_G04")</f>
        <v>OCL-PLATE04_G04</v>
      </c>
      <c r="V59" s="1">
        <v>0</v>
      </c>
      <c r="W59" s="5" t="str">
        <f>HYPERLINK("http://exon.niaid.nih.gov/transcriptome/O_coriaceus/Sup2/links/OCORI-EST/OC-92-OCORI-EST.txt"," 3")</f>
        <v> 3</v>
      </c>
      <c r="Y59" s="22" t="s">
        <v>196</v>
      </c>
      <c r="AC59" s="22" t="str">
        <f>HYPERLINK("http://exon.niaid.nih.gov/transcriptome/O_coriaceus/Sup2/links/OC-1D/OC-92-OC-1D.txt","P08_53 |P11_18 |P11_19 |P13_19 |P13_20 |P15_59 |P16_13 |P16_14 |P17_21 |P17_22 |P17_23 |P17_24 |P18_1 |P18_2 |P18_3 |P18_4 |P18_5 |P18_6 |P18_7 |P18_8 |P18_9 |P18_10 |P18_11 |P18_12 |P19_40 |P19_41 ")</f>
        <v>P08_53 |P11_18 |P11_19 |P13_19 |P13_20 |P15_59 |P16_13 |P16_14 |P17_21 |P17_22 |P17_23 |P17_24 |P18_1 |P18_2 |P18_3 |P18_4 |P18_5 |P18_6 |P18_7 |P18_8 |P18_9 |P18_10 |P18_11 |P18_12 |P19_40 |P19_41 </v>
      </c>
      <c r="AD59" s="27" t="s">
        <v>596</v>
      </c>
      <c r="AE59" s="1">
        <v>12</v>
      </c>
      <c r="AF59" s="1">
        <v>153</v>
      </c>
      <c r="AG59" s="26">
        <f>100*AF59/C59</f>
        <v>84.5303867403315</v>
      </c>
      <c r="AH59" s="4" t="str">
        <f>HYPERLINK("http://exon.niaid.nih.gov/transcriptome/O_coriaceus/Sup2/links/NR/OC-92-NR.txt","phospholipase A2")</f>
        <v>phospholipase A2</v>
      </c>
      <c r="AI59" t="str">
        <f>HYPERLINK("http://www.ncbi.nlm.nih.gov/sutils/blink.cgi?pid=114153140","3E-016")</f>
        <v>3E-016</v>
      </c>
      <c r="AJ59" t="s">
        <v>406</v>
      </c>
      <c r="AK59">
        <v>34</v>
      </c>
      <c r="AL59">
        <v>70</v>
      </c>
      <c r="AM59">
        <v>47</v>
      </c>
      <c r="AN59" t="s">
        <v>294</v>
      </c>
      <c r="AO59">
        <v>187</v>
      </c>
      <c r="AP59">
        <v>1</v>
      </c>
      <c r="AQ59">
        <v>1</v>
      </c>
      <c r="AR59" s="4" t="s">
        <v>527</v>
      </c>
      <c r="AS59">
        <f>HYPERLINK("http://exon.niaid.nih.gov/transcriptome/O_coriaceus/Sup2/links/GO/OC-92-GO.txt",0.000000002)</f>
        <v>2E-09</v>
      </c>
      <c r="AT59" t="s">
        <v>553</v>
      </c>
      <c r="AU59" t="s">
        <v>282</v>
      </c>
      <c r="AV59" t="s">
        <v>289</v>
      </c>
      <c r="AW59" t="s">
        <v>408</v>
      </c>
      <c r="AX59">
        <v>1E-07</v>
      </c>
      <c r="AY59" s="4" t="s">
        <v>196</v>
      </c>
      <c r="AZ59" t="s">
        <v>196</v>
      </c>
      <c r="BA59" t="s">
        <v>196</v>
      </c>
      <c r="BB59" s="4" t="str">
        <f>HYPERLINK("http://exon.niaid.nih.gov/transcriptome/O_coriaceus/Sup2/links/CDD/OC-92-CDD.txt","PLA2_bee_venom_")</f>
        <v>PLA2_bee_venom_</v>
      </c>
      <c r="BC59" t="str">
        <f>HYPERLINK("http://www.ncbi.nlm.nih.gov/Structure/cdd/cddsrv.cgi?uid=cd04704&amp;version=v4.0","6E-017")</f>
        <v>6E-017</v>
      </c>
      <c r="BD59" t="s">
        <v>528</v>
      </c>
      <c r="BE59" s="4" t="str">
        <f>HYPERLINK("http://exon.niaid.nih.gov/transcriptome/O_coriaceus/Sup2/links/PFAM/OC-92-PFAM.txt","Phospholip_A2_2")</f>
        <v>Phospholip_A2_2</v>
      </c>
      <c r="BF59" t="str">
        <f>HYPERLINK("http://pfam.janelia.org/cgi-bin/getdesc?acc=PF05826","4E-015")</f>
        <v>4E-015</v>
      </c>
      <c r="BG59" s="4" t="str">
        <f>HYPERLINK("http://exon.niaid.nih.gov/transcriptome/O_coriaceus/Sup2/links/SMART/OC-92-SMART.txt","PA2c")</f>
        <v>PA2c</v>
      </c>
      <c r="BH59" t="str">
        <f>HYPERLINK("http://smart.embl-heidelberg.de/smart/do_annotation.pl?DOMAIN=PA2c&amp;BLAST=DUMMY","3E-004")</f>
        <v>3E-004</v>
      </c>
      <c r="BI59" s="2">
        <f>HYPERLINK("http://exon.niaid.nih.gov/transcriptome/O_coriaceus/Sup2/links/cluster/o-cori-COMP35-50-Sim-CLU7.txt",7)</f>
        <v>7</v>
      </c>
      <c r="BJ59" s="1">
        <f>HYPERLINK("http://exon.niaid.nih.gov/transcriptome/O_coriaceus/Sup2/links/cluster/o-cori-COMP35-50-Sim-CLTL7.txt",3)</f>
        <v>3</v>
      </c>
      <c r="BK59" s="2">
        <f>HYPERLINK("http://exon.niaid.nih.gov/transcriptome/O_coriaceus/Sup2/links/cluster/o-cori-COMP45-50-Sim-CLU11.txt",11)</f>
        <v>11</v>
      </c>
      <c r="BL59" s="1">
        <f>HYPERLINK("http://exon.niaid.nih.gov/transcriptome/O_coriaceus/Sup2/links/cluster/o-cori-COMP45-50-Sim-CLTL11.txt",2)</f>
        <v>2</v>
      </c>
      <c r="BM59" s="2">
        <f>HYPERLINK("http://exon.niaid.nih.gov/transcriptome/O_coriaceus/Sup2/links/cluster/o-cori-COMP55-50-Sim-CLU10.txt",10)</f>
        <v>10</v>
      </c>
      <c r="BN59" s="1">
        <f>HYPERLINK("http://exon.niaid.nih.gov/transcriptome/O_coriaceus/Sup2/links/cluster/o-cori-COMP55-50-Sim-CLTL10.txt",2)</f>
        <v>2</v>
      </c>
      <c r="BO59" s="2">
        <f>HYPERLINK("http://exon.niaid.nih.gov/transcriptome/O_coriaceus/Sup2/links/cluster/o-cori-COMP65-50-Sim-CLU12.txt",12)</f>
        <v>12</v>
      </c>
      <c r="BP59" s="1">
        <f>HYPERLINK("http://exon.niaid.nih.gov/transcriptome/O_coriaceus/Sup2/links/cluster/o-cori-COMP65-50-Sim-CLTL12.txt",2)</f>
        <v>2</v>
      </c>
      <c r="BQ59" s="2">
        <v>88</v>
      </c>
      <c r="BR59" s="1">
        <v>1</v>
      </c>
      <c r="BS59" s="2">
        <v>92</v>
      </c>
      <c r="BT59" s="1">
        <v>1</v>
      </c>
      <c r="BU59" s="2">
        <v>100</v>
      </c>
      <c r="BV59" s="1">
        <v>1</v>
      </c>
    </row>
    <row r="60" spans="1:74" ht="10.5">
      <c r="A60" t="str">
        <f>HYPERLINK("http://exon.niaid.nih.gov/transcriptome/O_coriaceus/Sup2/links/pep/OC-96-pep.txt","OC-96")</f>
        <v>OC-96</v>
      </c>
      <c r="B60" s="1" t="s">
        <v>126</v>
      </c>
      <c r="C60">
        <v>201</v>
      </c>
      <c r="D60" t="s">
        <v>160</v>
      </c>
      <c r="E60" t="str">
        <f>HYPERLINK("http://exon.niaid.nih.gov/transcriptome/O_coriaceus/Sup2/links/nuc/OC-96-nuc.txt","OC-96")</f>
        <v>OC-96</v>
      </c>
      <c r="F60" s="1" t="s">
        <v>196</v>
      </c>
      <c r="G60" s="1" t="s">
        <v>194</v>
      </c>
      <c r="H60" s="5" t="str">
        <f>HYPERLINK("http://exon.niaid.nih.gov/transcriptome/O_coriaceus/Sup2/links/Sigp/OC-96-SigP.txt","CYT")</f>
        <v>CYT</v>
      </c>
      <c r="I60" t="s">
        <v>196</v>
      </c>
      <c r="J60" s="1">
        <v>23.217</v>
      </c>
      <c r="K60" s="1">
        <v>8.29</v>
      </c>
      <c r="N60" s="19" t="s">
        <v>47</v>
      </c>
      <c r="O60" s="5" t="str">
        <f>HYPERLINK("http://exon.niaid.nih.gov/transcriptome/O_coriaceus/Sup2/links/netoglyc/OC-96-netoglyc.txt","1")</f>
        <v>1</v>
      </c>
      <c r="P60" s="1">
        <v>10.9</v>
      </c>
      <c r="Q60" s="1">
        <v>5</v>
      </c>
      <c r="R60" s="1">
        <v>6.5</v>
      </c>
      <c r="S60" s="27" t="s">
        <v>196</v>
      </c>
      <c r="U60" s="4" t="str">
        <f>HYPERLINK("http://exon.niaid.nih.gov/transcriptome/O_coriaceus/Sup2/links/OCORI-EST/OC-96-OCORI-EST.txt","OCL_PLATE1_A08")</f>
        <v>OCL_PLATE1_A08</v>
      </c>
      <c r="V60" s="1">
        <v>0</v>
      </c>
      <c r="W60" s="5" t="str">
        <f>HYPERLINK("http://exon.niaid.nih.gov/transcriptome/O_coriaceus/Sup2/links/OCORI-EST/OC-96-OCORI-EST.txt"," 2")</f>
        <v> 2</v>
      </c>
      <c r="Y60" s="22" t="s">
        <v>196</v>
      </c>
      <c r="AC60" s="22" t="str">
        <f>HYPERLINK("http://exon.niaid.nih.gov/transcriptome/O_coriaceus/Sup2/links/OC-1D/OC-96-OC-1D.txt","P05_35 |P16_75 |P17_11 |P17_12 |P17_13 |P17_14 |P17_15 |P17_16 |P17_22 |P18_28 |P18_29 |P18_30 |P19_98 |P20_33 |P20_34 |P21_48 |P21_49 |P21_50 |P22_119 |S13_24 |S17_1 |S17_2 |S17_3 |S17_4 |S17_5 ")</f>
        <v>P05_35 |P16_75 |P17_11 |P17_12 |P17_13 |P17_14 |P17_15 |P17_16 |P17_22 |P18_28 |P18_29 |P18_30 |P19_98 |P20_33 |P20_34 |P21_48 |P21_49 |P21_50 |P22_119 |S13_24 |S17_1 |S17_2 |S17_3 |S17_4 |S17_5 </v>
      </c>
      <c r="AD60" s="27" t="s">
        <v>597</v>
      </c>
      <c r="AE60" s="1">
        <v>7</v>
      </c>
      <c r="AF60" s="1">
        <v>86</v>
      </c>
      <c r="AG60" s="26">
        <f>100*AF60/C60</f>
        <v>42.78606965174129</v>
      </c>
      <c r="AH60" s="4" t="str">
        <f>HYPERLINK("http://exon.niaid.nih.gov/transcriptome/O_coriaceus/Sup2/links/NR/OC-96-NR.txt","phospholipase A2")</f>
        <v>phospholipase A2</v>
      </c>
      <c r="AI60" t="str">
        <f>HYPERLINK("http://www.ncbi.nlm.nih.gov/sutils/blink.cgi?pid=114153140","3E-023")</f>
        <v>3E-023</v>
      </c>
      <c r="AJ60" t="s">
        <v>406</v>
      </c>
      <c r="AK60">
        <v>33</v>
      </c>
      <c r="AL60">
        <v>85</v>
      </c>
      <c r="AM60">
        <v>31</v>
      </c>
      <c r="AN60" t="s">
        <v>294</v>
      </c>
      <c r="AO60">
        <v>171</v>
      </c>
      <c r="AP60">
        <v>12</v>
      </c>
      <c r="AQ60">
        <v>1</v>
      </c>
      <c r="AR60" s="4" t="s">
        <v>527</v>
      </c>
      <c r="AS60">
        <f>HYPERLINK("http://exon.niaid.nih.gov/transcriptome/O_coriaceus/Sup2/links/GO/OC-96-GO.txt",0.000000000000004)</f>
        <v>4E-15</v>
      </c>
      <c r="AT60" t="s">
        <v>553</v>
      </c>
      <c r="AU60" t="s">
        <v>282</v>
      </c>
      <c r="AV60" t="s">
        <v>289</v>
      </c>
      <c r="AW60" t="s">
        <v>408</v>
      </c>
      <c r="AX60">
        <v>1E-11</v>
      </c>
      <c r="AY60" s="4" t="s">
        <v>196</v>
      </c>
      <c r="AZ60" t="s">
        <v>196</v>
      </c>
      <c r="BA60" t="s">
        <v>196</v>
      </c>
      <c r="BB60" s="4" t="str">
        <f>HYPERLINK("http://exon.niaid.nih.gov/transcriptome/O_coriaceus/Sup2/links/CDD/OC-96-CDD.txt","PLA2_bee_venom_")</f>
        <v>PLA2_bee_venom_</v>
      </c>
      <c r="BC60" t="str">
        <f>HYPERLINK("http://www.ncbi.nlm.nih.gov/Structure/cdd/cddsrv.cgi?uid=cd04704&amp;version=v4.0","2E-022")</f>
        <v>2E-022</v>
      </c>
      <c r="BD60" t="s">
        <v>530</v>
      </c>
      <c r="BE60" s="4" t="str">
        <f>HYPERLINK("http://exon.niaid.nih.gov/transcriptome/O_coriaceus/Sup2/links/PFAM/OC-96-PFAM.txt","Phospholip_A2_2")</f>
        <v>Phospholip_A2_2</v>
      </c>
      <c r="BF60" t="str">
        <f>HYPERLINK("http://pfam.janelia.org/cgi-bin/getdesc?acc=PF05826","7E-021")</f>
        <v>7E-021</v>
      </c>
      <c r="BG60" s="4" t="str">
        <f>HYPERLINK("http://exon.niaid.nih.gov/transcriptome/O_coriaceus/Sup2/links/SMART/OC-96-SMART.txt","PA2c")</f>
        <v>PA2c</v>
      </c>
      <c r="BH60" t="str">
        <f>HYPERLINK("http://smart.embl-heidelberg.de/smart/do_annotation.pl?DOMAIN=PA2c&amp;BLAST=DUMMY","6E-004")</f>
        <v>6E-004</v>
      </c>
      <c r="BI60" s="2">
        <f>HYPERLINK("http://exon.niaid.nih.gov/transcriptome/O_coriaceus/Sup2/links/cluster/o-cori-COMP35-50-Sim-CLU7.txt",7)</f>
        <v>7</v>
      </c>
      <c r="BJ60" s="1">
        <f>HYPERLINK("http://exon.niaid.nih.gov/transcriptome/O_coriaceus/Sup2/links/cluster/o-cori-COMP35-50-Sim-CLTL7.txt",3)</f>
        <v>3</v>
      </c>
      <c r="BK60" s="2">
        <f>HYPERLINK("http://exon.niaid.nih.gov/transcriptome/O_coriaceus/Sup2/links/cluster/o-cori-COMP45-50-Sim-CLU11.txt",11)</f>
        <v>11</v>
      </c>
      <c r="BL60" s="1">
        <f>HYPERLINK("http://exon.niaid.nih.gov/transcriptome/O_coriaceus/Sup2/links/cluster/o-cori-COMP45-50-Sim-CLTL11.txt",2)</f>
        <v>2</v>
      </c>
      <c r="BM60" s="2">
        <f>HYPERLINK("http://exon.niaid.nih.gov/transcriptome/O_coriaceus/Sup2/links/cluster/o-cori-COMP55-50-Sim-CLU10.txt",10)</f>
        <v>10</v>
      </c>
      <c r="BN60" s="1">
        <f>HYPERLINK("http://exon.niaid.nih.gov/transcriptome/O_coriaceus/Sup2/links/cluster/o-cori-COMP55-50-Sim-CLTL10.txt",2)</f>
        <v>2</v>
      </c>
      <c r="BO60" s="2">
        <f>HYPERLINK("http://exon.niaid.nih.gov/transcriptome/O_coriaceus/Sup2/links/cluster/o-cori-COMP65-50-Sim-CLU12.txt",12)</f>
        <v>12</v>
      </c>
      <c r="BP60" s="1">
        <f>HYPERLINK("http://exon.niaid.nih.gov/transcriptome/O_coriaceus/Sup2/links/cluster/o-cori-COMP65-50-Sim-CLTL12.txt",2)</f>
        <v>2</v>
      </c>
      <c r="BQ60" s="2">
        <v>90</v>
      </c>
      <c r="BR60" s="1">
        <v>1</v>
      </c>
      <c r="BS60" s="2">
        <v>94</v>
      </c>
      <c r="BT60" s="1">
        <v>1</v>
      </c>
      <c r="BU60" s="2">
        <v>102</v>
      </c>
      <c r="BV60" s="1">
        <v>1</v>
      </c>
    </row>
    <row r="61" spans="1:33" s="6" customFormat="1" ht="10.5">
      <c r="A61" s="12" t="s">
        <v>259</v>
      </c>
      <c r="H61" s="11"/>
      <c r="N61" s="18" t="s">
        <v>196</v>
      </c>
      <c r="O61" s="11"/>
      <c r="P61" s="11"/>
      <c r="Q61" s="11"/>
      <c r="R61" s="11"/>
      <c r="S61" s="18" t="s">
        <v>196</v>
      </c>
      <c r="W61" s="11"/>
      <c r="X61" s="18"/>
      <c r="Y61" s="21"/>
      <c r="Z61" s="18"/>
      <c r="AA61" s="11"/>
      <c r="AB61" s="11"/>
      <c r="AC61" s="21"/>
      <c r="AD61" s="18"/>
      <c r="AE61" s="11"/>
      <c r="AF61" s="11"/>
      <c r="AG61" s="25" t="s">
        <v>196</v>
      </c>
    </row>
    <row r="62" spans="1:74" ht="10.5">
      <c r="A62" t="str">
        <f>HYPERLINK("http://exon.niaid.nih.gov/transcriptome/O_coriaceus/Sup2/links/pep/OC-79-pep.txt","OC-79")</f>
        <v>OC-79</v>
      </c>
      <c r="B62" s="1" t="s">
        <v>153</v>
      </c>
      <c r="C62">
        <v>240</v>
      </c>
      <c r="D62" t="s">
        <v>186</v>
      </c>
      <c r="E62" t="str">
        <f>HYPERLINK("http://exon.niaid.nih.gov/transcriptome/O_coriaceus/Sup2/links/nuc/OC-79-nuc.txt","OC-79")</f>
        <v>OC-79</v>
      </c>
      <c r="F62" s="1" t="s">
        <v>196</v>
      </c>
      <c r="G62" s="1" t="s">
        <v>194</v>
      </c>
      <c r="H62" s="5" t="str">
        <f>HYPERLINK("http://exon.niaid.nih.gov/transcriptome/O_coriaceus/Sup2/links/Sigp/OC-79-SigP.txt","CYT")</f>
        <v>CYT</v>
      </c>
      <c r="I62" t="s">
        <v>196</v>
      </c>
      <c r="J62" s="1">
        <v>27.008</v>
      </c>
      <c r="K62" s="1">
        <v>9.18</v>
      </c>
      <c r="N62" s="19" t="s">
        <v>48</v>
      </c>
      <c r="O62" s="5" t="str">
        <f>HYPERLINK("http://exon.niaid.nih.gov/transcriptome/O_coriaceus/Sup2/links/netoglyc/OC-79-netoglyc.txt","0")</f>
        <v>0</v>
      </c>
      <c r="P62" s="1">
        <v>14.6</v>
      </c>
      <c r="Q62" s="1">
        <v>5.8</v>
      </c>
      <c r="R62" s="1">
        <v>3.3</v>
      </c>
      <c r="S62" s="27" t="s">
        <v>196</v>
      </c>
      <c r="U62" s="4" t="str">
        <f>HYPERLINK("http://exon.niaid.nih.gov/transcriptome/O_coriaceus/Sup2/links/OCORI-EST/OC-79-OCORI-EST.txt","OCL-P12_A11")</f>
        <v>OCL-P12_A11</v>
      </c>
      <c r="V62" s="1">
        <v>0</v>
      </c>
      <c r="W62" s="5" t="str">
        <f>HYPERLINK("http://exon.niaid.nih.gov/transcriptome/O_coriaceus/Sup2/links/OCORI-EST/OC-79-OCORI-EST.txt"," 2")</f>
        <v> 2</v>
      </c>
      <c r="Y62" s="22" t="s">
        <v>196</v>
      </c>
      <c r="AC62" s="22" t="str">
        <f>HYPERLINK("http://exon.niaid.nih.gov/transcriptome/O_coriaceus/Sup2/links/OC-1D/OC-79-OC-1D.txt","P08_35 |P11_9 |P11_10 |P13_1 |P13_2 |P13_3 |P13_4 |P13_5 |P14_1 |P14_2 |P14_3 |P14_4 |P14_5 |P14_6 |P15_6 |P15_7 |P15_8 |P19_82 |S10_2 |S10_3 |S11_1 |S11_2 |S11_3 |S11_4 |S11_5 |S12_3 |S12_4 |S13_3 ")</f>
        <v>P08_35 |P11_9 |P11_10 |P13_1 |P13_2 |P13_3 |P13_4 |P13_5 |P14_1 |P14_2 |P14_3 |P14_4 |P14_5 |P14_6 |P15_6 |P15_7 |P15_8 |P19_82 |S10_2 |S10_3 |S11_1 |S11_2 |S11_3 |S11_4 |S11_5 |S12_3 |S12_4 |S13_3 </v>
      </c>
      <c r="AD62" s="27" t="s">
        <v>598</v>
      </c>
      <c r="AE62" s="1">
        <v>6</v>
      </c>
      <c r="AF62" s="1">
        <v>66</v>
      </c>
      <c r="AG62" s="26">
        <f>100*AF62/C62</f>
        <v>27.5</v>
      </c>
      <c r="AH62" s="4" t="str">
        <f>HYPERLINK("http://exon.niaid.nih.gov/transcriptome/O_coriaceus/Sup2/links/NR/OC-79-NR.txt","5'-nucleotidase/putative apyrase isoform 2 precursor")</f>
        <v>5'-nucleotidase/putative apyrase isoform 2 precursor</v>
      </c>
      <c r="AI62" t="str">
        <f>HYPERLINK("http://www.ncbi.nlm.nih.gov/sutils/blink.cgi?pid=152207621","1E-102")</f>
        <v>1E-102</v>
      </c>
      <c r="AJ62" t="s">
        <v>505</v>
      </c>
      <c r="AK62">
        <v>72</v>
      </c>
      <c r="AL62">
        <v>41</v>
      </c>
      <c r="AM62">
        <v>345</v>
      </c>
      <c r="AN62" t="s">
        <v>506</v>
      </c>
      <c r="AO62">
        <v>1</v>
      </c>
      <c r="AP62">
        <v>1</v>
      </c>
      <c r="AQ62">
        <v>1</v>
      </c>
      <c r="AR62" s="4" t="s">
        <v>507</v>
      </c>
      <c r="AS62">
        <f>HYPERLINK("http://exon.niaid.nih.gov/transcriptome/O_coriaceus/Sup2/links/GO/OC-79-GO.txt",4E-36)</f>
        <v>4E-36</v>
      </c>
      <c r="AT62" t="s">
        <v>554</v>
      </c>
      <c r="AU62" t="s">
        <v>282</v>
      </c>
      <c r="AV62" t="s">
        <v>289</v>
      </c>
      <c r="AW62" t="s">
        <v>508</v>
      </c>
      <c r="AX62" s="3">
        <v>9E-35</v>
      </c>
      <c r="AY62" s="4" t="str">
        <f>HYPERLINK("http://exon.niaid.nih.gov/transcriptome/O_coriaceus/Sup2/links/KOG/OC-79-KOG.txt","5' nucleotidase")</f>
        <v>5' nucleotidase</v>
      </c>
      <c r="AZ62" t="str">
        <f>HYPERLINK("http://www.ncbi.nlm.nih.gov/COG/grace/shokog.cgi?KOG4419","6E-020")</f>
        <v>6E-020</v>
      </c>
      <c r="BA62" t="s">
        <v>509</v>
      </c>
      <c r="BB62" s="4" t="str">
        <f>HYPERLINK("http://exon.niaid.nih.gov/transcriptome/O_coriaceus/Sup2/links/CDD/OC-79-CDD.txt","5_nucleotid_C")</f>
        <v>5_nucleotid_C</v>
      </c>
      <c r="BC62" t="str">
        <f>HYPERLINK("http://www.ncbi.nlm.nih.gov/Structure/cdd/cddsrv.cgi?uid=pfam02872&amp;version=v4.0","7E-032")</f>
        <v>7E-032</v>
      </c>
      <c r="BD62" t="s">
        <v>510</v>
      </c>
      <c r="BE62" s="4" t="str">
        <f>HYPERLINK("http://exon.niaid.nih.gov/transcriptome/O_coriaceus/Sup2/links/PFAM/OC-79-PFAM.txt","5_nucleotid_C")</f>
        <v>5_nucleotid_C</v>
      </c>
      <c r="BF62" t="str">
        <f>HYPERLINK("http://pfam.janelia.org/cgi-bin/getdesc?acc=PF02872","2E-032")</f>
        <v>2E-032</v>
      </c>
      <c r="BG62" s="4" t="s">
        <v>196</v>
      </c>
      <c r="BH62" t="s">
        <v>196</v>
      </c>
      <c r="BI62" s="2">
        <v>68</v>
      </c>
      <c r="BJ62" s="1">
        <v>1</v>
      </c>
      <c r="BK62" s="2">
        <v>72</v>
      </c>
      <c r="BL62" s="1">
        <v>1</v>
      </c>
      <c r="BM62" s="2">
        <v>72</v>
      </c>
      <c r="BN62" s="1">
        <v>1</v>
      </c>
      <c r="BO62" s="2">
        <v>77</v>
      </c>
      <c r="BP62" s="1">
        <v>1</v>
      </c>
      <c r="BQ62" s="2">
        <v>82</v>
      </c>
      <c r="BR62" s="1">
        <v>1</v>
      </c>
      <c r="BS62" s="2">
        <v>86</v>
      </c>
      <c r="BT62" s="1">
        <v>1</v>
      </c>
      <c r="BU62" s="2">
        <v>93</v>
      </c>
      <c r="BV62" s="1">
        <v>1</v>
      </c>
    </row>
    <row r="63" spans="1:33" s="6" customFormat="1" ht="10.5">
      <c r="A63" s="12" t="s">
        <v>562</v>
      </c>
      <c r="H63" s="11"/>
      <c r="N63" s="18" t="s">
        <v>196</v>
      </c>
      <c r="O63" s="11"/>
      <c r="P63" s="11"/>
      <c r="Q63" s="11"/>
      <c r="R63" s="11"/>
      <c r="S63" s="18" t="s">
        <v>196</v>
      </c>
      <c r="W63" s="11"/>
      <c r="X63" s="18"/>
      <c r="Y63" s="21" t="s">
        <v>196</v>
      </c>
      <c r="Z63" s="18"/>
      <c r="AA63" s="11"/>
      <c r="AB63" s="11"/>
      <c r="AC63" s="21" t="s">
        <v>196</v>
      </c>
      <c r="AD63" s="18"/>
      <c r="AE63" s="11"/>
      <c r="AF63" s="11"/>
      <c r="AG63" s="25" t="s">
        <v>196</v>
      </c>
    </row>
    <row r="64" spans="1:33" s="6" customFormat="1" ht="10.5">
      <c r="A64" s="12" t="s">
        <v>242</v>
      </c>
      <c r="H64" s="11"/>
      <c r="N64" s="18" t="s">
        <v>196</v>
      </c>
      <c r="O64" s="11"/>
      <c r="P64" s="11"/>
      <c r="Q64" s="11"/>
      <c r="R64" s="11"/>
      <c r="S64" s="18" t="s">
        <v>196</v>
      </c>
      <c r="W64" s="11"/>
      <c r="X64" s="18"/>
      <c r="Y64" s="21" t="s">
        <v>196</v>
      </c>
      <c r="Z64" s="18"/>
      <c r="AA64" s="11"/>
      <c r="AB64" s="11"/>
      <c r="AC64" s="21" t="s">
        <v>196</v>
      </c>
      <c r="AD64" s="18"/>
      <c r="AE64" s="11"/>
      <c r="AF64" s="11"/>
      <c r="AG64" s="25" t="s">
        <v>196</v>
      </c>
    </row>
    <row r="65" spans="1:74" ht="10.5">
      <c r="A65" t="str">
        <f>HYPERLINK("http://exon.niaid.nih.gov/transcriptome/O_coriaceus/Sup2/links/pep/OC-21-pep.txt","OC-21")</f>
        <v>OC-21</v>
      </c>
      <c r="B65" s="1" t="s">
        <v>114</v>
      </c>
      <c r="C65">
        <v>85</v>
      </c>
      <c r="D65" t="s">
        <v>135</v>
      </c>
      <c r="E65" t="str">
        <f>HYPERLINK("http://exon.niaid.nih.gov/transcriptome/O_coriaceus/Sup2/links/nuc/OC-21-nuc.txt","OC-21")</f>
        <v>OC-21</v>
      </c>
      <c r="F65" s="1" t="s">
        <v>195</v>
      </c>
      <c r="G65" s="1" t="s">
        <v>194</v>
      </c>
      <c r="H65" s="5" t="str">
        <f>HYPERLINK("http://exon.niaid.nih.gov/transcriptome/O_coriaceus/Sup2/links/Sigp/OC-21-SigP.txt","SIG")</f>
        <v>SIG</v>
      </c>
      <c r="I65" t="s">
        <v>544</v>
      </c>
      <c r="J65" s="1">
        <v>9.03</v>
      </c>
      <c r="K65" s="1">
        <v>4.58</v>
      </c>
      <c r="L65" s="1">
        <v>7.33</v>
      </c>
      <c r="M65" s="1">
        <v>4.39</v>
      </c>
      <c r="N65" s="19" t="s">
        <v>49</v>
      </c>
      <c r="O65" s="5" t="str">
        <f>HYPERLINK("http://exon.niaid.nih.gov/transcriptome/O_coriaceus/Sup2/links/netoglyc/OC-21-netoglyc.txt","1")</f>
        <v>1</v>
      </c>
      <c r="P65" s="1">
        <v>9.4</v>
      </c>
      <c r="Q65" s="1">
        <v>11.8</v>
      </c>
      <c r="R65" s="1">
        <v>7.1</v>
      </c>
      <c r="S65" s="27" t="s">
        <v>196</v>
      </c>
      <c r="U65" s="4" t="str">
        <f>HYPERLINK("http://exon.niaid.nih.gov/transcriptome/O_coriaceus/Sup2/links/OCORI-EST/OC-21-OCORI-EST.txt","OCM-PLATE09_C05")</f>
        <v>OCM-PLATE09_C05</v>
      </c>
      <c r="V65" s="1">
        <v>1E-146</v>
      </c>
      <c r="W65" s="5" t="str">
        <f>HYPERLINK("http://exon.niaid.nih.gov/transcriptome/O_coriaceus/Sup2/links/OCORI-EST/OC-21-OCORI-EST.txt"," 25")</f>
        <v> 25</v>
      </c>
      <c r="X65" s="27" t="s">
        <v>625</v>
      </c>
      <c r="Y65" s="22" t="s">
        <v>196</v>
      </c>
      <c r="AC65" s="22" t="str">
        <f>HYPERLINK("http://exon.niaid.nih.gov/transcriptome/O_coriaceus/Sup2/links/OC-1D/OC-21-OC-1D.txt","P26_67 |P27_54 |P27_55 |P29_33 |S26_28 |S26_29 |S26_45 |S27_31 |S28_36 |S29_36 |")</f>
        <v>P26_67 |P27_54 |P27_55 |P29_33 |S26_28 |S26_29 |S26_45 |S27_31 |S28_36 |S29_36 |</v>
      </c>
      <c r="AD65" s="27" t="s">
        <v>599</v>
      </c>
      <c r="AE65" s="1">
        <v>3</v>
      </c>
      <c r="AF65" s="1">
        <v>43</v>
      </c>
      <c r="AG65" s="26">
        <f>100*AF65/C65</f>
        <v>50.588235294117645</v>
      </c>
      <c r="AH65" s="4" t="str">
        <f>HYPERLINK("http://exon.niaid.nih.gov/transcriptome/O_coriaceus/Sup2/links/NR/OC-21-NR.txt","BTSP")</f>
        <v>BTSP</v>
      </c>
      <c r="AI65" t="str">
        <f>HYPERLINK("http://www.ncbi.nlm.nih.gov/sutils/blink.cgi?pid=114152942","9E-021")</f>
        <v>9E-021</v>
      </c>
      <c r="AJ65" t="s">
        <v>344</v>
      </c>
      <c r="AK65">
        <v>67</v>
      </c>
      <c r="AL65">
        <v>89</v>
      </c>
      <c r="AM65">
        <v>7</v>
      </c>
      <c r="AN65" t="s">
        <v>294</v>
      </c>
      <c r="AO65">
        <v>7</v>
      </c>
      <c r="AP65">
        <v>1</v>
      </c>
      <c r="AQ65">
        <v>1</v>
      </c>
      <c r="AR65" s="4" t="s">
        <v>196</v>
      </c>
      <c r="AS65" t="s">
        <v>196</v>
      </c>
      <c r="AT65" t="s">
        <v>196</v>
      </c>
      <c r="AU65" t="s">
        <v>196</v>
      </c>
      <c r="AV65" t="s">
        <v>196</v>
      </c>
      <c r="AW65" t="s">
        <v>196</v>
      </c>
      <c r="AX65" t="s">
        <v>196</v>
      </c>
      <c r="AY65" s="4" t="str">
        <f>HYPERLINK("http://exon.niaid.nih.gov/transcriptome/O_coriaceus/Sup2/links/KOG/OC-21-KOG.txt","K+-channel ERG and related proteins, contain PAS/PAC sensor domain")</f>
        <v>K+-channel ERG and related proteins, contain PAS/PAC sensor domain</v>
      </c>
      <c r="AZ65" t="str">
        <f>HYPERLINK("http://www.ncbi.nlm.nih.gov/COG/grace/shokog.cgi?KOG0498","0.31")</f>
        <v>0.31</v>
      </c>
      <c r="BA65" t="s">
        <v>278</v>
      </c>
      <c r="BB65" s="4" t="str">
        <f>HYPERLINK("http://exon.niaid.nih.gov/transcriptome/O_coriaceus/Sup2/links/CDD/OC-21-CDD.txt","TSGP1")</f>
        <v>TSGP1</v>
      </c>
      <c r="BC65" t="str">
        <f>HYPERLINK("http://www.ncbi.nlm.nih.gov/Structure/cdd/cddsrv.cgi?uid=pfam07771&amp;version=v4.0","6E-004")</f>
        <v>6E-004</v>
      </c>
      <c r="BD65" t="s">
        <v>346</v>
      </c>
      <c r="BE65" s="4" t="str">
        <f>HYPERLINK("http://exon.niaid.nih.gov/transcriptome/O_coriaceus/Sup2/links/PFAM/OC-21-PFAM.txt","TSGP1")</f>
        <v>TSGP1</v>
      </c>
      <c r="BF65" t="str">
        <f>HYPERLINK("http://pfam.janelia.org/cgi-bin/getdesc?acc=PF07771","2E-004")</f>
        <v>2E-004</v>
      </c>
      <c r="BG65" s="4" t="s">
        <v>196</v>
      </c>
      <c r="BH65" t="s">
        <v>196</v>
      </c>
      <c r="BI65" s="2">
        <f>HYPERLINK("http://exon.niaid.nih.gov/transcriptome/O_coriaceus/Sup2/links/cluster/o-cori-COMP35-50-Sim-CLU2.txt",2)</f>
        <v>2</v>
      </c>
      <c r="BJ65" s="1">
        <f>HYPERLINK("http://exon.niaid.nih.gov/transcriptome/O_coriaceus/Sup2/links/cluster/o-cori-COMP35-50-Sim-CLTL2.txt",6)</f>
        <v>6</v>
      </c>
      <c r="BK65" s="2">
        <f>HYPERLINK("http://exon.niaid.nih.gov/transcriptome/O_coriaceus/Sup2/links/cluster/o-cori-COMP45-50-Sim-CLU4.txt",4)</f>
        <v>4</v>
      </c>
      <c r="BL65" s="1">
        <f>HYPERLINK("http://exon.niaid.nih.gov/transcriptome/O_coriaceus/Sup2/links/cluster/o-cori-COMP45-50-Sim-CLTL4.txt",4)</f>
        <v>4</v>
      </c>
      <c r="BM65" s="2">
        <f>HYPERLINK("http://exon.niaid.nih.gov/transcriptome/O_coriaceus/Sup2/links/cluster/o-cori-COMP55-50-Sim-CLU4.txt",4)</f>
        <v>4</v>
      </c>
      <c r="BN65" s="1">
        <f>HYPERLINK("http://exon.niaid.nih.gov/transcriptome/O_coriaceus/Sup2/links/cluster/o-cori-COMP55-50-Sim-CLTL4.txt",4)</f>
        <v>4</v>
      </c>
      <c r="BO65" s="2">
        <f>HYPERLINK("http://exon.niaid.nih.gov/transcriptome/O_coriaceus/Sup2/links/cluster/o-cori-COMP65-50-Sim-CLU4.txt",4)</f>
        <v>4</v>
      </c>
      <c r="BP65" s="1">
        <f>HYPERLINK("http://exon.niaid.nih.gov/transcriptome/O_coriaceus/Sup2/links/cluster/o-cori-COMP65-50-Sim-CLTL4.txt",3)</f>
        <v>3</v>
      </c>
      <c r="BQ65" s="2">
        <f>HYPERLINK("http://exon.niaid.nih.gov/transcriptome/O_coriaceus/Sup2/links/cluster/o-cori-COMP75-50-Sim-CLU2.txt",2)</f>
        <v>2</v>
      </c>
      <c r="BR65" s="1">
        <f>HYPERLINK("http://exon.niaid.nih.gov/transcriptome/O_coriaceus/Sup2/links/cluster/o-cori-COMP75-50-Sim-CLTL2.txt",3)</f>
        <v>3</v>
      </c>
      <c r="BS65" s="2">
        <f>HYPERLINK("http://exon.niaid.nih.gov/transcriptome/O_coriaceus/Sup2/links/cluster/o-cori-COMP85-50-Sim-CLU3.txt",3)</f>
        <v>3</v>
      </c>
      <c r="BT65" s="1">
        <f>HYPERLINK("http://exon.niaid.nih.gov/transcriptome/O_coriaceus/Sup2/links/cluster/o-cori-COMP85-50-Sim-CLTL3.txt",2)</f>
        <v>2</v>
      </c>
      <c r="BU65" s="2">
        <v>28</v>
      </c>
      <c r="BV65" s="1">
        <v>1</v>
      </c>
    </row>
    <row r="66" spans="1:74" ht="10.5">
      <c r="A66" t="str">
        <f>HYPERLINK("http://exon.niaid.nih.gov/transcriptome/O_coriaceus/Sup2/links/pep/OC-20-pep.txt","OC-20")</f>
        <v>OC-20</v>
      </c>
      <c r="B66" s="1" t="s">
        <v>114</v>
      </c>
      <c r="C66">
        <v>88</v>
      </c>
      <c r="D66" t="s">
        <v>135</v>
      </c>
      <c r="E66" t="str">
        <f>HYPERLINK("http://exon.niaid.nih.gov/transcriptome/O_coriaceus/Sup2/links/nuc/OC-20-nuc.txt","OC-20")</f>
        <v>OC-20</v>
      </c>
      <c r="F66" s="1" t="s">
        <v>195</v>
      </c>
      <c r="G66" s="1" t="s">
        <v>194</v>
      </c>
      <c r="H66" s="5" t="str">
        <f>HYPERLINK("http://exon.niaid.nih.gov/transcriptome/O_coriaceus/Sup2/links/Sigp/OC-20-SigP.txt","SIG")</f>
        <v>SIG</v>
      </c>
      <c r="I66" t="s">
        <v>545</v>
      </c>
      <c r="J66" s="1">
        <v>9.379</v>
      </c>
      <c r="K66" s="1">
        <v>4.7</v>
      </c>
      <c r="L66" s="1">
        <v>7.38</v>
      </c>
      <c r="M66" s="1">
        <v>4.48</v>
      </c>
      <c r="N66" s="19" t="s">
        <v>50</v>
      </c>
      <c r="O66" s="5" t="str">
        <f>HYPERLINK("http://exon.niaid.nih.gov/transcriptome/O_coriaceus/Sup2/links/netoglyc/OC-20-netoglyc.txt","0")</f>
        <v>0</v>
      </c>
      <c r="P66" s="1">
        <v>12.5</v>
      </c>
      <c r="Q66" s="1">
        <v>11.4</v>
      </c>
      <c r="R66" s="1">
        <v>5.7</v>
      </c>
      <c r="S66" s="27" t="s">
        <v>196</v>
      </c>
      <c r="U66" s="4" t="str">
        <f>HYPERLINK("http://exon.niaid.nih.gov/transcriptome/O_coriaceus/Sup2/links/OCORI-EST/OC-20-OCORI-EST.txt","OCL-P11_F01")</f>
        <v>OCL-P11_F01</v>
      </c>
      <c r="V66" s="1">
        <v>1E-151</v>
      </c>
      <c r="W66" s="5" t="str">
        <f>HYPERLINK("http://exon.niaid.nih.gov/transcriptome/O_coriaceus/Sup2/links/OCORI-EST/OC-20-OCORI-EST.txt"," 23")</f>
        <v> 23</v>
      </c>
      <c r="X66" s="27" t="s">
        <v>624</v>
      </c>
      <c r="Y66" s="22" t="s">
        <v>196</v>
      </c>
      <c r="AC66" s="22" t="str">
        <f>HYPERLINK("http://exon.niaid.nih.gov/transcriptome/O_coriaceus/Sup2/links/OC-1D/OC-20-OC-1D.txt","P26_67 |P27_54 |P27_55 |P29_33 |S26_28 |S26_45 |S27_31 |S28_36 |S29_36 |")</f>
        <v>P26_67 |P27_54 |P27_55 |P29_33 |S26_28 |S26_45 |S27_31 |S28_36 |S29_36 |</v>
      </c>
      <c r="AD66" s="27" t="s">
        <v>600</v>
      </c>
      <c r="AE66" s="1">
        <v>2</v>
      </c>
      <c r="AF66" s="1">
        <v>24</v>
      </c>
      <c r="AG66" s="26">
        <f>100*AF66/C66</f>
        <v>27.272727272727273</v>
      </c>
      <c r="AH66" s="4" t="str">
        <f>HYPERLINK("http://exon.niaid.nih.gov/transcriptome/O_coriaceus/Sup2/links/NR/OC-20-NR.txt","BTSP")</f>
        <v>BTSP</v>
      </c>
      <c r="AI66" t="str">
        <f>HYPERLINK("http://www.ncbi.nlm.nih.gov/sutils/blink.cgi?pid=114152942","2E-021")</f>
        <v>2E-021</v>
      </c>
      <c r="AJ66" t="s">
        <v>344</v>
      </c>
      <c r="AK66">
        <v>63</v>
      </c>
      <c r="AL66">
        <v>97</v>
      </c>
      <c r="AM66">
        <v>4</v>
      </c>
      <c r="AN66" t="s">
        <v>294</v>
      </c>
      <c r="AO66">
        <v>4</v>
      </c>
      <c r="AP66">
        <v>1</v>
      </c>
      <c r="AQ66">
        <v>1</v>
      </c>
      <c r="AR66" s="4" t="s">
        <v>196</v>
      </c>
      <c r="AS66" t="s">
        <v>196</v>
      </c>
      <c r="AT66" t="s">
        <v>196</v>
      </c>
      <c r="AU66" t="s">
        <v>196</v>
      </c>
      <c r="AV66" t="s">
        <v>196</v>
      </c>
      <c r="AW66" t="s">
        <v>196</v>
      </c>
      <c r="AX66" t="s">
        <v>196</v>
      </c>
      <c r="AY66" s="4" t="s">
        <v>196</v>
      </c>
      <c r="AZ66" t="s">
        <v>196</v>
      </c>
      <c r="BA66" t="s">
        <v>196</v>
      </c>
      <c r="BB66" s="4" t="str">
        <f>HYPERLINK("http://exon.niaid.nih.gov/transcriptome/O_coriaceus/Sup2/links/CDD/OC-20-CDD.txt","TSGP1")</f>
        <v>TSGP1</v>
      </c>
      <c r="BC66" t="str">
        <f>HYPERLINK("http://www.ncbi.nlm.nih.gov/Structure/cdd/cddsrv.cgi?uid=pfam07771&amp;version=v4.0","5E-004")</f>
        <v>5E-004</v>
      </c>
      <c r="BD66" t="s">
        <v>345</v>
      </c>
      <c r="BE66" s="4" t="str">
        <f>HYPERLINK("http://exon.niaid.nih.gov/transcriptome/O_coriaceus/Sup2/links/PFAM/OC-20-PFAM.txt","TSGP1")</f>
        <v>TSGP1</v>
      </c>
      <c r="BF66" t="str">
        <f>HYPERLINK("http://pfam.janelia.org/cgi-bin/getdesc?acc=PF07771","2E-004")</f>
        <v>2E-004</v>
      </c>
      <c r="BG66" s="4" t="s">
        <v>196</v>
      </c>
      <c r="BH66" t="s">
        <v>196</v>
      </c>
      <c r="BI66" s="2">
        <f>HYPERLINK("http://exon.niaid.nih.gov/transcriptome/O_coriaceus/Sup2/links/cluster/o-cori-COMP35-50-Sim-CLU2.txt",2)</f>
        <v>2</v>
      </c>
      <c r="BJ66" s="1">
        <f>HYPERLINK("http://exon.niaid.nih.gov/transcriptome/O_coriaceus/Sup2/links/cluster/o-cori-COMP35-50-Sim-CLTL2.txt",6)</f>
        <v>6</v>
      </c>
      <c r="BK66" s="2">
        <f>HYPERLINK("http://exon.niaid.nih.gov/transcriptome/O_coriaceus/Sup2/links/cluster/o-cori-COMP45-50-Sim-CLU4.txt",4)</f>
        <v>4</v>
      </c>
      <c r="BL66" s="1">
        <f>HYPERLINK("http://exon.niaid.nih.gov/transcriptome/O_coriaceus/Sup2/links/cluster/o-cori-COMP45-50-Sim-CLTL4.txt",4)</f>
        <v>4</v>
      </c>
      <c r="BM66" s="2">
        <f>HYPERLINK("http://exon.niaid.nih.gov/transcriptome/O_coriaceus/Sup2/links/cluster/o-cori-COMP55-50-Sim-CLU4.txt",4)</f>
        <v>4</v>
      </c>
      <c r="BN66" s="1">
        <f>HYPERLINK("http://exon.niaid.nih.gov/transcriptome/O_coriaceus/Sup2/links/cluster/o-cori-COMP55-50-Sim-CLTL4.txt",4)</f>
        <v>4</v>
      </c>
      <c r="BO66" s="2">
        <f>HYPERLINK("http://exon.niaid.nih.gov/transcriptome/O_coriaceus/Sup2/links/cluster/o-cori-COMP65-50-Sim-CLU4.txt",4)</f>
        <v>4</v>
      </c>
      <c r="BP66" s="1">
        <f>HYPERLINK("http://exon.niaid.nih.gov/transcriptome/O_coriaceus/Sup2/links/cluster/o-cori-COMP65-50-Sim-CLTL4.txt",3)</f>
        <v>3</v>
      </c>
      <c r="BQ66" s="2">
        <f>HYPERLINK("http://exon.niaid.nih.gov/transcriptome/O_coriaceus/Sup2/links/cluster/o-cori-COMP75-50-Sim-CLU2.txt",2)</f>
        <v>2</v>
      </c>
      <c r="BR66" s="1">
        <f>HYPERLINK("http://exon.niaid.nih.gov/transcriptome/O_coriaceus/Sup2/links/cluster/o-cori-COMP75-50-Sim-CLTL2.txt",3)</f>
        <v>3</v>
      </c>
      <c r="BS66" s="2">
        <f>HYPERLINK("http://exon.niaid.nih.gov/transcriptome/O_coriaceus/Sup2/links/cluster/o-cori-COMP85-50-Sim-CLU3.txt",3)</f>
        <v>3</v>
      </c>
      <c r="BT66" s="1">
        <f>HYPERLINK("http://exon.niaid.nih.gov/transcriptome/O_coriaceus/Sup2/links/cluster/o-cori-COMP85-50-Sim-CLTL3.txt",2)</f>
        <v>2</v>
      </c>
      <c r="BU66" s="2">
        <v>27</v>
      </c>
      <c r="BV66" s="1">
        <v>1</v>
      </c>
    </row>
    <row r="67" spans="1:74" ht="10.5">
      <c r="A67" t="str">
        <f>HYPERLINK("http://exon.niaid.nih.gov/transcriptome/O_coriaceus/Sup2/links/pep/OC-22-pep.txt","OC-22")</f>
        <v>OC-22</v>
      </c>
      <c r="B67" s="1" t="s">
        <v>114</v>
      </c>
      <c r="C67">
        <v>85</v>
      </c>
      <c r="D67" t="s">
        <v>135</v>
      </c>
      <c r="E67" t="str">
        <f>HYPERLINK("http://exon.niaid.nih.gov/transcriptome/O_coriaceus/Sup2/links/nuc/OC-22-nuc.txt","OC-22")</f>
        <v>OC-22</v>
      </c>
      <c r="F67" s="1" t="s">
        <v>195</v>
      </c>
      <c r="G67" s="1" t="s">
        <v>194</v>
      </c>
      <c r="H67" s="5" t="str">
        <f>HYPERLINK("http://exon.niaid.nih.gov/transcriptome/O_coriaceus/Sup2/links/Sigp/OC-22-SigP.txt","SIG")</f>
        <v>SIG</v>
      </c>
      <c r="I67" t="s">
        <v>544</v>
      </c>
      <c r="J67" s="1">
        <v>9.161</v>
      </c>
      <c r="K67" s="1">
        <v>4.85</v>
      </c>
      <c r="L67" s="1">
        <v>7.461</v>
      </c>
      <c r="M67" s="1">
        <v>4.64</v>
      </c>
      <c r="N67" s="19" t="s">
        <v>51</v>
      </c>
      <c r="O67" s="5" t="str">
        <f>HYPERLINK("http://exon.niaid.nih.gov/transcriptome/O_coriaceus/Sup2/links/netoglyc/OC-22-netoglyc.txt","0")</f>
        <v>0</v>
      </c>
      <c r="P67" s="1">
        <v>7.1</v>
      </c>
      <c r="Q67" s="1">
        <v>10.6</v>
      </c>
      <c r="R67" s="1">
        <v>10.6</v>
      </c>
      <c r="S67" s="27" t="s">
        <v>196</v>
      </c>
      <c r="U67" s="4" t="str">
        <f>HYPERLINK("http://exon.niaid.nih.gov/transcriptome/O_coriaceus/Sup2/links/OCORI-EST/OC-22-OCORI-EST.txt","OCL-P12_H05")</f>
        <v>OCL-P12_H05</v>
      </c>
      <c r="V67" s="1">
        <v>1E-146</v>
      </c>
      <c r="W67" s="5" t="str">
        <f>HYPERLINK("http://exon.niaid.nih.gov/transcriptome/O_coriaceus/Sup2/links/OCORI-EST/OC-22-OCORI-EST.txt"," 22")</f>
        <v> 22</v>
      </c>
      <c r="X67" s="27" t="s">
        <v>625</v>
      </c>
      <c r="Y67" s="22" t="s">
        <v>196</v>
      </c>
      <c r="AC67" s="22" t="str">
        <f>HYPERLINK("http://exon.niaid.nih.gov/transcriptome/O_coriaceus/Sup2/links/OC-1D/OC-22-OC-1D.txt","P27_53 |P28_18 |S26_63 |S27_54 |S28_35 |")</f>
        <v>P27_53 |P28_18 |S26_63 |S27_54 |S28_35 |</v>
      </c>
      <c r="AE67" s="1" t="s">
        <v>196</v>
      </c>
      <c r="AG67" s="26" t="s">
        <v>196</v>
      </c>
      <c r="AH67" s="4" t="str">
        <f>HYPERLINK("http://exon.niaid.nih.gov/transcriptome/O_coriaceus/Sup2/links/NR/OC-22-NR.txt","BTSP")</f>
        <v>BTSP</v>
      </c>
      <c r="AI67" t="str">
        <f>HYPERLINK("http://www.ncbi.nlm.nih.gov/sutils/blink.cgi?pid=114152942","5E-020")</f>
        <v>5E-020</v>
      </c>
      <c r="AJ67" t="s">
        <v>344</v>
      </c>
      <c r="AK67">
        <v>62</v>
      </c>
      <c r="AL67">
        <v>93</v>
      </c>
      <c r="AM67">
        <v>7</v>
      </c>
      <c r="AN67" t="s">
        <v>294</v>
      </c>
      <c r="AO67">
        <v>7</v>
      </c>
      <c r="AP67">
        <v>1</v>
      </c>
      <c r="AQ67">
        <v>1</v>
      </c>
      <c r="AR67" s="4" t="s">
        <v>196</v>
      </c>
      <c r="AS67" t="s">
        <v>196</v>
      </c>
      <c r="AT67" t="s">
        <v>196</v>
      </c>
      <c r="AU67" t="s">
        <v>196</v>
      </c>
      <c r="AV67" t="s">
        <v>196</v>
      </c>
      <c r="AW67" t="s">
        <v>196</v>
      </c>
      <c r="AX67" t="s">
        <v>196</v>
      </c>
      <c r="AY67" s="4" t="str">
        <f>HYPERLINK("http://exon.niaid.nih.gov/transcriptome/O_coriaceus/Sup2/links/KOG/OC-22-KOG.txt","Homeobox transcription factor SIP1")</f>
        <v>Homeobox transcription factor SIP1</v>
      </c>
      <c r="AZ67" t="str">
        <f>HYPERLINK("http://www.ncbi.nlm.nih.gov/COG/grace/shokog.cgi?KOG3623","0.92")</f>
        <v>0.92</v>
      </c>
      <c r="BA67" t="s">
        <v>301</v>
      </c>
      <c r="BB67" s="4" t="str">
        <f>HYPERLINK("http://exon.niaid.nih.gov/transcriptome/O_coriaceus/Sup2/links/CDD/OC-22-CDD.txt","TSGP1")</f>
        <v>TSGP1</v>
      </c>
      <c r="BC67" t="str">
        <f>HYPERLINK("http://www.ncbi.nlm.nih.gov/Structure/cdd/cddsrv.cgi?uid=pfam07771&amp;version=v4.0","0.16")</f>
        <v>0.16</v>
      </c>
      <c r="BD67" t="s">
        <v>347</v>
      </c>
      <c r="BE67" s="4" t="str">
        <f>HYPERLINK("http://exon.niaid.nih.gov/transcriptome/O_coriaceus/Sup2/links/PFAM/OC-22-PFAM.txt","TSGP1")</f>
        <v>TSGP1</v>
      </c>
      <c r="BF67" t="str">
        <f>HYPERLINK("http://pfam.janelia.org/cgi-bin/getdesc?acc=PF07771","0.046")</f>
        <v>0.046</v>
      </c>
      <c r="BG67" s="4" t="s">
        <v>196</v>
      </c>
      <c r="BH67" t="s">
        <v>196</v>
      </c>
      <c r="BI67" s="2">
        <f>HYPERLINK("http://exon.niaid.nih.gov/transcriptome/O_coriaceus/Sup2/links/cluster/o-cori-COMP35-50-Sim-CLU2.txt",2)</f>
        <v>2</v>
      </c>
      <c r="BJ67" s="1">
        <f>HYPERLINK("http://exon.niaid.nih.gov/transcriptome/O_coriaceus/Sup2/links/cluster/o-cori-COMP35-50-Sim-CLTL2.txt",6)</f>
        <v>6</v>
      </c>
      <c r="BK67" s="2">
        <f>HYPERLINK("http://exon.niaid.nih.gov/transcriptome/O_coriaceus/Sup2/links/cluster/o-cori-COMP45-50-Sim-CLU4.txt",4)</f>
        <v>4</v>
      </c>
      <c r="BL67" s="1">
        <f>HYPERLINK("http://exon.niaid.nih.gov/transcriptome/O_coriaceus/Sup2/links/cluster/o-cori-COMP45-50-Sim-CLTL4.txt",4)</f>
        <v>4</v>
      </c>
      <c r="BM67" s="2">
        <f>HYPERLINK("http://exon.niaid.nih.gov/transcriptome/O_coriaceus/Sup2/links/cluster/o-cori-COMP55-50-Sim-CLU4.txt",4)</f>
        <v>4</v>
      </c>
      <c r="BN67" s="1">
        <f>HYPERLINK("http://exon.niaid.nih.gov/transcriptome/O_coriaceus/Sup2/links/cluster/o-cori-COMP55-50-Sim-CLTL4.txt",4)</f>
        <v>4</v>
      </c>
      <c r="BO67" s="2">
        <f>HYPERLINK("http://exon.niaid.nih.gov/transcriptome/O_coriaceus/Sup2/links/cluster/o-cori-COMP65-50-Sim-CLU4.txt",4)</f>
        <v>4</v>
      </c>
      <c r="BP67" s="1">
        <f>HYPERLINK("http://exon.niaid.nih.gov/transcriptome/O_coriaceus/Sup2/links/cluster/o-cori-COMP65-50-Sim-CLTL4.txt",3)</f>
        <v>3</v>
      </c>
      <c r="BQ67" s="2">
        <f>HYPERLINK("http://exon.niaid.nih.gov/transcriptome/O_coriaceus/Sup2/links/cluster/o-cori-COMP75-50-Sim-CLU2.txt",2)</f>
        <v>2</v>
      </c>
      <c r="BR67" s="1">
        <f>HYPERLINK("http://exon.niaid.nih.gov/transcriptome/O_coriaceus/Sup2/links/cluster/o-cori-COMP75-50-Sim-CLTL2.txt",3)</f>
        <v>3</v>
      </c>
      <c r="BS67" s="2">
        <v>33</v>
      </c>
      <c r="BT67" s="1">
        <v>1</v>
      </c>
      <c r="BU67" s="2">
        <v>29</v>
      </c>
      <c r="BV67" s="1">
        <v>1</v>
      </c>
    </row>
    <row r="68" spans="1:74" ht="10.5">
      <c r="A68" t="str">
        <f>HYPERLINK("http://exon.niaid.nih.gov/transcriptome/O_coriaceus/Sup2/links/pep/OC-54-pep.txt","OC-54")</f>
        <v>OC-54</v>
      </c>
      <c r="B68" s="1" t="s">
        <v>114</v>
      </c>
      <c r="C68">
        <v>100</v>
      </c>
      <c r="D68" t="s">
        <v>173</v>
      </c>
      <c r="E68" t="str">
        <f>HYPERLINK("http://exon.niaid.nih.gov/transcriptome/O_coriaceus/Sup2/links/nuc/OC-54-nuc.txt","OC-54")</f>
        <v>OC-54</v>
      </c>
      <c r="F68" s="1" t="s">
        <v>195</v>
      </c>
      <c r="G68" s="1" t="s">
        <v>194</v>
      </c>
      <c r="H68" s="5" t="str">
        <f>HYPERLINK("http://exon.niaid.nih.gov/transcriptome/O_coriaceus/Sup2/links/Sigp/OC-54-SigP.txt","SIG")</f>
        <v>SIG</v>
      </c>
      <c r="I68" t="s">
        <v>546</v>
      </c>
      <c r="J68" s="1">
        <v>11.014</v>
      </c>
      <c r="K68" s="1">
        <v>5.07</v>
      </c>
      <c r="L68" s="1">
        <v>9.41</v>
      </c>
      <c r="M68" s="1">
        <v>4.85</v>
      </c>
      <c r="N68" s="19" t="s">
        <v>52</v>
      </c>
      <c r="O68" s="5" t="str">
        <f>HYPERLINK("http://exon.niaid.nih.gov/transcriptome/O_coriaceus/Sup2/links/netoglyc/OC-54-netoglyc.txt","0")</f>
        <v>0</v>
      </c>
      <c r="P68" s="1">
        <v>8</v>
      </c>
      <c r="Q68" s="1">
        <v>11</v>
      </c>
      <c r="R68" s="1">
        <v>6</v>
      </c>
      <c r="S68" s="27" t="s">
        <v>196</v>
      </c>
      <c r="U68" s="4" t="str">
        <f>HYPERLINK("http://exon.niaid.nih.gov/transcriptome/O_coriaceus/Sup2/links/OCORI-EST/OC-54-OCORI-EST.txt","OCL-P13_D01")</f>
        <v>OCL-P13_D01</v>
      </c>
      <c r="V68" s="1">
        <v>1E-171</v>
      </c>
      <c r="W68" s="5" t="str">
        <f>HYPERLINK("http://exon.niaid.nih.gov/transcriptome/O_coriaceus/Sup2/links/OCORI-EST/OC-54-OCORI-EST.txt"," 9")</f>
        <v> 9</v>
      </c>
      <c r="Y68" s="22" t="s">
        <v>196</v>
      </c>
      <c r="AC68" s="22" t="str">
        <f>HYPERLINK("http://exon.niaid.nih.gov/transcriptome/O_coriaceus/Sup2/links/OC-1D/OC-54-OC-1D.txt","P27_13 |P27_14 |P27_18 |P28_53 |P28_54 |S26_42 |S26_61 |S27_6 |S27_7 |S28_18 |")</f>
        <v>P27_13 |P27_14 |P27_18 |P28_53 |P28_54 |S26_42 |S26_61 |S27_6 |S27_7 |S28_18 |</v>
      </c>
      <c r="AD68" s="27" t="s">
        <v>601</v>
      </c>
      <c r="AE68" s="1">
        <v>3</v>
      </c>
      <c r="AF68" s="1">
        <v>34</v>
      </c>
      <c r="AG68" s="26">
        <f>100*AF68/C68</f>
        <v>34</v>
      </c>
      <c r="AH68" s="4" t="str">
        <f>HYPERLINK("http://exon.niaid.nih.gov/transcriptome/O_coriaceus/Sup2/links/NR/OC-54-NR.txt","acid tail salivary protein")</f>
        <v>acid tail salivary protein</v>
      </c>
      <c r="AI68" t="str">
        <f>HYPERLINK("http://www.ncbi.nlm.nih.gov/sutils/blink.cgi?pid=149286924","1E-021")</f>
        <v>1E-021</v>
      </c>
      <c r="AJ68" t="s">
        <v>452</v>
      </c>
      <c r="AK68">
        <v>52</v>
      </c>
      <c r="AL68">
        <v>100</v>
      </c>
      <c r="AM68">
        <v>1</v>
      </c>
      <c r="AN68" t="s">
        <v>230</v>
      </c>
      <c r="AO68">
        <v>1</v>
      </c>
      <c r="AP68">
        <v>1</v>
      </c>
      <c r="AQ68">
        <v>1</v>
      </c>
      <c r="AR68" s="4" t="s">
        <v>196</v>
      </c>
      <c r="AS68" t="s">
        <v>196</v>
      </c>
      <c r="AT68" t="s">
        <v>196</v>
      </c>
      <c r="AU68" t="s">
        <v>196</v>
      </c>
      <c r="AV68" t="s">
        <v>196</v>
      </c>
      <c r="AW68" t="s">
        <v>196</v>
      </c>
      <c r="AX68" t="s">
        <v>196</v>
      </c>
      <c r="AY68" s="4" t="s">
        <v>196</v>
      </c>
      <c r="AZ68" t="s">
        <v>196</v>
      </c>
      <c r="BA68" t="s">
        <v>196</v>
      </c>
      <c r="BB68" s="4" t="str">
        <f>HYPERLINK("http://exon.niaid.nih.gov/transcriptome/O_coriaceus/Sup2/links/CDD/OC-54-CDD.txt","TSGP1")</f>
        <v>TSGP1</v>
      </c>
      <c r="BC68" t="str">
        <f>HYPERLINK("http://www.ncbi.nlm.nih.gov/Structure/cdd/cddsrv.cgi?uid=pfam07771&amp;version=v4.0","0.005")</f>
        <v>0.005</v>
      </c>
      <c r="BD68" t="s">
        <v>453</v>
      </c>
      <c r="BE68" s="4" t="str">
        <f>HYPERLINK("http://exon.niaid.nih.gov/transcriptome/O_coriaceus/Sup2/links/PFAM/OC-54-PFAM.txt","TSGP1")</f>
        <v>TSGP1</v>
      </c>
      <c r="BF68" t="str">
        <f>HYPERLINK("http://pfam.janelia.org/cgi-bin/getdesc?acc=PF07771","0.001")</f>
        <v>0.001</v>
      </c>
      <c r="BG68" s="4" t="str">
        <f>HYPERLINK("http://exon.niaid.nih.gov/transcriptome/O_coriaceus/Sup2/links/SMART/OC-54-SMART.txt","ACR")</f>
        <v>ACR</v>
      </c>
      <c r="BH68" t="str">
        <f>HYPERLINK("http://smart.embl-heidelberg.de/smart/do_annotation.pl?DOMAIN=ACR&amp;BLAST=DUMMY","0.35")</f>
        <v>0.35</v>
      </c>
      <c r="BI68" s="2">
        <f>HYPERLINK("http://exon.niaid.nih.gov/transcriptome/O_coriaceus/Sup2/links/cluster/o-cori-COMP35-50-Sim-CLU2.txt",2)</f>
        <v>2</v>
      </c>
      <c r="BJ68" s="1">
        <f>HYPERLINK("http://exon.niaid.nih.gov/transcriptome/O_coriaceus/Sup2/links/cluster/o-cori-COMP35-50-Sim-CLTL2.txt",6)</f>
        <v>6</v>
      </c>
      <c r="BK68" s="2">
        <f>HYPERLINK("http://exon.niaid.nih.gov/transcriptome/O_coriaceus/Sup2/links/cluster/o-cori-COMP45-50-Sim-CLU10.txt",10)</f>
        <v>10</v>
      </c>
      <c r="BL68" s="1">
        <f>HYPERLINK("http://exon.niaid.nih.gov/transcriptome/O_coriaceus/Sup2/links/cluster/o-cori-COMP45-50-Sim-CLTL10.txt",2)</f>
        <v>2</v>
      </c>
      <c r="BM68" s="2">
        <f>HYPERLINK("http://exon.niaid.nih.gov/transcriptome/O_coriaceus/Sup2/links/cluster/o-cori-COMP55-50-Sim-CLU9.txt",9)</f>
        <v>9</v>
      </c>
      <c r="BN68" s="1">
        <f>HYPERLINK("http://exon.niaid.nih.gov/transcriptome/O_coriaceus/Sup2/links/cluster/o-cori-COMP55-50-Sim-CLTL9.txt",2)</f>
        <v>2</v>
      </c>
      <c r="BO68" s="2">
        <f>HYPERLINK("http://exon.niaid.nih.gov/transcriptome/O_coriaceus/Sup2/links/cluster/o-cori-COMP65-50-Sim-CLU11.txt",11)</f>
        <v>11</v>
      </c>
      <c r="BP68" s="1">
        <f>HYPERLINK("http://exon.niaid.nih.gov/transcriptome/O_coriaceus/Sup2/links/cluster/o-cori-COMP65-50-Sim-CLTL11.txt",2)</f>
        <v>2</v>
      </c>
      <c r="BQ68" s="2">
        <v>62</v>
      </c>
      <c r="BR68" s="1">
        <v>1</v>
      </c>
      <c r="BS68" s="2">
        <v>65</v>
      </c>
      <c r="BT68" s="1">
        <v>1</v>
      </c>
      <c r="BU68" s="2">
        <v>71</v>
      </c>
      <c r="BV68" s="1">
        <v>1</v>
      </c>
    </row>
    <row r="69" spans="1:74" ht="10.5">
      <c r="A69" t="str">
        <f>HYPERLINK("http://exon.niaid.nih.gov/transcriptome/O_coriaceus/Sup2/links/pep/OC-56-pep.txt","OC-56")</f>
        <v>OC-56</v>
      </c>
      <c r="B69" s="1" t="s">
        <v>114</v>
      </c>
      <c r="C69">
        <v>102</v>
      </c>
      <c r="D69" t="s">
        <v>173</v>
      </c>
      <c r="E69" t="str">
        <f>HYPERLINK("http://exon.niaid.nih.gov/transcriptome/O_coriaceus/Sup2/links/nuc/OC-56-nuc.txt","OC-56")</f>
        <v>OC-56</v>
      </c>
      <c r="F69" s="1" t="s">
        <v>195</v>
      </c>
      <c r="G69" s="1" t="s">
        <v>194</v>
      </c>
      <c r="H69" s="5" t="str">
        <f>HYPERLINK("http://exon.niaid.nih.gov/transcriptome/O_coriaceus/Sup2/links/Sigp/OC-56-SigP.txt","SIG")</f>
        <v>SIG</v>
      </c>
      <c r="I69" t="s">
        <v>544</v>
      </c>
      <c r="J69" s="1">
        <v>11.494</v>
      </c>
      <c r="K69" s="1">
        <v>4.83</v>
      </c>
      <c r="L69" s="1">
        <v>9.86</v>
      </c>
      <c r="M69" s="1">
        <v>4.7</v>
      </c>
      <c r="N69" s="19" t="s">
        <v>53</v>
      </c>
      <c r="O69" s="5" t="str">
        <f>HYPERLINK("http://exon.niaid.nih.gov/transcriptome/O_coriaceus/Sup2/links/netoglyc/OC-56-netoglyc.txt","0")</f>
        <v>0</v>
      </c>
      <c r="P69" s="1">
        <v>6.9</v>
      </c>
      <c r="Q69" s="1">
        <v>9.8</v>
      </c>
      <c r="R69" s="1">
        <v>4.9</v>
      </c>
      <c r="S69" s="27" t="s">
        <v>196</v>
      </c>
      <c r="U69" s="4" t="str">
        <f>HYPERLINK("http://exon.niaid.nih.gov/transcriptome/O_coriaceus/Sup2/links/OCORI-EST/OC-56-OCORI-EST.txt","OCL-P11_H06")</f>
        <v>OCL-P11_H06</v>
      </c>
      <c r="V69" s="1">
        <v>1E-176</v>
      </c>
      <c r="W69" s="5" t="str">
        <f>HYPERLINK("http://exon.niaid.nih.gov/transcriptome/O_coriaceus/Sup2/links/OCORI-EST/OC-56-OCORI-EST.txt"," 5")</f>
        <v> 5</v>
      </c>
      <c r="Y69" s="22" t="s">
        <v>196</v>
      </c>
      <c r="AC69" s="22" t="str">
        <f>HYPERLINK("http://exon.niaid.nih.gov/transcriptome/O_coriaceus/Sup2/links/OC-1D/OC-56-OC-1D.txt","P26_34 |P26_35 |P27_15 |P27_16 |P27_17 |P27_18 |P28_54 |S26_42 |S26_43 |S27_33 |S27_34 |")</f>
        <v>P26_34 |P26_35 |P27_15 |P27_16 |P27_17 |P27_18 |P28_54 |S26_42 |S26_43 |S27_33 |S27_34 |</v>
      </c>
      <c r="AD69" s="27" t="s">
        <v>602</v>
      </c>
      <c r="AE69" s="1">
        <v>4</v>
      </c>
      <c r="AF69" s="1">
        <v>55</v>
      </c>
      <c r="AG69" s="26">
        <f>100*AF69/C69</f>
        <v>53.92156862745098</v>
      </c>
      <c r="AH69" s="4" t="str">
        <f>HYPERLINK("http://exon.niaid.nih.gov/transcriptome/O_coriaceus/Sup2/links/NR/OC-56-NR.txt","acid tail salivary protein variant")</f>
        <v>acid tail salivary protein variant</v>
      </c>
      <c r="AI69" t="str">
        <f>HYPERLINK("http://www.ncbi.nlm.nih.gov/sutils/blink.cgi?pid=149286922","3E-036")</f>
        <v>3E-036</v>
      </c>
      <c r="AJ69" t="s">
        <v>459</v>
      </c>
      <c r="AK69">
        <v>72</v>
      </c>
      <c r="AL69">
        <v>101</v>
      </c>
      <c r="AM69">
        <v>1</v>
      </c>
      <c r="AN69" t="s">
        <v>230</v>
      </c>
      <c r="AO69">
        <v>1</v>
      </c>
      <c r="AP69">
        <v>1</v>
      </c>
      <c r="AQ69">
        <v>1</v>
      </c>
      <c r="AR69" s="4" t="s">
        <v>196</v>
      </c>
      <c r="AS69" t="s">
        <v>196</v>
      </c>
      <c r="AT69" t="s">
        <v>196</v>
      </c>
      <c r="AU69" t="s">
        <v>196</v>
      </c>
      <c r="AV69" t="s">
        <v>196</v>
      </c>
      <c r="AW69" t="s">
        <v>196</v>
      </c>
      <c r="AX69" t="s">
        <v>196</v>
      </c>
      <c r="AY69" s="4" t="s">
        <v>196</v>
      </c>
      <c r="AZ69" t="s">
        <v>196</v>
      </c>
      <c r="BA69" t="s">
        <v>196</v>
      </c>
      <c r="BB69" s="4" t="str">
        <f>HYPERLINK("http://exon.niaid.nih.gov/transcriptome/O_coriaceus/Sup2/links/CDD/OC-56-CDD.txt","TSGP1")</f>
        <v>TSGP1</v>
      </c>
      <c r="BC69" t="str">
        <f>HYPERLINK("http://www.ncbi.nlm.nih.gov/Structure/cdd/cddsrv.cgi?uid=pfam07771&amp;version=v4.0","3E-004")</f>
        <v>3E-004</v>
      </c>
      <c r="BD69" t="s">
        <v>460</v>
      </c>
      <c r="BE69" s="4" t="str">
        <f>HYPERLINK("http://exon.niaid.nih.gov/transcriptome/O_coriaceus/Sup2/links/PFAM/OC-56-PFAM.txt","TSGP1")</f>
        <v>TSGP1</v>
      </c>
      <c r="BF69" t="str">
        <f>HYPERLINK("http://pfam.janelia.org/cgi-bin/getdesc?acc=PF07771","8E-005")</f>
        <v>8E-005</v>
      </c>
      <c r="BG69" s="4" t="str">
        <f>HYPERLINK("http://exon.niaid.nih.gov/transcriptome/O_coriaceus/Sup2/links/SMART/OC-56-SMART.txt","THN")</f>
        <v>THN</v>
      </c>
      <c r="BH69" t="str">
        <f>HYPERLINK("http://smart.embl-heidelberg.de/smart/do_annotation.pl?DOMAIN=THN&amp;BLAST=DUMMY","0.21")</f>
        <v>0.21</v>
      </c>
      <c r="BI69" s="2">
        <f>HYPERLINK("http://exon.niaid.nih.gov/transcriptome/O_coriaceus/Sup2/links/cluster/o-cori-COMP35-50-Sim-CLU2.txt",2)</f>
        <v>2</v>
      </c>
      <c r="BJ69" s="1">
        <f>HYPERLINK("http://exon.niaid.nih.gov/transcriptome/O_coriaceus/Sup2/links/cluster/o-cori-COMP35-50-Sim-CLTL2.txt",6)</f>
        <v>6</v>
      </c>
      <c r="BK69" s="2">
        <f>HYPERLINK("http://exon.niaid.nih.gov/transcriptome/O_coriaceus/Sup2/links/cluster/o-cori-COMP45-50-Sim-CLU10.txt",10)</f>
        <v>10</v>
      </c>
      <c r="BL69" s="1">
        <f>HYPERLINK("http://exon.niaid.nih.gov/transcriptome/O_coriaceus/Sup2/links/cluster/o-cori-COMP45-50-Sim-CLTL10.txt",2)</f>
        <v>2</v>
      </c>
      <c r="BM69" s="2">
        <f>HYPERLINK("http://exon.niaid.nih.gov/transcriptome/O_coriaceus/Sup2/links/cluster/o-cori-COMP55-50-Sim-CLU9.txt",9)</f>
        <v>9</v>
      </c>
      <c r="BN69" s="1">
        <f>HYPERLINK("http://exon.niaid.nih.gov/transcriptome/O_coriaceus/Sup2/links/cluster/o-cori-COMP55-50-Sim-CLTL9.txt",2)</f>
        <v>2</v>
      </c>
      <c r="BO69" s="2">
        <f>HYPERLINK("http://exon.niaid.nih.gov/transcriptome/O_coriaceus/Sup2/links/cluster/o-cori-COMP65-50-Sim-CLU11.txt",11)</f>
        <v>11</v>
      </c>
      <c r="BP69" s="1">
        <f>HYPERLINK("http://exon.niaid.nih.gov/transcriptome/O_coriaceus/Sup2/links/cluster/o-cori-COMP65-50-Sim-CLTL11.txt",2)</f>
        <v>2</v>
      </c>
      <c r="BQ69" s="2">
        <v>64</v>
      </c>
      <c r="BR69" s="1">
        <v>1</v>
      </c>
      <c r="BS69" s="2">
        <v>67</v>
      </c>
      <c r="BT69" s="1">
        <v>1</v>
      </c>
      <c r="BU69" s="2">
        <v>73</v>
      </c>
      <c r="BV69" s="1">
        <v>1</v>
      </c>
    </row>
    <row r="70" spans="1:74" ht="10.5">
      <c r="A70" t="str">
        <f>HYPERLINK("http://exon.niaid.nih.gov/transcriptome/O_coriaceus/Sup2/links/pep/OC-84-pep.txt","OC-84")</f>
        <v>OC-84</v>
      </c>
      <c r="B70" s="1" t="s">
        <v>114</v>
      </c>
      <c r="C70">
        <v>117</v>
      </c>
      <c r="D70" t="s">
        <v>187</v>
      </c>
      <c r="E70" t="str">
        <f>HYPERLINK("http://exon.niaid.nih.gov/transcriptome/O_coriaceus/Sup2/links/nuc/OC-84-nuc.txt","OC-84")</f>
        <v>OC-84</v>
      </c>
      <c r="F70" s="1" t="s">
        <v>195</v>
      </c>
      <c r="G70" s="1" t="s">
        <v>196</v>
      </c>
      <c r="H70" s="5" t="str">
        <f>HYPERLINK("http://exon.niaid.nih.gov/transcriptome/O_coriaceus/Sup2/links/Sigp/OC-84-SigP.txt","SIG")</f>
        <v>SIG</v>
      </c>
      <c r="I70" t="s">
        <v>540</v>
      </c>
      <c r="J70" s="1">
        <v>12.423</v>
      </c>
      <c r="K70" s="1">
        <v>9.02</v>
      </c>
      <c r="L70" s="1">
        <v>10.317</v>
      </c>
      <c r="M70" s="1">
        <v>9.04</v>
      </c>
      <c r="N70" s="19" t="s">
        <v>54</v>
      </c>
      <c r="O70" s="5" t="str">
        <f>HYPERLINK("http://exon.niaid.nih.gov/transcriptome/O_coriaceus/Sup2/links/netoglyc/OC-84-netoglyc.txt","9")</f>
        <v>9</v>
      </c>
      <c r="P70" s="1">
        <v>13.7</v>
      </c>
      <c r="Q70" s="1">
        <v>12</v>
      </c>
      <c r="R70" s="1">
        <v>9.4</v>
      </c>
      <c r="S70" s="27" t="s">
        <v>196</v>
      </c>
      <c r="U70" s="4" t="str">
        <f>HYPERLINK("http://exon.niaid.nih.gov/transcriptome/O_coriaceus/Sup2/links/OCORI-EST/OC-84-OCORI-EST.txt","OCL-P12_H01")</f>
        <v>OCL-P12_H01</v>
      </c>
      <c r="V70" s="1">
        <v>0</v>
      </c>
      <c r="W70" s="5" t="str">
        <f>HYPERLINK("http://exon.niaid.nih.gov/transcriptome/O_coriaceus/Sup2/links/OCORI-EST/OC-84-OCORI-EST.txt"," 4")</f>
        <v> 4</v>
      </c>
      <c r="Y70" s="22" t="s">
        <v>196</v>
      </c>
      <c r="AC70" s="22" t="str">
        <f>HYPERLINK("http://exon.niaid.nih.gov/transcriptome/O_coriaceus/Sup2/links/OC-1D/OC-84-OC-1D.txt","P18_58 |P21_87 |S19_52 |S20_43 |S21_26 |S26_62 |")</f>
        <v>P18_58 |P21_87 |S19_52 |S20_43 |S21_26 |S26_62 |</v>
      </c>
      <c r="AE70" s="1" t="s">
        <v>196</v>
      </c>
      <c r="AG70" s="26" t="s">
        <v>196</v>
      </c>
      <c r="AH70" s="4" t="str">
        <f>HYPERLINK("http://exon.niaid.nih.gov/transcriptome/O_coriaceus/Sup2/links/NR/OC-84-NR.txt","BTSP")</f>
        <v>BTSP</v>
      </c>
      <c r="AI70" t="str">
        <f>HYPERLINK("http://www.ncbi.nlm.nih.gov/sutils/blink.cgi?pid=114152946","8E-010")</f>
        <v>8E-010</v>
      </c>
      <c r="AJ70" t="s">
        <v>444</v>
      </c>
      <c r="AK70">
        <v>41</v>
      </c>
      <c r="AL70">
        <v>38</v>
      </c>
      <c r="AM70">
        <v>21</v>
      </c>
      <c r="AN70" t="s">
        <v>294</v>
      </c>
      <c r="AO70">
        <v>21</v>
      </c>
      <c r="AP70">
        <v>21</v>
      </c>
      <c r="AQ70">
        <v>1</v>
      </c>
      <c r="AR70" s="4" t="s">
        <v>196</v>
      </c>
      <c r="AS70" t="s">
        <v>196</v>
      </c>
      <c r="AT70" t="s">
        <v>196</v>
      </c>
      <c r="AU70" t="s">
        <v>196</v>
      </c>
      <c r="AV70" t="s">
        <v>196</v>
      </c>
      <c r="AW70" t="s">
        <v>196</v>
      </c>
      <c r="AX70" t="s">
        <v>196</v>
      </c>
      <c r="AY70" s="4" t="s">
        <v>196</v>
      </c>
      <c r="AZ70" t="s">
        <v>196</v>
      </c>
      <c r="BA70" t="s">
        <v>196</v>
      </c>
      <c r="BB70" s="4" t="str">
        <f>HYPERLINK("http://exon.niaid.nih.gov/transcriptome/O_coriaceus/Sup2/links/CDD/OC-84-CDD.txt","TSGP1")</f>
        <v>TSGP1</v>
      </c>
      <c r="BC70" t="str">
        <f>HYPERLINK("http://www.ncbi.nlm.nih.gov/Structure/cdd/cddsrv.cgi?uid=pfam07771&amp;version=v4.0","0.050")</f>
        <v>0.050</v>
      </c>
      <c r="BD70" t="s">
        <v>513</v>
      </c>
      <c r="BE70" s="4" t="str">
        <f>HYPERLINK("http://exon.niaid.nih.gov/transcriptome/O_coriaceus/Sup2/links/PFAM/OC-84-PFAM.txt","TSGP1")</f>
        <v>TSGP1</v>
      </c>
      <c r="BF70" t="str">
        <f>HYPERLINK("http://pfam.janelia.org/cgi-bin/getdesc?acc=PF07771","0.016")</f>
        <v>0.016</v>
      </c>
      <c r="BG70" s="4" t="s">
        <v>196</v>
      </c>
      <c r="BH70" t="s">
        <v>196</v>
      </c>
      <c r="BI70" s="2">
        <f>HYPERLINK("http://exon.niaid.nih.gov/transcriptome/O_coriaceus/Sup2/links/cluster/o-cori-COMP35-50-Sim-CLU11.txt",11)</f>
        <v>11</v>
      </c>
      <c r="BJ70" s="1">
        <f>HYPERLINK("http://exon.niaid.nih.gov/transcriptome/O_coriaceus/Sup2/links/cluster/o-cori-COMP35-50-Sim-CLTL11.txt",2)</f>
        <v>2</v>
      </c>
      <c r="BK70" s="2">
        <f>HYPERLINK("http://exon.niaid.nih.gov/transcriptome/O_coriaceus/Sup2/links/cluster/o-cori-COMP45-50-Sim-CLU9.txt",9)</f>
        <v>9</v>
      </c>
      <c r="BL70" s="1">
        <f>HYPERLINK("http://exon.niaid.nih.gov/transcriptome/O_coriaceus/Sup2/links/cluster/o-cori-COMP45-50-Sim-CLTL9.txt",2)</f>
        <v>2</v>
      </c>
      <c r="BM70" s="2">
        <v>74</v>
      </c>
      <c r="BN70" s="1">
        <v>1</v>
      </c>
      <c r="BO70" s="2">
        <v>79</v>
      </c>
      <c r="BP70" s="1">
        <v>1</v>
      </c>
      <c r="BQ70" s="2">
        <v>84</v>
      </c>
      <c r="BR70" s="1">
        <v>1</v>
      </c>
      <c r="BS70" s="2">
        <v>88</v>
      </c>
      <c r="BT70" s="1">
        <v>1</v>
      </c>
      <c r="BU70" s="2">
        <v>96</v>
      </c>
      <c r="BV70" s="1">
        <v>1</v>
      </c>
    </row>
    <row r="71" spans="1:74" ht="10.5">
      <c r="A71" t="str">
        <f>HYPERLINK("http://exon.niaid.nih.gov/transcriptome/O_coriaceus/Sup2/links/pep/OC-139-pep.txt","OC-139")</f>
        <v>OC-139</v>
      </c>
      <c r="B71" s="1" t="s">
        <v>114</v>
      </c>
      <c r="C71">
        <v>157</v>
      </c>
      <c r="D71" t="s">
        <v>130</v>
      </c>
      <c r="E71" t="str">
        <f>HYPERLINK("http://exon.niaid.nih.gov/transcriptome/O_coriaceus/Sup2/links/nuc/OC-139-nuc.txt","OC-139")</f>
        <v>OC-139</v>
      </c>
      <c r="F71" s="1" t="s">
        <v>195</v>
      </c>
      <c r="G71" s="1" t="s">
        <v>194</v>
      </c>
      <c r="H71" s="5" t="str">
        <f>HYPERLINK("http://exon.niaid.nih.gov/transcriptome/O_coriaceus/Sup2/links/Sigp/OC-139-SigP.txt","SIG")</f>
        <v>SIG</v>
      </c>
      <c r="I71" t="s">
        <v>544</v>
      </c>
      <c r="J71" s="1">
        <v>17.552</v>
      </c>
      <c r="K71" s="1">
        <v>9.58</v>
      </c>
      <c r="L71" s="1">
        <v>15.721</v>
      </c>
      <c r="M71" s="1">
        <v>9.57</v>
      </c>
      <c r="N71" s="19" t="s">
        <v>55</v>
      </c>
      <c r="O71" s="5" t="str">
        <f>HYPERLINK("http://exon.niaid.nih.gov/transcriptome/O_coriaceus/Sup2/links/netoglyc/OC-139-netoglyc.txt","9")</f>
        <v>9</v>
      </c>
      <c r="P71" s="1">
        <v>12.7</v>
      </c>
      <c r="Q71" s="1">
        <v>8.3</v>
      </c>
      <c r="R71" s="1">
        <v>10.2</v>
      </c>
      <c r="S71" s="27" t="s">
        <v>196</v>
      </c>
      <c r="U71" s="4" t="str">
        <f>HYPERLINK("http://exon.niaid.nih.gov/transcriptome/O_coriaceus/Sup2/links/OCORI-EST/OC-139-OCORI-EST.txt","OCM-PLAYE07_D03")</f>
        <v>OCM-PLAYE07_D03</v>
      </c>
      <c r="V71" s="1">
        <v>0</v>
      </c>
      <c r="W71" s="5" t="str">
        <f>HYPERLINK("http://exon.niaid.nih.gov/transcriptome/O_coriaceus/Sup2/links/OCORI-EST/OC-139-OCORI-EST.txt"," 3")</f>
        <v> 3</v>
      </c>
      <c r="Y71" s="22" t="s">
        <v>196</v>
      </c>
      <c r="AC71" s="22" t="str">
        <f>HYPERLINK("http://exon.niaid.nih.gov/transcriptome/O_coriaceus/Sup2/links/OC-1D/OC-139-OC-1D.txt","S11_31 |S15_35 |")</f>
        <v>S11_31 |S15_35 |</v>
      </c>
      <c r="AE71" s="1" t="s">
        <v>196</v>
      </c>
      <c r="AG71" s="26" t="s">
        <v>196</v>
      </c>
      <c r="AH71" s="4" t="str">
        <f>HYPERLINK("http://exon.niaid.nih.gov/transcriptome/O_coriaceus/Sup2/links/NR/OC-139-NR.txt","salivary secreted basic tail protein")</f>
        <v>salivary secreted basic tail protein</v>
      </c>
      <c r="AI71" t="str">
        <f>HYPERLINK("http://www.ncbi.nlm.nih.gov/sutils/blink.cgi?pid=149286982","4E-012")</f>
        <v>4E-012</v>
      </c>
      <c r="AJ71" t="s">
        <v>321</v>
      </c>
      <c r="AK71">
        <v>35</v>
      </c>
      <c r="AL71">
        <v>57</v>
      </c>
      <c r="AM71">
        <v>29</v>
      </c>
      <c r="AN71" t="s">
        <v>230</v>
      </c>
      <c r="AO71">
        <v>29</v>
      </c>
      <c r="AP71">
        <v>33</v>
      </c>
      <c r="AQ71">
        <v>1</v>
      </c>
      <c r="AR71" s="4" t="s">
        <v>322</v>
      </c>
      <c r="AS71">
        <f>HYPERLINK("http://exon.niaid.nih.gov/transcriptome/O_coriaceus/Sup2/links/GO/OC-139-GO.txt",0.0006)</f>
        <v>0.0006</v>
      </c>
      <c r="AT71" t="s">
        <v>552</v>
      </c>
      <c r="AU71" t="s">
        <v>282</v>
      </c>
      <c r="AV71" t="s">
        <v>289</v>
      </c>
      <c r="AW71" t="s">
        <v>290</v>
      </c>
      <c r="AX71">
        <v>0.0006</v>
      </c>
      <c r="AY71" s="4" t="str">
        <f>HYPERLINK("http://exon.niaid.nih.gov/transcriptome/O_coriaceus/Sup2/links/KOG/OC-139-KOG.txt","Dihydrolipoamide succinyltransferase (2-oxoglutarate dehydrogenase, E2 subunit)")</f>
        <v>Dihydrolipoamide succinyltransferase (2-oxoglutarate dehydrogenase, E2 subunit)</v>
      </c>
      <c r="AZ71" t="str">
        <f>HYPERLINK("http://www.ncbi.nlm.nih.gov/COG/grace/shokog.cgi?KOG0559","0.003")</f>
        <v>0.003</v>
      </c>
      <c r="BA71" t="s">
        <v>291</v>
      </c>
      <c r="BB71" s="4" t="str">
        <f>HYPERLINK("http://exon.niaid.nih.gov/transcriptome/O_coriaceus/Sup2/links/CDD/OC-139-CDD.txt","TonB")</f>
        <v>TonB</v>
      </c>
      <c r="BC71" t="str">
        <f>HYPERLINK("http://www.ncbi.nlm.nih.gov/Structure/cdd/cddsrv.cgi?uid=COG0810&amp;version=v4.0","0.027")</f>
        <v>0.027</v>
      </c>
      <c r="BD71" t="s">
        <v>323</v>
      </c>
      <c r="BE71" s="4" t="str">
        <f>HYPERLINK("http://exon.niaid.nih.gov/transcriptome/O_coriaceus/Sup2/links/PFAM/OC-139-PFAM.txt","CDC27")</f>
        <v>CDC27</v>
      </c>
      <c r="BF71" t="str">
        <f>HYPERLINK("http://pfam.janelia.org/cgi-bin/getdesc?acc=PF09507","0.034")</f>
        <v>0.034</v>
      </c>
      <c r="BG71" s="4" t="str">
        <f>HYPERLINK("http://exon.niaid.nih.gov/transcriptome/O_coriaceus/Sup2/links/SMART/OC-139-SMART.txt","Sema")</f>
        <v>Sema</v>
      </c>
      <c r="BH71" t="str">
        <f>HYPERLINK("http://smart.embl-heidelberg.de/smart/do_annotation.pl?DOMAIN=Sema&amp;BLAST=DUMMY","0.24")</f>
        <v>0.24</v>
      </c>
      <c r="BI71" s="2">
        <v>26</v>
      </c>
      <c r="BJ71" s="1">
        <v>1</v>
      </c>
      <c r="BK71" s="2">
        <v>28</v>
      </c>
      <c r="BL71" s="1">
        <v>1</v>
      </c>
      <c r="BM71" s="2">
        <v>27</v>
      </c>
      <c r="BN71" s="1">
        <v>1</v>
      </c>
      <c r="BO71" s="2">
        <v>29</v>
      </c>
      <c r="BP71" s="1">
        <v>1</v>
      </c>
      <c r="BQ71" s="2">
        <v>26</v>
      </c>
      <c r="BR71" s="1">
        <v>1</v>
      </c>
      <c r="BS71" s="2">
        <v>26</v>
      </c>
      <c r="BT71" s="1">
        <v>1</v>
      </c>
      <c r="BU71" s="2">
        <v>19</v>
      </c>
      <c r="BV71" s="1">
        <v>1</v>
      </c>
    </row>
    <row r="72" spans="1:74" ht="10.5">
      <c r="A72" t="str">
        <f>HYPERLINK("http://exon.niaid.nih.gov/transcriptome/O_coriaceus/Sup2/links/pep/OC-23-pep.txt","OC-23")</f>
        <v>OC-23</v>
      </c>
      <c r="B72" s="1" t="s">
        <v>114</v>
      </c>
      <c r="C72">
        <v>113</v>
      </c>
      <c r="D72" t="s">
        <v>135</v>
      </c>
      <c r="E72" t="str">
        <f>HYPERLINK("http://exon.niaid.nih.gov/transcriptome/O_coriaceus/Sup2/links/nuc/OC-23-nuc.txt","OC-23")</f>
        <v>OC-23</v>
      </c>
      <c r="F72" s="1" t="s">
        <v>195</v>
      </c>
      <c r="G72" s="1" t="s">
        <v>194</v>
      </c>
      <c r="H72" s="5" t="str">
        <f>HYPERLINK("http://exon.niaid.nih.gov/transcriptome/O_coriaceus/Sup2/links/Sigp/OC-23-SigP.txt","SIG")</f>
        <v>SIG</v>
      </c>
      <c r="I72" t="s">
        <v>545</v>
      </c>
      <c r="J72" s="1">
        <v>12.459</v>
      </c>
      <c r="K72" s="1">
        <v>8.88</v>
      </c>
      <c r="L72" s="1">
        <v>10.483</v>
      </c>
      <c r="M72" s="1">
        <v>8.82</v>
      </c>
      <c r="N72" s="19" t="s">
        <v>56</v>
      </c>
      <c r="O72" s="5" t="str">
        <f>HYPERLINK("http://exon.niaid.nih.gov/transcriptome/O_coriaceus/Sup2/links/netoglyc/OC-23-netoglyc.txt","3")</f>
        <v>3</v>
      </c>
      <c r="P72" s="1">
        <v>11.5</v>
      </c>
      <c r="Q72" s="1">
        <v>9.7</v>
      </c>
      <c r="R72" s="1">
        <v>6.2</v>
      </c>
      <c r="S72" s="27" t="s">
        <v>640</v>
      </c>
      <c r="U72" s="4" t="str">
        <f>HYPERLINK("http://exon.niaid.nih.gov/transcriptome/O_coriaceus/Sup2/links/OCORI-EST/OC-23-OCORI-EST.txt","OCL-PLATE04_B02")</f>
        <v>OCL-PLATE04_B02</v>
      </c>
      <c r="V72" s="1">
        <v>0</v>
      </c>
      <c r="W72" s="5" t="str">
        <f>HYPERLINK("http://exon.niaid.nih.gov/transcriptome/O_coriaceus/Sup2/links/OCORI-EST/OC-23-OCORI-EST.txt"," 2")</f>
        <v> 2</v>
      </c>
      <c r="Y72" s="22" t="s">
        <v>196</v>
      </c>
      <c r="AC72" s="22" t="str">
        <f>HYPERLINK("http://exon.niaid.nih.gov/transcriptome/O_coriaceus/Sup2/links/OC-1D/OC-23-OC-1D.txt","P27_53 |P28_18 |S26_63 |S27_54 |S28_35 |")</f>
        <v>P27_53 |P28_18 |S26_63 |S27_54 |S28_35 |</v>
      </c>
      <c r="AE72" s="1" t="s">
        <v>196</v>
      </c>
      <c r="AG72" s="26" t="s">
        <v>196</v>
      </c>
      <c r="AH72" s="4" t="str">
        <f>HYPERLINK("http://exon.niaid.nih.gov/transcriptome/O_coriaceus/Sup2/links/NR/OC-23-NR.txt","BTSP")</f>
        <v>BTSP</v>
      </c>
      <c r="AI72" t="str">
        <f>HYPERLINK("http://www.ncbi.nlm.nih.gov/sutils/blink.cgi?pid=114152942","1E-019")</f>
        <v>1E-019</v>
      </c>
      <c r="AJ72" t="s">
        <v>344</v>
      </c>
      <c r="AK72">
        <v>60</v>
      </c>
      <c r="AL72">
        <v>89</v>
      </c>
      <c r="AM72">
        <v>4</v>
      </c>
      <c r="AN72" t="s">
        <v>294</v>
      </c>
      <c r="AO72">
        <v>4</v>
      </c>
      <c r="AP72">
        <v>1</v>
      </c>
      <c r="AQ72">
        <v>1</v>
      </c>
      <c r="AR72" s="4" t="s">
        <v>196</v>
      </c>
      <c r="AS72" t="s">
        <v>196</v>
      </c>
      <c r="AT72" t="s">
        <v>196</v>
      </c>
      <c r="AU72" t="s">
        <v>196</v>
      </c>
      <c r="AV72" t="s">
        <v>196</v>
      </c>
      <c r="AW72" t="s">
        <v>196</v>
      </c>
      <c r="AX72" t="s">
        <v>196</v>
      </c>
      <c r="AY72" s="4" t="str">
        <f>HYPERLINK("http://exon.niaid.nih.gov/transcriptome/O_coriaceus/Sup2/links/KOG/OC-23-KOG.txt","Ca2+-modulated nonselective cation channel polycystin")</f>
        <v>Ca2+-modulated nonselective cation channel polycystin</v>
      </c>
      <c r="AZ72" t="str">
        <f>HYPERLINK("http://www.ncbi.nlm.nih.gov/COG/grace/shokog.cgi?KOG3599","0.57")</f>
        <v>0.57</v>
      </c>
      <c r="BA72" t="s">
        <v>278</v>
      </c>
      <c r="BB72" s="4" t="str">
        <f>HYPERLINK("http://exon.niaid.nih.gov/transcriptome/O_coriaceus/Sup2/links/CDD/OC-23-CDD.txt","TSGP1")</f>
        <v>TSGP1</v>
      </c>
      <c r="BC72" t="str">
        <f>HYPERLINK("http://www.ncbi.nlm.nih.gov/Structure/cdd/cddsrv.cgi?uid=pfam07771&amp;version=v4.0","0.26")</f>
        <v>0.26</v>
      </c>
      <c r="BD72" t="s">
        <v>347</v>
      </c>
      <c r="BE72" s="4" t="str">
        <f>HYPERLINK("http://exon.niaid.nih.gov/transcriptome/O_coriaceus/Sup2/links/PFAM/OC-23-PFAM.txt","TSGP1")</f>
        <v>TSGP1</v>
      </c>
      <c r="BF72" t="str">
        <f>HYPERLINK("http://pfam.janelia.org/cgi-bin/getdesc?acc=PF07771","0.080")</f>
        <v>0.080</v>
      </c>
      <c r="BG72" s="4" t="s">
        <v>196</v>
      </c>
      <c r="BH72" t="s">
        <v>196</v>
      </c>
      <c r="BI72" s="2">
        <f>HYPERLINK("http://exon.niaid.nih.gov/transcriptome/O_coriaceus/Sup2/links/cluster/o-cori-COMP35-50-Sim-CLU2.txt",2)</f>
        <v>2</v>
      </c>
      <c r="BJ72" s="1">
        <f>HYPERLINK("http://exon.niaid.nih.gov/transcriptome/O_coriaceus/Sup2/links/cluster/o-cori-COMP35-50-Sim-CLTL2.txt",6)</f>
        <v>6</v>
      </c>
      <c r="BK72" s="2">
        <f>HYPERLINK("http://exon.niaid.nih.gov/transcriptome/O_coriaceus/Sup2/links/cluster/o-cori-COMP45-50-Sim-CLU4.txt",4)</f>
        <v>4</v>
      </c>
      <c r="BL72" s="1">
        <f>HYPERLINK("http://exon.niaid.nih.gov/transcriptome/O_coriaceus/Sup2/links/cluster/o-cori-COMP45-50-Sim-CLTL4.txt",4)</f>
        <v>4</v>
      </c>
      <c r="BM72" s="2">
        <f>HYPERLINK("http://exon.niaid.nih.gov/transcriptome/O_coriaceus/Sup2/links/cluster/o-cori-COMP55-50-Sim-CLU4.txt",4)</f>
        <v>4</v>
      </c>
      <c r="BN72" s="1">
        <f>HYPERLINK("http://exon.niaid.nih.gov/transcriptome/O_coriaceus/Sup2/links/cluster/o-cori-COMP55-50-Sim-CLTL4.txt",4)</f>
        <v>4</v>
      </c>
      <c r="BO72" s="2">
        <v>34</v>
      </c>
      <c r="BP72" s="1">
        <v>1</v>
      </c>
      <c r="BQ72" s="2">
        <v>33</v>
      </c>
      <c r="BR72" s="1">
        <v>1</v>
      </c>
      <c r="BS72" s="2">
        <v>34</v>
      </c>
      <c r="BT72" s="1">
        <v>1</v>
      </c>
      <c r="BU72" s="2">
        <v>30</v>
      </c>
      <c r="BV72" s="1">
        <v>1</v>
      </c>
    </row>
    <row r="73" spans="1:74" ht="10.5">
      <c r="A73" t="str">
        <f>HYPERLINK("http://exon.niaid.nih.gov/transcriptome/O_coriaceus/Sup2/links/pep/OC-517-pep.txt","OC-517")</f>
        <v>OC-517</v>
      </c>
      <c r="B73" s="1" t="s">
        <v>114</v>
      </c>
      <c r="C73">
        <v>189</v>
      </c>
      <c r="D73" t="s">
        <v>135</v>
      </c>
      <c r="E73" t="str">
        <f>HYPERLINK("http://exon.niaid.nih.gov/transcriptome/O_coriaceus/Sup2/links/nuc/OC-517-nuc.txt","OC-517")</f>
        <v>OC-517</v>
      </c>
      <c r="F73" s="1" t="s">
        <v>195</v>
      </c>
      <c r="G73" s="1" t="s">
        <v>194</v>
      </c>
      <c r="H73" s="5" t="str">
        <f>HYPERLINK("http://exon.niaid.nih.gov/transcriptome/O_coriaceus/Sup2/links/Sigp/OC-517-SigP.txt","SIG")</f>
        <v>SIG</v>
      </c>
      <c r="I73" t="s">
        <v>542</v>
      </c>
      <c r="J73" s="1">
        <v>21.363</v>
      </c>
      <c r="K73" s="1">
        <v>10.06</v>
      </c>
      <c r="L73" s="1">
        <v>19.32</v>
      </c>
      <c r="M73" s="1">
        <v>10.12</v>
      </c>
      <c r="N73" s="19" t="s">
        <v>57</v>
      </c>
      <c r="O73" s="5" t="str">
        <f>HYPERLINK("http://exon.niaid.nih.gov/transcriptome/O_coriaceus/Sup2/links/netoglyc/OC-517-netoglyc.txt","11")</f>
        <v>11</v>
      </c>
      <c r="P73" s="1">
        <v>11.6</v>
      </c>
      <c r="Q73" s="1">
        <v>11.6</v>
      </c>
      <c r="R73" s="1">
        <v>5.8</v>
      </c>
      <c r="S73" s="27" t="s">
        <v>641</v>
      </c>
      <c r="U73" s="4" t="str">
        <f>HYPERLINK("http://exon.niaid.nih.gov/transcriptome/O_coriaceus/Sup2/links/OCORI-EST/OC-517-OCORI-EST.txt","OCL-PLATE05_D04")</f>
        <v>OCL-PLATE05_D04</v>
      </c>
      <c r="V73" s="1">
        <v>0</v>
      </c>
      <c r="W73" s="5" t="str">
        <f>HYPERLINK("http://exon.niaid.nih.gov/transcriptome/O_coriaceus/Sup2/links/OCORI-EST/OC-517-OCORI-EST.txt"," 1")</f>
        <v> 1</v>
      </c>
      <c r="Y73" s="22" t="s">
        <v>196</v>
      </c>
      <c r="AC73" s="22" t="str">
        <f>HYPERLINK("http://exon.niaid.nih.gov/transcriptome/O_coriaceus/Sup2/links/OC-1D/OC-517-OC-1D.txt","P10_47 |P18_101 |P19_58 |P21_88 |P28_55 |S19_4 |S19_5 |S20_13 |S20_14 |S21_27 |S21_28 |S22_51 |S22_52 |S26_44 |")</f>
        <v>P10_47 |P18_101 |P19_58 |P21_88 |P28_55 |S19_4 |S19_5 |S20_13 |S20_14 |S21_27 |S21_28 |S22_51 |S22_52 |S26_44 |</v>
      </c>
      <c r="AD73" s="27" t="s">
        <v>603</v>
      </c>
      <c r="AE73" s="1">
        <v>2</v>
      </c>
      <c r="AF73" s="1">
        <v>28</v>
      </c>
      <c r="AG73" s="26">
        <f>100*AF73/C73</f>
        <v>14.814814814814815</v>
      </c>
      <c r="AH73" s="4" t="str">
        <f>HYPERLINK("http://exon.niaid.nih.gov/transcriptome/O_coriaceus/Sup2/links/NR/OC-517-NR.txt","BTSP")</f>
        <v>BTSP</v>
      </c>
      <c r="AI73" t="str">
        <f>HYPERLINK("http://www.ncbi.nlm.nih.gov/sutils/blink.cgi?pid=114152946","5E-009")</f>
        <v>5E-009</v>
      </c>
      <c r="AJ73" t="s">
        <v>444</v>
      </c>
      <c r="AK73">
        <v>40</v>
      </c>
      <c r="AL73">
        <v>57</v>
      </c>
      <c r="AM73">
        <v>5</v>
      </c>
      <c r="AN73" t="s">
        <v>294</v>
      </c>
      <c r="AO73">
        <v>5</v>
      </c>
      <c r="AP73">
        <v>7</v>
      </c>
      <c r="AQ73">
        <v>1</v>
      </c>
      <c r="AR73" s="4" t="s">
        <v>445</v>
      </c>
      <c r="AS73">
        <f>HYPERLINK("http://exon.niaid.nih.gov/transcriptome/O_coriaceus/Sup2/links/GO/OC-517-GO.txt",0.002)</f>
        <v>0.002</v>
      </c>
      <c r="AT73" t="s">
        <v>196</v>
      </c>
      <c r="AU73" t="s">
        <v>196</v>
      </c>
      <c r="AV73" t="s">
        <v>196</v>
      </c>
      <c r="AW73" t="s">
        <v>196</v>
      </c>
      <c r="AX73" t="s">
        <v>196</v>
      </c>
      <c r="AY73" s="4" t="str">
        <f>HYPERLINK("http://exon.niaid.nih.gov/transcriptome/O_coriaceus/Sup2/links/KOG/OC-517-KOG.txt","Chromatin assembly factor-I")</f>
        <v>Chromatin assembly factor-I</v>
      </c>
      <c r="AZ73" t="str">
        <f>HYPERLINK("http://www.ncbi.nlm.nih.gov/COG/grace/shokog.cgi?KOG4364","8E-004")</f>
        <v>8E-004</v>
      </c>
      <c r="BA73" t="s">
        <v>446</v>
      </c>
      <c r="BB73" s="4" t="str">
        <f>HYPERLINK("http://exon.niaid.nih.gov/transcriptome/O_coriaceus/Sup2/links/CDD/OC-517-CDD.txt","TT_ORF1")</f>
        <v>TT_ORF1</v>
      </c>
      <c r="BC73" t="str">
        <f>HYPERLINK("http://www.ncbi.nlm.nih.gov/Structure/cdd/cddsrv.cgi?uid=pfam02956&amp;version=v4.0","1E-004")</f>
        <v>1E-004</v>
      </c>
      <c r="BD73" t="s">
        <v>447</v>
      </c>
      <c r="BE73" s="4" t="str">
        <f>HYPERLINK("http://exon.niaid.nih.gov/transcriptome/O_coriaceus/Sup2/links/PFAM/OC-517-PFAM.txt","TT_ORF1")</f>
        <v>TT_ORF1</v>
      </c>
      <c r="BF73" t="str">
        <f>HYPERLINK("http://pfam.janelia.org/cgi-bin/getdesc?acc=PF02956","3E-005")</f>
        <v>3E-005</v>
      </c>
      <c r="BG73" s="4" t="str">
        <f>HYPERLINK("http://exon.niaid.nih.gov/transcriptome/O_coriaceus/Sup2/links/SMART/OC-517-SMART.txt","FH2")</f>
        <v>FH2</v>
      </c>
      <c r="BH73" t="str">
        <f>HYPERLINK("http://smart.embl-heidelberg.de/smart/do_annotation.pl?DOMAIN=FH2&amp;BLAST=DUMMY","0.065")</f>
        <v>0.065</v>
      </c>
      <c r="BI73" s="2">
        <f>HYPERLINK("http://exon.niaid.nih.gov/transcriptome/O_coriaceus/Sup2/links/cluster/o-cori-COMP35-50-Sim-CLU11.txt",11)</f>
        <v>11</v>
      </c>
      <c r="BJ73" s="1">
        <f>HYPERLINK("http://exon.niaid.nih.gov/transcriptome/O_coriaceus/Sup2/links/cluster/o-cori-COMP35-50-Sim-CLTL11.txt",2)</f>
        <v>2</v>
      </c>
      <c r="BK73" s="2">
        <f>HYPERLINK("http://exon.niaid.nih.gov/transcriptome/O_coriaceus/Sup2/links/cluster/o-cori-COMP45-50-Sim-CLU9.txt",9)</f>
        <v>9</v>
      </c>
      <c r="BL73" s="1">
        <f>HYPERLINK("http://exon.niaid.nih.gov/transcriptome/O_coriaceus/Sup2/links/cluster/o-cori-COMP45-50-Sim-CLTL9.txt",2)</f>
        <v>2</v>
      </c>
      <c r="BM73" s="2">
        <v>54</v>
      </c>
      <c r="BN73" s="1">
        <v>1</v>
      </c>
      <c r="BO73" s="2">
        <v>57</v>
      </c>
      <c r="BP73" s="1">
        <v>1</v>
      </c>
      <c r="BQ73" s="2">
        <v>58</v>
      </c>
      <c r="BR73" s="1">
        <v>1</v>
      </c>
      <c r="BS73" s="2">
        <v>61</v>
      </c>
      <c r="BT73" s="1">
        <v>1</v>
      </c>
      <c r="BU73" s="2">
        <v>67</v>
      </c>
      <c r="BV73" s="1">
        <v>1</v>
      </c>
    </row>
    <row r="74" spans="1:74" ht="10.5">
      <c r="A74" t="str">
        <f>HYPERLINK("http://exon.niaid.nih.gov/transcriptome/O_coriaceus/Sup2/links/pep/OC-133-pep.txt","OC-133")</f>
        <v>OC-133</v>
      </c>
      <c r="B74" s="1" t="s">
        <v>114</v>
      </c>
      <c r="C74">
        <v>106</v>
      </c>
      <c r="D74" t="s">
        <v>124</v>
      </c>
      <c r="E74" t="str">
        <f>HYPERLINK("http://exon.niaid.nih.gov/transcriptome/O_coriaceus/Sup2/links/nuc/OC-133-nuc.txt","OC-133")</f>
        <v>OC-133</v>
      </c>
      <c r="F74" s="1" t="s">
        <v>195</v>
      </c>
      <c r="G74" s="1" t="s">
        <v>194</v>
      </c>
      <c r="H74" s="5" t="str">
        <f>HYPERLINK("http://exon.niaid.nih.gov/transcriptome/O_coriaceus/Sup2/links/Sigp/OC-133-SigP.txt","SIG")</f>
        <v>SIG</v>
      </c>
      <c r="I74" t="s">
        <v>539</v>
      </c>
      <c r="J74" s="1">
        <v>12.117</v>
      </c>
      <c r="K74" s="1">
        <v>6.88</v>
      </c>
      <c r="L74" s="1">
        <v>10.205</v>
      </c>
      <c r="M74" s="1">
        <v>7.75</v>
      </c>
      <c r="N74" s="19" t="s">
        <v>58</v>
      </c>
      <c r="O74" s="5" t="str">
        <f>HYPERLINK("http://exon.niaid.nih.gov/transcriptome/O_coriaceus/Sup2/links/netoglyc/OC-133-netoglyc.txt","0")</f>
        <v>0</v>
      </c>
      <c r="P74" s="1">
        <v>6.6</v>
      </c>
      <c r="Q74" s="1">
        <v>7.5</v>
      </c>
      <c r="R74" s="1">
        <v>7.5</v>
      </c>
      <c r="S74" s="27" t="s">
        <v>642</v>
      </c>
      <c r="U74" s="4" t="str">
        <f>HYPERLINK("http://exon.niaid.nih.gov/transcriptome/O_coriaceus/Sup2/links/OCORI-EST/OC-133-OCORI-EST.txt","OCL-PLATE03_H12")</f>
        <v>OCL-PLATE03_H12</v>
      </c>
      <c r="V74" s="1">
        <v>0</v>
      </c>
      <c r="W74" s="5" t="str">
        <f>HYPERLINK("http://exon.niaid.nih.gov/transcriptome/O_coriaceus/Sup2/links/OCORI-EST/OC-133-OCORI-EST.txt"," 4")</f>
        <v> 4</v>
      </c>
      <c r="Y74" s="22" t="s">
        <v>196</v>
      </c>
      <c r="AC74" s="22" t="str">
        <f>HYPERLINK("http://exon.niaid.nih.gov/transcriptome/O_coriaceus/Sup2/links/OC-1D/OC-133-OC-1D.txt","P25_92 |P26_15 |P26_16 |P27_6 |P27_7 |P27_8 |P27_9 |P28_11 |P28_12 |P30_18 |S26_30 |S26_31 |S27_36 |")</f>
        <v>P25_92 |P26_15 |P26_16 |P27_6 |P27_7 |P27_8 |P27_9 |P28_11 |P28_12 |P30_18 |S26_30 |S26_31 |S27_36 |</v>
      </c>
      <c r="AD74" s="27" t="s">
        <v>604</v>
      </c>
      <c r="AE74" s="1">
        <v>4</v>
      </c>
      <c r="AF74" s="1">
        <v>71</v>
      </c>
      <c r="AG74" s="26">
        <f>100*AF74/C74</f>
        <v>66.98113207547169</v>
      </c>
      <c r="AH74" s="4" t="str">
        <f>HYPERLINK("http://exon.niaid.nih.gov/transcriptome/O_coriaceus/Sup2/links/NR/OC-133-NR.txt","putative salivary secreted protein")</f>
        <v>putative salivary secreted protein</v>
      </c>
      <c r="AI74" t="str">
        <f>HYPERLINK("http://www.ncbi.nlm.nih.gov/sutils/blink.cgi?pid=149287018","2E-020")</f>
        <v>2E-020</v>
      </c>
      <c r="AJ74" t="s">
        <v>310</v>
      </c>
      <c r="AK74">
        <v>60</v>
      </c>
      <c r="AL74">
        <v>78</v>
      </c>
      <c r="AM74">
        <v>21</v>
      </c>
      <c r="AN74" t="s">
        <v>230</v>
      </c>
      <c r="AO74">
        <v>20</v>
      </c>
      <c r="AP74">
        <v>19</v>
      </c>
      <c r="AQ74">
        <v>1</v>
      </c>
      <c r="AR74" s="4" t="s">
        <v>196</v>
      </c>
      <c r="AS74" t="s">
        <v>196</v>
      </c>
      <c r="AT74" t="s">
        <v>196</v>
      </c>
      <c r="AU74" t="s">
        <v>196</v>
      </c>
      <c r="AV74" t="s">
        <v>196</v>
      </c>
      <c r="AW74" t="s">
        <v>196</v>
      </c>
      <c r="AX74" t="s">
        <v>196</v>
      </c>
      <c r="AY74" s="4" t="str">
        <f>HYPERLINK("http://exon.niaid.nih.gov/transcriptome/O_coriaceus/Sup2/links/KOG/OC-133-KOG.txt","Mitochondrial ribosomal protein S27")</f>
        <v>Mitochondrial ribosomal protein S27</v>
      </c>
      <c r="AZ74" t="str">
        <f>HYPERLINK("http://www.ncbi.nlm.nih.gov/COG/grace/shokog.cgi?KOG4844","0.29")</f>
        <v>0.29</v>
      </c>
      <c r="BA74" t="s">
        <v>276</v>
      </c>
      <c r="BB74" s="4" t="str">
        <f>HYPERLINK("http://exon.niaid.nih.gov/transcriptome/O_coriaceus/Sup2/links/CDD/OC-133-CDD.txt","PRK05939")</f>
        <v>PRK05939</v>
      </c>
      <c r="BC74" t="str">
        <f>HYPERLINK("http://www.ncbi.nlm.nih.gov/Structure/cdd/cddsrv.cgi?uid=PRK05939&amp;version=v4.0","0.26")</f>
        <v>0.26</v>
      </c>
      <c r="BD74" t="s">
        <v>311</v>
      </c>
      <c r="BE74" s="4" t="s">
        <v>196</v>
      </c>
      <c r="BF74" t="s">
        <v>196</v>
      </c>
      <c r="BG74" s="4" t="str">
        <f>HYPERLINK("http://exon.niaid.nih.gov/transcriptome/O_coriaceus/Sup2/links/SMART/OC-133-SMART.txt","PXA")</f>
        <v>PXA</v>
      </c>
      <c r="BH74" t="str">
        <f>HYPERLINK("http://smart.embl-heidelberg.de/smart/do_annotation.pl?DOMAIN=PXA&amp;BLAST=DUMMY","0.90")</f>
        <v>0.90</v>
      </c>
      <c r="BI74" s="2">
        <v>23</v>
      </c>
      <c r="BJ74" s="1">
        <v>1</v>
      </c>
      <c r="BK74" s="2">
        <v>25</v>
      </c>
      <c r="BL74" s="1">
        <v>1</v>
      </c>
      <c r="BM74" s="2">
        <v>24</v>
      </c>
      <c r="BN74" s="1">
        <v>1</v>
      </c>
      <c r="BO74" s="2">
        <v>26</v>
      </c>
      <c r="BP74" s="1">
        <v>1</v>
      </c>
      <c r="BQ74" s="2">
        <v>23</v>
      </c>
      <c r="BR74" s="1">
        <v>1</v>
      </c>
      <c r="BS74" s="2">
        <v>23</v>
      </c>
      <c r="BT74" s="1">
        <v>1</v>
      </c>
      <c r="BU74" s="2">
        <v>16</v>
      </c>
      <c r="BV74" s="1">
        <v>1</v>
      </c>
    </row>
    <row r="75" spans="1:33" s="6" customFormat="1" ht="10.5">
      <c r="A75" s="12" t="s">
        <v>260</v>
      </c>
      <c r="H75" s="11"/>
      <c r="N75" s="18" t="s">
        <v>196</v>
      </c>
      <c r="O75" s="11"/>
      <c r="P75" s="11"/>
      <c r="Q75" s="11"/>
      <c r="R75" s="11"/>
      <c r="S75" s="18" t="s">
        <v>196</v>
      </c>
      <c r="W75" s="11"/>
      <c r="X75" s="18"/>
      <c r="Y75" s="21" t="s">
        <v>196</v>
      </c>
      <c r="Z75" s="18"/>
      <c r="AA75" s="11"/>
      <c r="AB75" s="11"/>
      <c r="AC75" s="21" t="s">
        <v>196</v>
      </c>
      <c r="AD75" s="18"/>
      <c r="AE75" s="11"/>
      <c r="AF75" s="11"/>
      <c r="AG75" s="25" t="s">
        <v>196</v>
      </c>
    </row>
    <row r="76" spans="1:74" ht="10.5">
      <c r="A76" t="str">
        <f>HYPERLINK("http://exon.niaid.nih.gov/transcriptome/O_coriaceus/Sup2/links/pep/OC-574-pep.txt","OC-574")</f>
        <v>OC-574</v>
      </c>
      <c r="B76" s="1" t="s">
        <v>132</v>
      </c>
      <c r="C76">
        <v>163</v>
      </c>
      <c r="D76" t="s">
        <v>177</v>
      </c>
      <c r="E76" t="str">
        <f>HYPERLINK("http://exon.niaid.nih.gov/transcriptome/O_coriaceus/Sup2/links/nuc/OC-574-nuc.txt","OC-574")</f>
        <v>OC-574</v>
      </c>
      <c r="F76" s="1" t="s">
        <v>196</v>
      </c>
      <c r="G76" s="1" t="s">
        <v>194</v>
      </c>
      <c r="H76" s="5" t="str">
        <f>HYPERLINK("http://exon.niaid.nih.gov/transcriptome/O_coriaceus/Sup2/links/Sigp/OC-574-SigP.txt","CYT")</f>
        <v>CYT</v>
      </c>
      <c r="I76" t="s">
        <v>196</v>
      </c>
      <c r="J76" s="1">
        <v>18.461</v>
      </c>
      <c r="K76" s="1">
        <v>9.3</v>
      </c>
      <c r="N76" s="19" t="s">
        <v>59</v>
      </c>
      <c r="O76" s="5" t="str">
        <f>HYPERLINK("http://exon.niaid.nih.gov/transcriptome/O_coriaceus/Sup2/links/netoglyc/OC-574-netoglyc.txt","0")</f>
        <v>0</v>
      </c>
      <c r="P76" s="1">
        <v>12.3</v>
      </c>
      <c r="Q76" s="1">
        <v>7.4</v>
      </c>
      <c r="R76" s="1">
        <v>3.1</v>
      </c>
      <c r="S76" s="27" t="s">
        <v>643</v>
      </c>
      <c r="U76" s="4" t="str">
        <f>HYPERLINK("http://exon.niaid.nih.gov/transcriptome/O_coriaceus/Sup2/links/OCORI-EST/OC-574-OCORI-EST.txt","OCL_PLATE1_H07")</f>
        <v>OCL_PLATE1_H07</v>
      </c>
      <c r="V76" s="1">
        <v>0</v>
      </c>
      <c r="W76" s="5" t="str">
        <f>HYPERLINK("http://exon.niaid.nih.gov/transcriptome/O_coriaceus/Sup2/links/OCORI-EST/OC-574-OCORI-EST.txt"," 1")</f>
        <v> 1</v>
      </c>
      <c r="Y76" s="22" t="s">
        <v>196</v>
      </c>
      <c r="AC76" s="22" t="str">
        <f>HYPERLINK("http://exon.niaid.nih.gov/transcriptome/O_coriaceus/Sup2/links/OC-1D/OC-574-OC-1D.txt","P15_60 |P16_15 |P19_44 |P19_45 |P19_46 |S20_44 |")</f>
        <v>P15_60 |P16_15 |P19_44 |P19_45 |P19_46 |S20_44 |</v>
      </c>
      <c r="AD76" s="27" t="s">
        <v>605</v>
      </c>
      <c r="AE76" s="1">
        <v>3</v>
      </c>
      <c r="AF76" s="1">
        <v>33</v>
      </c>
      <c r="AG76" s="26">
        <f>100*AF76/C76</f>
        <v>20.245398773006134</v>
      </c>
      <c r="AH76" s="4" t="str">
        <f>HYPERLINK("http://exon.niaid.nih.gov/transcriptome/O_coriaceus/Sup2/links/NR/OC-574-NR.txt","putative salivary secreted protein")</f>
        <v>putative salivary secreted protein</v>
      </c>
      <c r="AI76" t="str">
        <f>HYPERLINK("http://www.ncbi.nlm.nih.gov/sutils/blink.cgi?pid=67083291","2E-004")</f>
        <v>2E-004</v>
      </c>
      <c r="AJ76" t="s">
        <v>466</v>
      </c>
      <c r="AK76">
        <v>23</v>
      </c>
      <c r="AL76">
        <v>70</v>
      </c>
      <c r="AM76">
        <v>63</v>
      </c>
      <c r="AN76" t="s">
        <v>300</v>
      </c>
      <c r="AO76">
        <v>64</v>
      </c>
      <c r="AP76">
        <v>2</v>
      </c>
      <c r="AQ76">
        <v>1</v>
      </c>
      <c r="AR76" s="4" t="s">
        <v>196</v>
      </c>
      <c r="AS76" t="s">
        <v>196</v>
      </c>
      <c r="AT76" t="s">
        <v>196</v>
      </c>
      <c r="AU76" t="s">
        <v>196</v>
      </c>
      <c r="AV76" t="s">
        <v>196</v>
      </c>
      <c r="AW76" t="s">
        <v>196</v>
      </c>
      <c r="AX76" t="s">
        <v>196</v>
      </c>
      <c r="AY76" s="4" t="s">
        <v>196</v>
      </c>
      <c r="AZ76" t="s">
        <v>196</v>
      </c>
      <c r="BA76" t="s">
        <v>196</v>
      </c>
      <c r="BB76" s="4" t="s">
        <v>196</v>
      </c>
      <c r="BC76" t="s">
        <v>196</v>
      </c>
      <c r="BD76" t="s">
        <v>196</v>
      </c>
      <c r="BE76" s="4" t="s">
        <v>196</v>
      </c>
      <c r="BF76" t="s">
        <v>196</v>
      </c>
      <c r="BG76" s="4" t="str">
        <f>HYPERLINK("http://exon.niaid.nih.gov/transcriptome/O_coriaceus/Sup2/links/SMART/OC-574-SMART.txt","Galanin")</f>
        <v>Galanin</v>
      </c>
      <c r="BH76" t="str">
        <f>HYPERLINK("http://smart.embl-heidelberg.de/smart/do_annotation.pl?DOMAIN=Galanin&amp;BLAST=DUMMY","0.99")</f>
        <v>0.99</v>
      </c>
      <c r="BI76" s="2">
        <v>56</v>
      </c>
      <c r="BJ76" s="1">
        <v>1</v>
      </c>
      <c r="BK76" s="2">
        <v>59</v>
      </c>
      <c r="BL76" s="1">
        <v>1</v>
      </c>
      <c r="BM76" s="2">
        <v>59</v>
      </c>
      <c r="BN76" s="1">
        <v>1</v>
      </c>
      <c r="BO76" s="2">
        <v>62</v>
      </c>
      <c r="BP76" s="1">
        <v>1</v>
      </c>
      <c r="BQ76" s="2">
        <v>67</v>
      </c>
      <c r="BR76" s="1">
        <v>1</v>
      </c>
      <c r="BS76" s="2">
        <v>70</v>
      </c>
      <c r="BT76" s="1">
        <v>1</v>
      </c>
      <c r="BU76" s="2">
        <v>76</v>
      </c>
      <c r="BV76" s="1">
        <v>1</v>
      </c>
    </row>
    <row r="77" spans="1:33" s="6" customFormat="1" ht="10.5">
      <c r="A77" s="12" t="s">
        <v>563</v>
      </c>
      <c r="H77" s="11"/>
      <c r="N77" s="18" t="s">
        <v>196</v>
      </c>
      <c r="O77" s="11"/>
      <c r="P77" s="11"/>
      <c r="Q77" s="11"/>
      <c r="R77" s="11"/>
      <c r="S77" s="18" t="s">
        <v>196</v>
      </c>
      <c r="W77" s="11"/>
      <c r="X77" s="18"/>
      <c r="Y77" s="21" t="s">
        <v>196</v>
      </c>
      <c r="Z77" s="18"/>
      <c r="AA77" s="11"/>
      <c r="AB77" s="11"/>
      <c r="AC77" s="21" t="s">
        <v>196</v>
      </c>
      <c r="AD77" s="18"/>
      <c r="AE77" s="11"/>
      <c r="AF77" s="11"/>
      <c r="AG77" s="25" t="s">
        <v>196</v>
      </c>
    </row>
    <row r="78" spans="1:74" ht="10.5">
      <c r="A78" t="str">
        <f>HYPERLINK("http://exon.niaid.nih.gov/transcriptome/O_coriaceus/Sup2/links/pep/OC-130-pep.txt","OC-130")</f>
        <v>OC-130</v>
      </c>
      <c r="B78" s="1" t="s">
        <v>114</v>
      </c>
      <c r="C78">
        <v>151</v>
      </c>
      <c r="D78" t="s">
        <v>125</v>
      </c>
      <c r="E78" t="str">
        <f>HYPERLINK("http://exon.niaid.nih.gov/transcriptome/O_coriaceus/Sup2/links/nuc/OC-130-nuc.txt","OC-130")</f>
        <v>OC-130</v>
      </c>
      <c r="F78" s="1" t="s">
        <v>195</v>
      </c>
      <c r="G78" s="1" t="s">
        <v>194</v>
      </c>
      <c r="H78" s="5" t="str">
        <f>HYPERLINK("http://exon.niaid.nih.gov/transcriptome/O_coriaceus/Sup2/links/Sigp/OC-130-SigP.txt","SIG")</f>
        <v>SIG</v>
      </c>
      <c r="I78" t="s">
        <v>545</v>
      </c>
      <c r="J78" s="1">
        <v>15.591</v>
      </c>
      <c r="K78" s="1">
        <v>6.82</v>
      </c>
      <c r="L78" s="1">
        <v>13.711</v>
      </c>
      <c r="M78" s="1">
        <v>6.94</v>
      </c>
      <c r="N78" s="19" t="s">
        <v>60</v>
      </c>
      <c r="O78" s="5" t="str">
        <f>HYPERLINK("http://exon.niaid.nih.gov/transcriptome/O_coriaceus/Sup2/links/netoglyc/OC-130-netoglyc.txt","0")</f>
        <v>0</v>
      </c>
      <c r="P78" s="1">
        <v>14.6</v>
      </c>
      <c r="Q78" s="1">
        <v>22.5</v>
      </c>
      <c r="R78" s="1">
        <v>4</v>
      </c>
      <c r="S78" s="27" t="s">
        <v>196</v>
      </c>
      <c r="U78" s="4" t="str">
        <f>HYPERLINK("http://exon.niaid.nih.gov/transcriptome/O_coriaceus/Sup2/links/OCORI-EST/OC-130-OCORI-EST.txt","OCL-PLATE03_B11")</f>
        <v>OCL-PLATE03_B11</v>
      </c>
      <c r="V78" s="1">
        <v>0</v>
      </c>
      <c r="W78" s="5" t="str">
        <f>HYPERLINK("http://exon.niaid.nih.gov/transcriptome/O_coriaceus/Sup2/links/OCORI-EST/OC-130-OCORI-EST.txt"," 1")</f>
        <v> 1</v>
      </c>
      <c r="Y78" s="22" t="s">
        <v>196</v>
      </c>
      <c r="AC78" s="22" t="str">
        <f>HYPERLINK("http://exon.niaid.nih.gov/transcriptome/O_coriaceus/Sup2/links/OC-1D/OC-130-OC-1D.txt","P25_24 |P25_25 |P26_22 |P26_23 |S26_37 |")</f>
        <v>P25_24 |P25_25 |P26_22 |P26_23 |S26_37 |</v>
      </c>
      <c r="AD78" s="27" t="s">
        <v>606</v>
      </c>
      <c r="AE78" s="1">
        <v>2</v>
      </c>
      <c r="AF78" s="1">
        <v>41</v>
      </c>
      <c r="AG78" s="26">
        <f>100*AF78/C78</f>
        <v>27.1523178807947</v>
      </c>
      <c r="AH78" s="4" t="str">
        <f>HYPERLINK("http://exon.niaid.nih.gov/transcriptome/O_coriaceus/Sup2/links/NR/OC-130-NR.txt","putative secreted glycine rich salivary protein")</f>
        <v>putative secreted glycine rich salivary protein</v>
      </c>
      <c r="AI78" t="str">
        <f>HYPERLINK("http://www.ncbi.nlm.nih.gov/sutils/blink.cgi?pid=67083228","7E-020")</f>
        <v>7E-020</v>
      </c>
      <c r="AJ78" t="s">
        <v>299</v>
      </c>
      <c r="AK78">
        <v>54</v>
      </c>
      <c r="AL78">
        <v>81</v>
      </c>
      <c r="AM78">
        <v>15</v>
      </c>
      <c r="AN78" t="s">
        <v>300</v>
      </c>
      <c r="AO78">
        <v>1</v>
      </c>
      <c r="AP78">
        <v>8</v>
      </c>
      <c r="AQ78">
        <v>1</v>
      </c>
      <c r="AR78" s="4" t="s">
        <v>196</v>
      </c>
      <c r="AS78" t="s">
        <v>196</v>
      </c>
      <c r="AT78" t="s">
        <v>196</v>
      </c>
      <c r="AU78" t="s">
        <v>196</v>
      </c>
      <c r="AV78" t="s">
        <v>196</v>
      </c>
      <c r="AW78" t="s">
        <v>196</v>
      </c>
      <c r="AX78" t="s">
        <v>196</v>
      </c>
      <c r="AY78" s="4" t="str">
        <f>HYPERLINK("http://exon.niaid.nih.gov/transcriptome/O_coriaceus/Sup2/links/KOG/OC-130-KOG.txt","Dosage compensation complex, subunit MLE")</f>
        <v>Dosage compensation complex, subunit MLE</v>
      </c>
      <c r="AZ78" t="str">
        <f>HYPERLINK("http://www.ncbi.nlm.nih.gov/COG/grace/shokog.cgi?KOG0921","8E-004")</f>
        <v>8E-004</v>
      </c>
      <c r="BA78" t="s">
        <v>301</v>
      </c>
      <c r="BB78" s="4" t="str">
        <f>HYPERLINK("http://exon.niaid.nih.gov/transcriptome/O_coriaceus/Sup2/links/CDD/OC-130-CDD.txt","eIF-4B")</f>
        <v>eIF-4B</v>
      </c>
      <c r="BC78" t="str">
        <f>HYPERLINK("http://www.ncbi.nlm.nih.gov/Structure/cdd/cddsrv.cgi?uid=pfam06273&amp;version=v4.0","0.019")</f>
        <v>0.019</v>
      </c>
      <c r="BD78" t="s">
        <v>302</v>
      </c>
      <c r="BE78" s="4" t="str">
        <f>HYPERLINK("http://exon.niaid.nih.gov/transcriptome/O_coriaceus/Sup2/links/PFAM/OC-130-PFAM.txt","eIF-4B")</f>
        <v>eIF-4B</v>
      </c>
      <c r="BF78" t="str">
        <f>HYPERLINK("http://pfam.janelia.org/cgi-bin/getdesc?acc=PF06273","0.006")</f>
        <v>0.006</v>
      </c>
      <c r="BG78" s="4" t="str">
        <f>HYPERLINK("http://exon.niaid.nih.gov/transcriptome/O_coriaceus/Sup2/links/SMART/OC-130-SMART.txt","PRP")</f>
        <v>PRP</v>
      </c>
      <c r="BH78" t="str">
        <f>HYPERLINK("http://smart.embl-heidelberg.de/smart/do_annotation.pl?DOMAIN=PRP&amp;BLAST=DUMMY","0.028")</f>
        <v>0.028</v>
      </c>
      <c r="BI78" s="2">
        <v>21</v>
      </c>
      <c r="BJ78" s="1">
        <v>1</v>
      </c>
      <c r="BK78" s="2">
        <v>23</v>
      </c>
      <c r="BL78" s="1">
        <v>1</v>
      </c>
      <c r="BM78" s="2">
        <v>22</v>
      </c>
      <c r="BN78" s="1">
        <v>1</v>
      </c>
      <c r="BO78" s="2">
        <v>24</v>
      </c>
      <c r="BP78" s="1">
        <v>1</v>
      </c>
      <c r="BQ78" s="2">
        <v>21</v>
      </c>
      <c r="BR78" s="1">
        <v>1</v>
      </c>
      <c r="BS78" s="2">
        <v>21</v>
      </c>
      <c r="BT78" s="1">
        <v>1</v>
      </c>
      <c r="BU78" s="2">
        <v>14</v>
      </c>
      <c r="BV78" s="1">
        <v>1</v>
      </c>
    </row>
    <row r="79" spans="1:33" s="6" customFormat="1" ht="10.5">
      <c r="A79" s="12" t="s">
        <v>550</v>
      </c>
      <c r="H79" s="11"/>
      <c r="N79" s="18" t="s">
        <v>196</v>
      </c>
      <c r="O79" s="11"/>
      <c r="P79" s="11"/>
      <c r="Q79" s="11"/>
      <c r="R79" s="11"/>
      <c r="S79" s="18" t="s">
        <v>196</v>
      </c>
      <c r="W79" s="11"/>
      <c r="X79" s="18"/>
      <c r="Y79" s="21" t="s">
        <v>196</v>
      </c>
      <c r="Z79" s="18"/>
      <c r="AA79" s="11"/>
      <c r="AB79" s="11"/>
      <c r="AC79" s="21" t="s">
        <v>196</v>
      </c>
      <c r="AD79" s="18"/>
      <c r="AE79" s="11"/>
      <c r="AF79" s="11"/>
      <c r="AG79" s="25" t="s">
        <v>196</v>
      </c>
    </row>
    <row r="80" spans="1:74" ht="10.5">
      <c r="A80" t="str">
        <f>HYPERLINK("http://exon.niaid.nih.gov/transcriptome/O_coriaceus/Sup2/links/pep/OC-104-pep.txt","OC-104")</f>
        <v>OC-104</v>
      </c>
      <c r="B80" s="1" t="s">
        <v>114</v>
      </c>
      <c r="C80">
        <v>168</v>
      </c>
      <c r="D80" t="s">
        <v>120</v>
      </c>
      <c r="E80" t="str">
        <f>HYPERLINK("http://exon.niaid.nih.gov/transcriptome/O_coriaceus/Sup2/links/nuc/OC-104-nuc.txt","OC-104")</f>
        <v>OC-104</v>
      </c>
      <c r="F80" s="1" t="s">
        <v>195</v>
      </c>
      <c r="G80" s="1" t="s">
        <v>194</v>
      </c>
      <c r="H80" s="5" t="str">
        <f>HYPERLINK("http://exon.niaid.nih.gov/transcriptome/O_coriaceus/Sup2/links/Sigp/OC-104-SigP.txt","SIG")</f>
        <v>SIG</v>
      </c>
      <c r="I80" t="s">
        <v>542</v>
      </c>
      <c r="J80" s="1">
        <v>19.273</v>
      </c>
      <c r="K80" s="1">
        <v>8.48</v>
      </c>
      <c r="L80" s="1">
        <v>16.953</v>
      </c>
      <c r="M80" s="1">
        <v>8.54</v>
      </c>
      <c r="N80" s="19" t="s">
        <v>61</v>
      </c>
      <c r="O80" s="5" t="str">
        <f>HYPERLINK("http://exon.niaid.nih.gov/transcriptome/O_coriaceus/Sup2/links/netoglyc/OC-104-netoglyc.txt","0")</f>
        <v>0</v>
      </c>
      <c r="P80" s="1">
        <v>10.7</v>
      </c>
      <c r="Q80" s="1">
        <v>7.1</v>
      </c>
      <c r="R80" s="1">
        <v>5.4</v>
      </c>
      <c r="S80" s="27" t="s">
        <v>196</v>
      </c>
      <c r="U80" s="4" t="str">
        <f>HYPERLINK("http://exon.niaid.nih.gov/transcriptome/O_coriaceus/Sup2/links/OCORI-EST/OC-104-OCORI-EST.txt","OCL_PLATE1_E11")</f>
        <v>OCL_PLATE1_E11</v>
      </c>
      <c r="V80" s="1">
        <v>0</v>
      </c>
      <c r="W80" s="5" t="str">
        <f>HYPERLINK("http://exon.niaid.nih.gov/transcriptome/O_coriaceus/Sup2/links/OCORI-EST/OC-104-OCORI-EST.txt"," 3")</f>
        <v> 3</v>
      </c>
      <c r="Y80" s="22" t="str">
        <f>HYPERLINK("http://exon.niaid.nih.gov/transcriptome/O_coriaceus/Sup2/links/OC-2D/OC-104-OC-2D.txt","IF-41_12 |")</f>
        <v>IF-41_12 |</v>
      </c>
      <c r="AA80" s="1" t="s">
        <v>196</v>
      </c>
      <c r="AC80" s="22" t="str">
        <f>HYPERLINK("http://exon.niaid.nih.gov/transcriptome/O_coriaceus/Sup2/links/OC-1D/OC-104-OC-1D.txt","S23_87 |S24_87 |S25_61 |")</f>
        <v>S23_87 |S24_87 |S25_61 |</v>
      </c>
      <c r="AE80" s="1" t="s">
        <v>196</v>
      </c>
      <c r="AG80" s="26" t="s">
        <v>196</v>
      </c>
      <c r="AH80" s="4" t="str">
        <f>HYPERLINK("http://exon.niaid.nih.gov/transcriptome/O_coriaceus/Sup2/links/NR/OC-104-NR.txt","hypothetical salivary secreted protein")</f>
        <v>hypothetical salivary secreted protein</v>
      </c>
      <c r="AI80" t="str">
        <f>HYPERLINK("http://www.ncbi.nlm.nih.gov/sutils/blink.cgi?pid=149287080","1E-034")</f>
        <v>1E-034</v>
      </c>
      <c r="AJ80" t="s">
        <v>268</v>
      </c>
      <c r="AK80">
        <v>46</v>
      </c>
      <c r="AL80">
        <v>99</v>
      </c>
      <c r="AM80">
        <v>1</v>
      </c>
      <c r="AN80" t="s">
        <v>230</v>
      </c>
      <c r="AO80">
        <v>1</v>
      </c>
      <c r="AP80">
        <v>2</v>
      </c>
      <c r="AQ80">
        <v>1</v>
      </c>
      <c r="AR80" s="4" t="s">
        <v>196</v>
      </c>
      <c r="AS80" t="s">
        <v>196</v>
      </c>
      <c r="AT80" t="s">
        <v>196</v>
      </c>
      <c r="AU80" t="s">
        <v>196</v>
      </c>
      <c r="AV80" t="s">
        <v>196</v>
      </c>
      <c r="AW80" t="s">
        <v>196</v>
      </c>
      <c r="AX80" t="s">
        <v>196</v>
      </c>
      <c r="AY80" s="4" t="s">
        <v>196</v>
      </c>
      <c r="AZ80" t="s">
        <v>196</v>
      </c>
      <c r="BA80" t="s">
        <v>196</v>
      </c>
      <c r="BB80" s="4" t="s">
        <v>196</v>
      </c>
      <c r="BC80" t="s">
        <v>196</v>
      </c>
      <c r="BD80" t="s">
        <v>196</v>
      </c>
      <c r="BE80" s="4" t="s">
        <v>196</v>
      </c>
      <c r="BF80" t="s">
        <v>196</v>
      </c>
      <c r="BG80" s="4" t="str">
        <f>HYPERLINK("http://exon.niaid.nih.gov/transcriptome/O_coriaceus/Sup2/links/SMART/OC-104-SMART.txt","ACR")</f>
        <v>ACR</v>
      </c>
      <c r="BH80" t="str">
        <f>HYPERLINK("http://smart.embl-heidelberg.de/smart/do_annotation.pl?DOMAIN=ACR&amp;BLAST=DUMMY","0.44")</f>
        <v>0.44</v>
      </c>
      <c r="BI80" s="2">
        <f>HYPERLINK("http://exon.niaid.nih.gov/transcriptome/O_coriaceus/Sup2/links/cluster/o-cori-COMP35-50-Sim-CLU9.txt",9)</f>
        <v>9</v>
      </c>
      <c r="BJ80" s="1">
        <f>HYPERLINK("http://exon.niaid.nih.gov/transcriptome/O_coriaceus/Sup2/links/cluster/o-cori-COMP35-50-Sim-CLTL9.txt",2)</f>
        <v>2</v>
      </c>
      <c r="BK80" s="2">
        <v>15</v>
      </c>
      <c r="BL80" s="1">
        <v>1</v>
      </c>
      <c r="BM80" s="2">
        <v>14</v>
      </c>
      <c r="BN80" s="1">
        <v>1</v>
      </c>
      <c r="BO80" s="2">
        <v>16</v>
      </c>
      <c r="BP80" s="1">
        <v>1</v>
      </c>
      <c r="BQ80" s="2">
        <v>13</v>
      </c>
      <c r="BR80" s="1">
        <v>1</v>
      </c>
      <c r="BS80" s="2">
        <v>13</v>
      </c>
      <c r="BT80" s="1">
        <v>1</v>
      </c>
      <c r="BU80" s="2">
        <v>6</v>
      </c>
      <c r="BV80" s="1">
        <v>1</v>
      </c>
    </row>
    <row r="81" spans="1:74" ht="10.5">
      <c r="A81" t="str">
        <f>HYPERLINK("http://exon.niaid.nih.gov/transcriptome/O_coriaceus/Sup2/links/pep/OC-120-pep.txt","OC-120")</f>
        <v>OC-120</v>
      </c>
      <c r="B81" s="1" t="s">
        <v>114</v>
      </c>
      <c r="C81">
        <v>171</v>
      </c>
      <c r="D81" t="s">
        <v>120</v>
      </c>
      <c r="E81" t="str">
        <f>HYPERLINK("http://exon.niaid.nih.gov/transcriptome/O_coriaceus/Sup2/links/nuc/OC-120-nuc.txt","OC-120")</f>
        <v>OC-120</v>
      </c>
      <c r="F81" s="1" t="s">
        <v>195</v>
      </c>
      <c r="G81" s="1" t="s">
        <v>194</v>
      </c>
      <c r="H81" s="5" t="str">
        <f>HYPERLINK("http://exon.niaid.nih.gov/transcriptome/O_coriaceus/Sup2/links/Sigp/OC-120-SigP.txt","SIG")</f>
        <v>SIG</v>
      </c>
      <c r="I81" t="s">
        <v>544</v>
      </c>
      <c r="J81" s="1">
        <v>19.417</v>
      </c>
      <c r="K81" s="1">
        <v>8.18</v>
      </c>
      <c r="L81" s="1">
        <v>17.531</v>
      </c>
      <c r="M81" s="1">
        <v>8.21</v>
      </c>
      <c r="N81" s="19" t="s">
        <v>62</v>
      </c>
      <c r="O81" s="5" t="str">
        <f>HYPERLINK("http://exon.niaid.nih.gov/transcriptome/O_coriaceus/Sup2/links/netoglyc/OC-120-netoglyc.txt","0")</f>
        <v>0</v>
      </c>
      <c r="P81" s="1">
        <v>8.8</v>
      </c>
      <c r="Q81" s="1">
        <v>8.8</v>
      </c>
      <c r="R81" s="1">
        <v>5.8</v>
      </c>
      <c r="S81" s="27" t="s">
        <v>196</v>
      </c>
      <c r="U81" s="4" t="str">
        <f>HYPERLINK("http://exon.niaid.nih.gov/transcriptome/O_coriaceus/Sup2/links/OCORI-EST/OC-120-OCORI-EST.txt","OCL-PLATE04_D06")</f>
        <v>OCL-PLATE04_D06</v>
      </c>
      <c r="V81" s="1">
        <v>0</v>
      </c>
      <c r="W81" s="5" t="str">
        <f>HYPERLINK("http://exon.niaid.nih.gov/transcriptome/O_coriaceus/Sup2/links/OCORI-EST/OC-120-OCORI-EST.txt"," 2")</f>
        <v> 2</v>
      </c>
      <c r="Y81" s="22" t="s">
        <v>196</v>
      </c>
      <c r="AC81" s="22" t="str">
        <f>HYPERLINK("http://exon.niaid.nih.gov/transcriptome/O_coriaceus/Sup2/links/OC-1D/OC-120-OC-1D.txt","P09_58 |P10_41 |P20_32 |P22_109 |P23_46 |P23_47 |P24_33 |P24_34 |P26_30 |P26_31 |P27_47 |P28_48 |S12_34 |S20_41 |S22_81 |S23_47 |S23_48 |S24_88 |S25_62 |S26_40 |S27_50 |S28_33 |")</f>
        <v>P09_58 |P10_41 |P20_32 |P22_109 |P23_46 |P23_47 |P24_33 |P24_34 |P26_30 |P26_31 |P27_47 |P28_48 |S12_34 |S20_41 |S22_81 |S23_47 |S23_48 |S24_88 |S25_62 |S26_40 |S27_50 |S28_33 |</v>
      </c>
      <c r="AD81" s="27" t="s">
        <v>607</v>
      </c>
      <c r="AE81" s="1">
        <v>2</v>
      </c>
      <c r="AF81" s="1">
        <v>31</v>
      </c>
      <c r="AG81" s="26">
        <f>100*AF81/C81</f>
        <v>18.128654970760234</v>
      </c>
      <c r="AH81" s="4" t="str">
        <f>HYPERLINK("http://exon.niaid.nih.gov/transcriptome/O_coriaceus/Sup2/links/NR/OC-120-NR.txt","7DB family")</f>
        <v>7DB family</v>
      </c>
      <c r="AI81" t="str">
        <f>HYPERLINK("http://www.ncbi.nlm.nih.gov/sutils/blink.cgi?pid=114153172","8E-011")</f>
        <v>8E-011</v>
      </c>
      <c r="AJ81" t="s">
        <v>293</v>
      </c>
      <c r="AK81">
        <v>36</v>
      </c>
      <c r="AL81">
        <v>69</v>
      </c>
      <c r="AM81">
        <v>35</v>
      </c>
      <c r="AN81" t="s">
        <v>294</v>
      </c>
      <c r="AO81">
        <v>35</v>
      </c>
      <c r="AP81">
        <v>39</v>
      </c>
      <c r="AQ81">
        <v>1</v>
      </c>
      <c r="AR81" s="4" t="s">
        <v>196</v>
      </c>
      <c r="AS81" t="s">
        <v>196</v>
      </c>
      <c r="AT81" t="s">
        <v>196</v>
      </c>
      <c r="AU81" t="s">
        <v>196</v>
      </c>
      <c r="AV81" t="s">
        <v>196</v>
      </c>
      <c r="AW81" t="s">
        <v>196</v>
      </c>
      <c r="AX81" t="s">
        <v>196</v>
      </c>
      <c r="AY81" s="4" t="s">
        <v>196</v>
      </c>
      <c r="AZ81" t="s">
        <v>196</v>
      </c>
      <c r="BA81" t="s">
        <v>196</v>
      </c>
      <c r="BB81" s="4" t="s">
        <v>196</v>
      </c>
      <c r="BC81" t="s">
        <v>196</v>
      </c>
      <c r="BD81" t="s">
        <v>196</v>
      </c>
      <c r="BE81" s="4" t="s">
        <v>196</v>
      </c>
      <c r="BF81" t="s">
        <v>196</v>
      </c>
      <c r="BG81" s="4" t="s">
        <v>196</v>
      </c>
      <c r="BH81" t="s">
        <v>196</v>
      </c>
      <c r="BI81" s="2">
        <f>HYPERLINK("http://exon.niaid.nih.gov/transcriptome/O_coriaceus/Sup2/links/cluster/o-cori-COMP35-50-Sim-CLU9.txt",9)</f>
        <v>9</v>
      </c>
      <c r="BJ81" s="1">
        <f>HYPERLINK("http://exon.niaid.nih.gov/transcriptome/O_coriaceus/Sup2/links/cluster/o-cori-COMP35-50-Sim-CLTL9.txt",2)</f>
        <v>2</v>
      </c>
      <c r="BK81" s="2">
        <v>20</v>
      </c>
      <c r="BL81" s="1">
        <v>1</v>
      </c>
      <c r="BM81" s="2">
        <v>19</v>
      </c>
      <c r="BN81" s="1">
        <v>1</v>
      </c>
      <c r="BO81" s="2">
        <v>21</v>
      </c>
      <c r="BP81" s="1">
        <v>1</v>
      </c>
      <c r="BQ81" s="2">
        <v>18</v>
      </c>
      <c r="BR81" s="1">
        <v>1</v>
      </c>
      <c r="BS81" s="2">
        <v>18</v>
      </c>
      <c r="BT81" s="1">
        <v>1</v>
      </c>
      <c r="BU81" s="2">
        <v>11</v>
      </c>
      <c r="BV81" s="1">
        <v>1</v>
      </c>
    </row>
    <row r="82" spans="1:74" ht="10.5">
      <c r="A82" t="str">
        <f>HYPERLINK("http://exon.niaid.nih.gov/transcriptome/O_coriaceus/Sup2/links/pep/OC-106-pep.txt","OC-106")</f>
        <v>OC-106</v>
      </c>
      <c r="B82" s="1" t="s">
        <v>114</v>
      </c>
      <c r="C82">
        <v>154</v>
      </c>
      <c r="D82" t="s">
        <v>120</v>
      </c>
      <c r="E82" t="str">
        <f>HYPERLINK("http://exon.niaid.nih.gov/transcriptome/O_coriaceus/Sup2/links/nuc/OC-106-nuc.txt","OC-106")</f>
        <v>OC-106</v>
      </c>
      <c r="F82" s="1" t="s">
        <v>195</v>
      </c>
      <c r="G82" s="1" t="s">
        <v>194</v>
      </c>
      <c r="H82" s="5" t="str">
        <f>HYPERLINK("http://exon.niaid.nih.gov/transcriptome/O_coriaceus/Sup2/links/Sigp/OC-106-SigP.txt","SIG")</f>
        <v>SIG</v>
      </c>
      <c r="I82" t="s">
        <v>543</v>
      </c>
      <c r="J82" s="1">
        <v>17.656</v>
      </c>
      <c r="K82" s="1">
        <v>5.02</v>
      </c>
      <c r="L82" s="1">
        <v>14.943</v>
      </c>
      <c r="M82" s="1">
        <v>5.41</v>
      </c>
      <c r="N82" s="19" t="s">
        <v>63</v>
      </c>
      <c r="O82" s="5" t="str">
        <f>HYPERLINK("http://exon.niaid.nih.gov/transcriptome/O_coriaceus/Sup2/links/netoglyc/OC-106-netoglyc.txt","0")</f>
        <v>0</v>
      </c>
      <c r="P82" s="1">
        <v>11</v>
      </c>
      <c r="Q82" s="1">
        <v>6.5</v>
      </c>
      <c r="R82" s="1">
        <v>5.8</v>
      </c>
      <c r="S82" s="27" t="s">
        <v>196</v>
      </c>
      <c r="U82" s="4" t="str">
        <f>HYPERLINK("http://exon.niaid.nih.gov/transcriptome/O_coriaceus/Sup2/links/OCORI-EST/OC-106-OCORI-EST.txt","OCL-P13_B10")</f>
        <v>OCL-P13_B10</v>
      </c>
      <c r="V82" s="1">
        <v>0</v>
      </c>
      <c r="W82" s="5" t="str">
        <f>HYPERLINK("http://exon.niaid.nih.gov/transcriptome/O_coriaceus/Sup2/links/OCORI-EST/OC-106-OCORI-EST.txt"," 2")</f>
        <v> 2</v>
      </c>
      <c r="Y82" s="22" t="s">
        <v>196</v>
      </c>
      <c r="AC82" s="22" t="str">
        <f>HYPERLINK("http://exon.niaid.nih.gov/transcriptome/O_coriaceus/Sup2/links/OC-1D/OC-106-OC-1D.txt","P06_58 |P22_62 |P22_63 |P23_39 |P23_40 |P23_41 |S23_86 |")</f>
        <v>P06_58 |P22_62 |P22_63 |P23_39 |P23_40 |P23_41 |S23_86 |</v>
      </c>
      <c r="AD82" s="27" t="s">
        <v>608</v>
      </c>
      <c r="AE82" s="1">
        <v>3</v>
      </c>
      <c r="AF82" s="1">
        <v>43</v>
      </c>
      <c r="AG82" s="26">
        <f>100*AF82/C82</f>
        <v>27.92207792207792</v>
      </c>
      <c r="AH82" s="4" t="str">
        <f>HYPERLINK("http://exon.niaid.nih.gov/transcriptome/O_coriaceus/Sup2/links/NR/OC-106-NR.txt","hypothetical salivary secreted protein")</f>
        <v>hypothetical salivary secreted protein</v>
      </c>
      <c r="AI82" t="str">
        <f>HYPERLINK("http://www.ncbi.nlm.nih.gov/sutils/blink.cgi?pid=149287080","1E-011")</f>
        <v>1E-011</v>
      </c>
      <c r="AJ82" t="s">
        <v>268</v>
      </c>
      <c r="AK82">
        <v>36</v>
      </c>
      <c r="AL82">
        <v>61</v>
      </c>
      <c r="AM82">
        <v>36</v>
      </c>
      <c r="AN82" t="s">
        <v>230</v>
      </c>
      <c r="AO82">
        <v>36</v>
      </c>
      <c r="AP82">
        <v>44</v>
      </c>
      <c r="AQ82">
        <v>1</v>
      </c>
      <c r="AR82" s="4" t="s">
        <v>196</v>
      </c>
      <c r="AS82" t="s">
        <v>196</v>
      </c>
      <c r="AT82" t="s">
        <v>196</v>
      </c>
      <c r="AU82" t="s">
        <v>196</v>
      </c>
      <c r="AV82" t="s">
        <v>196</v>
      </c>
      <c r="AW82" t="s">
        <v>196</v>
      </c>
      <c r="AX82" t="s">
        <v>196</v>
      </c>
      <c r="AY82" s="4" t="str">
        <f>HYPERLINK("http://exon.niaid.nih.gov/transcriptome/O_coriaceus/Sup2/links/KOG/OC-106-KOG.txt","Glutamate-gated metabotropic ion channel receptor subunit GRM2 and related subunits, G-protein coupled receptor superfamily")</f>
        <v>Glutamate-gated metabotropic ion channel receptor subunit GRM2 and related subunits, G-protein coupled receptor superfamily</v>
      </c>
      <c r="AZ82" t="str">
        <f>HYPERLINK("http://www.ncbi.nlm.nih.gov/COG/grace/shokog.cgi?KOG1056","0.21")</f>
        <v>0.21</v>
      </c>
      <c r="BA82" t="s">
        <v>278</v>
      </c>
      <c r="BB82" s="4" t="s">
        <v>196</v>
      </c>
      <c r="BC82" t="s">
        <v>196</v>
      </c>
      <c r="BD82" t="s">
        <v>196</v>
      </c>
      <c r="BE82" s="4" t="s">
        <v>196</v>
      </c>
      <c r="BF82" t="s">
        <v>196</v>
      </c>
      <c r="BG82" s="4" t="s">
        <v>196</v>
      </c>
      <c r="BH82" t="s">
        <v>196</v>
      </c>
      <c r="BI82" s="2">
        <v>16</v>
      </c>
      <c r="BJ82" s="1">
        <v>1</v>
      </c>
      <c r="BK82" s="2">
        <v>17</v>
      </c>
      <c r="BL82" s="1">
        <v>1</v>
      </c>
      <c r="BM82" s="2">
        <v>16</v>
      </c>
      <c r="BN82" s="1">
        <v>1</v>
      </c>
      <c r="BO82" s="2">
        <v>18</v>
      </c>
      <c r="BP82" s="1">
        <v>1</v>
      </c>
      <c r="BQ82" s="2">
        <v>15</v>
      </c>
      <c r="BR82" s="1">
        <v>1</v>
      </c>
      <c r="BS82" s="2">
        <v>15</v>
      </c>
      <c r="BT82" s="1">
        <v>1</v>
      </c>
      <c r="BU82" s="2">
        <v>8</v>
      </c>
      <c r="BV82" s="1">
        <v>1</v>
      </c>
    </row>
    <row r="83" spans="1:33" s="6" customFormat="1" ht="10.5">
      <c r="A83" s="12" t="s">
        <v>551</v>
      </c>
      <c r="H83" s="11"/>
      <c r="N83" s="18" t="s">
        <v>196</v>
      </c>
      <c r="O83" s="11"/>
      <c r="P83" s="11"/>
      <c r="Q83" s="11"/>
      <c r="R83" s="11"/>
      <c r="S83" s="18" t="s">
        <v>196</v>
      </c>
      <c r="W83" s="11"/>
      <c r="X83" s="18"/>
      <c r="Y83" s="21" t="s">
        <v>196</v>
      </c>
      <c r="Z83" s="18"/>
      <c r="AA83" s="11"/>
      <c r="AB83" s="11"/>
      <c r="AC83" s="21" t="s">
        <v>196</v>
      </c>
      <c r="AD83" s="18"/>
      <c r="AE83" s="11"/>
      <c r="AF83" s="11"/>
      <c r="AG83" s="25" t="s">
        <v>196</v>
      </c>
    </row>
    <row r="84" spans="1:74" ht="10.5">
      <c r="A84" t="str">
        <f>HYPERLINK("http://exon.niaid.nih.gov/transcriptome/O_coriaceus/Sup2/links/pep/OC-98-pep.txt","OC-98")</f>
        <v>OC-98</v>
      </c>
      <c r="B84" s="1" t="s">
        <v>114</v>
      </c>
      <c r="C84">
        <v>86</v>
      </c>
      <c r="D84" t="s">
        <v>124</v>
      </c>
      <c r="E84" t="str">
        <f>HYPERLINK("http://exon.niaid.nih.gov/transcriptome/O_coriaceus/Sup2/links/nuc/OC-98-nuc.txt","OC-98")</f>
        <v>OC-98</v>
      </c>
      <c r="F84" s="1" t="s">
        <v>195</v>
      </c>
      <c r="G84" s="1" t="s">
        <v>194</v>
      </c>
      <c r="H84" s="5" t="str">
        <f>HYPERLINK("http://exon.niaid.nih.gov/transcriptome/O_coriaceus/Sup2/links/Sigp/OC-98-SigP.txt","SIG")</f>
        <v>SIG</v>
      </c>
      <c r="I84" t="s">
        <v>547</v>
      </c>
      <c r="J84" s="1">
        <v>9.595</v>
      </c>
      <c r="K84" s="1">
        <v>4.78</v>
      </c>
      <c r="L84" s="1">
        <v>7.098</v>
      </c>
      <c r="M84" s="1">
        <v>4.46</v>
      </c>
      <c r="N84" s="19" t="s">
        <v>64</v>
      </c>
      <c r="O84" s="5" t="str">
        <f>HYPERLINK("http://exon.niaid.nih.gov/transcriptome/O_coriaceus/Sup2/links/netoglyc/OC-98-netoglyc.txt","0")</f>
        <v>0</v>
      </c>
      <c r="P84" s="1">
        <v>20.9</v>
      </c>
      <c r="Q84" s="1">
        <v>5.8</v>
      </c>
      <c r="R84" s="1">
        <v>2.3</v>
      </c>
      <c r="S84" s="27" t="s">
        <v>196</v>
      </c>
      <c r="U84" s="4" t="str">
        <f>HYPERLINK("http://exon.niaid.nih.gov/transcriptome/O_coriaceus/Sup2/links/OCORI-EST/OC-98-OCORI-EST.txt","OCM-PLAYE07_F05")</f>
        <v>OCM-PLAYE07_F05</v>
      </c>
      <c r="V84" s="1">
        <v>1E-148</v>
      </c>
      <c r="W84" s="5" t="str">
        <f>HYPERLINK("http://exon.niaid.nih.gov/transcriptome/O_coriaceus/Sup2/links/OCORI-EST/OC-98-OCORI-EST.txt"," 2")</f>
        <v> 2</v>
      </c>
      <c r="Y84" s="22" t="s">
        <v>196</v>
      </c>
      <c r="AC84" s="22" t="s">
        <v>196</v>
      </c>
      <c r="AG84" s="26" t="s">
        <v>196</v>
      </c>
      <c r="AH84" s="4" t="str">
        <f>HYPERLINK("http://exon.niaid.nih.gov/transcriptome/O_coriaceus/Sup2/links/NR/OC-98-NR.txt","putative salivary secreted protein")</f>
        <v>putative salivary secreted protein</v>
      </c>
      <c r="AI84" t="str">
        <f>HYPERLINK("http://www.ncbi.nlm.nih.gov/sutils/blink.cgi?pid=149287136","2E-005")</f>
        <v>2E-005</v>
      </c>
      <c r="AJ84" t="s">
        <v>533</v>
      </c>
      <c r="AK84">
        <v>46</v>
      </c>
      <c r="AL84">
        <v>97</v>
      </c>
      <c r="AM84">
        <v>3</v>
      </c>
      <c r="AN84" t="s">
        <v>230</v>
      </c>
      <c r="AO84">
        <v>3</v>
      </c>
      <c r="AP84">
        <v>1</v>
      </c>
      <c r="AQ84">
        <v>1</v>
      </c>
      <c r="AR84" s="4" t="s">
        <v>196</v>
      </c>
      <c r="AS84" t="s">
        <v>196</v>
      </c>
      <c r="AT84" t="s">
        <v>196</v>
      </c>
      <c r="AU84" t="s">
        <v>196</v>
      </c>
      <c r="AV84" t="s">
        <v>196</v>
      </c>
      <c r="AW84" t="s">
        <v>196</v>
      </c>
      <c r="AX84" t="s">
        <v>196</v>
      </c>
      <c r="AY84" s="4" t="str">
        <f>HYPERLINK("http://exon.niaid.nih.gov/transcriptome/O_coriaceus/Sup2/links/KOG/OC-98-KOG.txt","Conserved WD40 repeat-containing protein")</f>
        <v>Conserved WD40 repeat-containing protein</v>
      </c>
      <c r="AZ84" t="str">
        <f>HYPERLINK("http://www.ncbi.nlm.nih.gov/COG/grace/shokog.cgi?KOG0309","0.77")</f>
        <v>0.77</v>
      </c>
      <c r="BA84" t="s">
        <v>316</v>
      </c>
      <c r="BB84" s="4" t="s">
        <v>196</v>
      </c>
      <c r="BC84" t="s">
        <v>196</v>
      </c>
      <c r="BD84" t="s">
        <v>196</v>
      </c>
      <c r="BE84" s="4" t="s">
        <v>196</v>
      </c>
      <c r="BF84" t="s">
        <v>196</v>
      </c>
      <c r="BG84" s="4" t="str">
        <f>HYPERLINK("http://exon.niaid.nih.gov/transcriptome/O_coriaceus/Sup2/links/SMART/OC-98-SMART.txt","HECTc")</f>
        <v>HECTc</v>
      </c>
      <c r="BH84" t="str">
        <f>HYPERLINK("http://smart.embl-heidelberg.de/smart/do_annotation.pl?DOMAIN=HECTc&amp;BLAST=DUMMY","0.26")</f>
        <v>0.26</v>
      </c>
      <c r="BI84" s="2">
        <v>75</v>
      </c>
      <c r="BJ84" s="1">
        <v>1</v>
      </c>
      <c r="BK84" s="2">
        <v>79</v>
      </c>
      <c r="BL84" s="1">
        <v>1</v>
      </c>
      <c r="BM84" s="2">
        <v>80</v>
      </c>
      <c r="BN84" s="1">
        <v>1</v>
      </c>
      <c r="BO84" s="2">
        <v>85</v>
      </c>
      <c r="BP84" s="1">
        <v>1</v>
      </c>
      <c r="BQ84" s="2">
        <v>92</v>
      </c>
      <c r="BR84" s="1">
        <v>1</v>
      </c>
      <c r="BS84" s="2">
        <v>96</v>
      </c>
      <c r="BT84" s="1">
        <v>1</v>
      </c>
      <c r="BU84" s="2">
        <v>0</v>
      </c>
      <c r="BV84" s="1">
        <v>1</v>
      </c>
    </row>
    <row r="85" spans="1:33" s="6" customFormat="1" ht="10.5">
      <c r="A85" s="12" t="s">
        <v>261</v>
      </c>
      <c r="H85" s="11"/>
      <c r="N85" s="18" t="s">
        <v>196</v>
      </c>
      <c r="O85" s="11"/>
      <c r="P85" s="11"/>
      <c r="Q85" s="11"/>
      <c r="R85" s="11"/>
      <c r="S85" s="18" t="s">
        <v>196</v>
      </c>
      <c r="W85" s="11"/>
      <c r="X85" s="18"/>
      <c r="Y85" s="21" t="s">
        <v>196</v>
      </c>
      <c r="Z85" s="18"/>
      <c r="AA85" s="11"/>
      <c r="AB85" s="11"/>
      <c r="AC85" s="21" t="s">
        <v>196</v>
      </c>
      <c r="AD85" s="18"/>
      <c r="AE85" s="11"/>
      <c r="AF85" s="11"/>
      <c r="AG85" s="25" t="s">
        <v>196</v>
      </c>
    </row>
    <row r="86" spans="1:74" ht="10.5">
      <c r="A86" t="str">
        <f>HYPERLINK("http://exon.niaid.nih.gov/transcriptome/O_coriaceus/Sup2/links/pep/OC-64-pep.txt","OC-64")</f>
        <v>OC-64</v>
      </c>
      <c r="B86" s="1" t="s">
        <v>114</v>
      </c>
      <c r="C86">
        <v>70</v>
      </c>
      <c r="D86" t="s">
        <v>124</v>
      </c>
      <c r="E86" t="str">
        <f>HYPERLINK("http://exon.niaid.nih.gov/transcriptome/O_coriaceus/Sup2/links/nuc/OC-64-nuc.txt","OC-64")</f>
        <v>OC-64</v>
      </c>
      <c r="F86" s="1" t="s">
        <v>195</v>
      </c>
      <c r="G86" s="1" t="s">
        <v>194</v>
      </c>
      <c r="H86" s="5" t="str">
        <f>HYPERLINK("http://exon.niaid.nih.gov/transcriptome/O_coriaceus/Sup2/links/Sigp/OC-64-SigP.txt","SIG")</f>
        <v>SIG</v>
      </c>
      <c r="I86" t="s">
        <v>541</v>
      </c>
      <c r="J86" s="1">
        <v>7.058</v>
      </c>
      <c r="K86" s="1">
        <v>7.94</v>
      </c>
      <c r="L86" s="1">
        <v>4.906</v>
      </c>
      <c r="M86" s="1">
        <v>8.5</v>
      </c>
      <c r="N86" s="19" t="s">
        <v>65</v>
      </c>
      <c r="O86" s="5" t="str">
        <f>HYPERLINK("http://exon.niaid.nih.gov/transcriptome/O_coriaceus/Sup2/links/netoglyc/OC-64-netoglyc.txt","7")</f>
        <v>7</v>
      </c>
      <c r="P86" s="1">
        <v>15.7</v>
      </c>
      <c r="Q86" s="1">
        <v>15.7</v>
      </c>
      <c r="R86" s="1">
        <v>4.3</v>
      </c>
      <c r="S86" s="27" t="s">
        <v>196</v>
      </c>
      <c r="U86" s="4" t="str">
        <f>HYPERLINK("http://exon.niaid.nih.gov/transcriptome/O_coriaceus/Sup2/links/OCORI-EST/OC-64-OCORI-EST.txt","OCL-P11_E03")</f>
        <v>OCL-P11_E03</v>
      </c>
      <c r="V86" s="1">
        <v>1E-117</v>
      </c>
      <c r="W86" s="5" t="str">
        <f>HYPERLINK("http://exon.niaid.nih.gov/transcriptome/O_coriaceus/Sup2/links/OCORI-EST/OC-64-OCORI-EST.txt"," 3")</f>
        <v> 3</v>
      </c>
      <c r="Y86" s="22" t="s">
        <v>196</v>
      </c>
      <c r="AC86" s="22" t="str">
        <f>HYPERLINK("http://exon.niaid.nih.gov/transcriptome/O_coriaceus/Sup2/links/OC-1D/OC-64-OC-1D.txt","P27_57 |P28_20 |P29_6 |P30_19 |S27_20 |S27_21 |S28_19 |S29_1 |S29_2 |S30_4 |")</f>
        <v>P27_57 |P28_20 |P29_6 |P30_19 |S27_20 |S27_21 |S28_19 |S29_1 |S29_2 |S30_4 |</v>
      </c>
      <c r="AD86" s="27" t="s">
        <v>609</v>
      </c>
      <c r="AE86" s="1">
        <v>2</v>
      </c>
      <c r="AF86" s="1">
        <v>30</v>
      </c>
      <c r="AG86" s="26">
        <f>100*AF86/C86</f>
        <v>42.857142857142854</v>
      </c>
      <c r="AH86" s="4" t="str">
        <f>HYPERLINK("http://exon.niaid.nih.gov/transcriptome/O_coriaceus/Sup2/links/NR/OC-64-NR.txt","putative salivary secreted protein")</f>
        <v>putative salivary secreted protein</v>
      </c>
      <c r="AI86" t="str">
        <f>HYPERLINK("http://www.ncbi.nlm.nih.gov/sutils/blink.cgi?pid=149287162","0.019")</f>
        <v>0.019</v>
      </c>
      <c r="AJ86" t="s">
        <v>486</v>
      </c>
      <c r="AK86">
        <v>33</v>
      </c>
      <c r="AL86">
        <v>82</v>
      </c>
      <c r="AM86">
        <v>1</v>
      </c>
      <c r="AN86" t="s">
        <v>230</v>
      </c>
      <c r="AO86">
        <v>1</v>
      </c>
      <c r="AP86">
        <v>1</v>
      </c>
      <c r="AQ86">
        <v>1</v>
      </c>
      <c r="AR86" s="4" t="s">
        <v>196</v>
      </c>
      <c r="AS86" t="s">
        <v>196</v>
      </c>
      <c r="AT86" t="s">
        <v>196</v>
      </c>
      <c r="AU86" t="s">
        <v>196</v>
      </c>
      <c r="AV86" t="s">
        <v>196</v>
      </c>
      <c r="AW86" t="s">
        <v>196</v>
      </c>
      <c r="AX86" t="s">
        <v>196</v>
      </c>
      <c r="AY86" s="4" t="s">
        <v>196</v>
      </c>
      <c r="AZ86" t="s">
        <v>196</v>
      </c>
      <c r="BA86" t="s">
        <v>196</v>
      </c>
      <c r="BB86" s="4" t="s">
        <v>196</v>
      </c>
      <c r="BC86" t="s">
        <v>196</v>
      </c>
      <c r="BD86" t="s">
        <v>196</v>
      </c>
      <c r="BE86" s="4" t="s">
        <v>196</v>
      </c>
      <c r="BF86" t="s">
        <v>196</v>
      </c>
      <c r="BG86" s="4" t="s">
        <v>196</v>
      </c>
      <c r="BH86" t="s">
        <v>196</v>
      </c>
      <c r="BI86" s="2">
        <v>61</v>
      </c>
      <c r="BJ86" s="1">
        <v>1</v>
      </c>
      <c r="BK86" s="2">
        <v>65</v>
      </c>
      <c r="BL86" s="1">
        <v>1</v>
      </c>
      <c r="BM86" s="2">
        <v>65</v>
      </c>
      <c r="BN86" s="1">
        <v>1</v>
      </c>
      <c r="BO86" s="2">
        <v>69</v>
      </c>
      <c r="BP86" s="1">
        <v>1</v>
      </c>
      <c r="BQ86" s="2">
        <v>74</v>
      </c>
      <c r="BR86" s="1">
        <v>1</v>
      </c>
      <c r="BS86" s="2">
        <v>77</v>
      </c>
      <c r="BT86" s="1">
        <v>1</v>
      </c>
      <c r="BU86" s="2">
        <v>84</v>
      </c>
      <c r="BV86" s="1">
        <v>1</v>
      </c>
    </row>
    <row r="87" spans="1:74" ht="10.5">
      <c r="A87" t="str">
        <f>HYPERLINK("http://exon.niaid.nih.gov/transcriptome/O_coriaceus/Sup2/links/pep/OC-93-pep.txt","OC-93")</f>
        <v>OC-93</v>
      </c>
      <c r="B87" s="1" t="s">
        <v>114</v>
      </c>
      <c r="C87">
        <v>64</v>
      </c>
      <c r="D87" t="s">
        <v>192</v>
      </c>
      <c r="E87" t="str">
        <f>HYPERLINK("http://exon.niaid.nih.gov/transcriptome/O_coriaceus/Sup2/links/nuc/OC-93-nuc.txt","OC-93")</f>
        <v>OC-93</v>
      </c>
      <c r="F87" s="1" t="s">
        <v>195</v>
      </c>
      <c r="G87" s="1" t="s">
        <v>194</v>
      </c>
      <c r="H87" s="5" t="str">
        <f>HYPERLINK("http://exon.niaid.nih.gov/transcriptome/O_coriaceus/Sup2/links/Sigp/OC-93-SigP.txt","SIG")</f>
        <v>SIG</v>
      </c>
      <c r="I87" t="s">
        <v>540</v>
      </c>
      <c r="J87" s="1">
        <v>6.642</v>
      </c>
      <c r="K87" s="1">
        <v>8.51</v>
      </c>
      <c r="L87" s="1">
        <v>4.453</v>
      </c>
      <c r="M87" s="1">
        <v>8.28</v>
      </c>
      <c r="N87" s="19" t="s">
        <v>66</v>
      </c>
      <c r="O87" s="5" t="str">
        <f>HYPERLINK("http://exon.niaid.nih.gov/transcriptome/O_coriaceus/Sup2/links/netoglyc/OC-93-netoglyc.txt","0")</f>
        <v>0</v>
      </c>
      <c r="P87" s="1">
        <v>15.6</v>
      </c>
      <c r="Q87" s="1">
        <v>15.6</v>
      </c>
      <c r="R87" s="1" t="s">
        <v>633</v>
      </c>
      <c r="S87" s="27" t="s">
        <v>196</v>
      </c>
      <c r="U87" s="4" t="str">
        <f>HYPERLINK("http://exon.niaid.nih.gov/transcriptome/O_coriaceus/Sup2/links/OCORI-EST/OC-93-OCORI-EST.txt","OCM-PLATE09_D05")</f>
        <v>OCM-PLATE09_D05</v>
      </c>
      <c r="V87" s="1">
        <v>1E-109</v>
      </c>
      <c r="W87" s="5" t="str">
        <f>HYPERLINK("http://exon.niaid.nih.gov/transcriptome/O_coriaceus/Sup2/links/OCORI-EST/OC-93-OCORI-EST.txt"," 3")</f>
        <v> 3</v>
      </c>
      <c r="Y87" s="22" t="s">
        <v>196</v>
      </c>
      <c r="AC87" s="22" t="s">
        <v>196</v>
      </c>
      <c r="AG87" s="26" t="s">
        <v>196</v>
      </c>
      <c r="AH87" s="4" t="str">
        <f>HYPERLINK("http://exon.niaid.nih.gov/transcriptome/O_coriaceus/Sup2/links/NR/OC-93-NR.txt","putative salivary secreted protein")</f>
        <v>putative salivary secreted protein</v>
      </c>
      <c r="AI87" t="str">
        <f>HYPERLINK("http://www.ncbi.nlm.nih.gov/sutils/blink.cgi?pid=149287048","5E-004")</f>
        <v>5E-004</v>
      </c>
      <c r="AJ87" t="s">
        <v>529</v>
      </c>
      <c r="AK87">
        <v>39</v>
      </c>
      <c r="AL87">
        <v>97</v>
      </c>
      <c r="AM87">
        <v>1</v>
      </c>
      <c r="AN87" t="s">
        <v>230</v>
      </c>
      <c r="AO87">
        <v>1</v>
      </c>
      <c r="AP87">
        <v>1</v>
      </c>
      <c r="AQ87">
        <v>1</v>
      </c>
      <c r="AR87" s="4" t="s">
        <v>196</v>
      </c>
      <c r="AS87" t="s">
        <v>196</v>
      </c>
      <c r="AT87" t="s">
        <v>196</v>
      </c>
      <c r="AU87" t="s">
        <v>196</v>
      </c>
      <c r="AV87" t="s">
        <v>196</v>
      </c>
      <c r="AW87" t="s">
        <v>196</v>
      </c>
      <c r="AX87" t="s">
        <v>196</v>
      </c>
      <c r="AY87" s="4" t="s">
        <v>196</v>
      </c>
      <c r="AZ87" t="s">
        <v>196</v>
      </c>
      <c r="BA87" t="s">
        <v>196</v>
      </c>
      <c r="BB87" s="4" t="s">
        <v>196</v>
      </c>
      <c r="BC87" t="s">
        <v>196</v>
      </c>
      <c r="BD87" t="s">
        <v>196</v>
      </c>
      <c r="BE87" s="4" t="s">
        <v>196</v>
      </c>
      <c r="BF87" t="s">
        <v>196</v>
      </c>
      <c r="BG87" s="4" t="s">
        <v>196</v>
      </c>
      <c r="BH87" t="s">
        <v>196</v>
      </c>
      <c r="BI87" s="2">
        <v>73</v>
      </c>
      <c r="BJ87" s="1">
        <v>1</v>
      </c>
      <c r="BK87" s="2">
        <v>77</v>
      </c>
      <c r="BL87" s="1">
        <v>1</v>
      </c>
      <c r="BM87" s="2">
        <v>78</v>
      </c>
      <c r="BN87" s="1">
        <v>1</v>
      </c>
      <c r="BO87" s="2">
        <v>83</v>
      </c>
      <c r="BP87" s="1">
        <v>1</v>
      </c>
      <c r="BQ87" s="2">
        <v>89</v>
      </c>
      <c r="BR87" s="1">
        <v>1</v>
      </c>
      <c r="BS87" s="2">
        <v>93</v>
      </c>
      <c r="BT87" s="1">
        <v>1</v>
      </c>
      <c r="BU87" s="2">
        <v>101</v>
      </c>
      <c r="BV87" s="1">
        <v>1</v>
      </c>
    </row>
    <row r="88" spans="1:74" ht="10.5">
      <c r="A88" t="str">
        <f>HYPERLINK("http://exon.niaid.nih.gov/transcriptome/O_coriaceus/Sup2/links/pep/OC-194-pep.txt","OC-194")</f>
        <v>OC-194</v>
      </c>
      <c r="B88" s="1" t="s">
        <v>114</v>
      </c>
      <c r="C88">
        <v>71</v>
      </c>
      <c r="D88" t="s">
        <v>124</v>
      </c>
      <c r="E88" t="str">
        <f>HYPERLINK("http://exon.niaid.nih.gov/transcriptome/O_coriaceus/Sup2/links/nuc/OC-194-nuc.txt","OC-194")</f>
        <v>OC-194</v>
      </c>
      <c r="F88" s="1" t="s">
        <v>195</v>
      </c>
      <c r="G88" s="1" t="s">
        <v>194</v>
      </c>
      <c r="H88" s="5" t="str">
        <f>HYPERLINK("http://exon.niaid.nih.gov/transcriptome/O_coriaceus/Sup2/links/Sigp/OC-194-SigP.txt","SIG")</f>
        <v>SIG</v>
      </c>
      <c r="I88" t="s">
        <v>543</v>
      </c>
      <c r="J88" s="1">
        <v>7.732</v>
      </c>
      <c r="K88" s="1">
        <v>4.14</v>
      </c>
      <c r="L88" s="1">
        <v>5.112</v>
      </c>
      <c r="M88" s="1">
        <v>3.76</v>
      </c>
      <c r="N88" s="19" t="s">
        <v>70</v>
      </c>
      <c r="O88" s="5" t="str">
        <f>HYPERLINK("http://exon.niaid.nih.gov/transcriptome/O_coriaceus/Sup2/links/netoglyc/OC-194-netoglyc.txt","0")</f>
        <v>0</v>
      </c>
      <c r="P88" s="1">
        <v>14.1</v>
      </c>
      <c r="Q88" s="1">
        <v>11.3</v>
      </c>
      <c r="R88" s="1">
        <v>2.8</v>
      </c>
      <c r="S88" s="27" t="s">
        <v>196</v>
      </c>
      <c r="U88" s="4" t="str">
        <f>HYPERLINK("http://exon.niaid.nih.gov/transcriptome/O_coriaceus/Sup2/links/OCORI-EST/OC-194-OCORI-EST.txt","OCL-P12_D05")</f>
        <v>OCL-P12_D05</v>
      </c>
      <c r="V88" s="1">
        <v>1E-121</v>
      </c>
      <c r="W88" s="5" t="str">
        <f>HYPERLINK("http://exon.niaid.nih.gov/transcriptome/O_coriaceus/Sup2/links/OCORI-EST/OC-194-OCORI-EST.txt"," 1")</f>
        <v> 1</v>
      </c>
      <c r="Y88" s="22" t="s">
        <v>196</v>
      </c>
      <c r="AC88" s="22" t="s">
        <v>196</v>
      </c>
      <c r="AH88" s="4" t="str">
        <f>HYPERLINK("http://exon.niaid.nih.gov/transcriptome/O_coriaceus/Sup2/links/NR/OC-194-NR.txt","putative salivary protein")</f>
        <v>putative salivary protein</v>
      </c>
      <c r="AI88" t="str">
        <f>HYPERLINK("http://www.ncbi.nlm.nih.gov/sutils/blink.cgi?pid=149287040","1E-004")</f>
        <v>1E-004</v>
      </c>
      <c r="AJ88" t="s">
        <v>342</v>
      </c>
      <c r="AK88">
        <v>47</v>
      </c>
      <c r="AL88">
        <v>86</v>
      </c>
      <c r="AM88">
        <v>1</v>
      </c>
      <c r="AN88" t="s">
        <v>230</v>
      </c>
      <c r="AO88">
        <v>1</v>
      </c>
      <c r="AP88">
        <v>1</v>
      </c>
      <c r="AQ88">
        <v>1</v>
      </c>
      <c r="AR88" s="4" t="s">
        <v>196</v>
      </c>
      <c r="AS88" t="s">
        <v>196</v>
      </c>
      <c r="AT88" t="s">
        <v>196</v>
      </c>
      <c r="AU88" t="s">
        <v>196</v>
      </c>
      <c r="AV88" t="s">
        <v>196</v>
      </c>
      <c r="AW88" t="s">
        <v>196</v>
      </c>
      <c r="AX88" t="s">
        <v>196</v>
      </c>
      <c r="AY88" s="4" t="str">
        <f>HYPERLINK("http://exon.niaid.nih.gov/transcriptome/O_coriaceus/Sup2/links/KOG/OC-194-KOG.txt","Putative zinc transporter")</f>
        <v>Putative zinc transporter</v>
      </c>
      <c r="AZ88" t="str">
        <f>HYPERLINK("http://www.ncbi.nlm.nih.gov/COG/grace/shokog.cgi?KOG2694","0.78")</f>
        <v>0.78</v>
      </c>
      <c r="BA88" t="s">
        <v>324</v>
      </c>
      <c r="BB88" s="4" t="s">
        <v>196</v>
      </c>
      <c r="BC88" t="s">
        <v>196</v>
      </c>
      <c r="BD88" t="s">
        <v>196</v>
      </c>
      <c r="BE88" s="4" t="s">
        <v>196</v>
      </c>
      <c r="BF88" t="s">
        <v>196</v>
      </c>
      <c r="BG88" s="4" t="str">
        <f>HYPERLINK("http://exon.niaid.nih.gov/transcriptome/O_coriaceus/Sup2/links/SMART/OC-194-SMART.txt","C4")</f>
        <v>C4</v>
      </c>
      <c r="BH88" t="str">
        <f>HYPERLINK("http://smart.embl-heidelberg.de/smart/do_annotation.pl?DOMAIN=C4&amp;BLAST=DUMMY","0.93")</f>
        <v>0.93</v>
      </c>
      <c r="BI88" s="2">
        <v>30</v>
      </c>
      <c r="BJ88" s="1">
        <v>1</v>
      </c>
      <c r="BK88" s="2">
        <v>32</v>
      </c>
      <c r="BL88" s="1">
        <v>1</v>
      </c>
      <c r="BM88" s="2">
        <v>31</v>
      </c>
      <c r="BN88" s="1">
        <v>1</v>
      </c>
      <c r="BO88" s="2">
        <v>33</v>
      </c>
      <c r="BP88" s="1">
        <v>1</v>
      </c>
      <c r="BQ88" s="2">
        <v>32</v>
      </c>
      <c r="BR88" s="1">
        <v>1</v>
      </c>
      <c r="BS88" s="2">
        <v>32</v>
      </c>
      <c r="BT88" s="1">
        <v>1</v>
      </c>
      <c r="BU88" s="2">
        <v>25</v>
      </c>
      <c r="BV88" s="1">
        <v>1</v>
      </c>
    </row>
    <row r="89" spans="1:33" s="6" customFormat="1" ht="10.5">
      <c r="A89" s="12" t="s">
        <v>262</v>
      </c>
      <c r="H89" s="11"/>
      <c r="N89" s="18" t="s">
        <v>196</v>
      </c>
      <c r="O89" s="11"/>
      <c r="P89" s="11"/>
      <c r="Q89" s="11"/>
      <c r="R89" s="11"/>
      <c r="S89" s="18" t="s">
        <v>196</v>
      </c>
      <c r="W89" s="11"/>
      <c r="X89" s="18"/>
      <c r="Y89" s="21" t="s">
        <v>196</v>
      </c>
      <c r="Z89" s="18"/>
      <c r="AA89" s="11"/>
      <c r="AB89" s="11"/>
      <c r="AC89" s="21" t="s">
        <v>196</v>
      </c>
      <c r="AD89" s="18"/>
      <c r="AE89" s="11"/>
      <c r="AF89" s="11"/>
      <c r="AG89" s="25"/>
    </row>
    <row r="90" spans="1:74" ht="10.5">
      <c r="A90" t="str">
        <f>HYPERLINK("http://exon.niaid.nih.gov/transcriptome/O_coriaceus/Sup2/links/pep/OC-724-pep.txt","OC-724")</f>
        <v>OC-724</v>
      </c>
      <c r="B90" s="1" t="s">
        <v>114</v>
      </c>
      <c r="C90">
        <v>53</v>
      </c>
      <c r="D90" t="s">
        <v>124</v>
      </c>
      <c r="E90" t="str">
        <f>HYPERLINK("http://exon.niaid.nih.gov/transcriptome/O_coriaceus/Sup2/links/nuc/OC-724-nuc.txt","OC-724")</f>
        <v>OC-724</v>
      </c>
      <c r="F90" s="1" t="s">
        <v>195</v>
      </c>
      <c r="G90" s="1" t="s">
        <v>194</v>
      </c>
      <c r="H90" s="5" t="str">
        <f>HYPERLINK("http://exon.niaid.nih.gov/transcriptome/O_coriaceus/Sup2/links/Sigp/OC-724-SigP.txt","SIG")</f>
        <v>SIG</v>
      </c>
      <c r="I90" t="s">
        <v>547</v>
      </c>
      <c r="J90" s="1">
        <v>6.076</v>
      </c>
      <c r="K90" s="1">
        <v>7.87</v>
      </c>
      <c r="L90" s="1">
        <v>3.452</v>
      </c>
      <c r="M90" s="1">
        <v>7</v>
      </c>
      <c r="N90" s="19" t="s">
        <v>71</v>
      </c>
      <c r="O90" s="5" t="str">
        <f>HYPERLINK("http://exon.niaid.nih.gov/transcriptome/O_coriaceus/Sup2/links/netoglyc/OC-724-netoglyc.txt","0")</f>
        <v>0</v>
      </c>
      <c r="P90" s="1">
        <v>13.2</v>
      </c>
      <c r="Q90" s="1">
        <v>5.7</v>
      </c>
      <c r="R90" s="1">
        <v>5.7</v>
      </c>
      <c r="S90" s="27" t="s">
        <v>196</v>
      </c>
      <c r="U90" s="4" t="str">
        <f>HYPERLINK("http://exon.niaid.nih.gov/transcriptome/O_coriaceus/Sup2/links/OCORI-EST/OC-724-OCORI-EST.txt","OCM-PLATE10_G10")</f>
        <v>OCM-PLATE10_G10</v>
      </c>
      <c r="V90" s="1">
        <v>3E-89</v>
      </c>
      <c r="W90" s="5" t="str">
        <f>HYPERLINK("http://exon.niaid.nih.gov/transcriptome/O_coriaceus/Sup2/links/OCORI-EST/OC-724-OCORI-EST.txt"," 1")</f>
        <v> 1</v>
      </c>
      <c r="Y90" s="22" t="s">
        <v>196</v>
      </c>
      <c r="AC90" s="22" t="s">
        <v>196</v>
      </c>
      <c r="AH90" s="4" t="str">
        <f>HYPERLINK("http://exon.niaid.nih.gov/transcriptome/O_coriaceus/Sup2/links/NR/OC-724-NR.txt","unnamed protein product")</f>
        <v>unnamed protein product</v>
      </c>
      <c r="AI90" t="str">
        <f>HYPERLINK("http://www.ncbi.nlm.nih.gov/sutils/blink.cgi?pid=83774874","5.0")</f>
        <v>5.0</v>
      </c>
      <c r="AJ90" t="s">
        <v>498</v>
      </c>
      <c r="AK90">
        <v>44</v>
      </c>
      <c r="AL90">
        <v>10</v>
      </c>
      <c r="AM90">
        <v>162</v>
      </c>
      <c r="AN90" t="s">
        <v>499</v>
      </c>
      <c r="AO90">
        <v>170</v>
      </c>
      <c r="AP90">
        <v>9</v>
      </c>
      <c r="AQ90">
        <v>1</v>
      </c>
      <c r="AR90" s="4" t="s">
        <v>196</v>
      </c>
      <c r="AS90" t="s">
        <v>196</v>
      </c>
      <c r="AT90" t="s">
        <v>196</v>
      </c>
      <c r="AU90" t="s">
        <v>196</v>
      </c>
      <c r="AV90" t="s">
        <v>196</v>
      </c>
      <c r="AW90" t="s">
        <v>196</v>
      </c>
      <c r="AX90" t="s">
        <v>196</v>
      </c>
      <c r="AY90" s="4" t="s">
        <v>196</v>
      </c>
      <c r="AZ90" t="s">
        <v>196</v>
      </c>
      <c r="BA90" t="s">
        <v>196</v>
      </c>
      <c r="BB90" s="4" t="s">
        <v>196</v>
      </c>
      <c r="BC90" t="s">
        <v>196</v>
      </c>
      <c r="BD90" t="s">
        <v>196</v>
      </c>
      <c r="BE90" s="4" t="s">
        <v>196</v>
      </c>
      <c r="BF90" t="s">
        <v>196</v>
      </c>
      <c r="BG90" s="4" t="str">
        <f>HYPERLINK("http://exon.niaid.nih.gov/transcriptome/O_coriaceus/Sup2/links/SMART/OC-724-SMART.txt","Cu_FIST")</f>
        <v>Cu_FIST</v>
      </c>
      <c r="BH90" t="str">
        <f>HYPERLINK("http://smart.embl-heidelberg.de/smart/do_annotation.pl?DOMAIN=Cu_FIST&amp;BLAST=DUMMY","0.79")</f>
        <v>0.79</v>
      </c>
      <c r="BI90" s="2">
        <v>65</v>
      </c>
      <c r="BJ90" s="1">
        <v>1</v>
      </c>
      <c r="BK90" s="2">
        <v>69</v>
      </c>
      <c r="BL90" s="1">
        <v>1</v>
      </c>
      <c r="BM90" s="2">
        <v>69</v>
      </c>
      <c r="BN90" s="1">
        <v>1</v>
      </c>
      <c r="BO90" s="2">
        <v>74</v>
      </c>
      <c r="BP90" s="1">
        <v>1</v>
      </c>
      <c r="BQ90" s="2">
        <v>79</v>
      </c>
      <c r="BR90" s="1">
        <v>1</v>
      </c>
      <c r="BS90" s="2">
        <v>83</v>
      </c>
      <c r="BT90" s="1">
        <v>1</v>
      </c>
      <c r="BU90" s="2">
        <v>90</v>
      </c>
      <c r="BV90" s="1">
        <v>1</v>
      </c>
    </row>
    <row r="91" spans="1:74" ht="10.5">
      <c r="A91" t="str">
        <f>HYPERLINK("http://exon.niaid.nih.gov/transcriptome/O_coriaceus/Sup2/links/pep/OC-458-pep.txt","OC-458")</f>
        <v>OC-458</v>
      </c>
      <c r="B91" s="1" t="s">
        <v>114</v>
      </c>
      <c r="C91">
        <v>70</v>
      </c>
      <c r="D91" t="s">
        <v>124</v>
      </c>
      <c r="E91" t="str">
        <f>HYPERLINK("http://exon.niaid.nih.gov/transcriptome/O_coriaceus/Sup2/links/nuc/OC-458-nuc.txt","OC-458")</f>
        <v>OC-458</v>
      </c>
      <c r="F91" s="1" t="s">
        <v>195</v>
      </c>
      <c r="G91" s="1" t="s">
        <v>194</v>
      </c>
      <c r="H91" s="5" t="str">
        <f>HYPERLINK("http://exon.niaid.nih.gov/transcriptome/O_coriaceus/Sup2/links/Sigp/OC-458-SigP.txt","SIG")</f>
        <v>SIG</v>
      </c>
      <c r="I91" t="s">
        <v>546</v>
      </c>
      <c r="J91" s="1">
        <v>8.01</v>
      </c>
      <c r="K91" s="1">
        <v>5.63</v>
      </c>
      <c r="L91" s="1">
        <v>6.049</v>
      </c>
      <c r="M91" s="1">
        <v>4.51</v>
      </c>
      <c r="N91" s="19" t="s">
        <v>72</v>
      </c>
      <c r="O91" s="5" t="str">
        <f>HYPERLINK("http://exon.niaid.nih.gov/transcriptome/O_coriaceus/Sup2/links/netoglyc/OC-458-netoglyc.txt","0")</f>
        <v>0</v>
      </c>
      <c r="P91" s="1">
        <v>12.9</v>
      </c>
      <c r="Q91" s="1">
        <v>1.4</v>
      </c>
      <c r="R91" s="1">
        <v>5.7</v>
      </c>
      <c r="S91" s="27" t="s">
        <v>196</v>
      </c>
      <c r="U91" s="4" t="str">
        <f>HYPERLINK("http://exon.niaid.nih.gov/transcriptome/O_coriaceus/Sup2/links/OCORI-EST/OC-458-OCORI-EST.txt","OCL-PLATE04_A09")</f>
        <v>OCL-PLATE04_A09</v>
      </c>
      <c r="V91" s="1">
        <v>1E-119</v>
      </c>
      <c r="W91" s="5" t="str">
        <f>HYPERLINK("http://exon.niaid.nih.gov/transcriptome/O_coriaceus/Sup2/links/OCORI-EST/OC-458-OCORI-EST.txt"," 1")</f>
        <v> 1</v>
      </c>
      <c r="Y91" s="22" t="s">
        <v>196</v>
      </c>
      <c r="AC91" s="22" t="str">
        <f>HYPERLINK("http://exon.niaid.nih.gov/transcriptome/O_coriaceus/Sup2/links/OC-1D/OC-458-OC-1D.txt","P05_34 |P16_73 |S25_68 |")</f>
        <v>P05_34 |P16_73 |S25_68 |</v>
      </c>
      <c r="AE91" s="1" t="s">
        <v>196</v>
      </c>
      <c r="AH91" s="4" t="str">
        <f>HYPERLINK("http://exon.niaid.nih.gov/transcriptome/O_coriaceus/Sup2/links/NR/OC-458-NR.txt","hypothetical protein CcelDRAFT_2723 [Clostridium cellulolyticum H10]")</f>
        <v>hypothetical protein CcelDRAFT_2723 [Clostridium cellulolyticum H10]</v>
      </c>
      <c r="AI91" t="str">
        <f>HYPERLINK("http://www.ncbi.nlm.nih.gov/sutils/blink.cgi?pid=118725945","1.0")</f>
        <v>1.0</v>
      </c>
      <c r="AJ91" t="s">
        <v>418</v>
      </c>
      <c r="AK91">
        <v>43</v>
      </c>
      <c r="AL91">
        <v>14</v>
      </c>
      <c r="AM91">
        <v>111</v>
      </c>
      <c r="AN91" t="s">
        <v>419</v>
      </c>
      <c r="AO91">
        <v>83</v>
      </c>
      <c r="AP91">
        <v>20</v>
      </c>
      <c r="AQ91">
        <v>1</v>
      </c>
      <c r="AR91" s="4" t="s">
        <v>196</v>
      </c>
      <c r="AS91" t="s">
        <v>196</v>
      </c>
      <c r="AT91" t="s">
        <v>196</v>
      </c>
      <c r="AU91" t="s">
        <v>196</v>
      </c>
      <c r="AV91" t="s">
        <v>196</v>
      </c>
      <c r="AW91" t="s">
        <v>196</v>
      </c>
      <c r="AX91" t="s">
        <v>196</v>
      </c>
      <c r="AY91" s="4" t="s">
        <v>196</v>
      </c>
      <c r="AZ91" t="s">
        <v>196</v>
      </c>
      <c r="BA91" t="s">
        <v>196</v>
      </c>
      <c r="BB91" s="4" t="s">
        <v>196</v>
      </c>
      <c r="BC91" t="s">
        <v>196</v>
      </c>
      <c r="BD91" t="s">
        <v>196</v>
      </c>
      <c r="BE91" s="4" t="s">
        <v>196</v>
      </c>
      <c r="BF91" t="s">
        <v>196</v>
      </c>
      <c r="BG91" s="4" t="s">
        <v>196</v>
      </c>
      <c r="BH91" t="s">
        <v>196</v>
      </c>
      <c r="BI91" s="2">
        <v>45</v>
      </c>
      <c r="BJ91" s="1">
        <v>1</v>
      </c>
      <c r="BK91" s="2">
        <v>48</v>
      </c>
      <c r="BL91" s="1">
        <v>1</v>
      </c>
      <c r="BM91" s="2">
        <v>47</v>
      </c>
      <c r="BN91" s="1">
        <v>1</v>
      </c>
      <c r="BO91" s="2">
        <v>50</v>
      </c>
      <c r="BP91" s="1">
        <v>1</v>
      </c>
      <c r="BQ91" s="2">
        <v>50</v>
      </c>
      <c r="BR91" s="1">
        <v>1</v>
      </c>
      <c r="BS91" s="2">
        <v>53</v>
      </c>
      <c r="BT91" s="1">
        <v>1</v>
      </c>
      <c r="BU91" s="2">
        <v>57</v>
      </c>
      <c r="BV91" s="1">
        <v>1</v>
      </c>
    </row>
    <row r="92" spans="1:74" ht="10.5">
      <c r="A92" t="str">
        <f>HYPERLINK("http://exon.niaid.nih.gov/transcriptome/O_coriaceus/Sup2/links/pep/OC-46-pep.txt","OC-46")</f>
        <v>OC-46</v>
      </c>
      <c r="B92" s="1" t="s">
        <v>114</v>
      </c>
      <c r="C92">
        <v>59</v>
      </c>
      <c r="D92" t="s">
        <v>124</v>
      </c>
      <c r="E92" t="str">
        <f>HYPERLINK("http://exon.niaid.nih.gov/transcriptome/O_coriaceus/Sup2/links/nuc/OC-46-nuc.txt","OC-46")</f>
        <v>OC-46</v>
      </c>
      <c r="F92" s="1" t="s">
        <v>195</v>
      </c>
      <c r="G92" s="1" t="s">
        <v>194</v>
      </c>
      <c r="H92" s="5" t="str">
        <f>HYPERLINK("http://exon.niaid.nih.gov/transcriptome/O_coriaceus/Sup2/links/Sigp/OC-46-SigP.txt","SIG")</f>
        <v>SIG</v>
      </c>
      <c r="I92" t="s">
        <v>539</v>
      </c>
      <c r="J92" s="1">
        <v>6.68</v>
      </c>
      <c r="K92" s="1">
        <v>9.06</v>
      </c>
      <c r="L92" s="1">
        <v>4.655</v>
      </c>
      <c r="M92" s="1">
        <v>8.68</v>
      </c>
      <c r="N92" s="19" t="s">
        <v>73</v>
      </c>
      <c r="O92" s="5" t="str">
        <f>HYPERLINK("http://exon.niaid.nih.gov/transcriptome/O_coriaceus/Sup2/links/netoglyc/OC-46-netoglyc.txt","0")</f>
        <v>0</v>
      </c>
      <c r="P92" s="1">
        <v>6.8</v>
      </c>
      <c r="Q92" s="1">
        <v>6.8</v>
      </c>
      <c r="R92" s="1">
        <v>5.1</v>
      </c>
      <c r="S92" s="27" t="s">
        <v>196</v>
      </c>
      <c r="U92" s="4" t="str">
        <f>HYPERLINK("http://exon.niaid.nih.gov/transcriptome/O_coriaceus/Sup2/links/OCORI-EST/OC-46-OCORI-EST.txt","OCL-PLATE05_E03")</f>
        <v>OCL-PLATE05_E03</v>
      </c>
      <c r="V92" s="1">
        <v>1E-100</v>
      </c>
      <c r="W92" s="5" t="str">
        <f>HYPERLINK("http://exon.niaid.nih.gov/transcriptome/O_coriaceus/Sup2/links/OCORI-EST/OC-46-OCORI-EST.txt"," 5")</f>
        <v> 5</v>
      </c>
      <c r="Y92" s="22" t="s">
        <v>196</v>
      </c>
      <c r="AC92" s="22" t="s">
        <v>196</v>
      </c>
      <c r="AH92" s="4" t="str">
        <f>HYPERLINK("http://exon.niaid.nih.gov/transcriptome/O_coriaceus/Sup2/links/NR/OC-46-NR.txt","predicted protein [Botryotinia fuckeliana B05.10]")</f>
        <v>predicted protein [Botryotinia fuckeliana B05.10]</v>
      </c>
      <c r="AI92" t="str">
        <f>HYPERLINK("http://www.ncbi.nlm.nih.gov/sutils/blink.cgi?pid=154317421","39")</f>
        <v>39</v>
      </c>
      <c r="AJ92" t="s">
        <v>420</v>
      </c>
      <c r="AK92">
        <v>41</v>
      </c>
      <c r="AL92">
        <v>16</v>
      </c>
      <c r="AM92">
        <v>231</v>
      </c>
      <c r="AN92" t="s">
        <v>421</v>
      </c>
      <c r="AO92">
        <v>4</v>
      </c>
      <c r="AP92">
        <v>1</v>
      </c>
      <c r="AQ92">
        <v>1</v>
      </c>
      <c r="AR92" s="4" t="s">
        <v>196</v>
      </c>
      <c r="AS92" t="s">
        <v>196</v>
      </c>
      <c r="AT92" t="s">
        <v>196</v>
      </c>
      <c r="AU92" t="s">
        <v>196</v>
      </c>
      <c r="AV92" t="s">
        <v>196</v>
      </c>
      <c r="AW92" t="s">
        <v>196</v>
      </c>
      <c r="AX92" t="s">
        <v>196</v>
      </c>
      <c r="AY92" s="4" t="s">
        <v>196</v>
      </c>
      <c r="AZ92" t="s">
        <v>196</v>
      </c>
      <c r="BA92" t="s">
        <v>196</v>
      </c>
      <c r="BB92" s="4" t="s">
        <v>196</v>
      </c>
      <c r="BC92" t="s">
        <v>196</v>
      </c>
      <c r="BD92" t="s">
        <v>196</v>
      </c>
      <c r="BE92" s="4" t="str">
        <f>HYPERLINK("http://exon.niaid.nih.gov/transcriptome/O_coriaceus/Sup2/links/PFAM/OC-46-PFAM.txt","IncFII_repA")</f>
        <v>IncFII_repA</v>
      </c>
      <c r="BF92" t="str">
        <f>HYPERLINK("http://pfam.janelia.org/cgi-bin/getdesc?acc=PF02387","0.96")</f>
        <v>0.96</v>
      </c>
      <c r="BG92" s="4" t="s">
        <v>196</v>
      </c>
      <c r="BH92" t="s">
        <v>196</v>
      </c>
      <c r="BI92" s="2">
        <v>46</v>
      </c>
      <c r="BJ92" s="1">
        <v>1</v>
      </c>
      <c r="BK92" s="2">
        <v>49</v>
      </c>
      <c r="BL92" s="1">
        <v>1</v>
      </c>
      <c r="BM92" s="2">
        <v>48</v>
      </c>
      <c r="BN92" s="1">
        <v>1</v>
      </c>
      <c r="BO92" s="2">
        <v>51</v>
      </c>
      <c r="BP92" s="1">
        <v>1</v>
      </c>
      <c r="BQ92" s="2">
        <v>51</v>
      </c>
      <c r="BR92" s="1">
        <v>1</v>
      </c>
      <c r="BS92" s="2">
        <v>54</v>
      </c>
      <c r="BT92" s="1">
        <v>1</v>
      </c>
      <c r="BU92" s="2">
        <v>58</v>
      </c>
      <c r="BV92" s="1">
        <v>1</v>
      </c>
    </row>
    <row r="93" spans="1:74" ht="10.5">
      <c r="A93" t="str">
        <f>HYPERLINK("http://exon.niaid.nih.gov/transcriptome/O_coriaceus/Sup2/links/pep/OC-520-pep.txt","OC-520")</f>
        <v>OC-520</v>
      </c>
      <c r="B93" s="1" t="s">
        <v>114</v>
      </c>
      <c r="C93">
        <v>78</v>
      </c>
      <c r="D93" t="s">
        <v>171</v>
      </c>
      <c r="E93" t="str">
        <f>HYPERLINK("http://exon.niaid.nih.gov/transcriptome/O_coriaceus/Sup2/links/nuc/OC-520-nuc.txt","OC-520")</f>
        <v>OC-520</v>
      </c>
      <c r="F93" s="1" t="s">
        <v>195</v>
      </c>
      <c r="G93" s="1" t="s">
        <v>194</v>
      </c>
      <c r="H93" s="5" t="str">
        <f>HYPERLINK("http://exon.niaid.nih.gov/transcriptome/O_coriaceus/Sup2/links/Sigp/OC-520-SigP.txt","BL")</f>
        <v>BL</v>
      </c>
      <c r="I93" t="s">
        <v>541</v>
      </c>
      <c r="J93" s="1">
        <v>8.434</v>
      </c>
      <c r="K93" s="1">
        <v>10.75</v>
      </c>
      <c r="L93" s="1">
        <v>6.336</v>
      </c>
      <c r="M93" s="1">
        <v>9.37</v>
      </c>
      <c r="N93" s="19" t="s">
        <v>74</v>
      </c>
      <c r="O93" s="5" t="str">
        <f>HYPERLINK("http://exon.niaid.nih.gov/transcriptome/O_coriaceus/Sup2/links/netoglyc/OC-520-netoglyc.txt","7")</f>
        <v>7</v>
      </c>
      <c r="P93" s="1">
        <v>21.8</v>
      </c>
      <c r="Q93" s="1">
        <v>3.8</v>
      </c>
      <c r="R93" s="1">
        <v>11.5</v>
      </c>
      <c r="S93" s="27" t="s">
        <v>196</v>
      </c>
      <c r="U93" s="4" t="str">
        <f>HYPERLINK("http://exon.niaid.nih.gov/transcriptome/O_coriaceus/Sup2/links/OCORI-EST/OC-520-OCORI-EST.txt","OCL-PLATE05_E02")</f>
        <v>OCL-PLATE05_E02</v>
      </c>
      <c r="V93" s="1">
        <v>1E-106</v>
      </c>
      <c r="W93" s="5" t="str">
        <f>HYPERLINK("http://exon.niaid.nih.gov/transcriptome/O_coriaceus/Sup2/links/OCORI-EST/OC-520-OCORI-EST.txt"," 1")</f>
        <v> 1</v>
      </c>
      <c r="Y93" s="22" t="s">
        <v>196</v>
      </c>
      <c r="AC93" s="22" t="str">
        <f>HYPERLINK("http://exon.niaid.nih.gov/transcriptome/O_coriaceus/Sup2/links/OC-1D/OC-520-OC-1D.txt","P10_49 |S10_26 |")</f>
        <v>P10_49 |S10_26 |</v>
      </c>
      <c r="AE93" s="1" t="s">
        <v>196</v>
      </c>
      <c r="AH93" s="4" t="str">
        <f>HYPERLINK("http://exon.niaid.nih.gov/transcriptome/O_coriaceus/Sup2/links/NR/OC-520-NR.txt","hypothetical protein Atu4043 [Agrobacterium tumefaciens str. C58]")</f>
        <v>hypothetical protein Atu4043 [Agrobacterium tumefaciens str. C58]</v>
      </c>
      <c r="AI93" t="str">
        <f>HYPERLINK("http://www.ncbi.nlm.nih.gov/sutils/blink.cgi?pid=15890928","1.4")</f>
        <v>1.4</v>
      </c>
      <c r="AJ93" t="s">
        <v>448</v>
      </c>
      <c r="AK93">
        <v>34</v>
      </c>
      <c r="AL93">
        <v>14</v>
      </c>
      <c r="AM93">
        <v>336</v>
      </c>
      <c r="AN93" t="s">
        <v>449</v>
      </c>
      <c r="AO93">
        <v>92</v>
      </c>
      <c r="AP93">
        <v>19</v>
      </c>
      <c r="AQ93">
        <v>1</v>
      </c>
      <c r="AR93" s="4" t="s">
        <v>196</v>
      </c>
      <c r="AS93" t="s">
        <v>196</v>
      </c>
      <c r="AT93" t="s">
        <v>196</v>
      </c>
      <c r="AU93" t="s">
        <v>196</v>
      </c>
      <c r="AV93" t="s">
        <v>196</v>
      </c>
      <c r="AW93" t="s">
        <v>196</v>
      </c>
      <c r="AX93" t="s">
        <v>196</v>
      </c>
      <c r="AY93" s="4" t="str">
        <f>HYPERLINK("http://exon.niaid.nih.gov/transcriptome/O_coriaceus/Sup2/links/KOG/OC-520-KOG.txt","Molecular chaperone of the GrpE family")</f>
        <v>Molecular chaperone of the GrpE family</v>
      </c>
      <c r="AZ93" t="str">
        <f>HYPERLINK("http://www.ncbi.nlm.nih.gov/COG/grace/shokog.cgi?KOG3003","0.33")</f>
        <v>0.33</v>
      </c>
      <c r="BA93" t="s">
        <v>393</v>
      </c>
      <c r="BB93" s="4" t="s">
        <v>196</v>
      </c>
      <c r="BC93" t="s">
        <v>196</v>
      </c>
      <c r="BD93" t="s">
        <v>196</v>
      </c>
      <c r="BE93" s="4" t="s">
        <v>196</v>
      </c>
      <c r="BF93" t="s">
        <v>196</v>
      </c>
      <c r="BG93" s="4" t="s">
        <v>196</v>
      </c>
      <c r="BH93" t="s">
        <v>196</v>
      </c>
      <c r="BI93" s="2">
        <v>52</v>
      </c>
      <c r="BJ93" s="1">
        <v>1</v>
      </c>
      <c r="BK93" s="2">
        <v>55</v>
      </c>
      <c r="BL93" s="1">
        <v>1</v>
      </c>
      <c r="BM93" s="2">
        <v>55</v>
      </c>
      <c r="BN93" s="1">
        <v>1</v>
      </c>
      <c r="BO93" s="2">
        <v>58</v>
      </c>
      <c r="BP93" s="1">
        <v>1</v>
      </c>
      <c r="BQ93" s="2">
        <v>60</v>
      </c>
      <c r="BR93" s="1">
        <v>1</v>
      </c>
      <c r="BS93" s="2">
        <v>63</v>
      </c>
      <c r="BT93" s="1">
        <v>1</v>
      </c>
      <c r="BU93" s="2">
        <v>69</v>
      </c>
      <c r="BV93" s="1">
        <v>1</v>
      </c>
    </row>
    <row r="94" spans="1:74" ht="10.5">
      <c r="A94" t="str">
        <f>HYPERLINK("http://exon.niaid.nih.gov/transcriptome/O_coriaceus/Sup2/links/pep/OC-639-pep.txt","OC-639")</f>
        <v>OC-639</v>
      </c>
      <c r="B94" s="1" t="s">
        <v>114</v>
      </c>
      <c r="C94">
        <v>72</v>
      </c>
      <c r="D94" t="s">
        <v>124</v>
      </c>
      <c r="E94" t="str">
        <f>HYPERLINK("http://exon.niaid.nih.gov/transcriptome/O_coriaceus/Sup2/links/nuc/OC-639-nuc.txt","OC-639")</f>
        <v>OC-639</v>
      </c>
      <c r="F94" s="1" t="s">
        <v>195</v>
      </c>
      <c r="G94" s="1" t="s">
        <v>194</v>
      </c>
      <c r="H94" s="5" t="str">
        <f>HYPERLINK("http://exon.niaid.nih.gov/transcriptome/O_coriaceus/Sup2/links/Sigp/OC-639-SigP.txt","SIG")</f>
        <v>SIG</v>
      </c>
      <c r="I94" t="s">
        <v>540</v>
      </c>
      <c r="J94" s="1">
        <v>8.009</v>
      </c>
      <c r="K94" s="1">
        <v>11.73</v>
      </c>
      <c r="L94" s="1">
        <v>5.667</v>
      </c>
      <c r="M94" s="1">
        <v>11.85</v>
      </c>
      <c r="N94" s="19" t="s">
        <v>75</v>
      </c>
      <c r="O94" s="5" t="str">
        <f>HYPERLINK("http://exon.niaid.nih.gov/transcriptome/O_coriaceus/Sup2/links/netoglyc/OC-639-netoglyc.txt","0")</f>
        <v>0</v>
      </c>
      <c r="P94" s="1">
        <v>8.3</v>
      </c>
      <c r="Q94" s="1">
        <v>13.9</v>
      </c>
      <c r="R94" s="1">
        <v>6.9</v>
      </c>
      <c r="S94" s="27" t="s">
        <v>196</v>
      </c>
      <c r="U94" s="4" t="str">
        <f>HYPERLINK("http://exon.niaid.nih.gov/transcriptome/O_coriaceus/Sup2/links/OCORI-EST/OC-639-OCORI-EST.txt","OCM-PLATE08_A11")</f>
        <v>OCM-PLATE08_A11</v>
      </c>
      <c r="V94" s="1">
        <v>3E-65</v>
      </c>
      <c r="W94" s="5" t="str">
        <f>HYPERLINK("http://exon.niaid.nih.gov/transcriptome/O_coriaceus/Sup2/links/OCORI-EST/OC-639-OCORI-EST.txt"," 1")</f>
        <v> 1</v>
      </c>
      <c r="Y94" s="22" t="s">
        <v>196</v>
      </c>
      <c r="AC94" s="22" t="str">
        <f>HYPERLINK("http://exon.niaid.nih.gov/transcriptome/O_coriaceus/Sup2/links/OC-1D/OC-639-OC-1D.txt","P26_70 |")</f>
        <v>P26_70 |</v>
      </c>
      <c r="AE94" s="1" t="s">
        <v>196</v>
      </c>
      <c r="AH94" s="4" t="str">
        <f>HYPERLINK("http://exon.niaid.nih.gov/transcriptome/O_coriaceus/Sup2/links/NR/OC-639-NR.txt","hydroxymethyldihydropterin pyrophosphokinase-dihydropteroate synthase")</f>
        <v>hydroxymethyldihydropterin pyrophosphokinase-dihydropteroate synthase</v>
      </c>
      <c r="AI94" t="str">
        <f>HYPERLINK("http://www.ncbi.nlm.nih.gov/sutils/blink.cgi?pid=2731631","7.0")</f>
        <v>7.0</v>
      </c>
      <c r="AJ94" t="s">
        <v>484</v>
      </c>
      <c r="AK94">
        <v>56</v>
      </c>
      <c r="AL94">
        <v>3</v>
      </c>
      <c r="AM94">
        <v>9</v>
      </c>
      <c r="AN94" t="s">
        <v>485</v>
      </c>
      <c r="AO94">
        <v>3</v>
      </c>
      <c r="AP94">
        <v>5</v>
      </c>
      <c r="AQ94">
        <v>1</v>
      </c>
      <c r="AR94" s="4" t="s">
        <v>196</v>
      </c>
      <c r="AS94" t="s">
        <v>196</v>
      </c>
      <c r="AT94" t="s">
        <v>196</v>
      </c>
      <c r="AU94" t="s">
        <v>196</v>
      </c>
      <c r="AV94" t="s">
        <v>196</v>
      </c>
      <c r="AW94" t="s">
        <v>196</v>
      </c>
      <c r="AX94" t="s">
        <v>196</v>
      </c>
      <c r="AY94" s="4" t="str">
        <f>HYPERLINK("http://exon.niaid.nih.gov/transcriptome/O_coriaceus/Sup2/links/KOG/OC-639-KOG.txt","Predicted membrane protein")</f>
        <v>Predicted membrane protein</v>
      </c>
      <c r="AZ94" t="str">
        <f>HYPERLINK("http://www.ncbi.nlm.nih.gov/COG/grace/shokog.cgi?KOG2490","0.016")</f>
        <v>0.016</v>
      </c>
      <c r="BA94" t="s">
        <v>316</v>
      </c>
      <c r="BB94" s="4" t="s">
        <v>196</v>
      </c>
      <c r="BC94" t="s">
        <v>196</v>
      </c>
      <c r="BD94" t="s">
        <v>196</v>
      </c>
      <c r="BE94" s="4" t="s">
        <v>196</v>
      </c>
      <c r="BF94" t="s">
        <v>196</v>
      </c>
      <c r="BG94" s="4" t="s">
        <v>196</v>
      </c>
      <c r="BH94" t="s">
        <v>196</v>
      </c>
      <c r="BI94" s="2">
        <v>60</v>
      </c>
      <c r="BJ94" s="1">
        <v>1</v>
      </c>
      <c r="BK94" s="2">
        <v>64</v>
      </c>
      <c r="BL94" s="1">
        <v>1</v>
      </c>
      <c r="BM94" s="2">
        <v>64</v>
      </c>
      <c r="BN94" s="1">
        <v>1</v>
      </c>
      <c r="BO94" s="2">
        <v>68</v>
      </c>
      <c r="BP94" s="1">
        <v>1</v>
      </c>
      <c r="BQ94" s="2">
        <v>73</v>
      </c>
      <c r="BR94" s="1">
        <v>1</v>
      </c>
      <c r="BS94" s="2">
        <v>76</v>
      </c>
      <c r="BT94" s="1">
        <v>1</v>
      </c>
      <c r="BU94" s="2">
        <v>83</v>
      </c>
      <c r="BV94" s="1">
        <v>1</v>
      </c>
    </row>
    <row r="95" spans="1:74" ht="10.5">
      <c r="A95" t="str">
        <f>HYPERLINK("http://exon.niaid.nih.gov/transcriptome/O_coriaceus/Sup2/links/pep/OC-73-pep.txt","OC-73")</f>
        <v>OC-73</v>
      </c>
      <c r="B95" s="1" t="s">
        <v>114</v>
      </c>
      <c r="C95">
        <v>68</v>
      </c>
      <c r="D95" t="s">
        <v>124</v>
      </c>
      <c r="E95" t="str">
        <f>HYPERLINK("http://exon.niaid.nih.gov/transcriptome/O_coriaceus/Sup2/links/nuc/OC-73-nuc.txt","OC-73")</f>
        <v>OC-73</v>
      </c>
      <c r="F95" s="1" t="s">
        <v>195</v>
      </c>
      <c r="G95" s="1" t="s">
        <v>194</v>
      </c>
      <c r="H95" s="5" t="str">
        <f>HYPERLINK("http://exon.niaid.nih.gov/transcriptome/O_coriaceus/Sup2/links/Sigp/OC-73-SigP.txt","SIG")</f>
        <v>SIG</v>
      </c>
      <c r="I95" t="s">
        <v>544</v>
      </c>
      <c r="J95" s="1">
        <v>7.459</v>
      </c>
      <c r="K95" s="1">
        <v>8.98</v>
      </c>
      <c r="L95" s="1">
        <v>5.648</v>
      </c>
      <c r="M95" s="1">
        <v>8.47</v>
      </c>
      <c r="N95" s="19" t="s">
        <v>67</v>
      </c>
      <c r="O95" s="5" t="str">
        <f>HYPERLINK("http://exon.niaid.nih.gov/transcriptome/O_coriaceus/Sup2/links/netoglyc/OC-73-netoglyc.txt","0")</f>
        <v>0</v>
      </c>
      <c r="P95" s="1">
        <v>16.2</v>
      </c>
      <c r="Q95" s="1">
        <v>8.8</v>
      </c>
      <c r="R95" s="1">
        <v>4.4</v>
      </c>
      <c r="S95" s="27" t="s">
        <v>196</v>
      </c>
      <c r="U95" s="4" t="str">
        <f>HYPERLINK("http://exon.niaid.nih.gov/transcriptome/O_coriaceus/Sup2/links/OCORI-EST/OC-73-OCORI-EST.txt","OCL-PLATE03_H05")</f>
        <v>OCL-PLATE03_H05</v>
      </c>
      <c r="V95" s="1">
        <v>1E-116</v>
      </c>
      <c r="W95" s="5" t="str">
        <f>HYPERLINK("http://exon.niaid.nih.gov/transcriptome/O_coriaceus/Sup2/links/OCORI-EST/OC-73-OCORI-EST.txt"," 4")</f>
        <v> 4</v>
      </c>
      <c r="Y95" s="22" t="s">
        <v>196</v>
      </c>
      <c r="AC95" s="22" t="s">
        <v>196</v>
      </c>
      <c r="AH95" s="4" t="str">
        <f>HYPERLINK("http://exon.niaid.nih.gov/transcriptome/O_coriaceus/Sup2/links/NR/OC-73-NR.txt","hypothetical protein TTHERM_00186030 [Tetrahymena thermophila SB210]")</f>
        <v>hypothetical protein TTHERM_00186030 [Tetrahymena thermophila SB210]</v>
      </c>
      <c r="AI95" t="str">
        <f>HYPERLINK("http://www.ncbi.nlm.nih.gov/sutils/blink.cgi?pid=118351179","1.9")</f>
        <v>1.9</v>
      </c>
      <c r="AJ95" t="s">
        <v>500</v>
      </c>
      <c r="AK95">
        <v>31</v>
      </c>
      <c r="AL95">
        <v>4</v>
      </c>
      <c r="AM95">
        <v>770</v>
      </c>
      <c r="AN95" t="s">
        <v>501</v>
      </c>
      <c r="AO95">
        <v>1</v>
      </c>
      <c r="AP95">
        <v>1</v>
      </c>
      <c r="AQ95">
        <v>1</v>
      </c>
      <c r="AR95" s="4" t="s">
        <v>196</v>
      </c>
      <c r="AS95" t="s">
        <v>196</v>
      </c>
      <c r="AT95" t="s">
        <v>196</v>
      </c>
      <c r="AU95" t="s">
        <v>196</v>
      </c>
      <c r="AV95" t="s">
        <v>196</v>
      </c>
      <c r="AW95" t="s">
        <v>196</v>
      </c>
      <c r="AX95" t="s">
        <v>196</v>
      </c>
      <c r="AY95" s="4" t="s">
        <v>196</v>
      </c>
      <c r="AZ95" t="s">
        <v>196</v>
      </c>
      <c r="BA95" t="s">
        <v>196</v>
      </c>
      <c r="BB95" s="4" t="s">
        <v>196</v>
      </c>
      <c r="BC95" t="s">
        <v>196</v>
      </c>
      <c r="BD95" t="s">
        <v>196</v>
      </c>
      <c r="BE95" s="4" t="str">
        <f>HYPERLINK("http://exon.niaid.nih.gov/transcriptome/O_coriaceus/Sup2/links/PFAM/OC-73-PFAM.txt","PYST-C1")</f>
        <v>PYST-C1</v>
      </c>
      <c r="BF95" t="str">
        <f>HYPERLINK("http://pfam.janelia.org/cgi-bin/getdesc?acc=PF09690","0.76")</f>
        <v>0.76</v>
      </c>
      <c r="BG95" s="4" t="s">
        <v>196</v>
      </c>
      <c r="BH95" t="s">
        <v>196</v>
      </c>
      <c r="BI95" s="2">
        <v>66</v>
      </c>
      <c r="BJ95" s="1">
        <v>1</v>
      </c>
      <c r="BK95" s="2">
        <v>70</v>
      </c>
      <c r="BL95" s="1">
        <v>1</v>
      </c>
      <c r="BM95" s="2">
        <v>70</v>
      </c>
      <c r="BN95" s="1">
        <v>1</v>
      </c>
      <c r="BO95" s="2">
        <v>75</v>
      </c>
      <c r="BP95" s="1">
        <v>1</v>
      </c>
      <c r="BQ95" s="2">
        <v>80</v>
      </c>
      <c r="BR95" s="1">
        <v>1</v>
      </c>
      <c r="BS95" s="2">
        <v>84</v>
      </c>
      <c r="BT95" s="1">
        <v>1</v>
      </c>
      <c r="BU95" s="2">
        <v>91</v>
      </c>
      <c r="BV95" s="1">
        <v>1</v>
      </c>
    </row>
    <row r="96" spans="1:74" ht="10.5">
      <c r="A96" t="str">
        <f>HYPERLINK("http://exon.niaid.nih.gov/transcriptome/O_coriaceus/Sup2/links/pep/OC-97-pep.txt","OC-97")</f>
        <v>OC-97</v>
      </c>
      <c r="B96" s="1" t="s">
        <v>114</v>
      </c>
      <c r="C96">
        <v>71</v>
      </c>
      <c r="D96" t="s">
        <v>124</v>
      </c>
      <c r="E96" t="str">
        <f>HYPERLINK("http://exon.niaid.nih.gov/transcriptome/O_coriaceus/Sup2/links/nuc/OC-97-nuc.txt","OC-97")</f>
        <v>OC-97</v>
      </c>
      <c r="F96" s="1" t="s">
        <v>195</v>
      </c>
      <c r="G96" s="1" t="s">
        <v>194</v>
      </c>
      <c r="H96" s="5" t="str">
        <f>HYPERLINK("http://exon.niaid.nih.gov/transcriptome/O_coriaceus/Sup2/links/Sigp/OC-97-SigP.txt","SIG")</f>
        <v>SIG</v>
      </c>
      <c r="I96" t="s">
        <v>542</v>
      </c>
      <c r="J96" s="1">
        <v>7.321</v>
      </c>
      <c r="K96" s="1">
        <v>3.85</v>
      </c>
      <c r="L96" s="1">
        <v>5.134</v>
      </c>
      <c r="M96" s="1">
        <v>3.66</v>
      </c>
      <c r="N96" s="19" t="s">
        <v>68</v>
      </c>
      <c r="O96" s="5" t="str">
        <f>HYPERLINK("http://exon.niaid.nih.gov/transcriptome/O_coriaceus/Sup2/links/netoglyc/OC-97-netoglyc.txt","7")</f>
        <v>7</v>
      </c>
      <c r="P96" s="1">
        <v>14.1</v>
      </c>
      <c r="Q96" s="1">
        <v>5.6</v>
      </c>
      <c r="R96" s="1">
        <v>11.3</v>
      </c>
      <c r="S96" s="27" t="s">
        <v>196</v>
      </c>
      <c r="U96" s="4" t="str">
        <f>HYPERLINK("http://exon.niaid.nih.gov/transcriptome/O_coriaceus/Sup2/links/OCORI-EST/OC-97-OCORI-EST.txt","OCL-P11_E01")</f>
        <v>OCL-P11_E01</v>
      </c>
      <c r="V96" s="1">
        <v>1E-115</v>
      </c>
      <c r="W96" s="5" t="str">
        <f>HYPERLINK("http://exon.niaid.nih.gov/transcriptome/O_coriaceus/Sup2/links/OCORI-EST/OC-97-OCORI-EST.txt"," 2")</f>
        <v> 2</v>
      </c>
      <c r="Y96" s="22" t="s">
        <v>196</v>
      </c>
      <c r="AC96" s="22" t="s">
        <v>196</v>
      </c>
      <c r="AH96" s="4" t="str">
        <f>HYPERLINK("http://exon.niaid.nih.gov/transcriptome/O_coriaceus/Sup2/links/NR/OC-97-NR.txt","TonB-dependent receptor [Shewanella sediminis HAW-EB3]")</f>
        <v>TonB-dependent receptor [Shewanella sediminis HAW-EB3]</v>
      </c>
      <c r="AI96" t="str">
        <f>HYPERLINK("http://www.ncbi.nlm.nih.gov/sutils/blink.cgi?pid=157374635","2.9")</f>
        <v>2.9</v>
      </c>
      <c r="AJ96" t="s">
        <v>531</v>
      </c>
      <c r="AK96">
        <v>37</v>
      </c>
      <c r="AL96">
        <v>8</v>
      </c>
      <c r="AM96">
        <v>9</v>
      </c>
      <c r="AN96" t="s">
        <v>532</v>
      </c>
      <c r="AO96">
        <v>1</v>
      </c>
      <c r="AP96">
        <v>1</v>
      </c>
      <c r="AQ96">
        <v>1</v>
      </c>
      <c r="AR96" s="4" t="s">
        <v>196</v>
      </c>
      <c r="AS96" t="s">
        <v>196</v>
      </c>
      <c r="AT96" t="s">
        <v>196</v>
      </c>
      <c r="AU96" t="s">
        <v>196</v>
      </c>
      <c r="AV96" t="s">
        <v>196</v>
      </c>
      <c r="AW96" t="s">
        <v>196</v>
      </c>
      <c r="AX96" t="s">
        <v>196</v>
      </c>
      <c r="AY96" s="4" t="s">
        <v>196</v>
      </c>
      <c r="AZ96" t="s">
        <v>196</v>
      </c>
      <c r="BA96" t="s">
        <v>196</v>
      </c>
      <c r="BB96" s="4" t="s">
        <v>196</v>
      </c>
      <c r="BC96" t="s">
        <v>196</v>
      </c>
      <c r="BD96" t="s">
        <v>196</v>
      </c>
      <c r="BE96" s="4" t="str">
        <f>HYPERLINK("http://exon.niaid.nih.gov/transcriptome/O_coriaceus/Sup2/links/PFAM/OC-97-PFAM.txt","DUF940")</f>
        <v>DUF940</v>
      </c>
      <c r="BF96" t="str">
        <f>HYPERLINK("http://pfam.janelia.org/cgi-bin/getdesc?acc=PF06082","0.43")</f>
        <v>0.43</v>
      </c>
      <c r="BG96" s="4" t="s">
        <v>196</v>
      </c>
      <c r="BH96" t="s">
        <v>196</v>
      </c>
      <c r="BI96" s="2">
        <v>74</v>
      </c>
      <c r="BJ96" s="1">
        <v>1</v>
      </c>
      <c r="BK96" s="2">
        <v>78</v>
      </c>
      <c r="BL96" s="1">
        <v>1</v>
      </c>
      <c r="BM96" s="2">
        <v>79</v>
      </c>
      <c r="BN96" s="1">
        <v>1</v>
      </c>
      <c r="BO96" s="2">
        <v>84</v>
      </c>
      <c r="BP96" s="1">
        <v>1</v>
      </c>
      <c r="BQ96" s="2">
        <v>91</v>
      </c>
      <c r="BR96" s="1">
        <v>1</v>
      </c>
      <c r="BS96" s="2">
        <v>95</v>
      </c>
      <c r="BT96" s="1">
        <v>1</v>
      </c>
      <c r="BU96" s="2">
        <v>103</v>
      </c>
      <c r="BV96" s="1">
        <v>1</v>
      </c>
    </row>
    <row r="97" spans="1:74" ht="10.5">
      <c r="A97" t="str">
        <f>HYPERLINK("http://exon.niaid.nih.gov/transcriptome/O_coriaceus/Sup2/links/pep/OC-129-pep.txt","OC-129")</f>
        <v>OC-129</v>
      </c>
      <c r="B97" s="1" t="s">
        <v>114</v>
      </c>
      <c r="C97">
        <v>73</v>
      </c>
      <c r="D97" t="s">
        <v>124</v>
      </c>
      <c r="E97" t="str">
        <f>HYPERLINK("http://exon.niaid.nih.gov/transcriptome/O_coriaceus/Sup2/links/nuc/OC-129-nuc.txt","OC-129")</f>
        <v>OC-129</v>
      </c>
      <c r="F97" s="1" t="s">
        <v>195</v>
      </c>
      <c r="G97" s="1" t="s">
        <v>194</v>
      </c>
      <c r="H97" s="5" t="str">
        <f>HYPERLINK("http://exon.niaid.nih.gov/transcriptome/O_coriaceus/Sup2/links/Sigp/OC-129-SigP.txt","SIG")</f>
        <v>SIG</v>
      </c>
      <c r="I97" t="s">
        <v>540</v>
      </c>
      <c r="J97" s="1">
        <v>7.833</v>
      </c>
      <c r="K97" s="1">
        <v>7.6</v>
      </c>
      <c r="L97" s="1">
        <v>5.599</v>
      </c>
      <c r="M97" s="1">
        <v>6.03</v>
      </c>
      <c r="N97" s="19" t="s">
        <v>69</v>
      </c>
      <c r="O97" s="5" t="str">
        <f>HYPERLINK("http://exon.niaid.nih.gov/transcriptome/O_coriaceus/Sup2/links/netoglyc/OC-129-netoglyc.txt","0")</f>
        <v>0</v>
      </c>
      <c r="P97" s="1">
        <v>9.6</v>
      </c>
      <c r="Q97" s="1">
        <v>5.5</v>
      </c>
      <c r="R97" s="1">
        <v>4.1</v>
      </c>
      <c r="S97" s="27" t="s">
        <v>196</v>
      </c>
      <c r="U97" s="4" t="str">
        <f>HYPERLINK("http://exon.niaid.nih.gov/transcriptome/O_coriaceus/Sup2/links/OCORI-EST/OC-129-OCORI-EST.txt","OCM-PLATE08_C09")</f>
        <v>OCM-PLATE08_C09</v>
      </c>
      <c r="V97" s="1">
        <v>1E-125</v>
      </c>
      <c r="W97" s="5" t="str">
        <f>HYPERLINK("http://exon.niaid.nih.gov/transcriptome/O_coriaceus/Sup2/links/OCORI-EST/OC-129-OCORI-EST.txt"," 3")</f>
        <v> 3</v>
      </c>
      <c r="Y97" s="22" t="s">
        <v>196</v>
      </c>
      <c r="AC97" s="22" t="str">
        <f>HYPERLINK("http://exon.niaid.nih.gov/transcriptome/O_coriaceus/Sup2/links/OC-1D/OC-129-OC-1D.txt","P17_99 |")</f>
        <v>P17_99 |</v>
      </c>
      <c r="AE97" s="1" t="s">
        <v>196</v>
      </c>
      <c r="AH97" s="4" t="str">
        <f>HYPERLINK("http://exon.niaid.nih.gov/transcriptome/O_coriaceus/Sup2/links/NR/OC-129-NR.txt","putative sulfite oxidase protein [Rhizobium etli CFN 42]")</f>
        <v>putative sulfite oxidase protein [Rhizobium etli CFN 42]</v>
      </c>
      <c r="AI97" t="str">
        <f>HYPERLINK("http://www.ncbi.nlm.nih.gov/sutils/blink.cgi?pid=86358560","3.5")</f>
        <v>3.5</v>
      </c>
      <c r="AJ97" t="s">
        <v>296</v>
      </c>
      <c r="AK97">
        <v>59</v>
      </c>
      <c r="AL97">
        <v>7</v>
      </c>
      <c r="AM97">
        <v>320</v>
      </c>
      <c r="AN97" t="s">
        <v>297</v>
      </c>
      <c r="AO97">
        <v>1</v>
      </c>
      <c r="AP97">
        <v>1</v>
      </c>
      <c r="AQ97">
        <v>1</v>
      </c>
      <c r="AR97" s="4" t="s">
        <v>196</v>
      </c>
      <c r="AS97" t="s">
        <v>196</v>
      </c>
      <c r="AT97" t="s">
        <v>196</v>
      </c>
      <c r="AU97" t="s">
        <v>196</v>
      </c>
      <c r="AV97" t="s">
        <v>196</v>
      </c>
      <c r="AW97" t="s">
        <v>196</v>
      </c>
      <c r="AX97" t="s">
        <v>196</v>
      </c>
      <c r="AY97" s="4" t="s">
        <v>196</v>
      </c>
      <c r="AZ97" t="s">
        <v>196</v>
      </c>
      <c r="BA97" t="s">
        <v>196</v>
      </c>
      <c r="BB97" s="4" t="str">
        <f>HYPERLINK("http://exon.niaid.nih.gov/transcriptome/O_coriaceus/Sup2/links/CDD/OC-129-CDD.txt","glmU")</f>
        <v>glmU</v>
      </c>
      <c r="BC97" t="str">
        <f>HYPERLINK("http://www.ncbi.nlm.nih.gov/Structure/cdd/cddsrv.cgi?uid=PRK09451&amp;version=v4.0","0.38")</f>
        <v>0.38</v>
      </c>
      <c r="BD97" t="s">
        <v>298</v>
      </c>
      <c r="BE97" s="4" t="s">
        <v>196</v>
      </c>
      <c r="BF97" t="s">
        <v>196</v>
      </c>
      <c r="BG97" s="4" t="s">
        <v>196</v>
      </c>
      <c r="BH97" t="s">
        <v>196</v>
      </c>
      <c r="BI97" s="2">
        <v>20</v>
      </c>
      <c r="BJ97" s="1">
        <v>1</v>
      </c>
      <c r="BK97" s="2">
        <v>22</v>
      </c>
      <c r="BL97" s="1">
        <v>1</v>
      </c>
      <c r="BM97" s="2">
        <v>21</v>
      </c>
      <c r="BN97" s="1">
        <v>1</v>
      </c>
      <c r="BO97" s="2">
        <v>23</v>
      </c>
      <c r="BP97" s="1">
        <v>1</v>
      </c>
      <c r="BQ97" s="2">
        <v>20</v>
      </c>
      <c r="BR97" s="1">
        <v>1</v>
      </c>
      <c r="BS97" s="2">
        <v>20</v>
      </c>
      <c r="BT97" s="1">
        <v>1</v>
      </c>
      <c r="BU97" s="2">
        <v>13</v>
      </c>
      <c r="BV97" s="1">
        <v>1</v>
      </c>
    </row>
    <row r="98" spans="1:33" s="14" customFormat="1" ht="10.5">
      <c r="A98" s="13" t="s">
        <v>264</v>
      </c>
      <c r="H98" s="15"/>
      <c r="N98" s="17" t="s">
        <v>196</v>
      </c>
      <c r="O98" s="15"/>
      <c r="P98" s="15"/>
      <c r="Q98" s="15"/>
      <c r="R98" s="15"/>
      <c r="S98" s="17" t="s">
        <v>196</v>
      </c>
      <c r="W98" s="15"/>
      <c r="X98" s="17"/>
      <c r="Y98" s="20" t="s">
        <v>196</v>
      </c>
      <c r="Z98" s="17"/>
      <c r="AA98" s="15"/>
      <c r="AB98" s="15"/>
      <c r="AC98" s="20" t="s">
        <v>196</v>
      </c>
      <c r="AD98" s="17"/>
      <c r="AE98" s="15"/>
      <c r="AF98" s="15"/>
      <c r="AG98" s="24"/>
    </row>
    <row r="99" spans="1:33" s="6" customFormat="1" ht="10.5">
      <c r="A99" s="12" t="s">
        <v>561</v>
      </c>
      <c r="H99" s="11"/>
      <c r="N99" s="18" t="s">
        <v>196</v>
      </c>
      <c r="O99" s="11"/>
      <c r="P99" s="11"/>
      <c r="Q99" s="11"/>
      <c r="R99" s="11"/>
      <c r="S99" s="18" t="s">
        <v>196</v>
      </c>
      <c r="W99" s="11"/>
      <c r="X99" s="18"/>
      <c r="Y99" s="21" t="s">
        <v>196</v>
      </c>
      <c r="Z99" s="18"/>
      <c r="AA99" s="11"/>
      <c r="AB99" s="11"/>
      <c r="AC99" s="21" t="s">
        <v>196</v>
      </c>
      <c r="AD99" s="18"/>
      <c r="AE99" s="11"/>
      <c r="AF99" s="11"/>
      <c r="AG99" s="25"/>
    </row>
    <row r="100" spans="1:74" ht="10.5">
      <c r="A100" t="str">
        <f>HYPERLINK("http://exon.niaid.nih.gov/transcriptome/O_coriaceus/Sup2/links/pep/OC-75-pep.txt","OC-75")</f>
        <v>OC-75</v>
      </c>
      <c r="B100" s="1" t="s">
        <v>126</v>
      </c>
      <c r="C100">
        <v>101</v>
      </c>
      <c r="D100" t="s">
        <v>185</v>
      </c>
      <c r="E100" t="str">
        <f>HYPERLINK("http://exon.niaid.nih.gov/transcriptome/O_coriaceus/Sup2/links/nuc/OC-75-nuc.txt","OC-75")</f>
        <v>OC-75</v>
      </c>
      <c r="F100" s="1" t="s">
        <v>196</v>
      </c>
      <c r="G100" s="1" t="s">
        <v>194</v>
      </c>
      <c r="H100" s="5" t="str">
        <f>HYPERLINK("http://exon.niaid.nih.gov/transcriptome/O_coriaceus/Sup2/links/Sigp/OC-75-SigP.txt","CYT")</f>
        <v>CYT</v>
      </c>
      <c r="I100" t="s">
        <v>196</v>
      </c>
      <c r="J100" s="1">
        <v>11.474</v>
      </c>
      <c r="K100" s="1">
        <v>9.59</v>
      </c>
      <c r="N100" s="19" t="s">
        <v>76</v>
      </c>
      <c r="O100" s="5" t="str">
        <f>HYPERLINK("http://exon.niaid.nih.gov/transcriptome/O_coriaceus/Sup2/links/netoglyc/OC-75-netoglyc.txt","0")</f>
        <v>0</v>
      </c>
      <c r="P100" s="1">
        <v>12.9</v>
      </c>
      <c r="Q100" s="1">
        <v>9.9</v>
      </c>
      <c r="R100" s="1">
        <v>3</v>
      </c>
      <c r="S100" s="27" t="s">
        <v>196</v>
      </c>
      <c r="U100" s="4" t="str">
        <f>HYPERLINK("http://exon.niaid.nih.gov/transcriptome/O_coriaceus/Sup2/links/OCORI-EST/OC-75-OCORI-EST.txt","OCL-PLATE04_D05")</f>
        <v>OCL-PLATE04_D05</v>
      </c>
      <c r="V100" s="1">
        <v>1E-168</v>
      </c>
      <c r="W100" s="5" t="str">
        <f>HYPERLINK("http://exon.niaid.nih.gov/transcriptome/O_coriaceus/Sup2/links/OCORI-EST/OC-75-OCORI-EST.txt"," 5")</f>
        <v> 5</v>
      </c>
      <c r="Y100" s="22" t="s">
        <v>196</v>
      </c>
      <c r="AC100" s="22" t="str">
        <f>HYPERLINK("http://exon.niaid.nih.gov/transcriptome/O_coriaceus/Sup2/links/OC-1D/OC-75-OC-1D.txt","S21_46 |")</f>
        <v>S21_46 |</v>
      </c>
      <c r="AE100" s="1" t="s">
        <v>196</v>
      </c>
      <c r="AH100" s="4" t="str">
        <f>HYPERLINK("http://exon.niaid.nih.gov/transcriptome/O_coriaceus/Sup2/links/NR/OC-75-NR.txt","salivary lipid interacting protein")</f>
        <v>salivary lipid interacting protein</v>
      </c>
      <c r="AI100" t="str">
        <f>HYPERLINK("http://www.ncbi.nlm.nih.gov/sutils/blink.cgi?pid=149286902","3E-038")</f>
        <v>3E-038</v>
      </c>
      <c r="AJ100" t="s">
        <v>502</v>
      </c>
      <c r="AK100">
        <v>82</v>
      </c>
      <c r="AL100">
        <v>54</v>
      </c>
      <c r="AM100">
        <v>87</v>
      </c>
      <c r="AN100" t="s">
        <v>230</v>
      </c>
      <c r="AO100">
        <v>87</v>
      </c>
      <c r="AP100">
        <v>2</v>
      </c>
      <c r="AQ100">
        <v>1</v>
      </c>
      <c r="AR100" s="4" t="s">
        <v>196</v>
      </c>
      <c r="AS100" t="s">
        <v>196</v>
      </c>
      <c r="AT100" t="s">
        <v>196</v>
      </c>
      <c r="AU100" t="s">
        <v>196</v>
      </c>
      <c r="AV100" t="s">
        <v>196</v>
      </c>
      <c r="AW100" t="s">
        <v>196</v>
      </c>
      <c r="AX100" t="s">
        <v>196</v>
      </c>
      <c r="AY100" s="4" t="str">
        <f>HYPERLINK("http://exon.niaid.nih.gov/transcriptome/O_coriaceus/Sup2/links/KOG/OC-75-KOG.txt","Clathrin-associated protein medium chain")</f>
        <v>Clathrin-associated protein medium chain</v>
      </c>
      <c r="AZ100" t="str">
        <f>HYPERLINK("http://www.ncbi.nlm.nih.gov/COG/grace/shokog.cgi?KOG2740","0.035")</f>
        <v>0.035</v>
      </c>
      <c r="BA100" t="s">
        <v>503</v>
      </c>
      <c r="BB100" s="4" t="str">
        <f>HYPERLINK("http://exon.niaid.nih.gov/transcriptome/O_coriaceus/Sup2/links/CDD/OC-75-CDD.txt","Npc2_like")</f>
        <v>Npc2_like</v>
      </c>
      <c r="BC100" t="str">
        <f>HYPERLINK("http://www.ncbi.nlm.nih.gov/Structure/cdd/cddsrv.cgi?uid=cd00916&amp;version=v4.0","0.39")</f>
        <v>0.39</v>
      </c>
      <c r="BD100" t="s">
        <v>504</v>
      </c>
      <c r="BE100" s="4" t="str">
        <f>HYPERLINK("http://exon.niaid.nih.gov/transcriptome/O_coriaceus/Sup2/links/PFAM/OC-75-PFAM.txt","DUF1852")</f>
        <v>DUF1852</v>
      </c>
      <c r="BF100" t="str">
        <f>HYPERLINK("http://pfam.janelia.org/cgi-bin/getdesc?acc=PF08908","0.58")</f>
        <v>0.58</v>
      </c>
      <c r="BG100" s="4" t="str">
        <f>HYPERLINK("http://exon.niaid.nih.gov/transcriptome/O_coriaceus/Sup2/links/SMART/OC-75-SMART.txt","MYSc")</f>
        <v>MYSc</v>
      </c>
      <c r="BH100" t="str">
        <f>HYPERLINK("http://smart.embl-heidelberg.de/smart/do_annotation.pl?DOMAIN=MYSc&amp;BLAST=DUMMY","0.45")</f>
        <v>0.45</v>
      </c>
      <c r="BI100" s="2">
        <v>67</v>
      </c>
      <c r="BJ100" s="1">
        <v>1</v>
      </c>
      <c r="BK100" s="2">
        <v>71</v>
      </c>
      <c r="BL100" s="1">
        <v>1</v>
      </c>
      <c r="BM100" s="2">
        <v>71</v>
      </c>
      <c r="BN100" s="1">
        <v>1</v>
      </c>
      <c r="BO100" s="2">
        <v>76</v>
      </c>
      <c r="BP100" s="1">
        <v>1</v>
      </c>
      <c r="BQ100" s="2">
        <v>81</v>
      </c>
      <c r="BR100" s="1">
        <v>1</v>
      </c>
      <c r="BS100" s="2">
        <v>85</v>
      </c>
      <c r="BT100" s="1">
        <v>1</v>
      </c>
      <c r="BU100" s="2">
        <v>92</v>
      </c>
      <c r="BV100" s="1">
        <v>1</v>
      </c>
    </row>
    <row r="101" spans="1:74" ht="10.5">
      <c r="A101" t="str">
        <f>HYPERLINK("http://exon.niaid.nih.gov/transcriptome/O_coriaceus/Sup2/links/pep/OC-467-pep.txt","OC-467")</f>
        <v>OC-467</v>
      </c>
      <c r="B101" s="1" t="s">
        <v>114</v>
      </c>
      <c r="C101">
        <v>158</v>
      </c>
      <c r="D101" t="s">
        <v>151</v>
      </c>
      <c r="E101" t="str">
        <f>HYPERLINK("http://exon.niaid.nih.gov/transcriptome/O_coriaceus/Sup2/links/nuc/OC-467-nuc.txt","OC-467")</f>
        <v>OC-467</v>
      </c>
      <c r="F101" s="1" t="s">
        <v>195</v>
      </c>
      <c r="G101" s="1" t="s">
        <v>194</v>
      </c>
      <c r="H101" s="5" t="str">
        <f>HYPERLINK("http://exon.niaid.nih.gov/transcriptome/O_coriaceus/Sup2/links/Sigp/OC-467-SigP.txt","SIG")</f>
        <v>SIG</v>
      </c>
      <c r="I101" t="s">
        <v>545</v>
      </c>
      <c r="J101" s="1">
        <v>18.007</v>
      </c>
      <c r="K101" s="1">
        <v>8.72</v>
      </c>
      <c r="L101" s="1">
        <v>16.002</v>
      </c>
      <c r="M101" s="1">
        <v>8.82</v>
      </c>
      <c r="N101" s="19" t="s">
        <v>77</v>
      </c>
      <c r="O101" s="5" t="str">
        <f>HYPERLINK("http://exon.niaid.nih.gov/transcriptome/O_coriaceus/Sup2/links/netoglyc/OC-467-netoglyc.txt","0")</f>
        <v>0</v>
      </c>
      <c r="P101" s="1">
        <v>13.9</v>
      </c>
      <c r="Q101" s="1">
        <v>7.6</v>
      </c>
      <c r="R101" s="1">
        <v>4.4</v>
      </c>
      <c r="S101" s="27" t="s">
        <v>196</v>
      </c>
      <c r="U101" s="4" t="str">
        <f>HYPERLINK("http://exon.niaid.nih.gov/transcriptome/O_coriaceus/Sup2/links/OCORI-EST/OC-467-OCORI-EST.txt","OCL-PLATE04_C06")</f>
        <v>OCL-PLATE04_C06</v>
      </c>
      <c r="V101" s="1">
        <v>0</v>
      </c>
      <c r="W101" s="5" t="str">
        <f>HYPERLINK("http://exon.niaid.nih.gov/transcriptome/O_coriaceus/Sup2/links/OCORI-EST/OC-467-OCORI-EST.txt"," 3")</f>
        <v> 3</v>
      </c>
      <c r="Y101" s="22" t="s">
        <v>196</v>
      </c>
      <c r="AC101" s="22" t="str">
        <f>HYPERLINK("http://exon.niaid.nih.gov/transcriptome/O_coriaceus/Sup2/links/OC-1D/OC-467-OC-1D.txt","S23_92 |S25_67 |")</f>
        <v>S23_92 |S25_67 |</v>
      </c>
      <c r="AE101" s="1" t="s">
        <v>196</v>
      </c>
      <c r="AH101" s="4" t="str">
        <f>HYPERLINK("http://exon.niaid.nih.gov/transcriptome/O_coriaceus/Sup2/links/NR/OC-467-NR.txt","17.7 kDa putative secretory protein")</f>
        <v>17.7 kDa putative secretory protein</v>
      </c>
      <c r="AI101" t="str">
        <f>HYPERLINK("http://www.ncbi.nlm.nih.gov/sutils/blink.cgi?pid=114153074","6E-004")</f>
        <v>6E-004</v>
      </c>
      <c r="AJ101" t="s">
        <v>422</v>
      </c>
      <c r="AK101">
        <v>21</v>
      </c>
      <c r="AL101">
        <v>87</v>
      </c>
      <c r="AM101">
        <v>23</v>
      </c>
      <c r="AN101" t="s">
        <v>294</v>
      </c>
      <c r="AO101">
        <v>23</v>
      </c>
      <c r="AP101">
        <v>17</v>
      </c>
      <c r="AQ101">
        <v>1</v>
      </c>
      <c r="AR101" s="4" t="s">
        <v>196</v>
      </c>
      <c r="AS101" t="s">
        <v>196</v>
      </c>
      <c r="AT101" t="s">
        <v>196</v>
      </c>
      <c r="AU101" t="s">
        <v>196</v>
      </c>
      <c r="AV101" t="s">
        <v>196</v>
      </c>
      <c r="AW101" t="s">
        <v>196</v>
      </c>
      <c r="AX101" t="s">
        <v>196</v>
      </c>
      <c r="AY101" s="4" t="str">
        <f>HYPERLINK("http://exon.niaid.nih.gov/transcriptome/O_coriaceus/Sup2/links/KOG/OC-467-KOG.txt","Major epididymal secretory protein HE1")</f>
        <v>Major epididymal secretory protein HE1</v>
      </c>
      <c r="AZ101" t="str">
        <f>HYPERLINK("http://www.ncbi.nlm.nih.gov/COG/grace/shokog.cgi?KOG4063","0.18")</f>
        <v>0.18</v>
      </c>
      <c r="BA101" t="s">
        <v>316</v>
      </c>
      <c r="BB101" s="4" t="str">
        <f>HYPERLINK("http://exon.niaid.nih.gov/transcriptome/O_coriaceus/Sup2/links/CDD/OC-467-CDD.txt","Npc2_like")</f>
        <v>Npc2_like</v>
      </c>
      <c r="BC101" t="str">
        <f>HYPERLINK("http://www.ncbi.nlm.nih.gov/Structure/cdd/cddsrv.cgi?uid=cd00916&amp;version=v4.0","0.003")</f>
        <v>0.003</v>
      </c>
      <c r="BD101" t="s">
        <v>423</v>
      </c>
      <c r="BE101" s="4" t="str">
        <f>HYPERLINK("http://exon.niaid.nih.gov/transcriptome/O_coriaceus/Sup2/links/PFAM/OC-467-PFAM.txt","Aldose_epim")</f>
        <v>Aldose_epim</v>
      </c>
      <c r="BF101" t="str">
        <f>HYPERLINK("http://pfam.janelia.org/cgi-bin/getdesc?acc=PF01263","0.50")</f>
        <v>0.50</v>
      </c>
      <c r="BG101" s="4" t="s">
        <v>196</v>
      </c>
      <c r="BH101" t="s">
        <v>196</v>
      </c>
      <c r="BI101" s="2">
        <v>47</v>
      </c>
      <c r="BJ101" s="1">
        <v>1</v>
      </c>
      <c r="BK101" s="2">
        <v>50</v>
      </c>
      <c r="BL101" s="1">
        <v>1</v>
      </c>
      <c r="BM101" s="2">
        <v>49</v>
      </c>
      <c r="BN101" s="1">
        <v>1</v>
      </c>
      <c r="BO101" s="2">
        <v>52</v>
      </c>
      <c r="BP101" s="1">
        <v>1</v>
      </c>
      <c r="BQ101" s="2">
        <v>52</v>
      </c>
      <c r="BR101" s="1">
        <v>1</v>
      </c>
      <c r="BS101" s="2">
        <v>55</v>
      </c>
      <c r="BT101" s="1">
        <v>1</v>
      </c>
      <c r="BU101" s="2">
        <v>59</v>
      </c>
      <c r="BV101" s="1">
        <v>1</v>
      </c>
    </row>
    <row r="102" spans="1:33" s="6" customFormat="1" ht="10.5">
      <c r="A102" s="12" t="s">
        <v>251</v>
      </c>
      <c r="H102" s="11"/>
      <c r="N102" s="18" t="s">
        <v>196</v>
      </c>
      <c r="O102" s="11"/>
      <c r="P102" s="11"/>
      <c r="Q102" s="11"/>
      <c r="R102" s="11"/>
      <c r="S102" s="18" t="s">
        <v>196</v>
      </c>
      <c r="W102" s="11"/>
      <c r="X102" s="18"/>
      <c r="Y102" s="21" t="s">
        <v>196</v>
      </c>
      <c r="Z102" s="18"/>
      <c r="AA102" s="11"/>
      <c r="AB102" s="11"/>
      <c r="AC102" s="21" t="s">
        <v>196</v>
      </c>
      <c r="AD102" s="18"/>
      <c r="AE102" s="11"/>
      <c r="AF102" s="11"/>
      <c r="AG102" s="25"/>
    </row>
    <row r="103" spans="1:74" ht="10.5">
      <c r="A103" t="str">
        <f>HYPERLINK("http://exon.niaid.nih.gov/transcriptome/O_coriaceus/Sup2/links/pep/OC-134-pep.txt","OC-134")</f>
        <v>OC-134</v>
      </c>
      <c r="B103" s="1" t="s">
        <v>114</v>
      </c>
      <c r="C103">
        <v>64</v>
      </c>
      <c r="D103" t="s">
        <v>128</v>
      </c>
      <c r="E103" t="str">
        <f>HYPERLINK("http://exon.niaid.nih.gov/transcriptome/O_coriaceus/Sup2/links/nuc/OC-134-nuc.txt","OC-134")</f>
        <v>OC-134</v>
      </c>
      <c r="F103" s="1" t="s">
        <v>195</v>
      </c>
      <c r="G103" s="1" t="s">
        <v>194</v>
      </c>
      <c r="H103" s="5" t="str">
        <f>HYPERLINK("http://exon.niaid.nih.gov/transcriptome/O_coriaceus/Sup2/links/Sigp/OC-134-SigP.txt","ANC")</f>
        <v>ANC</v>
      </c>
      <c r="I103" t="s">
        <v>196</v>
      </c>
      <c r="J103" s="1">
        <v>7.311</v>
      </c>
      <c r="K103" s="1">
        <v>10.29</v>
      </c>
      <c r="N103" s="19" t="s">
        <v>78</v>
      </c>
      <c r="O103" s="5" t="str">
        <f>HYPERLINK("http://exon.niaid.nih.gov/transcriptome/O_coriaceus/Sup2/links/netoglyc/OC-134-netoglyc.txt","0")</f>
        <v>0</v>
      </c>
      <c r="P103" s="1">
        <v>9.4</v>
      </c>
      <c r="Q103" s="1">
        <v>4.7</v>
      </c>
      <c r="R103" s="1">
        <v>6.3</v>
      </c>
      <c r="S103" s="27" t="s">
        <v>196</v>
      </c>
      <c r="U103" s="4" t="str">
        <f>HYPERLINK("http://exon.niaid.nih.gov/transcriptome/O_coriaceus/Sup2/links/OCORI-EST/OC-134-OCORI-EST.txt","OCM-PLATE08_E12")</f>
        <v>OCM-PLATE08_E12</v>
      </c>
      <c r="V103" s="1">
        <v>1E-109</v>
      </c>
      <c r="W103" s="5" t="str">
        <f>HYPERLINK("http://exon.niaid.nih.gov/transcriptome/O_coriaceus/Sup2/links/OCORI-EST/OC-134-OCORI-EST.txt"," 1")</f>
        <v> 1</v>
      </c>
      <c r="Y103" s="22" t="s">
        <v>196</v>
      </c>
      <c r="AC103" s="22" t="s">
        <v>196</v>
      </c>
      <c r="AH103" s="4" t="str">
        <f>HYPERLINK("http://exon.niaid.nih.gov/transcriptome/O_coriaceus/Sup2/links/NR/OC-134-NR.txt","ribosome associated membrane protein 4")</f>
        <v>ribosome associated membrane protein 4</v>
      </c>
      <c r="AI103" t="str">
        <f>HYPERLINK("http://www.ncbi.nlm.nih.gov/sutils/blink.cgi?pid=67084013","6E-026")</f>
        <v>6E-026</v>
      </c>
      <c r="AJ103" t="s">
        <v>312</v>
      </c>
      <c r="AK103">
        <v>93</v>
      </c>
      <c r="AL103">
        <v>100</v>
      </c>
      <c r="AM103">
        <v>1</v>
      </c>
      <c r="AN103" t="s">
        <v>300</v>
      </c>
      <c r="AO103">
        <v>1</v>
      </c>
      <c r="AP103">
        <v>1</v>
      </c>
      <c r="AQ103">
        <v>1</v>
      </c>
      <c r="AR103" s="4" t="s">
        <v>313</v>
      </c>
      <c r="AS103">
        <f>HYPERLINK("http://exon.niaid.nih.gov/transcriptome/O_coriaceus/Sup2/links/GO/OC-134-GO.txt",0.0000000000000000001)</f>
        <v>1E-19</v>
      </c>
      <c r="AT103" t="s">
        <v>314</v>
      </c>
      <c r="AU103" t="s">
        <v>314</v>
      </c>
      <c r="AW103" t="s">
        <v>315</v>
      </c>
      <c r="AX103" s="3">
        <v>6E-17</v>
      </c>
      <c r="AY103" s="4" t="str">
        <f>HYPERLINK("http://exon.niaid.nih.gov/transcriptome/O_coriaceus/Sup2/links/KOG/OC-134-KOG.txt","Predicted membrane protein")</f>
        <v>Predicted membrane protein</v>
      </c>
      <c r="AZ103" t="str">
        <f>HYPERLINK("http://www.ncbi.nlm.nih.gov/COG/grace/shokog.cgi?KOG3491","5E-022")</f>
        <v>5E-022</v>
      </c>
      <c r="BA103" t="s">
        <v>316</v>
      </c>
      <c r="BB103" s="4" t="str">
        <f>HYPERLINK("http://exon.niaid.nih.gov/transcriptome/O_coriaceus/Sup2/links/CDD/OC-134-CDD.txt","RAMP4")</f>
        <v>RAMP4</v>
      </c>
      <c r="BC103" t="str">
        <f>HYPERLINK("http://www.ncbi.nlm.nih.gov/Structure/cdd/cddsrv.cgi?uid=pfam06624&amp;version=v4.0","2E-021")</f>
        <v>2E-021</v>
      </c>
      <c r="BD103" t="s">
        <v>317</v>
      </c>
      <c r="BE103" s="4" t="str">
        <f>HYPERLINK("http://exon.niaid.nih.gov/transcriptome/O_coriaceus/Sup2/links/PFAM/OC-134-PFAM.txt","RAMP4")</f>
        <v>RAMP4</v>
      </c>
      <c r="BF103" t="str">
        <f>HYPERLINK("http://pfam.janelia.org/cgi-bin/getdesc?acc=PF06624","6E-022")</f>
        <v>6E-022</v>
      </c>
      <c r="BG103" s="4" t="str">
        <f>HYPERLINK("http://exon.niaid.nih.gov/transcriptome/O_coriaceus/Sup2/links/SMART/OC-134-SMART.txt","MCM")</f>
        <v>MCM</v>
      </c>
      <c r="BH103" t="str">
        <f>HYPERLINK("http://smart.embl-heidelberg.de/smart/do_annotation.pl?DOMAIN=MCM&amp;BLAST=DUMMY","0.21")</f>
        <v>0.21</v>
      </c>
      <c r="BI103" s="2">
        <v>24</v>
      </c>
      <c r="BJ103" s="1">
        <v>1</v>
      </c>
      <c r="BK103" s="2">
        <v>26</v>
      </c>
      <c r="BL103" s="1">
        <v>1</v>
      </c>
      <c r="BM103" s="2">
        <v>25</v>
      </c>
      <c r="BN103" s="1">
        <v>1</v>
      </c>
      <c r="BO103" s="2">
        <v>27</v>
      </c>
      <c r="BP103" s="1">
        <v>1</v>
      </c>
      <c r="BQ103" s="2">
        <v>24</v>
      </c>
      <c r="BR103" s="1">
        <v>1</v>
      </c>
      <c r="BS103" s="2">
        <v>24</v>
      </c>
      <c r="BT103" s="1">
        <v>1</v>
      </c>
      <c r="BU103" s="2">
        <v>17</v>
      </c>
      <c r="BV103" s="1">
        <v>1</v>
      </c>
    </row>
    <row r="104" spans="1:74" ht="10.5">
      <c r="A104" t="str">
        <f>HYPERLINK("http://exon.niaid.nih.gov/transcriptome/O_coriaceus/Sup2/links/pep/OC-9-pep.txt","OC-9")</f>
        <v>OC-9</v>
      </c>
      <c r="B104" s="1" t="s">
        <v>189</v>
      </c>
      <c r="C104">
        <v>143</v>
      </c>
      <c r="D104" t="s">
        <v>190</v>
      </c>
      <c r="E104" t="str">
        <f>HYPERLINK("http://exon.niaid.nih.gov/transcriptome/O_coriaceus/Sup2/links/nuc/OC-9-nuc.txt","OC-9")</f>
        <v>OC-9</v>
      </c>
      <c r="F104" s="1" t="s">
        <v>196</v>
      </c>
      <c r="G104" s="1" t="s">
        <v>194</v>
      </c>
      <c r="H104" s="5" t="str">
        <f>HYPERLINK("http://exon.niaid.nih.gov/transcriptome/O_coriaceus/Sup2/links/Sigp/OC-9-SigP.txt","CYT")</f>
        <v>CYT</v>
      </c>
      <c r="I104" t="s">
        <v>196</v>
      </c>
      <c r="J104" s="1">
        <v>16.492</v>
      </c>
      <c r="K104" s="1">
        <v>9.8</v>
      </c>
      <c r="N104" s="19" t="s">
        <v>79</v>
      </c>
      <c r="O104" s="5" t="str">
        <f>HYPERLINK("http://exon.niaid.nih.gov/transcriptome/O_coriaceus/Sup2/links/netoglyc/OC-9-netoglyc.txt","1")</f>
        <v>1</v>
      </c>
      <c r="P104" s="1">
        <v>9.1</v>
      </c>
      <c r="Q104" s="1">
        <v>7.7</v>
      </c>
      <c r="R104" s="1">
        <v>8.4</v>
      </c>
      <c r="S104" s="27" t="s">
        <v>196</v>
      </c>
      <c r="U104" s="4" t="str">
        <f>HYPERLINK("http://exon.niaid.nih.gov/transcriptome/O_coriaceus/Sup2/links/OCORI-EST/OC-9-OCORI-EST.txt","OCL-P13_B04")</f>
        <v>OCL-P13_B04</v>
      </c>
      <c r="V104" s="1">
        <v>0</v>
      </c>
      <c r="W104" s="5" t="str">
        <f>HYPERLINK("http://exon.niaid.nih.gov/transcriptome/O_coriaceus/Sup2/links/OCORI-EST/OC-9-OCORI-EST.txt"," 17")</f>
        <v> 17</v>
      </c>
      <c r="Y104" s="22" t="s">
        <v>196</v>
      </c>
      <c r="AC104" s="22" t="str">
        <f>HYPERLINK("http://exon.niaid.nih.gov/transcriptome/O_coriaceus/Sup2/links/OC-1D/OC-9-OC-1D.txt","P22_79 |P23_23 |P23_24 |P23_25 |P25_60 |P25_61 |P26_51 |P27_41 |S19_38 |")</f>
        <v>P22_79 |P23_23 |P23_24 |P23_25 |P25_60 |P25_61 |P26_51 |P27_41 |S19_38 |</v>
      </c>
      <c r="AD104" s="27" t="s">
        <v>610</v>
      </c>
      <c r="AE104" s="1">
        <v>3</v>
      </c>
      <c r="AF104" s="1">
        <v>43</v>
      </c>
      <c r="AG104" s="26">
        <f>100*AF104/C104</f>
        <v>30.06993006993007</v>
      </c>
      <c r="AH104" s="4" t="str">
        <f>HYPERLINK("http://exon.niaid.nih.gov/transcriptome/O_coriaceus/Sup2/links/NR/OC-9-NR.txt","40S ribosomal protein S10")</f>
        <v>40S ribosomal protein S10</v>
      </c>
      <c r="AI104" t="str">
        <f>HYPERLINK("http://www.ncbi.nlm.nih.gov/sutils/blink.cgi?pid=149287004","4E-062")</f>
        <v>4E-062</v>
      </c>
      <c r="AJ104" t="s">
        <v>524</v>
      </c>
      <c r="AK104">
        <v>95</v>
      </c>
      <c r="AL104">
        <v>91</v>
      </c>
      <c r="AM104">
        <v>15</v>
      </c>
      <c r="AN104" t="s">
        <v>230</v>
      </c>
      <c r="AO104">
        <v>15</v>
      </c>
      <c r="AP104">
        <v>1</v>
      </c>
      <c r="AQ104">
        <v>1</v>
      </c>
      <c r="AR104" s="4" t="s">
        <v>525</v>
      </c>
      <c r="AS104">
        <f>HYPERLINK("http://exon.niaid.nih.gov/transcriptome/O_coriaceus/Sup2/links/GO/OC-9-GO.txt",2E-43)</f>
        <v>2E-43</v>
      </c>
      <c r="AT104" t="s">
        <v>272</v>
      </c>
      <c r="AU104" t="s">
        <v>273</v>
      </c>
      <c r="AV104" t="s">
        <v>274</v>
      </c>
      <c r="AW104" t="s">
        <v>275</v>
      </c>
      <c r="AX104" s="3">
        <v>6E-27</v>
      </c>
      <c r="AY104" s="4" t="str">
        <f>HYPERLINK("http://exon.niaid.nih.gov/transcriptome/O_coriaceus/Sup2/links/KOG/OC-9-KOG.txt","40s ribosomal protein s10")</f>
        <v>40s ribosomal protein s10</v>
      </c>
      <c r="AZ104" t="str">
        <f>HYPERLINK("http://www.ncbi.nlm.nih.gov/COG/grace/shokog.cgi?KOG3344","2E-044")</f>
        <v>2E-044</v>
      </c>
      <c r="BA104" t="s">
        <v>276</v>
      </c>
      <c r="BB104" s="4" t="str">
        <f>HYPERLINK("http://exon.niaid.nih.gov/transcriptome/O_coriaceus/Sup2/links/CDD/OC-9-CDD.txt","S10_plectin")</f>
        <v>S10_plectin</v>
      </c>
      <c r="BC104" t="str">
        <f>HYPERLINK("http://www.ncbi.nlm.nih.gov/Structure/cdd/cddsrv.cgi?uid=pfam03501&amp;version=v4.0","5E-039")</f>
        <v>5E-039</v>
      </c>
      <c r="BD104" t="s">
        <v>526</v>
      </c>
      <c r="BE104" s="4" t="str">
        <f>HYPERLINK("http://exon.niaid.nih.gov/transcriptome/O_coriaceus/Sup2/links/PFAM/OC-9-PFAM.txt","S10_plectin")</f>
        <v>S10_plectin</v>
      </c>
      <c r="BF104" t="str">
        <f>HYPERLINK("http://pfam.janelia.org/cgi-bin/getdesc?acc=PF03501","2E-039")</f>
        <v>2E-039</v>
      </c>
      <c r="BG104" s="4" t="str">
        <f>HYPERLINK("http://exon.niaid.nih.gov/transcriptome/O_coriaceus/Sup2/links/SMART/OC-9-SMART.txt","HTH_ARSR")</f>
        <v>HTH_ARSR</v>
      </c>
      <c r="BH104" t="str">
        <f>HYPERLINK("http://smart.embl-heidelberg.de/smart/do_annotation.pl?DOMAIN=HTH_ARSR&amp;BLAST=DUMMY","0.50")</f>
        <v>0.50</v>
      </c>
      <c r="BI104" s="2">
        <v>72</v>
      </c>
      <c r="BJ104" s="1">
        <v>1</v>
      </c>
      <c r="BK104" s="2">
        <v>76</v>
      </c>
      <c r="BL104" s="1">
        <v>1</v>
      </c>
      <c r="BM104" s="2">
        <v>77</v>
      </c>
      <c r="BN104" s="1">
        <v>1</v>
      </c>
      <c r="BO104" s="2">
        <v>82</v>
      </c>
      <c r="BP104" s="1">
        <v>1</v>
      </c>
      <c r="BQ104" s="2">
        <v>87</v>
      </c>
      <c r="BR104" s="1">
        <v>1</v>
      </c>
      <c r="BS104" s="2">
        <v>91</v>
      </c>
      <c r="BT104" s="1">
        <v>1</v>
      </c>
      <c r="BU104" s="2">
        <v>99</v>
      </c>
      <c r="BV104" s="1">
        <v>1</v>
      </c>
    </row>
    <row r="105" spans="1:74" ht="10.5">
      <c r="A105" t="str">
        <f>HYPERLINK("http://exon.niaid.nih.gov/transcriptome/O_coriaceus/Sup2/links/pep/OC-190-pep.txt","OC-190")</f>
        <v>OC-190</v>
      </c>
      <c r="B105" s="1" t="s">
        <v>114</v>
      </c>
      <c r="C105">
        <v>79</v>
      </c>
      <c r="D105" t="s">
        <v>134</v>
      </c>
      <c r="E105" t="str">
        <f>HYPERLINK("http://exon.niaid.nih.gov/transcriptome/O_coriaceus/Sup2/links/nuc/OC-190-nuc.txt","OC-190")</f>
        <v>OC-190</v>
      </c>
      <c r="F105" s="1" t="s">
        <v>195</v>
      </c>
      <c r="G105" s="1" t="s">
        <v>194</v>
      </c>
      <c r="H105" s="5" t="str">
        <f>HYPERLINK("http://exon.niaid.nih.gov/transcriptome/O_coriaceus/Sup2/links/Sigp/OC-190-SigP.txt","CYT")</f>
        <v>CYT</v>
      </c>
      <c r="I105" t="s">
        <v>196</v>
      </c>
      <c r="J105" s="1">
        <v>9.377</v>
      </c>
      <c r="K105" s="1">
        <v>11.27</v>
      </c>
      <c r="N105" s="19" t="s">
        <v>80</v>
      </c>
      <c r="O105" s="5" t="str">
        <f>HYPERLINK("http://exon.niaid.nih.gov/transcriptome/O_coriaceus/Sup2/links/netoglyc/OC-190-netoglyc.txt","0")</f>
        <v>0</v>
      </c>
      <c r="P105" s="1">
        <v>10.1</v>
      </c>
      <c r="Q105" s="1">
        <v>3.8</v>
      </c>
      <c r="R105" s="1">
        <v>2.5</v>
      </c>
      <c r="S105" s="27" t="s">
        <v>196</v>
      </c>
      <c r="U105" s="4" t="str">
        <f>HYPERLINK("http://exon.niaid.nih.gov/transcriptome/O_coriaceus/Sup2/links/OCORI-EST/OC-190-OCORI-EST.txt","OCL-P12_C05")</f>
        <v>OCL-P12_C05</v>
      </c>
      <c r="V105" s="1">
        <v>1E-135</v>
      </c>
      <c r="W105" s="5" t="str">
        <f>HYPERLINK("http://exon.niaid.nih.gov/transcriptome/O_coriaceus/Sup2/links/OCORI-EST/OC-190-OCORI-EST.txt"," 1")</f>
        <v> 1</v>
      </c>
      <c r="Y105" s="22" t="s">
        <v>196</v>
      </c>
      <c r="AC105" s="22" t="str">
        <f>HYPERLINK("http://exon.niaid.nih.gov/transcriptome/O_coriaceus/Sup2/links/OC-1D/OC-190-OC-1D.txt","P23_68 |")</f>
        <v>P23_68 |</v>
      </c>
      <c r="AE105" s="1" t="s">
        <v>196</v>
      </c>
      <c r="AG105" s="26" t="s">
        <v>196</v>
      </c>
      <c r="AH105" s="4" t="str">
        <f>HYPERLINK("http://exon.niaid.nih.gov/transcriptome/O_coriaceus/Sup2/links/NR/OC-190-NR.txt","40S ribosomal protein S11")</f>
        <v>40S ribosomal protein S11</v>
      </c>
      <c r="AI105" t="str">
        <f>HYPERLINK("http://www.ncbi.nlm.nih.gov/sutils/blink.cgi?pid=149287144","2E-033")</f>
        <v>2E-033</v>
      </c>
      <c r="AJ105" t="s">
        <v>336</v>
      </c>
      <c r="AK105">
        <v>100</v>
      </c>
      <c r="AL105">
        <v>51</v>
      </c>
      <c r="AM105">
        <v>78</v>
      </c>
      <c r="AN105" t="s">
        <v>230</v>
      </c>
      <c r="AO105">
        <v>78</v>
      </c>
      <c r="AP105">
        <v>1</v>
      </c>
      <c r="AQ105">
        <v>1</v>
      </c>
      <c r="AR105" s="4" t="s">
        <v>337</v>
      </c>
      <c r="AS105">
        <f>HYPERLINK("http://exon.niaid.nih.gov/transcriptome/O_coriaceus/Sup2/links/GO/OC-190-GO.txt",3E-33)</f>
        <v>3E-33</v>
      </c>
      <c r="AT105" t="s">
        <v>338</v>
      </c>
      <c r="AU105" t="s">
        <v>239</v>
      </c>
      <c r="AV105" t="s">
        <v>339</v>
      </c>
      <c r="AW105" t="s">
        <v>340</v>
      </c>
      <c r="AX105" s="3">
        <v>3E-33</v>
      </c>
      <c r="AY105" s="4" t="str">
        <f>HYPERLINK("http://exon.niaid.nih.gov/transcriptome/O_coriaceus/Sup2/links/KOG/OC-190-KOG.txt","40S ribosomal protein S11")</f>
        <v>40S ribosomal protein S11</v>
      </c>
      <c r="AZ105" t="str">
        <f>HYPERLINK("http://www.ncbi.nlm.nih.gov/COG/grace/shokog.cgi?KOG1728","2E-034")</f>
        <v>2E-034</v>
      </c>
      <c r="BA105" t="s">
        <v>276</v>
      </c>
      <c r="BB105" s="4" t="str">
        <f>HYPERLINK("http://exon.niaid.nih.gov/transcriptome/O_coriaceus/Sup2/links/CDD/OC-190-CDD.txt","Ribosomal_S17")</f>
        <v>Ribosomal_S17</v>
      </c>
      <c r="BC105" t="str">
        <f>HYPERLINK("http://www.ncbi.nlm.nih.gov/Structure/cdd/cddsrv.cgi?uid=pfam00366&amp;version=v4.0","4E-016")</f>
        <v>4E-016</v>
      </c>
      <c r="BD105" t="s">
        <v>341</v>
      </c>
      <c r="BE105" s="4" t="str">
        <f>HYPERLINK("http://exon.niaid.nih.gov/transcriptome/O_coriaceus/Sup2/links/PFAM/OC-190-PFAM.txt","Ribosomal_S17")</f>
        <v>Ribosomal_S17</v>
      </c>
      <c r="BF105" t="str">
        <f>HYPERLINK("http://pfam.janelia.org/cgi-bin/getdesc?acc=PF00366","1E-016")</f>
        <v>1E-016</v>
      </c>
      <c r="BG105" s="4" t="str">
        <f>HYPERLINK("http://exon.niaid.nih.gov/transcriptome/O_coriaceus/Sup2/links/SMART/OC-190-SMART.txt","ArfGap")</f>
        <v>ArfGap</v>
      </c>
      <c r="BH105" t="str">
        <f>HYPERLINK("http://smart.embl-heidelberg.de/smart/do_annotation.pl?DOMAIN=ArfGap&amp;BLAST=DUMMY","0.91")</f>
        <v>0.91</v>
      </c>
      <c r="BI105" s="2">
        <v>29</v>
      </c>
      <c r="BJ105" s="1">
        <v>1</v>
      </c>
      <c r="BK105" s="2">
        <v>31</v>
      </c>
      <c r="BL105" s="1">
        <v>1</v>
      </c>
      <c r="BM105" s="2">
        <v>30</v>
      </c>
      <c r="BN105" s="1">
        <v>1</v>
      </c>
      <c r="BO105" s="2">
        <v>32</v>
      </c>
      <c r="BP105" s="1">
        <v>1</v>
      </c>
      <c r="BQ105" s="2">
        <v>31</v>
      </c>
      <c r="BR105" s="1">
        <v>1</v>
      </c>
      <c r="BS105" s="2">
        <v>31</v>
      </c>
      <c r="BT105" s="1">
        <v>1</v>
      </c>
      <c r="BU105" s="2">
        <v>24</v>
      </c>
      <c r="BV105" s="1">
        <v>1</v>
      </c>
    </row>
    <row r="106" spans="1:74" ht="10.5">
      <c r="A106" t="str">
        <f>HYPERLINK("http://exon.niaid.nih.gov/transcriptome/O_coriaceus/Sup2/links/pep/OC-435-pep.txt","OC-435")</f>
        <v>OC-435</v>
      </c>
      <c r="B106" s="1" t="s">
        <v>114</v>
      </c>
      <c r="C106">
        <v>148</v>
      </c>
      <c r="D106" t="s">
        <v>162</v>
      </c>
      <c r="E106" t="str">
        <f>HYPERLINK("http://exon.niaid.nih.gov/transcriptome/O_coriaceus/Sup2/links/nuc/OC-435-nuc.txt","OC-435")</f>
        <v>OC-435</v>
      </c>
      <c r="F106" s="1" t="s">
        <v>195</v>
      </c>
      <c r="G106" s="1" t="s">
        <v>194</v>
      </c>
      <c r="H106" s="5" t="str">
        <f>HYPERLINK("http://exon.niaid.nih.gov/transcriptome/O_coriaceus/Sup2/links/Sigp/OC-435-SigP.txt","CYT")</f>
        <v>CYT</v>
      </c>
      <c r="I106" t="s">
        <v>196</v>
      </c>
      <c r="J106" s="1">
        <v>16.474</v>
      </c>
      <c r="K106" s="1">
        <v>10.04</v>
      </c>
      <c r="N106" s="19" t="s">
        <v>81</v>
      </c>
      <c r="O106" s="5" t="str">
        <f>HYPERLINK("http://exon.niaid.nih.gov/transcriptome/O_coriaceus/Sup2/links/netoglyc/OC-435-netoglyc.txt","0")</f>
        <v>0</v>
      </c>
      <c r="P106" s="1">
        <v>7.4</v>
      </c>
      <c r="Q106" s="1">
        <v>8.1</v>
      </c>
      <c r="R106" s="1">
        <v>4.1</v>
      </c>
      <c r="S106" s="27" t="s">
        <v>196</v>
      </c>
      <c r="U106" s="4" t="str">
        <f>HYPERLINK("http://exon.niaid.nih.gov/transcriptome/O_coriaceus/Sup2/links/OCORI-EST/OC-435-OCORI-EST.txt","OCL-PLATE03_E03")</f>
        <v>OCL-PLATE03_E03</v>
      </c>
      <c r="V106" s="1">
        <v>0</v>
      </c>
      <c r="W106" s="5" t="str">
        <f>HYPERLINK("http://exon.niaid.nih.gov/transcriptome/O_coriaceus/Sup2/links/OCORI-EST/OC-435-OCORI-EST.txt"," 1")</f>
        <v> 1</v>
      </c>
      <c r="Y106" s="22" t="s">
        <v>196</v>
      </c>
      <c r="AC106" s="22" t="str">
        <f>HYPERLINK("http://exon.niaid.nih.gov/transcriptome/O_coriaceus/Sup2/links/OC-1D/OC-435-OC-1D.txt","P19_99 |P24_38 |P24_39 |P24_40 |P25_37 |P25_38 |S21_45 |")</f>
        <v>P19_99 |P24_38 |P24_39 |P24_40 |P25_37 |P25_38 |S21_45 |</v>
      </c>
      <c r="AD106" s="27" t="s">
        <v>611</v>
      </c>
      <c r="AE106" s="1">
        <v>3</v>
      </c>
      <c r="AF106" s="1">
        <v>29</v>
      </c>
      <c r="AG106" s="26">
        <f>100*AF106/C106</f>
        <v>19.594594594594593</v>
      </c>
      <c r="AH106" s="4" t="str">
        <f>HYPERLINK("http://exon.niaid.nih.gov/transcriptome/O_coriaceus/Sup2/links/NR/OC-435-NR.txt","ribosomal protein S16")</f>
        <v>ribosomal protein S16</v>
      </c>
      <c r="AI106" t="str">
        <f>HYPERLINK("http://www.ncbi.nlm.nih.gov/sutils/blink.cgi?pid=67083925","5E-066")</f>
        <v>5E-066</v>
      </c>
      <c r="AJ106" t="s">
        <v>415</v>
      </c>
      <c r="AK106">
        <v>91</v>
      </c>
      <c r="AL106">
        <v>100</v>
      </c>
      <c r="AM106">
        <v>1</v>
      </c>
      <c r="AN106" t="s">
        <v>300</v>
      </c>
      <c r="AO106">
        <v>1</v>
      </c>
      <c r="AP106">
        <v>1</v>
      </c>
      <c r="AQ106">
        <v>1</v>
      </c>
      <c r="AR106" s="4" t="s">
        <v>416</v>
      </c>
      <c r="AS106">
        <f>HYPERLINK("http://exon.niaid.nih.gov/transcriptome/O_coriaceus/Sup2/links/GO/OC-435-GO.txt",1E-61)</f>
        <v>1E-61</v>
      </c>
      <c r="AT106" t="s">
        <v>272</v>
      </c>
      <c r="AU106" t="s">
        <v>273</v>
      </c>
      <c r="AV106" t="s">
        <v>274</v>
      </c>
      <c r="AW106" t="s">
        <v>275</v>
      </c>
      <c r="AX106" s="3">
        <v>2E-59</v>
      </c>
      <c r="AY106" s="4" t="str">
        <f>HYPERLINK("http://exon.niaid.nih.gov/transcriptome/O_coriaceus/Sup2/links/KOG/OC-435-KOG.txt","40S ribosomal protein S16")</f>
        <v>40S ribosomal protein S16</v>
      </c>
      <c r="AZ106" t="str">
        <f>HYPERLINK("http://www.ncbi.nlm.nih.gov/COG/grace/shokog.cgi?KOG1753","2E-066")</f>
        <v>2E-066</v>
      </c>
      <c r="BA106" t="s">
        <v>276</v>
      </c>
      <c r="BB106" s="4" t="str">
        <f>HYPERLINK("http://exon.niaid.nih.gov/transcriptome/O_coriaceus/Sup2/links/CDD/OC-435-CDD.txt","rps9p")</f>
        <v>rps9p</v>
      </c>
      <c r="BC106" t="str">
        <f>HYPERLINK("http://www.ncbi.nlm.nih.gov/Structure/cdd/cddsrv.cgi?uid=PRK00474&amp;version=v4.0","1E-033")</f>
        <v>1E-033</v>
      </c>
      <c r="BD106" t="s">
        <v>417</v>
      </c>
      <c r="BE106" s="4" t="str">
        <f>HYPERLINK("http://exon.niaid.nih.gov/transcriptome/O_coriaceus/Sup2/links/PFAM/OC-435-PFAM.txt","Ribosomal_S9")</f>
        <v>Ribosomal_S9</v>
      </c>
      <c r="BF106" t="str">
        <f>HYPERLINK("http://pfam.janelia.org/cgi-bin/getdesc?acc=PF00380","2E-033")</f>
        <v>2E-033</v>
      </c>
      <c r="BG106" s="4" t="s">
        <v>196</v>
      </c>
      <c r="BH106" t="s">
        <v>196</v>
      </c>
      <c r="BI106" s="2">
        <v>44</v>
      </c>
      <c r="BJ106" s="1">
        <v>1</v>
      </c>
      <c r="BK106" s="2">
        <v>47</v>
      </c>
      <c r="BL106" s="1">
        <v>1</v>
      </c>
      <c r="BM106" s="2">
        <v>46</v>
      </c>
      <c r="BN106" s="1">
        <v>1</v>
      </c>
      <c r="BO106" s="2">
        <v>49</v>
      </c>
      <c r="BP106" s="1">
        <v>1</v>
      </c>
      <c r="BQ106" s="2">
        <v>49</v>
      </c>
      <c r="BR106" s="1">
        <v>1</v>
      </c>
      <c r="BS106" s="2">
        <v>52</v>
      </c>
      <c r="BT106" s="1">
        <v>1</v>
      </c>
      <c r="BU106" s="2">
        <v>56</v>
      </c>
      <c r="BV106" s="1">
        <v>1</v>
      </c>
    </row>
    <row r="107" spans="1:74" ht="10.5">
      <c r="A107" t="str">
        <f>HYPERLINK("http://exon.niaid.nih.gov/transcriptome/O_coriaceus/Sup2/links/pep/OC-138-pep.txt","OC-138")</f>
        <v>OC-138</v>
      </c>
      <c r="B107" s="1" t="s">
        <v>126</v>
      </c>
      <c r="C107">
        <v>78</v>
      </c>
      <c r="D107" t="s">
        <v>129</v>
      </c>
      <c r="E107" t="str">
        <f>HYPERLINK("http://exon.niaid.nih.gov/transcriptome/O_coriaceus/Sup2/links/nuc/OC-138-nuc.txt","OC-138")</f>
        <v>OC-138</v>
      </c>
      <c r="F107" s="1" t="s">
        <v>196</v>
      </c>
      <c r="G107" s="1" t="s">
        <v>194</v>
      </c>
      <c r="H107" s="5" t="str">
        <f>HYPERLINK("http://exon.niaid.nih.gov/transcriptome/O_coriaceus/Sup2/links/Sigp/OC-138-SigP.txt","CYT")</f>
        <v>CYT</v>
      </c>
      <c r="I107" t="s">
        <v>196</v>
      </c>
      <c r="J107" s="1">
        <v>8.595</v>
      </c>
      <c r="K107" s="1">
        <v>6.08</v>
      </c>
      <c r="N107" s="19" t="s">
        <v>82</v>
      </c>
      <c r="O107" s="5" t="str">
        <f>HYPERLINK("http://exon.niaid.nih.gov/transcriptome/O_coriaceus/Sup2/links/netoglyc/OC-138-netoglyc.txt","0")</f>
        <v>0</v>
      </c>
      <c r="P107" s="1">
        <v>14.1</v>
      </c>
      <c r="Q107" s="1">
        <v>7.7</v>
      </c>
      <c r="R107" s="1">
        <v>2.6</v>
      </c>
      <c r="S107" s="27" t="s">
        <v>196</v>
      </c>
      <c r="U107" s="4" t="str">
        <f>HYPERLINK("http://exon.niaid.nih.gov/transcriptome/O_coriaceus/Sup2/links/OCORI-EST/OC-138-OCORI-EST.txt","OCM-PLATE06_F01")</f>
        <v>OCM-PLATE06_F01</v>
      </c>
      <c r="V107" s="1">
        <v>1E-124</v>
      </c>
      <c r="W107" s="5" t="str">
        <f>HYPERLINK("http://exon.niaid.nih.gov/transcriptome/O_coriaceus/Sup2/links/OCORI-EST/OC-138-OCORI-EST.txt"," 2")</f>
        <v> 2</v>
      </c>
      <c r="Y107" s="22" t="s">
        <v>196</v>
      </c>
      <c r="AC107" s="22" t="str">
        <f>HYPERLINK("http://exon.niaid.nih.gov/transcriptome/O_coriaceus/Sup2/links/OC-1D/OC-138-OC-1D.txt","P27_10 |")</f>
        <v>P27_10 |</v>
      </c>
      <c r="AE107" s="1" t="s">
        <v>196</v>
      </c>
      <c r="AG107" s="26" t="s">
        <v>196</v>
      </c>
      <c r="AH107" s="4" t="str">
        <f>HYPERLINK("http://exon.niaid.nih.gov/transcriptome/O_coriaceus/Sup2/links/NR/OC-138-NR.txt","40S ribosomal protein S21")</f>
        <v>40S ribosomal protein S21</v>
      </c>
      <c r="AI107" t="str">
        <f>HYPERLINK("http://www.ncbi.nlm.nih.gov/sutils/blink.cgi?pid=114153010","2E-034")</f>
        <v>2E-034</v>
      </c>
      <c r="AJ107" t="s">
        <v>318</v>
      </c>
      <c r="AK107">
        <v>94</v>
      </c>
      <c r="AL107">
        <v>93</v>
      </c>
      <c r="AM107">
        <v>6</v>
      </c>
      <c r="AN107" t="s">
        <v>294</v>
      </c>
      <c r="AO107">
        <v>6</v>
      </c>
      <c r="AP107">
        <v>1</v>
      </c>
      <c r="AQ107">
        <v>1</v>
      </c>
      <c r="AR107" s="4" t="s">
        <v>319</v>
      </c>
      <c r="AS107">
        <f>HYPERLINK("http://exon.niaid.nih.gov/transcriptome/O_coriaceus/Sup2/links/GO/OC-138-GO.txt",2E-27)</f>
        <v>2E-27</v>
      </c>
      <c r="AT107" t="s">
        <v>272</v>
      </c>
      <c r="AU107" t="s">
        <v>273</v>
      </c>
      <c r="AV107" t="s">
        <v>274</v>
      </c>
      <c r="AW107" t="s">
        <v>275</v>
      </c>
      <c r="AX107" s="3">
        <v>8E-24</v>
      </c>
      <c r="AY107" s="4" t="str">
        <f>HYPERLINK("http://exon.niaid.nih.gov/transcriptome/O_coriaceus/Sup2/links/KOG/OC-138-KOG.txt","40S ribosomal protein S21")</f>
        <v>40S ribosomal protein S21</v>
      </c>
      <c r="AZ107" t="str">
        <f>HYPERLINK("http://www.ncbi.nlm.nih.gov/COG/grace/shokog.cgi?KOG3486","2E-027")</f>
        <v>2E-027</v>
      </c>
      <c r="BA107" t="s">
        <v>276</v>
      </c>
      <c r="BB107" s="4" t="str">
        <f>HYPERLINK("http://exon.niaid.nih.gov/transcriptome/O_coriaceus/Sup2/links/CDD/OC-138-CDD.txt","Ribosomal_S21e")</f>
        <v>Ribosomal_S21e</v>
      </c>
      <c r="BC107" t="str">
        <f>HYPERLINK("http://www.ncbi.nlm.nih.gov/Structure/cdd/cddsrv.cgi?uid=pfam01249&amp;version=v4.0","4E-026")</f>
        <v>4E-026</v>
      </c>
      <c r="BD107" t="s">
        <v>320</v>
      </c>
      <c r="BE107" s="4" t="str">
        <f>HYPERLINK("http://exon.niaid.nih.gov/transcriptome/O_coriaceus/Sup2/links/PFAM/OC-138-PFAM.txt","Ribosomal_S21e")</f>
        <v>Ribosomal_S21e</v>
      </c>
      <c r="BF107" t="str">
        <f>HYPERLINK("http://pfam.janelia.org/cgi-bin/getdesc?acc=PF01249","1E-026")</f>
        <v>1E-026</v>
      </c>
      <c r="BG107" s="4" t="s">
        <v>196</v>
      </c>
      <c r="BH107" t="s">
        <v>196</v>
      </c>
      <c r="BI107" s="2">
        <v>25</v>
      </c>
      <c r="BJ107" s="1">
        <v>1</v>
      </c>
      <c r="BK107" s="2">
        <v>27</v>
      </c>
      <c r="BL107" s="1">
        <v>1</v>
      </c>
      <c r="BM107" s="2">
        <v>26</v>
      </c>
      <c r="BN107" s="1">
        <v>1</v>
      </c>
      <c r="BO107" s="2">
        <v>28</v>
      </c>
      <c r="BP107" s="1">
        <v>1</v>
      </c>
      <c r="BQ107" s="2">
        <v>25</v>
      </c>
      <c r="BR107" s="1">
        <v>1</v>
      </c>
      <c r="BS107" s="2">
        <v>25</v>
      </c>
      <c r="BT107" s="1">
        <v>1</v>
      </c>
      <c r="BU107" s="2">
        <v>18</v>
      </c>
      <c r="BV107" s="1">
        <v>1</v>
      </c>
    </row>
    <row r="108" spans="1:74" ht="10.5">
      <c r="A108" t="str">
        <f>HYPERLINK("http://exon.niaid.nih.gov/transcriptome/O_coriaceus/Sup2/links/pep/OC-240-pep.txt","OC-240")</f>
        <v>OC-240</v>
      </c>
      <c r="B108" s="1" t="s">
        <v>114</v>
      </c>
      <c r="C108">
        <v>148</v>
      </c>
      <c r="D108" t="s">
        <v>139</v>
      </c>
      <c r="E108" t="str">
        <f>HYPERLINK("http://exon.niaid.nih.gov/transcriptome/O_coriaceus/Sup2/links/nuc/OC-240-nuc.txt","OC-240")</f>
        <v>OC-240</v>
      </c>
      <c r="F108" s="1" t="s">
        <v>195</v>
      </c>
      <c r="G108" s="1" t="s">
        <v>194</v>
      </c>
      <c r="H108" s="5" t="str">
        <f>HYPERLINK("http://exon.niaid.nih.gov/transcriptome/O_coriaceus/Sup2/links/Sigp/OC-240-SigP.txt","CYT")</f>
        <v>CYT</v>
      </c>
      <c r="I108" t="s">
        <v>196</v>
      </c>
      <c r="J108" s="1">
        <v>16.87</v>
      </c>
      <c r="K108" s="1">
        <v>10.55</v>
      </c>
      <c r="N108" s="19" t="s">
        <v>83</v>
      </c>
      <c r="O108" s="5" t="str">
        <f>HYPERLINK("http://exon.niaid.nih.gov/transcriptome/O_coriaceus/Sup2/links/netoglyc/OC-240-netoglyc.txt","1")</f>
        <v>1</v>
      </c>
      <c r="P108" s="1">
        <v>6.1</v>
      </c>
      <c r="Q108" s="1">
        <v>12.8</v>
      </c>
      <c r="R108" s="1">
        <v>3.4</v>
      </c>
      <c r="S108" s="27" t="s">
        <v>196</v>
      </c>
      <c r="U108" s="4" t="str">
        <f>HYPERLINK("http://exon.niaid.nih.gov/transcriptome/O_coriaceus/Sup2/links/OCORI-EST/OC-240-OCORI-EST.txt","OCL-P13_G01")</f>
        <v>OCL-P13_G01</v>
      </c>
      <c r="V108" s="1">
        <v>0</v>
      </c>
      <c r="W108" s="5" t="str">
        <f>HYPERLINK("http://exon.niaid.nih.gov/transcriptome/O_coriaceus/Sup2/links/OCORI-EST/OC-240-OCORI-EST.txt"," 1")</f>
        <v> 1</v>
      </c>
      <c r="Y108" s="22" t="s">
        <v>196</v>
      </c>
      <c r="AC108" s="22" t="str">
        <f>HYPERLINK("http://exon.niaid.nih.gov/transcriptome/O_coriaceus/Sup2/links/OC-1D/OC-240-OC-1D.txt","P23_93 |")</f>
        <v>P23_93 |</v>
      </c>
      <c r="AE108" s="1" t="s">
        <v>196</v>
      </c>
      <c r="AG108" s="26" t="s">
        <v>196</v>
      </c>
      <c r="AH108" s="4" t="str">
        <f>HYPERLINK("http://exon.niaid.nih.gov/transcriptome/O_coriaceus/Sup2/links/NR/OC-240-NR.txt","60s ribosomal protein L15/L27")</f>
        <v>60s ribosomal protein L15/L27</v>
      </c>
      <c r="AI108" t="str">
        <f>HYPERLINK("http://www.ncbi.nlm.nih.gov/sutils/blink.cgi?pid=149286926","2E-063")</f>
        <v>2E-063</v>
      </c>
      <c r="AJ108" t="s">
        <v>358</v>
      </c>
      <c r="AK108">
        <v>94</v>
      </c>
      <c r="AL108">
        <v>100</v>
      </c>
      <c r="AM108">
        <v>1</v>
      </c>
      <c r="AN108" t="s">
        <v>230</v>
      </c>
      <c r="AO108">
        <v>1</v>
      </c>
      <c r="AP108">
        <v>1</v>
      </c>
      <c r="AQ108">
        <v>1</v>
      </c>
      <c r="AR108" s="4" t="s">
        <v>359</v>
      </c>
      <c r="AS108">
        <f>HYPERLINK("http://exon.niaid.nih.gov/transcriptome/O_coriaceus/Sup2/links/GO/OC-240-GO.txt",1E-52)</f>
        <v>1E-52</v>
      </c>
      <c r="AT108" t="s">
        <v>272</v>
      </c>
      <c r="AU108" t="s">
        <v>273</v>
      </c>
      <c r="AV108" t="s">
        <v>274</v>
      </c>
      <c r="AW108" t="s">
        <v>275</v>
      </c>
      <c r="AX108" s="3">
        <v>2E-48</v>
      </c>
      <c r="AY108" s="4" t="str">
        <f>HYPERLINK("http://exon.niaid.nih.gov/transcriptome/O_coriaceus/Sup2/links/KOG/OC-240-KOG.txt","60s ribosomal protein L15/L27")</f>
        <v>60s ribosomal protein L15/L27</v>
      </c>
      <c r="AZ108" t="str">
        <f>HYPERLINK("http://www.ncbi.nlm.nih.gov/COG/grace/shokog.cgi?KOG1742","4E-049")</f>
        <v>4E-049</v>
      </c>
      <c r="BA108" t="s">
        <v>276</v>
      </c>
      <c r="BB108" s="4" t="str">
        <f>HYPERLINK("http://exon.niaid.nih.gov/transcriptome/O_coriaceus/Sup2/links/CDD/OC-240-CDD.txt","rpl15p")</f>
        <v>rpl15p</v>
      </c>
      <c r="BC108" t="str">
        <f>HYPERLINK("http://www.ncbi.nlm.nih.gov/Structure/cdd/cddsrv.cgi?uid=PRK06419&amp;version=v4.0","4E-020")</f>
        <v>4E-020</v>
      </c>
      <c r="BD108" t="s">
        <v>360</v>
      </c>
      <c r="BE108" s="4" t="str">
        <f>HYPERLINK("http://exon.niaid.nih.gov/transcriptome/O_coriaceus/Sup2/links/PFAM/OC-240-PFAM.txt","L15")</f>
        <v>L15</v>
      </c>
      <c r="BF108" t="str">
        <f>HYPERLINK("http://pfam.janelia.org/cgi-bin/getdesc?acc=PF00256","6E-006")</f>
        <v>6E-006</v>
      </c>
      <c r="BG108" s="4" t="s">
        <v>196</v>
      </c>
      <c r="BH108" t="s">
        <v>196</v>
      </c>
      <c r="BI108" s="2">
        <v>32</v>
      </c>
      <c r="BJ108" s="1">
        <v>1</v>
      </c>
      <c r="BK108" s="2">
        <v>34</v>
      </c>
      <c r="BL108" s="1">
        <v>1</v>
      </c>
      <c r="BM108" s="2">
        <v>33</v>
      </c>
      <c r="BN108" s="1">
        <v>1</v>
      </c>
      <c r="BO108" s="2">
        <v>36</v>
      </c>
      <c r="BP108" s="1">
        <v>1</v>
      </c>
      <c r="BQ108" s="2">
        <v>35</v>
      </c>
      <c r="BR108" s="1">
        <v>1</v>
      </c>
      <c r="BS108" s="2">
        <v>36</v>
      </c>
      <c r="BT108" s="1">
        <v>1</v>
      </c>
      <c r="BU108" s="2">
        <v>33</v>
      </c>
      <c r="BV108" s="1">
        <v>1</v>
      </c>
    </row>
    <row r="109" spans="1:74" ht="10.5">
      <c r="A109" t="str">
        <f>HYPERLINK("http://exon.niaid.nih.gov/transcriptome/O_coriaceus/Sup2/links/pep/OC-88-pep.txt","OC-88")</f>
        <v>OC-88</v>
      </c>
      <c r="B109" s="1" t="s">
        <v>142</v>
      </c>
      <c r="C109">
        <v>235</v>
      </c>
      <c r="D109" t="s">
        <v>188</v>
      </c>
      <c r="E109" t="str">
        <f>HYPERLINK("http://exon.niaid.nih.gov/transcriptome/O_coriaceus/Sup2/links/nuc/OC-88-nuc.txt","OC-88")</f>
        <v>OC-88</v>
      </c>
      <c r="F109" s="1" t="s">
        <v>196</v>
      </c>
      <c r="G109" s="1" t="s">
        <v>194</v>
      </c>
      <c r="H109" s="5" t="str">
        <f>HYPERLINK("http://exon.niaid.nih.gov/transcriptome/O_coriaceus/Sup2/links/Sigp/OC-88-SigP.txt","CYT")</f>
        <v>CYT</v>
      </c>
      <c r="I109" t="s">
        <v>196</v>
      </c>
      <c r="J109" s="1">
        <v>25.582</v>
      </c>
      <c r="K109" s="1">
        <v>10.42</v>
      </c>
      <c r="N109" s="19" t="s">
        <v>84</v>
      </c>
      <c r="O109" s="5" t="str">
        <f>HYPERLINK("http://exon.niaid.nih.gov/transcriptome/O_coriaceus/Sup2/links/netoglyc/OC-88-netoglyc.txt","0")</f>
        <v>0</v>
      </c>
      <c r="P109" s="1">
        <v>6.4</v>
      </c>
      <c r="Q109" s="1">
        <v>12.3</v>
      </c>
      <c r="R109" s="1">
        <v>6</v>
      </c>
      <c r="S109" s="27" t="s">
        <v>0</v>
      </c>
      <c r="U109" s="4" t="str">
        <f>HYPERLINK("http://exon.niaid.nih.gov/transcriptome/O_coriaceus/Sup2/links/OCORI-EST/OC-88-OCORI-EST.txt","OCL-PLATE02_H03")</f>
        <v>OCL-PLATE02_H03</v>
      </c>
      <c r="V109" s="1">
        <v>0</v>
      </c>
      <c r="W109" s="5" t="str">
        <f>HYPERLINK("http://exon.niaid.nih.gov/transcriptome/O_coriaceus/Sup2/links/OCORI-EST/OC-88-OCORI-EST.txt"," 3")</f>
        <v> 3</v>
      </c>
      <c r="Y109" s="22" t="s">
        <v>196</v>
      </c>
      <c r="AC109" s="22" t="str">
        <f>HYPERLINK("http://exon.niaid.nih.gov/transcriptome/O_coriaceus/Sup2/links/OC-1D/OC-88-OC-1D.txt","P19_37 |P19_38 |P19_39 |P23_94 |")</f>
        <v>P19_37 |P19_38 |P19_39 |P23_94 |</v>
      </c>
      <c r="AD109" s="27" t="s">
        <v>605</v>
      </c>
      <c r="AE109" s="1">
        <v>3</v>
      </c>
      <c r="AF109" s="1">
        <v>26</v>
      </c>
      <c r="AG109" s="26">
        <f>100*AF109/C109</f>
        <v>11.063829787234043</v>
      </c>
      <c r="AH109" s="4" t="str">
        <f>HYPERLINK("http://exon.niaid.nih.gov/transcriptome/O_coriaceus/Sup2/links/NR/OC-88-NR.txt","PREDICTED: similar to Ribosomal protein L8 CG1263-PA, isoform A")</f>
        <v>PREDICTED: similar to Ribosomal protein L8 CG1263-PA, isoform A</v>
      </c>
      <c r="AI109" t="str">
        <f>HYPERLINK("http://www.ncbi.nlm.nih.gov/sutils/blink.cgi?pid=66516926","1E-099")</f>
        <v>1E-099</v>
      </c>
      <c r="AJ109" t="s">
        <v>521</v>
      </c>
      <c r="AK109">
        <v>81</v>
      </c>
      <c r="AL109">
        <v>91</v>
      </c>
      <c r="AM109">
        <v>24</v>
      </c>
      <c r="AN109" t="s">
        <v>462</v>
      </c>
      <c r="AO109">
        <v>24</v>
      </c>
      <c r="AP109">
        <v>1</v>
      </c>
      <c r="AQ109">
        <v>1</v>
      </c>
      <c r="AR109" s="4" t="s">
        <v>522</v>
      </c>
      <c r="AS109">
        <f>HYPERLINK("http://exon.niaid.nih.gov/transcriptome/O_coriaceus/Sup2/links/GO/OC-88-GO.txt",4E-99)</f>
        <v>4E-99</v>
      </c>
      <c r="AT109" t="s">
        <v>338</v>
      </c>
      <c r="AU109" t="s">
        <v>239</v>
      </c>
      <c r="AV109" t="s">
        <v>339</v>
      </c>
      <c r="AW109" t="s">
        <v>340</v>
      </c>
      <c r="AX109" s="3">
        <v>2E-94</v>
      </c>
      <c r="AY109" s="4" t="str">
        <f>HYPERLINK("http://exon.niaid.nih.gov/transcriptome/O_coriaceus/Sup2/links/KOG/OC-88-KOG.txt","60s ribosomal protein L2/L8")</f>
        <v>60s ribosomal protein L2/L8</v>
      </c>
      <c r="AZ109" t="str">
        <f>HYPERLINK("http://www.ncbi.nlm.nih.gov/COG/grace/shokog.cgi?KOG2309","2E-099")</f>
        <v>2E-099</v>
      </c>
      <c r="BA109" t="s">
        <v>276</v>
      </c>
      <c r="BB109" s="4" t="str">
        <f>HYPERLINK("http://exon.niaid.nih.gov/transcriptome/O_coriaceus/Sup2/links/CDD/OC-88-CDD.txt","rpl2p")</f>
        <v>rpl2p</v>
      </c>
      <c r="BC109" t="str">
        <f>HYPERLINK("http://www.ncbi.nlm.nih.gov/Structure/cdd/cddsrv.cgi?uid=PRK09612&amp;version=v4.0","6E-066")</f>
        <v>6E-066</v>
      </c>
      <c r="BD109" t="s">
        <v>523</v>
      </c>
      <c r="BE109" s="4" t="str">
        <f>HYPERLINK("http://exon.niaid.nih.gov/transcriptome/O_coriaceus/Sup2/links/PFAM/OC-88-PFAM.txt","Ribosomal_L2_C")</f>
        <v>Ribosomal_L2_C</v>
      </c>
      <c r="BF109" t="str">
        <f>HYPERLINK("http://pfam.janelia.org/cgi-bin/getdesc?acc=PF03947","7E-036")</f>
        <v>7E-036</v>
      </c>
      <c r="BG109" s="4" t="s">
        <v>196</v>
      </c>
      <c r="BH109" t="s">
        <v>196</v>
      </c>
      <c r="BI109" s="2">
        <v>71</v>
      </c>
      <c r="BJ109" s="1">
        <v>1</v>
      </c>
      <c r="BK109" s="2">
        <v>75</v>
      </c>
      <c r="BL109" s="1">
        <v>1</v>
      </c>
      <c r="BM109" s="2">
        <v>76</v>
      </c>
      <c r="BN109" s="1">
        <v>1</v>
      </c>
      <c r="BO109" s="2">
        <v>81</v>
      </c>
      <c r="BP109" s="1">
        <v>1</v>
      </c>
      <c r="BQ109" s="2">
        <v>86</v>
      </c>
      <c r="BR109" s="1">
        <v>1</v>
      </c>
      <c r="BS109" s="2">
        <v>90</v>
      </c>
      <c r="BT109" s="1">
        <v>1</v>
      </c>
      <c r="BU109" s="2">
        <v>98</v>
      </c>
      <c r="BV109" s="1">
        <v>1</v>
      </c>
    </row>
    <row r="110" spans="1:74" ht="10.5">
      <c r="A110" t="str">
        <f>HYPERLINK("http://exon.niaid.nih.gov/transcriptome/O_coriaceus/Sup2/links/pep/OC-105-pep.txt","OC-105")</f>
        <v>OC-105</v>
      </c>
      <c r="B110" s="1" t="s">
        <v>114</v>
      </c>
      <c r="C110">
        <v>161</v>
      </c>
      <c r="D110" t="s">
        <v>121</v>
      </c>
      <c r="E110" t="str">
        <f>HYPERLINK("http://exon.niaid.nih.gov/transcriptome/O_coriaceus/Sup2/links/nuc/OC-105-nuc.txt","OC-105")</f>
        <v>OC-105</v>
      </c>
      <c r="F110" s="1" t="s">
        <v>195</v>
      </c>
      <c r="G110" s="1" t="s">
        <v>194</v>
      </c>
      <c r="H110" s="5" t="str">
        <f>HYPERLINK("http://exon.niaid.nih.gov/transcriptome/O_coriaceus/Sup2/links/Sigp/OC-105-SigP.txt","CYT")</f>
        <v>CYT</v>
      </c>
      <c r="I110" t="s">
        <v>196</v>
      </c>
      <c r="J110" s="1">
        <v>19.035</v>
      </c>
      <c r="K110" s="1">
        <v>10.94</v>
      </c>
      <c r="N110" s="19" t="s">
        <v>85</v>
      </c>
      <c r="O110" s="5" t="str">
        <f>HYPERLINK("http://exon.niaid.nih.gov/transcriptome/O_coriaceus/Sup2/links/netoglyc/OC-105-netoglyc.txt","0")</f>
        <v>0</v>
      </c>
      <c r="P110" s="1">
        <v>5.6</v>
      </c>
      <c r="Q110" s="1">
        <v>8.7</v>
      </c>
      <c r="R110" s="1">
        <v>5</v>
      </c>
      <c r="S110" s="27" t="s">
        <v>196</v>
      </c>
      <c r="U110" s="4" t="str">
        <f>HYPERLINK("http://exon.niaid.nih.gov/transcriptome/O_coriaceus/Sup2/links/OCORI-EST/OC-105-OCORI-EST.txt","OCL-P13_A08")</f>
        <v>OCL-P13_A08</v>
      </c>
      <c r="V110" s="1">
        <v>0</v>
      </c>
      <c r="W110" s="5" t="str">
        <f>HYPERLINK("http://exon.niaid.nih.gov/transcriptome/O_coriaceus/Sup2/links/OCORI-EST/OC-105-OCORI-EST.txt"," 2")</f>
        <v> 2</v>
      </c>
      <c r="Y110" s="22" t="s">
        <v>196</v>
      </c>
      <c r="AC110" s="22" t="str">
        <f>HYPERLINK("http://exon.niaid.nih.gov/transcriptome/O_coriaceus/Sup2/links/OC-1D/OC-105-OC-1D.txt","P21_37 |P21_38 |P21_39 |P21_40 |P22_49 |P22_50 |P22_51 |")</f>
        <v>P21_37 |P21_38 |P21_39 |P21_40 |P22_49 |P22_50 |P22_51 |</v>
      </c>
      <c r="AD110" s="27" t="s">
        <v>612</v>
      </c>
      <c r="AE110" s="1">
        <v>4</v>
      </c>
      <c r="AF110" s="1">
        <v>41</v>
      </c>
      <c r="AG110" s="26">
        <f>100*AF110/C110</f>
        <v>25.46583850931677</v>
      </c>
      <c r="AH110" s="4" t="str">
        <f>HYPERLINK("http://exon.niaid.nih.gov/transcriptome/O_coriaceus/Sup2/links/NR/OC-105-NR.txt","ribosomal protein L21")</f>
        <v>ribosomal protein L21</v>
      </c>
      <c r="AI110" t="str">
        <f>HYPERLINK("http://www.ncbi.nlm.nih.gov/sutils/blink.cgi?pid=45269083","1E-073")</f>
        <v>1E-073</v>
      </c>
      <c r="AJ110" t="s">
        <v>269</v>
      </c>
      <c r="AK110">
        <v>96</v>
      </c>
      <c r="AL110">
        <v>100</v>
      </c>
      <c r="AM110">
        <v>1</v>
      </c>
      <c r="AN110" t="s">
        <v>270</v>
      </c>
      <c r="AO110">
        <v>1</v>
      </c>
      <c r="AP110">
        <v>1</v>
      </c>
      <c r="AQ110">
        <v>1</v>
      </c>
      <c r="AR110" s="4" t="s">
        <v>271</v>
      </c>
      <c r="AS110">
        <f>HYPERLINK("http://exon.niaid.nih.gov/transcriptome/O_coriaceus/Sup2/links/GO/OC-105-GO.txt",8E-48)</f>
        <v>8E-48</v>
      </c>
      <c r="AT110" t="s">
        <v>272</v>
      </c>
      <c r="AU110" t="s">
        <v>273</v>
      </c>
      <c r="AV110" t="s">
        <v>274</v>
      </c>
      <c r="AW110" t="s">
        <v>275</v>
      </c>
      <c r="AX110" s="3">
        <v>1E-37</v>
      </c>
      <c r="AY110" s="4" t="str">
        <f>HYPERLINK("http://exon.niaid.nih.gov/transcriptome/O_coriaceus/Sup2/links/KOG/OC-105-KOG.txt","60S ribosomal protein L21")</f>
        <v>60S ribosomal protein L21</v>
      </c>
      <c r="AZ110" t="str">
        <f>HYPERLINK("http://www.ncbi.nlm.nih.gov/COG/grace/shokog.cgi?KOG1732","1E-049")</f>
        <v>1E-049</v>
      </c>
      <c r="BA110" t="s">
        <v>276</v>
      </c>
      <c r="BB110" s="4" t="str">
        <f>HYPERLINK("http://exon.niaid.nih.gov/transcriptome/O_coriaceus/Sup2/links/CDD/OC-105-CDD.txt","Ribosomal_L21e")</f>
        <v>Ribosomal_L21e</v>
      </c>
      <c r="BC110" t="str">
        <f>HYPERLINK("http://www.ncbi.nlm.nih.gov/Structure/cdd/cddsrv.cgi?uid=pfam01157&amp;version=v4.0","3E-031")</f>
        <v>3E-031</v>
      </c>
      <c r="BD110" t="s">
        <v>277</v>
      </c>
      <c r="BE110" s="4" t="str">
        <f>HYPERLINK("http://exon.niaid.nih.gov/transcriptome/O_coriaceus/Sup2/links/PFAM/OC-105-PFAM.txt","Ribosomal_L21e")</f>
        <v>Ribosomal_L21e</v>
      </c>
      <c r="BF110" t="str">
        <f>HYPERLINK("http://pfam.janelia.org/cgi-bin/getdesc?acc=PF01157","9E-032")</f>
        <v>9E-032</v>
      </c>
      <c r="BG110" s="4" t="s">
        <v>196</v>
      </c>
      <c r="BH110" t="s">
        <v>196</v>
      </c>
      <c r="BI110" s="2">
        <v>15</v>
      </c>
      <c r="BJ110" s="1">
        <v>1</v>
      </c>
      <c r="BK110" s="2">
        <v>16</v>
      </c>
      <c r="BL110" s="1">
        <v>1</v>
      </c>
      <c r="BM110" s="2">
        <v>15</v>
      </c>
      <c r="BN110" s="1">
        <v>1</v>
      </c>
      <c r="BO110" s="2">
        <v>17</v>
      </c>
      <c r="BP110" s="1">
        <v>1</v>
      </c>
      <c r="BQ110" s="2">
        <v>14</v>
      </c>
      <c r="BR110" s="1">
        <v>1</v>
      </c>
      <c r="BS110" s="2">
        <v>14</v>
      </c>
      <c r="BT110" s="1">
        <v>1</v>
      </c>
      <c r="BU110" s="2">
        <v>7</v>
      </c>
      <c r="BV110" s="1">
        <v>1</v>
      </c>
    </row>
    <row r="111" spans="1:74" ht="10.5">
      <c r="A111" t="str">
        <f>HYPERLINK("http://exon.niaid.nih.gov/transcriptome/O_coriaceus/Sup2/links/pep/OC-251-pep.txt","OC-251")</f>
        <v>OC-251</v>
      </c>
      <c r="B111" s="1" t="s">
        <v>140</v>
      </c>
      <c r="C111">
        <v>133</v>
      </c>
      <c r="D111" t="s">
        <v>141</v>
      </c>
      <c r="E111" t="str">
        <f>HYPERLINK("http://exon.niaid.nih.gov/transcriptome/O_coriaceus/Sup2/links/nuc/OC-251-nuc.txt","OC-251")</f>
        <v>OC-251</v>
      </c>
      <c r="F111" s="1" t="s">
        <v>196</v>
      </c>
      <c r="G111" s="1" t="s">
        <v>194</v>
      </c>
      <c r="H111" s="5" t="str">
        <f>HYPERLINK("http://exon.niaid.nih.gov/transcriptome/O_coriaceus/Sup2/links/Sigp/OC-251-SigP.txt","CYT")</f>
        <v>CYT</v>
      </c>
      <c r="I111" t="s">
        <v>196</v>
      </c>
      <c r="J111" s="1">
        <v>15.721</v>
      </c>
      <c r="K111" s="1">
        <v>9.5</v>
      </c>
      <c r="N111" s="19" t="s">
        <v>86</v>
      </c>
      <c r="O111" s="5" t="str">
        <f>HYPERLINK("http://exon.niaid.nih.gov/transcriptome/O_coriaceus/Sup2/links/netoglyc/OC-251-netoglyc.txt","0")</f>
        <v>0</v>
      </c>
      <c r="P111" s="1">
        <v>7.5</v>
      </c>
      <c r="Q111" s="1">
        <v>3</v>
      </c>
      <c r="R111" s="1">
        <v>5.3</v>
      </c>
      <c r="S111" s="27" t="s">
        <v>196</v>
      </c>
      <c r="U111" s="4" t="str">
        <f>HYPERLINK("http://exon.niaid.nih.gov/transcriptome/O_coriaceus/Sup2/links/OCORI-EST/OC-251-OCORI-EST.txt","OCL-P14_D12")</f>
        <v>OCL-P14_D12</v>
      </c>
      <c r="V111" s="1">
        <v>0</v>
      </c>
      <c r="W111" s="5" t="str">
        <f>HYPERLINK("http://exon.niaid.nih.gov/transcriptome/O_coriaceus/Sup2/links/OCORI-EST/OC-251-OCORI-EST.txt"," 1")</f>
        <v> 1</v>
      </c>
      <c r="Y111" s="22" t="s">
        <v>196</v>
      </c>
      <c r="AC111" s="22" t="str">
        <f>HYPERLINK("http://exon.niaid.nih.gov/transcriptome/O_coriaceus/Sup2/links/OC-1D/OC-251-OC-1D.txt","P24_84 |")</f>
        <v>P24_84 |</v>
      </c>
      <c r="AE111" s="1" t="s">
        <v>196</v>
      </c>
      <c r="AG111" s="26" t="s">
        <v>196</v>
      </c>
      <c r="AH111" s="4" t="str">
        <f>HYPERLINK("http://exon.niaid.nih.gov/transcriptome/O_coriaceus/Sup2/links/NR/OC-251-NR.txt","60S ribosomal protein L22")</f>
        <v>60S ribosomal protein L22</v>
      </c>
      <c r="AI111" t="str">
        <f>HYPERLINK("http://www.ncbi.nlm.nih.gov/sutils/blink.cgi?pid=149286942","3E-043")</f>
        <v>3E-043</v>
      </c>
      <c r="AJ111" t="s">
        <v>362</v>
      </c>
      <c r="AK111">
        <v>84</v>
      </c>
      <c r="AL111">
        <v>88</v>
      </c>
      <c r="AM111">
        <v>6</v>
      </c>
      <c r="AN111" t="s">
        <v>230</v>
      </c>
      <c r="AO111">
        <v>6</v>
      </c>
      <c r="AP111">
        <v>2</v>
      </c>
      <c r="AQ111">
        <v>1</v>
      </c>
      <c r="AR111" s="4" t="s">
        <v>363</v>
      </c>
      <c r="AS111">
        <f>HYPERLINK("http://exon.niaid.nih.gov/transcriptome/O_coriaceus/Sup2/links/GO/OC-251-GO.txt",1E-25)</f>
        <v>1E-25</v>
      </c>
      <c r="AT111" t="s">
        <v>272</v>
      </c>
      <c r="AU111" t="s">
        <v>273</v>
      </c>
      <c r="AV111" t="s">
        <v>274</v>
      </c>
      <c r="AW111" t="s">
        <v>275</v>
      </c>
      <c r="AX111" s="3">
        <v>8E-22</v>
      </c>
      <c r="AY111" s="4" t="str">
        <f>HYPERLINK("http://exon.niaid.nih.gov/transcriptome/O_coriaceus/Sup2/links/KOG/OC-251-KOG.txt","60S ribosomal protein L22")</f>
        <v>60S ribosomal protein L22</v>
      </c>
      <c r="AZ111" t="str">
        <f>HYPERLINK("http://www.ncbi.nlm.nih.gov/COG/grace/shokog.cgi?KOG3434","3E-035")</f>
        <v>3E-035</v>
      </c>
      <c r="BA111" t="s">
        <v>276</v>
      </c>
      <c r="BB111" s="4" t="str">
        <f>HYPERLINK("http://exon.niaid.nih.gov/transcriptome/O_coriaceus/Sup2/links/CDD/OC-251-CDD.txt","Ribosomal_L22e")</f>
        <v>Ribosomal_L22e</v>
      </c>
      <c r="BC111" t="str">
        <f>HYPERLINK("http://www.ncbi.nlm.nih.gov/Structure/cdd/cddsrv.cgi?uid=pfam01776&amp;version=v4.0","1E-033")</f>
        <v>1E-033</v>
      </c>
      <c r="BD111" t="s">
        <v>364</v>
      </c>
      <c r="BE111" s="4" t="str">
        <f>HYPERLINK("http://exon.niaid.nih.gov/transcriptome/O_coriaceus/Sup2/links/PFAM/OC-251-PFAM.txt","Ribosomal_L22e")</f>
        <v>Ribosomal_L22e</v>
      </c>
      <c r="BF111" t="str">
        <f>HYPERLINK("http://pfam.janelia.org/cgi-bin/getdesc?acc=PF01776","3E-034")</f>
        <v>3E-034</v>
      </c>
      <c r="BG111" s="4" t="str">
        <f>HYPERLINK("http://exon.niaid.nih.gov/transcriptome/O_coriaceus/Sup2/links/SMART/OC-251-SMART.txt","IBR")</f>
        <v>IBR</v>
      </c>
      <c r="BH111" t="str">
        <f>HYPERLINK("http://smart.embl-heidelberg.de/smart/do_annotation.pl?DOMAIN=IBR&amp;BLAST=DUMMY","0.97")</f>
        <v>0.97</v>
      </c>
      <c r="BI111" s="2">
        <v>33</v>
      </c>
      <c r="BJ111" s="1">
        <v>1</v>
      </c>
      <c r="BK111" s="2">
        <v>35</v>
      </c>
      <c r="BL111" s="1">
        <v>1</v>
      </c>
      <c r="BM111" s="2">
        <v>34</v>
      </c>
      <c r="BN111" s="1">
        <v>1</v>
      </c>
      <c r="BO111" s="2">
        <v>37</v>
      </c>
      <c r="BP111" s="1">
        <v>1</v>
      </c>
      <c r="BQ111" s="2">
        <v>36</v>
      </c>
      <c r="BR111" s="1">
        <v>1</v>
      </c>
      <c r="BS111" s="2">
        <v>37</v>
      </c>
      <c r="BT111" s="1">
        <v>1</v>
      </c>
      <c r="BU111" s="2">
        <v>35</v>
      </c>
      <c r="BV111" s="1">
        <v>1</v>
      </c>
    </row>
    <row r="112" spans="1:74" ht="10.5">
      <c r="A112" t="str">
        <f>HYPERLINK("http://exon.niaid.nih.gov/transcriptome/O_coriaceus/Sup2/links/pep/OC-30-pep.txt","OC-30")</f>
        <v>OC-30</v>
      </c>
      <c r="B112" s="1" t="s">
        <v>142</v>
      </c>
      <c r="C112">
        <v>105</v>
      </c>
      <c r="D112" t="s">
        <v>143</v>
      </c>
      <c r="E112" t="str">
        <f>HYPERLINK("http://exon.niaid.nih.gov/transcriptome/O_coriaceus/Sup2/links/nuc/OC-30-nuc.txt","OC-30")</f>
        <v>OC-30</v>
      </c>
      <c r="F112" s="1" t="s">
        <v>196</v>
      </c>
      <c r="G112" s="1" t="s">
        <v>194</v>
      </c>
      <c r="H112" s="5" t="str">
        <f>HYPERLINK("http://exon.niaid.nih.gov/transcriptome/O_coriaceus/Sup2/links/Sigp/OC-30-SigP.txt","CYT")</f>
        <v>CYT</v>
      </c>
      <c r="I112" t="s">
        <v>196</v>
      </c>
      <c r="J112" s="1">
        <v>11.699</v>
      </c>
      <c r="K112" s="1">
        <v>9.48</v>
      </c>
      <c r="N112" s="19" t="s">
        <v>87</v>
      </c>
      <c r="O112" s="5" t="str">
        <f>HYPERLINK("http://exon.niaid.nih.gov/transcriptome/O_coriaceus/Sup2/links/netoglyc/OC-30-netoglyc.txt","1")</f>
        <v>1</v>
      </c>
      <c r="P112" s="1">
        <v>14.3</v>
      </c>
      <c r="Q112" s="1">
        <v>7.6</v>
      </c>
      <c r="R112" s="1">
        <v>3.8</v>
      </c>
      <c r="S112" s="27" t="s">
        <v>196</v>
      </c>
      <c r="U112" s="4" t="str">
        <f>HYPERLINK("http://exon.niaid.nih.gov/transcriptome/O_coriaceus/Sup2/links/OCORI-EST/OC-30-OCORI-EST.txt","OCM-PLATE08_H07")</f>
        <v>OCM-PLATE08_H07</v>
      </c>
      <c r="V112" s="1">
        <v>0</v>
      </c>
      <c r="W112" s="5" t="str">
        <f>HYPERLINK("http://exon.niaid.nih.gov/transcriptome/O_coriaceus/Sup2/links/OCORI-EST/OC-30-OCORI-EST.txt"," 1")</f>
        <v> 1</v>
      </c>
      <c r="Y112" s="22" t="s">
        <v>196</v>
      </c>
      <c r="AC112" s="22" t="str">
        <f>HYPERLINK("http://exon.niaid.nih.gov/transcriptome/O_coriaceus/Sup2/links/OC-1D/OC-30-OC-1D.txt","P25_10 |P25_11 |P25_12 |P26_39 |S18_21 |")</f>
        <v>P25_10 |P25_11 |P25_12 |P26_39 |S18_21 |</v>
      </c>
      <c r="AD112" s="27" t="s">
        <v>613</v>
      </c>
      <c r="AE112" s="1">
        <v>3</v>
      </c>
      <c r="AF112" s="1">
        <v>39</v>
      </c>
      <c r="AG112" s="26">
        <f>100*AF112/C112</f>
        <v>37.142857142857146</v>
      </c>
      <c r="AH112" s="4" t="str">
        <f>HYPERLINK("http://exon.niaid.nih.gov/transcriptome/O_coriaceus/Sup2/links/NR/OC-30-NR.txt","ribosomal protein L30")</f>
        <v>ribosomal protein L30</v>
      </c>
      <c r="AI112" t="str">
        <f>HYPERLINK("http://www.ncbi.nlm.nih.gov/sutils/blink.cgi?pid=149287062","2E-051")</f>
        <v>2E-051</v>
      </c>
      <c r="AJ112" t="s">
        <v>368</v>
      </c>
      <c r="AK112">
        <v>99</v>
      </c>
      <c r="AL112">
        <v>94</v>
      </c>
      <c r="AM112">
        <v>8</v>
      </c>
      <c r="AN112" t="s">
        <v>230</v>
      </c>
      <c r="AO112">
        <v>8</v>
      </c>
      <c r="AP112">
        <v>1</v>
      </c>
      <c r="AQ112">
        <v>1</v>
      </c>
      <c r="AR112" s="4" t="s">
        <v>369</v>
      </c>
      <c r="AS112">
        <f>HYPERLINK("http://exon.niaid.nih.gov/transcriptome/O_coriaceus/Sup2/links/GO/OC-30-GO.txt",5E-44)</f>
        <v>5E-44</v>
      </c>
      <c r="AT112" t="s">
        <v>272</v>
      </c>
      <c r="AU112" t="s">
        <v>273</v>
      </c>
      <c r="AV112" t="s">
        <v>274</v>
      </c>
      <c r="AW112" t="s">
        <v>275</v>
      </c>
      <c r="AX112" s="3">
        <v>2E-34</v>
      </c>
      <c r="AY112" s="4" t="str">
        <f>HYPERLINK("http://exon.niaid.nih.gov/transcriptome/O_coriaceus/Sup2/links/KOG/OC-30-KOG.txt","60S ribosomal protein L30")</f>
        <v>60S ribosomal protein L30</v>
      </c>
      <c r="AZ112" t="str">
        <f>HYPERLINK("http://www.ncbi.nlm.nih.gov/COG/grace/shokog.cgi?KOG2988","5E-043")</f>
        <v>5E-043</v>
      </c>
      <c r="BA112" t="s">
        <v>276</v>
      </c>
      <c r="BB112" s="4" t="str">
        <f>HYPERLINK("http://exon.niaid.nih.gov/transcriptome/O_coriaceus/Sup2/links/CDD/OC-30-CDD.txt","RPL30")</f>
        <v>RPL30</v>
      </c>
      <c r="BC112" t="str">
        <f>HYPERLINK("http://www.ncbi.nlm.nih.gov/Structure/cdd/cddsrv.cgi?uid=COG1911&amp;version=v4.0","2E-032")</f>
        <v>2E-032</v>
      </c>
      <c r="BD112" t="s">
        <v>370</v>
      </c>
      <c r="BE112" s="4" t="str">
        <f>HYPERLINK("http://exon.niaid.nih.gov/transcriptome/O_coriaceus/Sup2/links/PFAM/OC-30-PFAM.txt","Ribosomal_L7Ae")</f>
        <v>Ribosomal_L7Ae</v>
      </c>
      <c r="BF112" t="str">
        <f>HYPERLINK("http://pfam.janelia.org/cgi-bin/getdesc?acc=PF01248","2E-020")</f>
        <v>2E-020</v>
      </c>
      <c r="BG112" s="4" t="str">
        <f>HYPERLINK("http://exon.niaid.nih.gov/transcriptome/O_coriaceus/Sup2/links/SMART/OC-30-SMART.txt","HTH_ICLR")</f>
        <v>HTH_ICLR</v>
      </c>
      <c r="BH112" t="str">
        <f>HYPERLINK("http://smart.embl-heidelberg.de/smart/do_annotation.pl?DOMAIN=HTH_ICLR&amp;BLAST=DUMMY","0.25")</f>
        <v>0.25</v>
      </c>
      <c r="BI112" s="2">
        <v>34</v>
      </c>
      <c r="BJ112" s="1">
        <v>1</v>
      </c>
      <c r="BK112" s="2">
        <v>36</v>
      </c>
      <c r="BL112" s="1">
        <v>1</v>
      </c>
      <c r="BM112" s="2">
        <v>35</v>
      </c>
      <c r="BN112" s="1">
        <v>1</v>
      </c>
      <c r="BO112" s="2">
        <v>38</v>
      </c>
      <c r="BP112" s="1">
        <v>1</v>
      </c>
      <c r="BQ112" s="2">
        <v>37</v>
      </c>
      <c r="BR112" s="1">
        <v>1</v>
      </c>
      <c r="BS112" s="2">
        <v>38</v>
      </c>
      <c r="BT112" s="1">
        <v>1</v>
      </c>
      <c r="BU112" s="2">
        <v>40</v>
      </c>
      <c r="BV112" s="1">
        <v>1</v>
      </c>
    </row>
    <row r="113" spans="1:74" ht="10.5">
      <c r="A113" t="str">
        <f>HYPERLINK("http://exon.niaid.nih.gov/transcriptome/O_coriaceus/Sup2/links/pep/OC-47-pep.txt","OC-47")</f>
        <v>OC-47</v>
      </c>
      <c r="B113" s="1" t="s">
        <v>114</v>
      </c>
      <c r="C113">
        <v>25</v>
      </c>
      <c r="D113" t="s">
        <v>163</v>
      </c>
      <c r="E113" t="str">
        <f>HYPERLINK("http://exon.niaid.nih.gov/transcriptome/O_coriaceus/Sup2/links/nuc/OC-47-nuc.txt","OC-47")</f>
        <v>OC-47</v>
      </c>
      <c r="F113" s="1" t="s">
        <v>195</v>
      </c>
      <c r="G113" s="1" t="s">
        <v>194</v>
      </c>
      <c r="H113" s="5" t="str">
        <f>HYPERLINK("http://exon.niaid.nih.gov/transcriptome/O_coriaceus/Sup2/links/Sigp/OC-47-SigP.txt","CYT")</f>
        <v>CYT</v>
      </c>
      <c r="I113" t="s">
        <v>196</v>
      </c>
      <c r="J113" s="1">
        <v>3.401</v>
      </c>
      <c r="K113" s="1">
        <v>12.96</v>
      </c>
      <c r="N113" s="19" t="s">
        <v>196</v>
      </c>
      <c r="O113" s="5" t="str">
        <f>HYPERLINK("http://exon.niaid.nih.gov/transcriptome/O_coriaceus/Sup2/links/netoglyc/OC-47-netoglyc.txt","0")</f>
        <v>0</v>
      </c>
      <c r="P113" s="1">
        <v>4</v>
      </c>
      <c r="Q113" s="1">
        <v>4</v>
      </c>
      <c r="R113" s="1" t="s">
        <v>633</v>
      </c>
      <c r="S113" s="27" t="s">
        <v>1</v>
      </c>
      <c r="U113" s="4" t="str">
        <f>HYPERLINK("http://exon.niaid.nih.gov/transcriptome/O_coriaceus/Sup2/links/OCORI-EST/OC-47-OCORI-EST.txt","OCL-P12_B07")</f>
        <v>OCL-P12_B07</v>
      </c>
      <c r="V113" s="1">
        <v>2E-39</v>
      </c>
      <c r="W113" s="5" t="str">
        <f>HYPERLINK("http://exon.niaid.nih.gov/transcriptome/O_coriaceus/Sup2/links/OCORI-EST/OC-47-OCORI-EST.txt"," 2")</f>
        <v> 2</v>
      </c>
      <c r="Y113" s="22" t="s">
        <v>196</v>
      </c>
      <c r="AC113" s="22" t="s">
        <v>196</v>
      </c>
      <c r="AG113" s="26" t="s">
        <v>196</v>
      </c>
      <c r="AH113" s="4" t="s">
        <v>196</v>
      </c>
      <c r="AI113" t="s">
        <v>196</v>
      </c>
      <c r="AJ113" t="s">
        <v>196</v>
      </c>
      <c r="AK113" t="s">
        <v>196</v>
      </c>
      <c r="AL113" t="s">
        <v>196</v>
      </c>
      <c r="AM113" t="s">
        <v>196</v>
      </c>
      <c r="AN113" t="s">
        <v>196</v>
      </c>
      <c r="AO113">
        <v>220</v>
      </c>
      <c r="AP113">
        <v>6</v>
      </c>
      <c r="AQ113">
        <v>1</v>
      </c>
      <c r="AR113" s="4" t="s">
        <v>196</v>
      </c>
      <c r="AS113" t="s">
        <v>196</v>
      </c>
      <c r="AT113" t="s">
        <v>196</v>
      </c>
      <c r="AU113" t="s">
        <v>196</v>
      </c>
      <c r="AV113" t="s">
        <v>196</v>
      </c>
      <c r="AW113" t="s">
        <v>196</v>
      </c>
      <c r="AX113" t="s">
        <v>196</v>
      </c>
      <c r="AY113" s="4" t="s">
        <v>196</v>
      </c>
      <c r="AZ113" t="s">
        <v>196</v>
      </c>
      <c r="BA113" t="s">
        <v>196</v>
      </c>
      <c r="BB113" s="4" t="s">
        <v>196</v>
      </c>
      <c r="BC113" t="s">
        <v>196</v>
      </c>
      <c r="BD113" t="s">
        <v>196</v>
      </c>
      <c r="BE113" s="4" t="s">
        <v>196</v>
      </c>
      <c r="BF113" t="s">
        <v>196</v>
      </c>
      <c r="BG113" s="4" t="s">
        <v>196</v>
      </c>
      <c r="BH113" t="s">
        <v>196</v>
      </c>
      <c r="BI113" s="2">
        <v>48</v>
      </c>
      <c r="BJ113" s="1">
        <v>1</v>
      </c>
      <c r="BK113" s="2">
        <v>51</v>
      </c>
      <c r="BL113" s="1">
        <v>1</v>
      </c>
      <c r="BM113" s="2">
        <v>50</v>
      </c>
      <c r="BN113" s="1">
        <v>1</v>
      </c>
      <c r="BO113" s="2">
        <v>53</v>
      </c>
      <c r="BP113" s="1">
        <v>1</v>
      </c>
      <c r="BQ113" s="2">
        <v>53</v>
      </c>
      <c r="BR113" s="1">
        <v>1</v>
      </c>
      <c r="BS113" s="2">
        <v>56</v>
      </c>
      <c r="BT113" s="1">
        <v>1</v>
      </c>
      <c r="BU113" s="2">
        <v>60</v>
      </c>
      <c r="BV113" s="1">
        <v>1</v>
      </c>
    </row>
    <row r="114" spans="1:74" ht="10.5">
      <c r="A114" t="str">
        <f>HYPERLINK("http://exon.niaid.nih.gov/transcriptome/O_coriaceus/Sup2/links/pep/OC-239-pep.txt","OC-239")</f>
        <v>OC-239</v>
      </c>
      <c r="B114" s="1" t="s">
        <v>136</v>
      </c>
      <c r="C114">
        <v>149</v>
      </c>
      <c r="D114" t="s">
        <v>137</v>
      </c>
      <c r="E114" t="str">
        <f>HYPERLINK("http://exon.niaid.nih.gov/transcriptome/O_coriaceus/Sup2/links/nuc/OC-239-nuc.txt","OC-239")</f>
        <v>OC-239</v>
      </c>
      <c r="F114" s="1" t="s">
        <v>196</v>
      </c>
      <c r="G114" s="1" t="s">
        <v>194</v>
      </c>
      <c r="H114" s="5" t="str">
        <f>HYPERLINK("http://exon.niaid.nih.gov/transcriptome/O_coriaceus/Sup2/links/Sigp/OC-239-SigP.txt","CYT")</f>
        <v>CYT</v>
      </c>
      <c r="I114" t="s">
        <v>196</v>
      </c>
      <c r="J114" s="1">
        <v>17.127</v>
      </c>
      <c r="K114" s="1">
        <v>9.67</v>
      </c>
      <c r="N114" s="19" t="s">
        <v>89</v>
      </c>
      <c r="O114" s="5" t="str">
        <f>HYPERLINK("http://exon.niaid.nih.gov/transcriptome/O_coriaceus/Sup2/links/netoglyc/OC-239-netoglyc.txt","3")</f>
        <v>3</v>
      </c>
      <c r="P114" s="1">
        <v>10.1</v>
      </c>
      <c r="Q114" s="1">
        <v>6.7</v>
      </c>
      <c r="R114" s="1">
        <v>4</v>
      </c>
      <c r="S114" s="27" t="s">
        <v>196</v>
      </c>
      <c r="U114" s="4" t="str">
        <f>HYPERLINK("http://exon.niaid.nih.gov/transcriptome/O_coriaceus/Sup2/links/OCORI-EST/OC-239-OCORI-EST.txt","OCL-P13_F11")</f>
        <v>OCL-P13_F11</v>
      </c>
      <c r="V114" s="1">
        <v>1E-117</v>
      </c>
      <c r="W114" s="5" t="str">
        <f>HYPERLINK("http://exon.niaid.nih.gov/transcriptome/O_coriaceus/Sup2/links/OCORI-EST/OC-239-OCORI-EST.txt"," 1")</f>
        <v> 1</v>
      </c>
      <c r="Y114" s="22" t="s">
        <v>196</v>
      </c>
      <c r="AC114" s="22" t="str">
        <f>HYPERLINK("http://exon.niaid.nih.gov/transcriptome/O_coriaceus/Sup2/links/OC-1D/OC-239-OC-1D.txt","P01_28 |P03_19 |P04_9 |P04_10 |P05_36 |P06_18 |P07_16 |P07_17 |P08_56 |P09_21 |P10_51 |P11_47 |P12_63 |P13_63 |P22_82 |P22_83 |P24_99 |P28_21 |P28_22 |P29_35 |P30_20 |P31_4 |P31_5 |S01_14 |S03_10 ")</f>
        <v>P01_28 |P03_19 |P04_9 |P04_10 |P05_36 |P06_18 |P07_16 |P07_17 |P08_56 |P09_21 |P10_51 |P11_47 |P12_63 |P13_63 |P22_82 |P22_83 |P24_99 |P28_21 |P28_22 |P29_35 |P30_20 |P31_4 |P31_5 |S01_14 |S03_10 </v>
      </c>
      <c r="AD114" s="27" t="s">
        <v>614</v>
      </c>
      <c r="AE114" s="1">
        <v>3</v>
      </c>
      <c r="AF114" s="1">
        <v>34</v>
      </c>
      <c r="AG114" s="26">
        <f>100*AF114/C114</f>
        <v>22.818791946308725</v>
      </c>
      <c r="AH114" s="4" t="str">
        <f>HYPERLINK("http://exon.niaid.nih.gov/transcriptome/O_coriaceus/Sup2/links/NR/OC-239-NR.txt","PREDICTED: similar to RPS27A protein")</f>
        <v>PREDICTED: similar to RPS27A protein</v>
      </c>
      <c r="AI114" t="str">
        <f>HYPERLINK("http://www.ncbi.nlm.nih.gov/sutils/blink.cgi?pid=114577583","4E-066")</f>
        <v>4E-066</v>
      </c>
      <c r="AJ114" t="s">
        <v>348</v>
      </c>
      <c r="AK114">
        <v>91</v>
      </c>
      <c r="AL114">
        <v>63</v>
      </c>
      <c r="AM114">
        <v>87</v>
      </c>
      <c r="AN114" t="s">
        <v>349</v>
      </c>
      <c r="AO114">
        <v>8</v>
      </c>
      <c r="AP114">
        <v>1</v>
      </c>
      <c r="AQ114">
        <v>2</v>
      </c>
      <c r="AR114" s="4" t="s">
        <v>350</v>
      </c>
      <c r="AS114">
        <f>HYPERLINK("http://exon.niaid.nih.gov/transcriptome/O_coriaceus/Sup2/links/GO/OC-239-GO.txt",8E-43)</f>
        <v>8E-43</v>
      </c>
      <c r="AT114" t="s">
        <v>272</v>
      </c>
      <c r="AU114" t="s">
        <v>273</v>
      </c>
      <c r="AV114" t="s">
        <v>274</v>
      </c>
      <c r="AW114" t="s">
        <v>275</v>
      </c>
      <c r="AX114" s="3">
        <v>8E-43</v>
      </c>
      <c r="AY114" s="4" t="str">
        <f>HYPERLINK("http://exon.niaid.nih.gov/transcriptome/O_coriaceus/Sup2/links/KOG/OC-239-KOG.txt","Ubiquitin/40S ribosomal protein S27a fusion")</f>
        <v>Ubiquitin/40S ribosomal protein S27a fusion</v>
      </c>
      <c r="AZ114" t="str">
        <f>HYPERLINK("http://www.ncbi.nlm.nih.gov/COG/grace/shokog.cgi?KOG0004","9E-057")</f>
        <v>9E-057</v>
      </c>
      <c r="BA114" t="s">
        <v>276</v>
      </c>
      <c r="BB114" s="4" t="str">
        <f>HYPERLINK("http://exon.niaid.nih.gov/transcriptome/O_coriaceus/Sup2/links/CDD/OC-239-CDD.txt","Ubiquitin")</f>
        <v>Ubiquitin</v>
      </c>
      <c r="BC114" t="str">
        <f>HYPERLINK("http://www.ncbi.nlm.nih.gov/Structure/cdd/cddsrv.cgi?uid=cd01803&amp;version=v4.0","2E-032")</f>
        <v>2E-032</v>
      </c>
      <c r="BD114" t="s">
        <v>351</v>
      </c>
      <c r="BE114" s="4" t="str">
        <f>HYPERLINK("http://exon.niaid.nih.gov/transcriptome/O_coriaceus/Sup2/links/PFAM/OC-239-PFAM.txt","ubiquitin")</f>
        <v>ubiquitin</v>
      </c>
      <c r="BF114" t="str">
        <f>HYPERLINK("http://pfam.janelia.org/cgi-bin/getdesc?acc=PF00240","1E-021")</f>
        <v>1E-021</v>
      </c>
      <c r="BG114" s="4" t="str">
        <f>HYPERLINK("http://exon.niaid.nih.gov/transcriptome/O_coriaceus/Sup2/links/SMART/OC-239-SMART.txt","UBQ")</f>
        <v>UBQ</v>
      </c>
      <c r="BH114" t="str">
        <f>HYPERLINK("http://smart.embl-heidelberg.de/smart/do_annotation.pl?DOMAIN=UBQ&amp;BLAST=DUMMY","3E-021")</f>
        <v>3E-021</v>
      </c>
      <c r="BI114" s="2">
        <v>31</v>
      </c>
      <c r="BJ114" s="1">
        <v>1</v>
      </c>
      <c r="BK114" s="2">
        <v>33</v>
      </c>
      <c r="BL114" s="1">
        <v>1</v>
      </c>
      <c r="BM114" s="2">
        <v>32</v>
      </c>
      <c r="BN114" s="1">
        <v>1</v>
      </c>
      <c r="BO114" s="2">
        <v>35</v>
      </c>
      <c r="BP114" s="1">
        <v>1</v>
      </c>
      <c r="BQ114" s="2">
        <v>34</v>
      </c>
      <c r="BR114" s="1">
        <v>1</v>
      </c>
      <c r="BS114" s="2">
        <v>35</v>
      </c>
      <c r="BT114" s="1">
        <v>1</v>
      </c>
      <c r="BU114" s="2">
        <v>31</v>
      </c>
      <c r="BV114" s="1">
        <v>1</v>
      </c>
    </row>
    <row r="115" spans="1:74" ht="10.5">
      <c r="A115" t="str">
        <f>HYPERLINK("http://exon.niaid.nih.gov/transcriptome/O_coriaceus/Sup2/links/pep/OC-486-pep.txt","OC-486")</f>
        <v>OC-486</v>
      </c>
      <c r="B115" s="1" t="s">
        <v>114</v>
      </c>
      <c r="C115">
        <v>133</v>
      </c>
      <c r="D115" t="s">
        <v>165</v>
      </c>
      <c r="E115" t="str">
        <f>HYPERLINK("http://exon.niaid.nih.gov/transcriptome/O_coriaceus/Sup2/links/nuc/OC-486-nuc.txt","OC-486")</f>
        <v>OC-486</v>
      </c>
      <c r="F115" s="1" t="s">
        <v>195</v>
      </c>
      <c r="G115" s="1" t="s">
        <v>194</v>
      </c>
      <c r="H115" s="5" t="str">
        <f>HYPERLINK("http://exon.niaid.nih.gov/transcriptome/O_coriaceus/Sup2/links/Sigp/OC-486-SigP.txt","CYT")</f>
        <v>CYT</v>
      </c>
      <c r="I115" t="s">
        <v>196</v>
      </c>
      <c r="J115" s="1">
        <v>14.501</v>
      </c>
      <c r="K115" s="1">
        <v>9.61</v>
      </c>
      <c r="N115" s="19" t="s">
        <v>90</v>
      </c>
      <c r="O115" s="5" t="str">
        <f>HYPERLINK("http://exon.niaid.nih.gov/transcriptome/O_coriaceus/Sup2/links/netoglyc/OC-486-netoglyc.txt","1")</f>
        <v>1</v>
      </c>
      <c r="P115" s="1">
        <v>8.3</v>
      </c>
      <c r="Q115" s="1">
        <v>9.8</v>
      </c>
      <c r="R115" s="1">
        <v>3.8</v>
      </c>
      <c r="S115" s="27" t="s">
        <v>196</v>
      </c>
      <c r="U115" s="4" t="str">
        <f>HYPERLINK("http://exon.niaid.nih.gov/transcriptome/O_coriaceus/Sup2/links/OCORI-EST/OC-486-OCORI-EST.txt","OCL-PLATE04_G10")</f>
        <v>OCL-PLATE04_G10</v>
      </c>
      <c r="V115" s="1">
        <v>0</v>
      </c>
      <c r="W115" s="5" t="str">
        <f>HYPERLINK("http://exon.niaid.nih.gov/transcriptome/O_coriaceus/Sup2/links/OCORI-EST/OC-486-OCORI-EST.txt"," 1")</f>
        <v> 1</v>
      </c>
      <c r="Y115" s="22" t="s">
        <v>196</v>
      </c>
      <c r="AC115" s="22" t="s">
        <v>196</v>
      </c>
      <c r="AG115" s="26" t="s">
        <v>196</v>
      </c>
      <c r="AH115" s="4" t="str">
        <f>HYPERLINK("http://exon.niaid.nih.gov/transcriptome/O_coriaceus/Sup2/links/NR/OC-486-NR.txt","40S ribosomal protein S30")</f>
        <v>40S ribosomal protein S30</v>
      </c>
      <c r="AI115" t="str">
        <f>HYPERLINK("http://www.ncbi.nlm.nih.gov/sutils/blink.cgi?pid=51011536","9E-046")</f>
        <v>9E-046</v>
      </c>
      <c r="AJ115" t="s">
        <v>427</v>
      </c>
      <c r="AK115">
        <v>73</v>
      </c>
      <c r="AL115">
        <v>101</v>
      </c>
      <c r="AM115">
        <v>1</v>
      </c>
      <c r="AN115" t="s">
        <v>428</v>
      </c>
      <c r="AO115">
        <v>1</v>
      </c>
      <c r="AP115">
        <v>1</v>
      </c>
      <c r="AQ115">
        <v>1</v>
      </c>
      <c r="AR115" s="4" t="s">
        <v>429</v>
      </c>
      <c r="AS115">
        <f>HYPERLINK("http://exon.niaid.nih.gov/transcriptome/O_coriaceus/Sup2/links/GO/OC-486-GO.txt",3E-23)</f>
        <v>3E-23</v>
      </c>
      <c r="AT115" t="s">
        <v>430</v>
      </c>
      <c r="AU115" t="s">
        <v>239</v>
      </c>
      <c r="AV115" t="s">
        <v>339</v>
      </c>
      <c r="AW115" t="s">
        <v>431</v>
      </c>
      <c r="AX115">
        <v>2E-14</v>
      </c>
      <c r="AY115" s="4" t="str">
        <f>HYPERLINK("http://exon.niaid.nih.gov/transcriptome/O_coriaceus/Sup2/links/KOG/OC-486-KOG.txt","Ubiquitin-like/40S ribosomal S30 protein fusion")</f>
        <v>Ubiquitin-like/40S ribosomal S30 protein fusion</v>
      </c>
      <c r="AZ115" t="str">
        <f>HYPERLINK("http://www.ncbi.nlm.nih.gov/COG/grace/shokog.cgi?KOG0009","7E-019")</f>
        <v>7E-019</v>
      </c>
      <c r="BA115" t="s">
        <v>432</v>
      </c>
      <c r="BB115" s="4" t="str">
        <f>HYPERLINK("http://exon.niaid.nih.gov/transcriptome/O_coriaceus/Sup2/links/CDD/OC-486-CDD.txt","Ribosomal_S30")</f>
        <v>Ribosomal_S30</v>
      </c>
      <c r="BC115" t="str">
        <f>HYPERLINK("http://www.ncbi.nlm.nih.gov/Structure/cdd/cddsrv.cgi?uid=pfam04758&amp;version=v4.0","1E-018")</f>
        <v>1E-018</v>
      </c>
      <c r="BD115" t="s">
        <v>433</v>
      </c>
      <c r="BE115" s="4" t="str">
        <f>HYPERLINK("http://exon.niaid.nih.gov/transcriptome/O_coriaceus/Sup2/links/PFAM/OC-486-PFAM.txt","Ribosomal_S30")</f>
        <v>Ribosomal_S30</v>
      </c>
      <c r="BF115" t="str">
        <f>HYPERLINK("http://pfam.janelia.org/cgi-bin/getdesc?acc=PF04758","4E-019")</f>
        <v>4E-019</v>
      </c>
      <c r="BG115" s="4" t="str">
        <f>HYPERLINK("http://exon.niaid.nih.gov/transcriptome/O_coriaceus/Sup2/links/SMART/OC-486-SMART.txt","UBQ")</f>
        <v>UBQ</v>
      </c>
      <c r="BH115" t="str">
        <f>HYPERLINK("http://smart.embl-heidelberg.de/smart/do_annotation.pl?DOMAIN=UBQ&amp;BLAST=DUMMY","4E-008")</f>
        <v>4E-008</v>
      </c>
      <c r="BI115" s="2">
        <v>50</v>
      </c>
      <c r="BJ115" s="1">
        <v>1</v>
      </c>
      <c r="BK115" s="2">
        <v>53</v>
      </c>
      <c r="BL115" s="1">
        <v>1</v>
      </c>
      <c r="BM115" s="2">
        <v>52</v>
      </c>
      <c r="BN115" s="1">
        <v>1</v>
      </c>
      <c r="BO115" s="2">
        <v>55</v>
      </c>
      <c r="BP115" s="1">
        <v>1</v>
      </c>
      <c r="BQ115" s="2">
        <v>55</v>
      </c>
      <c r="BR115" s="1">
        <v>1</v>
      </c>
      <c r="BS115" s="2">
        <v>58</v>
      </c>
      <c r="BT115" s="1">
        <v>1</v>
      </c>
      <c r="BU115" s="2">
        <v>62</v>
      </c>
      <c r="BV115" s="1">
        <v>1</v>
      </c>
    </row>
    <row r="116" spans="1:74" ht="10.5">
      <c r="A116" t="str">
        <f>HYPERLINK("http://exon.niaid.nih.gov/transcriptome/O_coriaceus/Sup2/links/pep/OC-411-pep.txt","OC-411")</f>
        <v>OC-411</v>
      </c>
      <c r="B116" s="1" t="s">
        <v>114</v>
      </c>
      <c r="C116">
        <v>166</v>
      </c>
      <c r="D116" t="s">
        <v>158</v>
      </c>
      <c r="E116" t="str">
        <f>HYPERLINK("http://exon.niaid.nih.gov/transcriptome/O_coriaceus/Sup2/links/nuc/OC-411-nuc.txt","OC-411")</f>
        <v>OC-411</v>
      </c>
      <c r="F116" s="1" t="s">
        <v>195</v>
      </c>
      <c r="G116" s="1" t="s">
        <v>194</v>
      </c>
      <c r="H116" s="5" t="str">
        <f>HYPERLINK("http://exon.niaid.nih.gov/transcriptome/O_coriaceus/Sup2/links/Sigp/OC-411-SigP.txt","BL")</f>
        <v>BL</v>
      </c>
      <c r="I116" t="s">
        <v>545</v>
      </c>
      <c r="J116" s="1">
        <v>19.273</v>
      </c>
      <c r="K116" s="1">
        <v>10</v>
      </c>
      <c r="L116" s="1">
        <v>17.17</v>
      </c>
      <c r="M116" s="1">
        <v>9.89</v>
      </c>
      <c r="N116" s="19" t="s">
        <v>91</v>
      </c>
      <c r="O116" s="5" t="str">
        <f>HYPERLINK("http://exon.niaid.nih.gov/transcriptome/O_coriaceus/Sup2/links/netoglyc/OC-411-netoglyc.txt","0")</f>
        <v>0</v>
      </c>
      <c r="P116" s="1">
        <v>12.7</v>
      </c>
      <c r="Q116" s="1">
        <v>6.6</v>
      </c>
      <c r="R116" s="1">
        <v>3.6</v>
      </c>
      <c r="S116" s="27" t="s">
        <v>196</v>
      </c>
      <c r="U116" s="4" t="str">
        <f>HYPERLINK("http://exon.niaid.nih.gov/transcriptome/O_coriaceus/Sup2/links/OCORI-EST/OC-411-OCORI-EST.txt","OCL-PLATE02_E08")</f>
        <v>OCL-PLATE02_E08</v>
      </c>
      <c r="V116" s="1">
        <v>0</v>
      </c>
      <c r="W116" s="5" t="str">
        <f>HYPERLINK("http://exon.niaid.nih.gov/transcriptome/O_coriaceus/Sup2/links/OCORI-EST/OC-411-OCORI-EST.txt"," 1")</f>
        <v> 1</v>
      </c>
      <c r="Y116" s="22" t="s">
        <v>196</v>
      </c>
      <c r="AC116" s="22" t="str">
        <f>HYPERLINK("http://exon.niaid.nih.gov/transcriptome/O_coriaceus/Sup2/links/OC-1D/OC-411-OC-1D.txt","P04_30 |P12_60 |P15_58 |P16_74 |P28_57 |S18_50 |")</f>
        <v>P04_30 |P12_60 |P15_58 |P16_74 |P28_57 |S18_50 |</v>
      </c>
      <c r="AE116" s="1" t="s">
        <v>196</v>
      </c>
      <c r="AG116" s="26" t="s">
        <v>196</v>
      </c>
      <c r="AH116" s="4" t="str">
        <f>HYPERLINK("http://exon.niaid.nih.gov/transcriptome/O_coriaceus/Sup2/links/NR/OC-411-NR.txt","PREDICTED: similar to CG13608-PA")</f>
        <v>PREDICTED: similar to CG13608-PA</v>
      </c>
      <c r="AI116" t="str">
        <f>HYPERLINK("http://www.ncbi.nlm.nih.gov/sutils/blink.cgi?pid=91091814","7E-056")</f>
        <v>7E-056</v>
      </c>
      <c r="AJ116" t="s">
        <v>402</v>
      </c>
      <c r="AK116">
        <v>64</v>
      </c>
      <c r="AL116">
        <v>98</v>
      </c>
      <c r="AM116">
        <v>6</v>
      </c>
      <c r="AN116" t="s">
        <v>403</v>
      </c>
      <c r="AO116">
        <v>65</v>
      </c>
      <c r="AP116">
        <v>13</v>
      </c>
      <c r="AQ116">
        <v>1</v>
      </c>
      <c r="AR116" s="4" t="s">
        <v>404</v>
      </c>
      <c r="AS116">
        <f>HYPERLINK("http://exon.niaid.nih.gov/transcriptome/O_coriaceus/Sup2/links/GO/OC-411-GO.txt",1E-53)</f>
        <v>1E-53</v>
      </c>
      <c r="AT116" t="s">
        <v>272</v>
      </c>
      <c r="AU116" t="s">
        <v>273</v>
      </c>
      <c r="AV116" t="s">
        <v>274</v>
      </c>
      <c r="AW116" t="s">
        <v>275</v>
      </c>
      <c r="AX116" s="3">
        <v>1E-53</v>
      </c>
      <c r="AY116" s="4" t="s">
        <v>196</v>
      </c>
      <c r="AZ116" t="s">
        <v>196</v>
      </c>
      <c r="BA116" t="s">
        <v>196</v>
      </c>
      <c r="BB116" s="4" t="str">
        <f>HYPERLINK("http://exon.niaid.nih.gov/transcriptome/O_coriaceus/Sup2/links/CDD/OC-411-CDD.txt","30S_S3_KH")</f>
        <v>30S_S3_KH</v>
      </c>
      <c r="BC116" t="str">
        <f>HYPERLINK("http://www.ncbi.nlm.nih.gov/Structure/cdd/cddsrv.cgi?uid=cd02412&amp;version=v4.0","0.23")</f>
        <v>0.23</v>
      </c>
      <c r="BD116" t="s">
        <v>405</v>
      </c>
      <c r="BE116" s="4" t="s">
        <v>196</v>
      </c>
      <c r="BF116" t="s">
        <v>196</v>
      </c>
      <c r="BG116" s="4" t="s">
        <v>196</v>
      </c>
      <c r="BH116" t="s">
        <v>196</v>
      </c>
      <c r="BI116" s="2">
        <v>42</v>
      </c>
      <c r="BJ116" s="1">
        <v>1</v>
      </c>
      <c r="BK116" s="2">
        <v>44</v>
      </c>
      <c r="BL116" s="1">
        <v>1</v>
      </c>
      <c r="BM116" s="2">
        <v>43</v>
      </c>
      <c r="BN116" s="1">
        <v>1</v>
      </c>
      <c r="BO116" s="2">
        <v>46</v>
      </c>
      <c r="BP116" s="1">
        <v>1</v>
      </c>
      <c r="BQ116" s="2">
        <v>45</v>
      </c>
      <c r="BR116" s="1">
        <v>1</v>
      </c>
      <c r="BS116" s="2">
        <v>48</v>
      </c>
      <c r="BT116" s="1">
        <v>1</v>
      </c>
      <c r="BU116" s="2">
        <v>52</v>
      </c>
      <c r="BV116" s="1">
        <v>1</v>
      </c>
    </row>
    <row r="117" spans="1:33" s="6" customFormat="1" ht="10.5">
      <c r="A117" s="12" t="s">
        <v>253</v>
      </c>
      <c r="H117" s="11"/>
      <c r="N117" s="18" t="s">
        <v>196</v>
      </c>
      <c r="O117" s="11"/>
      <c r="P117" s="11"/>
      <c r="Q117" s="11"/>
      <c r="R117" s="11"/>
      <c r="S117" s="18" t="s">
        <v>196</v>
      </c>
      <c r="W117" s="11"/>
      <c r="X117" s="18"/>
      <c r="Y117" s="21" t="s">
        <v>196</v>
      </c>
      <c r="Z117" s="18"/>
      <c r="AA117" s="11"/>
      <c r="AB117" s="11"/>
      <c r="AC117" s="21" t="s">
        <v>196</v>
      </c>
      <c r="AD117" s="18"/>
      <c r="AE117" s="11"/>
      <c r="AF117" s="11"/>
      <c r="AG117" s="25" t="s">
        <v>196</v>
      </c>
    </row>
    <row r="118" spans="1:74" ht="10.5">
      <c r="A118" t="str">
        <f>HYPERLINK("http://exon.niaid.nih.gov/transcriptome/O_coriaceus/Sup2/links/pep/OC-568-pep.txt","OC-568")</f>
        <v>OC-568</v>
      </c>
      <c r="B118" s="1" t="s">
        <v>159</v>
      </c>
      <c r="C118">
        <v>176</v>
      </c>
      <c r="D118" t="s">
        <v>175</v>
      </c>
      <c r="E118" t="str">
        <f>HYPERLINK("http://exon.niaid.nih.gov/transcriptome/O_coriaceus/Sup2/links/nuc/OC-568-nuc.txt","OC-568")</f>
        <v>OC-568</v>
      </c>
      <c r="F118" s="1" t="s">
        <v>196</v>
      </c>
      <c r="G118" s="1" t="s">
        <v>194</v>
      </c>
      <c r="H118" s="5" t="str">
        <f>HYPERLINK("http://exon.niaid.nih.gov/transcriptome/O_coriaceus/Sup2/links/Sigp/OC-568-SigP.txt","CYT")</f>
        <v>CYT</v>
      </c>
      <c r="I118" t="s">
        <v>196</v>
      </c>
      <c r="J118" s="1">
        <v>20.553</v>
      </c>
      <c r="K118" s="1">
        <v>9.34</v>
      </c>
      <c r="N118" s="19" t="s">
        <v>92</v>
      </c>
      <c r="O118" s="5" t="str">
        <f>HYPERLINK("http://exon.niaid.nih.gov/transcriptome/O_coriaceus/Sup2/links/netoglyc/OC-568-netoglyc.txt","0")</f>
        <v>0</v>
      </c>
      <c r="P118" s="1">
        <v>9.1</v>
      </c>
      <c r="Q118" s="1">
        <v>5.7</v>
      </c>
      <c r="R118" s="1">
        <v>5.7</v>
      </c>
      <c r="S118" s="27" t="s">
        <v>196</v>
      </c>
      <c r="U118" s="4" t="str">
        <f>HYPERLINK("http://exon.niaid.nih.gov/transcriptome/O_coriaceus/Sup2/links/OCORI-EST/OC-568-OCORI-EST.txt","OCL_PLATE1_F11")</f>
        <v>OCL_PLATE1_F11</v>
      </c>
      <c r="V118" s="1">
        <v>0</v>
      </c>
      <c r="W118" s="5" t="str">
        <f>HYPERLINK("http://exon.niaid.nih.gov/transcriptome/O_coriaceus/Sup2/links/OCORI-EST/OC-568-OCORI-EST.txt"," 1")</f>
        <v> 1</v>
      </c>
      <c r="Y118" s="22" t="s">
        <v>196</v>
      </c>
      <c r="AC118" s="22" t="str">
        <f>HYPERLINK("http://exon.niaid.nih.gov/transcriptome/O_coriaceus/Sup2/links/OC-1D/OC-568-OC-1D.txt","S19_53 |")</f>
        <v>S19_53 |</v>
      </c>
      <c r="AE118" s="1" t="s">
        <v>196</v>
      </c>
      <c r="AG118" s="26" t="s">
        <v>196</v>
      </c>
      <c r="AH118" s="4" t="str">
        <f>HYPERLINK("http://exon.niaid.nih.gov/transcriptome/O_coriaceus/Sup2/links/NR/OC-568-NR.txt","PREDICTED: similar to Egl nine homolog 1 (Hypoxia-inducible factor prolyl")</f>
        <v>PREDICTED: similar to Egl nine homolog 1 (Hypoxia-inducible factor prolyl</v>
      </c>
      <c r="AI118" t="str">
        <f>HYPERLINK("http://www.ncbi.nlm.nih.gov/sutils/blink.cgi?pid=110756417","1E-060")</f>
        <v>1E-060</v>
      </c>
      <c r="AJ118" t="s">
        <v>461</v>
      </c>
      <c r="AK118">
        <v>65</v>
      </c>
      <c r="AL118">
        <v>30</v>
      </c>
      <c r="AM118">
        <v>322</v>
      </c>
      <c r="AN118" t="s">
        <v>462</v>
      </c>
      <c r="AO118">
        <v>443</v>
      </c>
      <c r="AP118">
        <v>110</v>
      </c>
      <c r="AQ118">
        <v>1</v>
      </c>
      <c r="AR118" s="4" t="s">
        <v>463</v>
      </c>
      <c r="AS118">
        <f>HYPERLINK("http://exon.niaid.nih.gov/transcriptome/O_coriaceus/Sup2/links/GO/OC-568-GO.txt",3E-58)</f>
        <v>3E-58</v>
      </c>
      <c r="AT118" t="s">
        <v>456</v>
      </c>
      <c r="AU118" t="s">
        <v>239</v>
      </c>
      <c r="AV118" t="s">
        <v>240</v>
      </c>
      <c r="AW118" t="s">
        <v>457</v>
      </c>
      <c r="AX118" s="3">
        <v>5E-58</v>
      </c>
      <c r="AY118" s="4" t="str">
        <f>HYPERLINK("http://exon.niaid.nih.gov/transcriptome/O_coriaceus/Sup2/links/KOG/OC-568-KOG.txt","EGL-Nine (EGLN) protein")</f>
        <v>EGL-Nine (EGLN) protein</v>
      </c>
      <c r="AZ118" t="str">
        <f>HYPERLINK("http://www.ncbi.nlm.nih.gov/COG/grace/shokog.cgi?KOG3710","5E-060")</f>
        <v>5E-060</v>
      </c>
      <c r="BA118" t="s">
        <v>378</v>
      </c>
      <c r="BB118" s="4" t="str">
        <f>HYPERLINK("http://exon.niaid.nih.gov/transcriptome/O_coriaceus/Sup2/links/CDD/OC-568-CDD.txt","P4Hc")</f>
        <v>P4Hc</v>
      </c>
      <c r="BC118" t="str">
        <f>HYPERLINK("http://www.ncbi.nlm.nih.gov/Structure/cdd/cddsrv.cgi?uid=smart00702&amp;version=v4.0","1E-016")</f>
        <v>1E-016</v>
      </c>
      <c r="BD118" t="s">
        <v>464</v>
      </c>
      <c r="BE118" s="4" t="s">
        <v>196</v>
      </c>
      <c r="BF118" t="s">
        <v>196</v>
      </c>
      <c r="BG118" s="4" t="str">
        <f>HYPERLINK("http://exon.niaid.nih.gov/transcriptome/O_coriaceus/Sup2/links/SMART/OC-568-SMART.txt","P4Hc")</f>
        <v>P4Hc</v>
      </c>
      <c r="BH118" t="str">
        <f>HYPERLINK("http://smart.embl-heidelberg.de/smart/do_annotation.pl?DOMAIN=P4Hc&amp;BLAST=DUMMY","1E-018")</f>
        <v>1E-018</v>
      </c>
      <c r="BI118" s="2">
        <v>54</v>
      </c>
      <c r="BJ118" s="1">
        <v>1</v>
      </c>
      <c r="BK118" s="2">
        <v>57</v>
      </c>
      <c r="BL118" s="1">
        <v>1</v>
      </c>
      <c r="BM118" s="2">
        <v>57</v>
      </c>
      <c r="BN118" s="1">
        <v>1</v>
      </c>
      <c r="BO118" s="2">
        <v>60</v>
      </c>
      <c r="BP118" s="1">
        <v>1</v>
      </c>
      <c r="BQ118" s="2">
        <v>65</v>
      </c>
      <c r="BR118" s="1">
        <v>1</v>
      </c>
      <c r="BS118" s="2">
        <v>68</v>
      </c>
      <c r="BT118" s="1">
        <v>1</v>
      </c>
      <c r="BU118" s="2">
        <v>74</v>
      </c>
      <c r="BV118" s="1">
        <v>1</v>
      </c>
    </row>
    <row r="119" spans="1:74" ht="10.5">
      <c r="A119" t="str">
        <f>HYPERLINK("http://exon.niaid.nih.gov/transcriptome/O_coriaceus/Sup2/links/pep/OC-55-pep.txt","OC-55")</f>
        <v>OC-55</v>
      </c>
      <c r="B119" s="1" t="s">
        <v>114</v>
      </c>
      <c r="C119">
        <v>172</v>
      </c>
      <c r="D119" t="s">
        <v>174</v>
      </c>
      <c r="E119" t="str">
        <f>HYPERLINK("http://exon.niaid.nih.gov/transcriptome/O_coriaceus/Sup2/links/nuc/OC-55-nuc.txt","OC-55")</f>
        <v>OC-55</v>
      </c>
      <c r="F119" s="1" t="s">
        <v>195</v>
      </c>
      <c r="G119" s="1" t="s">
        <v>194</v>
      </c>
      <c r="H119" s="5" t="str">
        <f>HYPERLINK("http://exon.niaid.nih.gov/transcriptome/O_coriaceus/Sup2/links/Sigp/OC-55-SigP.txt","CYT")</f>
        <v>CYT</v>
      </c>
      <c r="I119" t="s">
        <v>196</v>
      </c>
      <c r="J119" s="1">
        <v>20.035</v>
      </c>
      <c r="K119" s="1">
        <v>5.48</v>
      </c>
      <c r="N119" s="19" t="s">
        <v>93</v>
      </c>
      <c r="O119" s="5" t="str">
        <f>HYPERLINK("http://exon.niaid.nih.gov/transcriptome/O_coriaceus/Sup2/links/netoglyc/OC-55-netoglyc.txt","0")</f>
        <v>0</v>
      </c>
      <c r="P119" s="1">
        <v>9.3</v>
      </c>
      <c r="Q119" s="1">
        <v>4.7</v>
      </c>
      <c r="R119" s="1">
        <v>2.3</v>
      </c>
      <c r="S119" s="27" t="s">
        <v>196</v>
      </c>
      <c r="U119" s="4" t="str">
        <f>HYPERLINK("http://exon.niaid.nih.gov/transcriptome/O_coriaceus/Sup2/links/OCORI-EST/OC-55-OCORI-EST.txt","OCL-PLATE04_F03")</f>
        <v>OCL-PLATE04_F03</v>
      </c>
      <c r="V119" s="1">
        <v>0</v>
      </c>
      <c r="W119" s="5" t="str">
        <f>HYPERLINK("http://exon.niaid.nih.gov/transcriptome/O_coriaceus/Sup2/links/OCORI-EST/OC-55-OCORI-EST.txt"," 8")</f>
        <v> 8</v>
      </c>
      <c r="Y119" s="22" t="s">
        <v>196</v>
      </c>
      <c r="AC119" s="22" t="str">
        <f>HYPERLINK("http://exon.niaid.nih.gov/transcriptome/O_coriaceus/Sup2/links/OC-1D/OC-55-OC-1D.txt","P23_69 |P23_70 |S14_22 |S23_49 |S23_50 |")</f>
        <v>P23_69 |P23_70 |S14_22 |S23_49 |S23_50 |</v>
      </c>
      <c r="AD119" s="27" t="s">
        <v>615</v>
      </c>
      <c r="AE119" s="1">
        <v>2</v>
      </c>
      <c r="AF119" s="1">
        <v>40</v>
      </c>
      <c r="AG119" s="26">
        <f>100*AF119/C119</f>
        <v>23.25581395348837</v>
      </c>
      <c r="AH119" s="4" t="str">
        <f>HYPERLINK("http://exon.niaid.nih.gov/transcriptome/O_coriaceus/Sup2/links/NR/OC-55-NR.txt","ferritin")</f>
        <v>ferritin</v>
      </c>
      <c r="AI119" t="str">
        <f>HYPERLINK("http://www.ncbi.nlm.nih.gov/sutils/blink.cgi?pid=3192915","5E-083")</f>
        <v>5E-083</v>
      </c>
      <c r="AJ119" t="s">
        <v>454</v>
      </c>
      <c r="AK119">
        <v>92</v>
      </c>
      <c r="AL119">
        <v>99</v>
      </c>
      <c r="AM119">
        <v>1</v>
      </c>
      <c r="AN119" t="s">
        <v>270</v>
      </c>
      <c r="AO119">
        <v>1</v>
      </c>
      <c r="AP119">
        <v>1</v>
      </c>
      <c r="AQ119">
        <v>1</v>
      </c>
      <c r="AR119" s="4" t="s">
        <v>455</v>
      </c>
      <c r="AS119">
        <f>HYPERLINK("http://exon.niaid.nih.gov/transcriptome/O_coriaceus/Sup2/links/GO/OC-55-GO.txt",3E-56)</f>
        <v>3E-56</v>
      </c>
      <c r="AT119" t="s">
        <v>456</v>
      </c>
      <c r="AU119" t="s">
        <v>239</v>
      </c>
      <c r="AV119" t="s">
        <v>240</v>
      </c>
      <c r="AW119" t="s">
        <v>457</v>
      </c>
      <c r="AX119" s="3">
        <v>1E-55</v>
      </c>
      <c r="AY119" s="4" t="str">
        <f>HYPERLINK("http://exon.niaid.nih.gov/transcriptome/O_coriaceus/Sup2/links/KOG/OC-55-KOG.txt","Ferritin")</f>
        <v>Ferritin</v>
      </c>
      <c r="AZ119" t="str">
        <f>HYPERLINK("http://www.ncbi.nlm.nih.gov/COG/grace/shokog.cgi?KOG2332","6E-063")</f>
        <v>6E-063</v>
      </c>
      <c r="BA119" t="s">
        <v>324</v>
      </c>
      <c r="BB119" s="4" t="str">
        <f>HYPERLINK("http://exon.niaid.nih.gov/transcriptome/O_coriaceus/Sup2/links/CDD/OC-55-CDD.txt","Euk_Ferritin")</f>
        <v>Euk_Ferritin</v>
      </c>
      <c r="BC119" t="str">
        <f>HYPERLINK("http://www.ncbi.nlm.nih.gov/Structure/cdd/cddsrv.cgi?uid=cd01056&amp;version=v4.0","6E-067")</f>
        <v>6E-067</v>
      </c>
      <c r="BD119" t="s">
        <v>458</v>
      </c>
      <c r="BE119" s="4" t="str">
        <f>HYPERLINK("http://exon.niaid.nih.gov/transcriptome/O_coriaceus/Sup2/links/PFAM/OC-55-PFAM.txt","Ferritin")</f>
        <v>Ferritin</v>
      </c>
      <c r="BF119" t="str">
        <f>HYPERLINK("http://pfam.janelia.org/cgi-bin/getdesc?acc=PF00210","4E-044")</f>
        <v>4E-044</v>
      </c>
      <c r="BG119" s="4" t="str">
        <f>HYPERLINK("http://exon.niaid.nih.gov/transcriptome/O_coriaceus/Sup2/links/SMART/OC-55-SMART.txt","ZnF_TTF")</f>
        <v>ZnF_TTF</v>
      </c>
      <c r="BH119" t="str">
        <f>HYPERLINK("http://smart.embl-heidelberg.de/smart/do_annotation.pl?DOMAIN=ZnF_TTF&amp;BLAST=DUMMY","0.91")</f>
        <v>0.91</v>
      </c>
      <c r="BI119" s="2">
        <v>53</v>
      </c>
      <c r="BJ119" s="1">
        <v>1</v>
      </c>
      <c r="BK119" s="2">
        <v>56</v>
      </c>
      <c r="BL119" s="1">
        <v>1</v>
      </c>
      <c r="BM119" s="2">
        <v>56</v>
      </c>
      <c r="BN119" s="1">
        <v>1</v>
      </c>
      <c r="BO119" s="2">
        <v>59</v>
      </c>
      <c r="BP119" s="1">
        <v>1</v>
      </c>
      <c r="BQ119" s="2">
        <v>63</v>
      </c>
      <c r="BR119" s="1">
        <v>1</v>
      </c>
      <c r="BS119" s="2">
        <v>66</v>
      </c>
      <c r="BT119" s="1">
        <v>1</v>
      </c>
      <c r="BU119" s="2">
        <v>72</v>
      </c>
      <c r="BV119" s="1">
        <v>1</v>
      </c>
    </row>
    <row r="120" spans="1:74" ht="10.5">
      <c r="A120" t="str">
        <f>HYPERLINK("http://exon.niaid.nih.gov/transcriptome/O_coriaceus/Sup2/links/pep/OC-107-pep.txt","OC-107")</f>
        <v>OC-107</v>
      </c>
      <c r="B120" s="1" t="s">
        <v>114</v>
      </c>
      <c r="C120">
        <v>174</v>
      </c>
      <c r="D120" t="s">
        <v>122</v>
      </c>
      <c r="E120" t="str">
        <f>HYPERLINK("http://exon.niaid.nih.gov/transcriptome/O_coriaceus/Sup2/links/nuc/OC-107-nuc.txt","OC-107")</f>
        <v>OC-107</v>
      </c>
      <c r="F120" s="1" t="s">
        <v>195</v>
      </c>
      <c r="G120" s="1" t="s">
        <v>194</v>
      </c>
      <c r="H120" s="5" t="str">
        <f>HYPERLINK("http://exon.niaid.nih.gov/transcriptome/O_coriaceus/Sup2/links/Sigp/OC-107-SigP.txt","CYT")</f>
        <v>CYT</v>
      </c>
      <c r="I120" t="s">
        <v>196</v>
      </c>
      <c r="J120" s="1">
        <v>20.17</v>
      </c>
      <c r="K120" s="1">
        <v>5.09</v>
      </c>
      <c r="N120" s="19" t="s">
        <v>94</v>
      </c>
      <c r="O120" s="5" t="str">
        <f>HYPERLINK("http://exon.niaid.nih.gov/transcriptome/O_coriaceus/Sup2/links/netoglyc/OC-107-netoglyc.txt","1")</f>
        <v>1</v>
      </c>
      <c r="P120" s="1">
        <v>8.6</v>
      </c>
      <c r="Q120" s="1">
        <v>5.7</v>
      </c>
      <c r="R120" s="1">
        <v>4.6</v>
      </c>
      <c r="S120" s="27" t="s">
        <v>196</v>
      </c>
      <c r="U120" s="4" t="str">
        <f>HYPERLINK("http://exon.niaid.nih.gov/transcriptome/O_coriaceus/Sup2/links/OCORI-EST/OC-107-OCORI-EST.txt","OCL-P13_E04")</f>
        <v>OCL-P13_E04</v>
      </c>
      <c r="V120" s="1">
        <v>0</v>
      </c>
      <c r="W120" s="5" t="str">
        <f>HYPERLINK("http://exon.niaid.nih.gov/transcriptome/O_coriaceus/Sup2/links/OCORI-EST/OC-107-OCORI-EST.txt"," 1")</f>
        <v> 1</v>
      </c>
      <c r="Y120" s="22" t="s">
        <v>196</v>
      </c>
      <c r="AC120" s="22" t="s">
        <v>196</v>
      </c>
      <c r="AG120" s="26" t="s">
        <v>196</v>
      </c>
      <c r="AH120" s="4" t="str">
        <f>HYPERLINK("http://exon.niaid.nih.gov/transcriptome/O_coriaceus/Sup2/links/NR/OC-107-NR.txt","N-acetyltransferase [Bombyx mori]")</f>
        <v>N-acetyltransferase [Bombyx mori]</v>
      </c>
      <c r="AI120" t="str">
        <f>HYPERLINK("http://www.ncbi.nlm.nih.gov/sutils/blink.cgi?pid=114051023","3E-074")</f>
        <v>3E-074</v>
      </c>
      <c r="AJ120" t="s">
        <v>279</v>
      </c>
      <c r="AK120">
        <v>75</v>
      </c>
      <c r="AL120">
        <v>101</v>
      </c>
      <c r="AM120">
        <v>1</v>
      </c>
      <c r="AN120" t="s">
        <v>280</v>
      </c>
      <c r="AO120">
        <v>76</v>
      </c>
      <c r="AP120">
        <v>71</v>
      </c>
      <c r="AQ120">
        <v>1</v>
      </c>
      <c r="AR120" s="4" t="s">
        <v>281</v>
      </c>
      <c r="AS120">
        <f>HYPERLINK("http://exon.niaid.nih.gov/transcriptome/O_coriaceus/Sup2/links/GO/OC-107-GO.txt",9E-71)</f>
        <v>9E-71</v>
      </c>
      <c r="AT120" t="s">
        <v>555</v>
      </c>
      <c r="AU120" t="s">
        <v>282</v>
      </c>
      <c r="AV120" t="s">
        <v>283</v>
      </c>
      <c r="AW120" t="s">
        <v>284</v>
      </c>
      <c r="AX120" s="3">
        <v>3E-52</v>
      </c>
      <c r="AY120" s="4" t="str">
        <f>HYPERLINK("http://exon.niaid.nih.gov/transcriptome/O_coriaceus/Sup2/links/KOG/OC-107-KOG.txt","Acetyltransferase, (GNAT) family")</f>
        <v>Acetyltransferase, (GNAT) family</v>
      </c>
      <c r="AZ120" t="str">
        <f>HYPERLINK("http://www.ncbi.nlm.nih.gov/COG/grace/shokog.cgi?KOG3234","8E-070")</f>
        <v>8E-070</v>
      </c>
      <c r="BA120" t="s">
        <v>234</v>
      </c>
      <c r="BB120" s="4" t="str">
        <f>HYPERLINK("http://exon.niaid.nih.gov/transcriptome/O_coriaceus/Sup2/links/CDD/OC-107-CDD.txt","RimI")</f>
        <v>RimI</v>
      </c>
      <c r="BC120" t="str">
        <f>HYPERLINK("http://www.ncbi.nlm.nih.gov/Structure/cdd/cddsrv.cgi?uid=COG0456&amp;version=v4.0","9E-018")</f>
        <v>9E-018</v>
      </c>
      <c r="BD120" t="s">
        <v>285</v>
      </c>
      <c r="BE120" s="4" t="str">
        <f>HYPERLINK("http://exon.niaid.nih.gov/transcriptome/O_coriaceus/Sup2/links/PFAM/OC-107-PFAM.txt","Acetyltransf_1")</f>
        <v>Acetyltransf_1</v>
      </c>
      <c r="BF120" t="str">
        <f>HYPERLINK("http://pfam.janelia.org/cgi-bin/getdesc?acc=PF00583","5E-011")</f>
        <v>5E-011</v>
      </c>
      <c r="BG120" s="4" t="str">
        <f>HYPERLINK("http://exon.niaid.nih.gov/transcriptome/O_coriaceus/Sup2/links/SMART/OC-107-SMART.txt","CUE")</f>
        <v>CUE</v>
      </c>
      <c r="BH120" t="str">
        <f>HYPERLINK("http://smart.embl-heidelberg.de/smart/do_annotation.pl?DOMAIN=CUE&amp;BLAST=DUMMY","0.64")</f>
        <v>0.64</v>
      </c>
      <c r="BI120" s="2">
        <v>17</v>
      </c>
      <c r="BJ120" s="1">
        <v>1</v>
      </c>
      <c r="BK120" s="2">
        <v>18</v>
      </c>
      <c r="BL120" s="1">
        <v>1</v>
      </c>
      <c r="BM120" s="2">
        <v>17</v>
      </c>
      <c r="BN120" s="1">
        <v>1</v>
      </c>
      <c r="BO120" s="2">
        <v>19</v>
      </c>
      <c r="BP120" s="1">
        <v>1</v>
      </c>
      <c r="BQ120" s="2">
        <v>16</v>
      </c>
      <c r="BR120" s="1">
        <v>1</v>
      </c>
      <c r="BS120" s="2">
        <v>16</v>
      </c>
      <c r="BT120" s="1">
        <v>1</v>
      </c>
      <c r="BU120" s="2">
        <v>9</v>
      </c>
      <c r="BV120" s="1">
        <v>1</v>
      </c>
    </row>
    <row r="121" spans="1:74" ht="10.5">
      <c r="A121" t="str">
        <f>HYPERLINK("http://exon.niaid.nih.gov/transcriptome/O_coriaceus/Sup2/links/pep/OC-367-pep.txt","OC-367")</f>
        <v>OC-367</v>
      </c>
      <c r="B121" s="1" t="s">
        <v>149</v>
      </c>
      <c r="C121">
        <v>211</v>
      </c>
      <c r="D121" t="s">
        <v>150</v>
      </c>
      <c r="E121" t="str">
        <f>HYPERLINK("http://exon.niaid.nih.gov/transcriptome/O_coriaceus/Sup2/links/nuc/OC-367-nuc.txt","OC-367")</f>
        <v>OC-367</v>
      </c>
      <c r="F121" s="1" t="s">
        <v>196</v>
      </c>
      <c r="G121" s="1" t="s">
        <v>194</v>
      </c>
      <c r="H121" s="5" t="str">
        <f>HYPERLINK("http://exon.niaid.nih.gov/transcriptome/O_coriaceus/Sup2/links/Sigp/OC-367-SigP.txt","BL")</f>
        <v>BL</v>
      </c>
      <c r="I121" t="s">
        <v>543</v>
      </c>
      <c r="J121" s="1">
        <v>24.169</v>
      </c>
      <c r="K121" s="1">
        <v>5.89</v>
      </c>
      <c r="L121" s="1">
        <v>21.515</v>
      </c>
      <c r="M121" s="1">
        <v>5.3</v>
      </c>
      <c r="N121" s="19" t="s">
        <v>95</v>
      </c>
      <c r="O121" s="5" t="str">
        <f>HYPERLINK("http://exon.niaid.nih.gov/transcriptome/O_coriaceus/Sup2/links/netoglyc/OC-367-netoglyc.txt","2")</f>
        <v>2</v>
      </c>
      <c r="P121" s="1">
        <v>17.1</v>
      </c>
      <c r="Q121" s="1">
        <v>4.7</v>
      </c>
      <c r="R121" s="1">
        <v>2.8</v>
      </c>
      <c r="S121" s="27" t="s">
        <v>196</v>
      </c>
      <c r="U121" s="4" t="str">
        <f>HYPERLINK("http://exon.niaid.nih.gov/transcriptome/O_coriaceus/Sup2/links/OCORI-EST/OC-367-OCORI-EST.txt","OCL16.H02_07053013EK")</f>
        <v>OCL16.H02_07053013EK</v>
      </c>
      <c r="V121" s="1">
        <v>0</v>
      </c>
      <c r="W121" s="5" t="str">
        <f>HYPERLINK("http://exon.niaid.nih.gov/transcriptome/O_coriaceus/Sup2/links/OCORI-EST/OC-367-OCORI-EST.txt"," 1")</f>
        <v> 1</v>
      </c>
      <c r="Y121" s="22" t="s">
        <v>196</v>
      </c>
      <c r="AC121" s="22" t="str">
        <f>HYPERLINK("http://exon.niaid.nih.gov/transcriptome/O_coriaceus/Sup2/links/OC-1D/OC-367-OC-1D.txt","P26_72 |P27_59 |S26_64 |")</f>
        <v>P26_72 |P27_59 |S26_64 |</v>
      </c>
      <c r="AE121" s="1" t="s">
        <v>196</v>
      </c>
      <c r="AG121" s="26" t="s">
        <v>196</v>
      </c>
      <c r="AH121" s="4" t="str">
        <f>HYPERLINK("http://exon.niaid.nih.gov/transcriptome/O_coriaceus/Sup2/links/NR/OC-367-NR.txt","predicted protein [Nematostella vectensis]")</f>
        <v>predicted protein [Nematostella vectensis]</v>
      </c>
      <c r="AI121" t="str">
        <f>HYPERLINK("http://www.ncbi.nlm.nih.gov/sutils/blink.cgi?pid=156368173","3E-049")</f>
        <v>3E-049</v>
      </c>
      <c r="AJ121" t="s">
        <v>383</v>
      </c>
      <c r="AK121">
        <v>56</v>
      </c>
      <c r="AL121">
        <v>85</v>
      </c>
      <c r="AM121">
        <v>1</v>
      </c>
      <c r="AN121" t="s">
        <v>384</v>
      </c>
      <c r="AO121">
        <v>35</v>
      </c>
      <c r="AP121">
        <v>79</v>
      </c>
      <c r="AQ121">
        <v>1</v>
      </c>
      <c r="AR121" s="4" t="s">
        <v>385</v>
      </c>
      <c r="AS121">
        <f>HYPERLINK("http://exon.niaid.nih.gov/transcriptome/O_coriaceus/Sup2/links/GO/OC-367-GO.txt",1E-41)</f>
        <v>1E-41</v>
      </c>
      <c r="AT121" t="s">
        <v>314</v>
      </c>
      <c r="AU121" t="s">
        <v>314</v>
      </c>
      <c r="AW121" t="s">
        <v>315</v>
      </c>
      <c r="AX121" s="3">
        <v>1E-31</v>
      </c>
      <c r="AY121" s="4" t="str">
        <f>HYPERLINK("http://exon.niaid.nih.gov/transcriptome/O_coriaceus/Sup2/links/KOG/OC-367-KOG.txt","Predicted phosphoglucosamine acetyltransferase")</f>
        <v>Predicted phosphoglucosamine acetyltransferase</v>
      </c>
      <c r="AZ121" t="str">
        <f>HYPERLINK("http://www.ncbi.nlm.nih.gov/COG/grace/shokog.cgi?KOG4135","8E-047")</f>
        <v>8E-047</v>
      </c>
      <c r="BA121" t="s">
        <v>335</v>
      </c>
      <c r="BB121" s="4" t="str">
        <f>HYPERLINK("http://exon.niaid.nih.gov/transcriptome/O_coriaceus/Sup2/links/CDD/OC-367-CDD.txt","RimL")</f>
        <v>RimL</v>
      </c>
      <c r="BC121" t="str">
        <f>HYPERLINK("http://www.ncbi.nlm.nih.gov/Structure/cdd/cddsrv.cgi?uid=COG1670&amp;version=v4.0","3E-010")</f>
        <v>3E-010</v>
      </c>
      <c r="BD121" t="s">
        <v>386</v>
      </c>
      <c r="BE121" s="4" t="str">
        <f>HYPERLINK("http://exon.niaid.nih.gov/transcriptome/O_coriaceus/Sup2/links/PFAM/OC-367-PFAM.txt","Acetyltransf_1")</f>
        <v>Acetyltransf_1</v>
      </c>
      <c r="BF121" t="str">
        <f>HYPERLINK("http://pfam.janelia.org/cgi-bin/getdesc?acc=PF00583","1E-008")</f>
        <v>1E-008</v>
      </c>
      <c r="BG121" s="4" t="str">
        <f>HYPERLINK("http://exon.niaid.nih.gov/transcriptome/O_coriaceus/Sup2/links/SMART/OC-367-SMART.txt","PLAc")</f>
        <v>PLAc</v>
      </c>
      <c r="BH121" t="str">
        <f>HYPERLINK("http://smart.embl-heidelberg.de/smart/do_annotation.pl?DOMAIN=PLAc&amp;BLAST=DUMMY","0.45")</f>
        <v>0.45</v>
      </c>
      <c r="BI121" s="2">
        <v>38</v>
      </c>
      <c r="BJ121" s="1">
        <v>1</v>
      </c>
      <c r="BK121" s="2">
        <v>40</v>
      </c>
      <c r="BL121" s="1">
        <v>1</v>
      </c>
      <c r="BM121" s="2">
        <v>39</v>
      </c>
      <c r="BN121" s="1">
        <v>1</v>
      </c>
      <c r="BO121" s="2">
        <v>42</v>
      </c>
      <c r="BP121" s="1">
        <v>1</v>
      </c>
      <c r="BQ121" s="2">
        <v>41</v>
      </c>
      <c r="BR121" s="1">
        <v>1</v>
      </c>
      <c r="BS121" s="2">
        <v>44</v>
      </c>
      <c r="BT121" s="1">
        <v>1</v>
      </c>
      <c r="BU121" s="2">
        <v>46</v>
      </c>
      <c r="BV121" s="1">
        <v>1</v>
      </c>
    </row>
    <row r="122" spans="1:74" ht="10.5">
      <c r="A122" t="str">
        <f>HYPERLINK("http://exon.niaid.nih.gov/transcriptome/O_coriaceus/Sup2/links/pep/OC-603-pep.txt","OC-603")</f>
        <v>OC-603</v>
      </c>
      <c r="B122" s="1" t="s">
        <v>114</v>
      </c>
      <c r="C122">
        <v>81</v>
      </c>
      <c r="D122" t="s">
        <v>181</v>
      </c>
      <c r="E122" t="str">
        <f>HYPERLINK("http://exon.niaid.nih.gov/transcriptome/O_coriaceus/Sup2/links/nuc/OC-603-nuc.txt","OC-603")</f>
        <v>OC-603</v>
      </c>
      <c r="F122" s="1" t="s">
        <v>195</v>
      </c>
      <c r="G122" s="1" t="s">
        <v>194</v>
      </c>
      <c r="H122" s="5" t="str">
        <f>HYPERLINK("http://exon.niaid.nih.gov/transcriptome/O_coriaceus/Sup2/links/Sigp/OC-603-SigP.txt","SIG")</f>
        <v>SIG</v>
      </c>
      <c r="I122" t="s">
        <v>548</v>
      </c>
      <c r="J122" s="1">
        <v>9.33</v>
      </c>
      <c r="K122" s="1">
        <v>9.79</v>
      </c>
      <c r="L122" s="1">
        <v>6.439</v>
      </c>
      <c r="M122" s="1">
        <v>9.35</v>
      </c>
      <c r="N122" s="19" t="s">
        <v>96</v>
      </c>
      <c r="O122" s="5" t="str">
        <f>HYPERLINK("http://exon.niaid.nih.gov/transcriptome/O_coriaceus/Sup2/links/netoglyc/OC-603-netoglyc.txt","0")</f>
        <v>0</v>
      </c>
      <c r="P122" s="1">
        <v>11.1</v>
      </c>
      <c r="Q122" s="1">
        <v>6.2</v>
      </c>
      <c r="R122" s="1">
        <v>9.9</v>
      </c>
      <c r="S122" s="27" t="s">
        <v>196</v>
      </c>
      <c r="U122" s="4" t="str">
        <f>HYPERLINK("http://exon.niaid.nih.gov/transcriptome/O_coriaceus/Sup2/links/OCORI-EST/OC-603-OCORI-EST.txt","OCM-PLATE06_H09")</f>
        <v>OCM-PLATE06_H09</v>
      </c>
      <c r="V122" s="1">
        <v>1E-139</v>
      </c>
      <c r="W122" s="5" t="str">
        <f>HYPERLINK("http://exon.niaid.nih.gov/transcriptome/O_coriaceus/Sup2/links/OCORI-EST/OC-603-OCORI-EST.txt"," 1")</f>
        <v> 1</v>
      </c>
      <c r="Y122" s="22" t="s">
        <v>196</v>
      </c>
      <c r="AC122" s="22" t="str">
        <f>HYPERLINK("http://exon.niaid.nih.gov/transcriptome/O_coriaceus/Sup2/links/OC-1D/OC-603-OC-1D.txt","P27_1 |P27_2 |P27_3 |P27_4 |P27_5 |P28_59 |")</f>
        <v>P27_1 |P27_2 |P27_3 |P27_4 |P27_5 |P28_59 |</v>
      </c>
      <c r="AD122" s="27" t="s">
        <v>616</v>
      </c>
      <c r="AE122" s="1">
        <v>5</v>
      </c>
      <c r="AF122" s="1">
        <v>52</v>
      </c>
      <c r="AG122" s="26">
        <f>100*AF122/C122</f>
        <v>64.19753086419753</v>
      </c>
      <c r="AH122" s="4" t="str">
        <f>HYPERLINK("http://exon.niaid.nih.gov/transcriptome/O_coriaceus/Sup2/links/NR/OC-603-NR.txt","NADH dehydrogenase 1 alpha subcomplex")</f>
        <v>NADH dehydrogenase 1 alpha subcomplex</v>
      </c>
      <c r="AI122" t="str">
        <f>HYPERLINK("http://www.ncbi.nlm.nih.gov/sutils/blink.cgi?pid=67083869","9E-027")</f>
        <v>9E-027</v>
      </c>
      <c r="AJ122" t="s">
        <v>478</v>
      </c>
      <c r="AK122">
        <v>76</v>
      </c>
      <c r="AL122">
        <v>99</v>
      </c>
      <c r="AM122">
        <v>1</v>
      </c>
      <c r="AN122" t="s">
        <v>300</v>
      </c>
      <c r="AO122">
        <v>1</v>
      </c>
      <c r="AP122">
        <v>1</v>
      </c>
      <c r="AQ122">
        <v>1</v>
      </c>
      <c r="AR122" s="4" t="s">
        <v>479</v>
      </c>
      <c r="AS122">
        <f>HYPERLINK("http://exon.niaid.nih.gov/transcriptome/O_coriaceus/Sup2/links/GO/OC-603-GO.txt",0.000000000000000000003)</f>
        <v>3E-21</v>
      </c>
      <c r="AT122" t="s">
        <v>556</v>
      </c>
      <c r="AU122" t="s">
        <v>282</v>
      </c>
      <c r="AV122" t="s">
        <v>480</v>
      </c>
      <c r="AW122" t="s">
        <v>481</v>
      </c>
      <c r="AX122" s="3">
        <v>3E-21</v>
      </c>
      <c r="AY122" s="4" t="str">
        <f>HYPERLINK("http://exon.niaid.nih.gov/transcriptome/O_coriaceus/Sup2/links/KOG/OC-603-KOG.txt","Protein involved in thiamine biosynthesis and DNA damage tolerance")</f>
        <v>Protein involved in thiamine biosynthesis and DNA damage tolerance</v>
      </c>
      <c r="AZ122" t="str">
        <f>HYPERLINK("http://www.ncbi.nlm.nih.gov/COG/grace/shokog.cgi?KOG2960","0.093")</f>
        <v>0.093</v>
      </c>
      <c r="BA122" t="s">
        <v>234</v>
      </c>
      <c r="BB122" s="4" t="str">
        <f>HYPERLINK("http://exon.niaid.nih.gov/transcriptome/O_coriaceus/Sup2/links/CDD/OC-603-CDD.txt","Ndh")</f>
        <v>Ndh</v>
      </c>
      <c r="BC122" t="str">
        <f>HYPERLINK("http://www.ncbi.nlm.nih.gov/Structure/cdd/cddsrv.cgi?uid=COG1252&amp;version=v4.0","0.22")</f>
        <v>0.22</v>
      </c>
      <c r="BD122" t="s">
        <v>482</v>
      </c>
      <c r="BE122" s="4" t="str">
        <f>HYPERLINK("http://exon.niaid.nih.gov/transcriptome/O_coriaceus/Sup2/links/PFAM/OC-603-PFAM.txt","B12D")</f>
        <v>B12D</v>
      </c>
      <c r="BF122" t="str">
        <f>HYPERLINK("http://pfam.janelia.org/cgi-bin/getdesc?acc=PF06522","0.23")</f>
        <v>0.23</v>
      </c>
      <c r="BG122" s="4" t="str">
        <f>HYPERLINK("http://exon.niaid.nih.gov/transcriptome/O_coriaceus/Sup2/links/SMART/OC-603-SMART.txt","KISc")</f>
        <v>KISc</v>
      </c>
      <c r="BH122" t="str">
        <f>HYPERLINK("http://smart.embl-heidelberg.de/smart/do_annotation.pl?DOMAIN=KISc&amp;BLAST=DUMMY","0.37")</f>
        <v>0.37</v>
      </c>
      <c r="BI122" s="2">
        <v>59</v>
      </c>
      <c r="BJ122" s="1">
        <v>1</v>
      </c>
      <c r="BK122" s="2">
        <v>62</v>
      </c>
      <c r="BL122" s="1">
        <v>1</v>
      </c>
      <c r="BM122" s="2">
        <v>62</v>
      </c>
      <c r="BN122" s="1">
        <v>1</v>
      </c>
      <c r="BO122" s="2">
        <v>66</v>
      </c>
      <c r="BP122" s="1">
        <v>1</v>
      </c>
      <c r="BQ122" s="2">
        <v>71</v>
      </c>
      <c r="BR122" s="1">
        <v>1</v>
      </c>
      <c r="BS122" s="2">
        <v>74</v>
      </c>
      <c r="BT122" s="1">
        <v>1</v>
      </c>
      <c r="BU122" s="2">
        <v>81</v>
      </c>
      <c r="BV122" s="1">
        <v>1</v>
      </c>
    </row>
    <row r="123" spans="1:74" ht="10.5">
      <c r="A123" t="str">
        <f>HYPERLINK("http://exon.niaid.nih.gov/transcriptome/O_coriaceus/Sup2/links/pep/OC-429-pep.txt","OC-429")</f>
        <v>OC-429</v>
      </c>
      <c r="B123" s="1" t="s">
        <v>114</v>
      </c>
      <c r="C123">
        <v>85</v>
      </c>
      <c r="D123" t="s">
        <v>161</v>
      </c>
      <c r="E123" t="str">
        <f>HYPERLINK("http://exon.niaid.nih.gov/transcriptome/O_coriaceus/Sup2/links/nuc/OC-429-nuc.txt","OC-429")</f>
        <v>OC-429</v>
      </c>
      <c r="F123" s="1" t="s">
        <v>195</v>
      </c>
      <c r="G123" s="1" t="s">
        <v>194</v>
      </c>
      <c r="H123" s="5" t="str">
        <f>HYPERLINK("http://exon.niaid.nih.gov/transcriptome/O_coriaceus/Sup2/links/Sigp/OC-429-SigP.txt","CYT")</f>
        <v>CYT</v>
      </c>
      <c r="I123" t="s">
        <v>196</v>
      </c>
      <c r="J123" s="1">
        <v>9.738</v>
      </c>
      <c r="K123" s="1">
        <v>6.29</v>
      </c>
      <c r="N123" s="19" t="s">
        <v>97</v>
      </c>
      <c r="O123" s="5" t="str">
        <f>HYPERLINK("http://exon.niaid.nih.gov/transcriptome/O_coriaceus/Sup2/links/netoglyc/OC-429-netoglyc.txt","0")</f>
        <v>0</v>
      </c>
      <c r="P123" s="1">
        <v>11.8</v>
      </c>
      <c r="Q123" s="1">
        <v>4.7</v>
      </c>
      <c r="R123" s="1">
        <v>3.5</v>
      </c>
      <c r="S123" s="27" t="s">
        <v>196</v>
      </c>
      <c r="U123" s="4" t="str">
        <f>HYPERLINK("http://exon.niaid.nih.gov/transcriptome/O_coriaceus/Sup2/links/OCORI-EST/OC-429-OCORI-EST.txt","OCL-PLATE03_C10")</f>
        <v>OCL-PLATE03_C10</v>
      </c>
      <c r="V123" s="1">
        <v>1E-146</v>
      </c>
      <c r="W123" s="5" t="str">
        <f>HYPERLINK("http://exon.niaid.nih.gov/transcriptome/O_coriaceus/Sup2/links/OCORI-EST/OC-429-OCORI-EST.txt"," 1")</f>
        <v> 1</v>
      </c>
      <c r="Y123" s="22" t="s">
        <v>196</v>
      </c>
      <c r="AC123" s="22" t="str">
        <f>HYPERLINK("http://exon.niaid.nih.gov/transcriptome/O_coriaceus/Sup2/links/OC-1D/OC-429-OC-1D.txt","P06_69 |")</f>
        <v>P06_69 |</v>
      </c>
      <c r="AE123" s="1" t="s">
        <v>196</v>
      </c>
      <c r="AG123" s="26" t="s">
        <v>196</v>
      </c>
      <c r="AH123" s="4" t="str">
        <f>HYPERLINK("http://exon.niaid.nih.gov/transcriptome/O_coriaceus/Sup2/links/NR/OC-429-NR.txt","PREDICTED: similar to GA17237-PA")</f>
        <v>PREDICTED: similar to GA17237-PA</v>
      </c>
      <c r="AI123" t="str">
        <f>HYPERLINK("http://www.ncbi.nlm.nih.gov/sutils/blink.cgi?pid=156537803","3E-021")</f>
        <v>3E-021</v>
      </c>
      <c r="AJ123" t="s">
        <v>410</v>
      </c>
      <c r="AK123">
        <v>61</v>
      </c>
      <c r="AL123">
        <v>95</v>
      </c>
      <c r="AM123">
        <v>3</v>
      </c>
      <c r="AN123" t="s">
        <v>411</v>
      </c>
      <c r="AO123">
        <v>151</v>
      </c>
      <c r="AP123">
        <v>20</v>
      </c>
      <c r="AQ123">
        <v>1</v>
      </c>
      <c r="AR123" s="4" t="s">
        <v>412</v>
      </c>
      <c r="AS123">
        <f>HYPERLINK("http://exon.niaid.nih.gov/transcriptome/O_coriaceus/Sup2/links/GO/OC-429-GO.txt",0.000000000004)</f>
        <v>4E-12</v>
      </c>
      <c r="AT123" t="s">
        <v>314</v>
      </c>
      <c r="AU123" t="s">
        <v>314</v>
      </c>
      <c r="AW123" t="s">
        <v>315</v>
      </c>
      <c r="AX123">
        <v>4E-12</v>
      </c>
      <c r="AY123" s="4" t="str">
        <f>HYPERLINK("http://exon.niaid.nih.gov/transcriptome/O_coriaceus/Sup2/links/KOG/OC-429-KOG.txt","BolA (bacterial stress-induced morphogen)-related protein")</f>
        <v>BolA (bacterial stress-induced morphogen)-related protein</v>
      </c>
      <c r="AZ123" t="str">
        <f>HYPERLINK("http://www.ncbi.nlm.nih.gov/COG/grace/shokog.cgi?KOG3348","2E-022")</f>
        <v>2E-022</v>
      </c>
      <c r="BA123" t="s">
        <v>378</v>
      </c>
      <c r="BB123" s="4" t="str">
        <f>HYPERLINK("http://exon.niaid.nih.gov/transcriptome/O_coriaceus/Sup2/links/CDD/OC-429-CDD.txt","BolA")</f>
        <v>BolA</v>
      </c>
      <c r="BC123" t="str">
        <f>HYPERLINK("http://www.ncbi.nlm.nih.gov/Structure/cdd/cddsrv.cgi?uid=COG0271&amp;version=v4.0","5E-015")</f>
        <v>5E-015</v>
      </c>
      <c r="BD123" t="s">
        <v>413</v>
      </c>
      <c r="BE123" s="4" t="str">
        <f>HYPERLINK("http://exon.niaid.nih.gov/transcriptome/O_coriaceus/Sup2/links/PFAM/OC-429-PFAM.txt","BolA")</f>
        <v>BolA</v>
      </c>
      <c r="BF123" t="str">
        <f>HYPERLINK("http://pfam.janelia.org/cgi-bin/getdesc?acc=PF01722","2E-013")</f>
        <v>2E-013</v>
      </c>
      <c r="BG123" s="4" t="str">
        <f>HYPERLINK("http://exon.niaid.nih.gov/transcriptome/O_coriaceus/Sup2/links/SMART/OC-429-SMART.txt","TOP2c")</f>
        <v>TOP2c</v>
      </c>
      <c r="BH123" t="str">
        <f>HYPERLINK("http://smart.embl-heidelberg.de/smart/do_annotation.pl?DOMAIN=TOP2c&amp;BLAST=DUMMY","0.012")</f>
        <v>0.012</v>
      </c>
      <c r="BI123" s="2">
        <v>43</v>
      </c>
      <c r="BJ123" s="1">
        <v>1</v>
      </c>
      <c r="BK123" s="2">
        <v>46</v>
      </c>
      <c r="BL123" s="1">
        <v>1</v>
      </c>
      <c r="BM123" s="2">
        <v>45</v>
      </c>
      <c r="BN123" s="1">
        <v>1</v>
      </c>
      <c r="BO123" s="2">
        <v>48</v>
      </c>
      <c r="BP123" s="1">
        <v>1</v>
      </c>
      <c r="BQ123" s="2">
        <v>47</v>
      </c>
      <c r="BR123" s="1">
        <v>1</v>
      </c>
      <c r="BS123" s="2">
        <v>50</v>
      </c>
      <c r="BT123" s="1">
        <v>1</v>
      </c>
      <c r="BU123" s="2">
        <v>54</v>
      </c>
      <c r="BV123" s="1">
        <v>1</v>
      </c>
    </row>
    <row r="124" spans="1:74" ht="10.5">
      <c r="A124" t="str">
        <f>HYPERLINK("http://exon.niaid.nih.gov/transcriptome/O_coriaceus/Sup2/links/pep/OC-34-pep.txt","OC-34")</f>
        <v>OC-34</v>
      </c>
      <c r="B124" s="1" t="s">
        <v>114</v>
      </c>
      <c r="C124">
        <v>225</v>
      </c>
      <c r="D124" t="s">
        <v>145</v>
      </c>
      <c r="E124" t="str">
        <f>HYPERLINK("http://exon.niaid.nih.gov/transcriptome/O_coriaceus/Sup2/links/nuc/OC-34-nuc.txt","OC-34")</f>
        <v>OC-34</v>
      </c>
      <c r="F124" s="1" t="s">
        <v>195</v>
      </c>
      <c r="G124" s="1" t="s">
        <v>194</v>
      </c>
      <c r="H124" s="5" t="str">
        <f>HYPERLINK("http://exon.niaid.nih.gov/transcriptome/O_coriaceus/Sup2/links/Sigp/OC-34-SigP.txt","ANC")</f>
        <v>ANC</v>
      </c>
      <c r="I124" t="s">
        <v>196</v>
      </c>
      <c r="J124" s="1">
        <v>26.122</v>
      </c>
      <c r="K124" s="1">
        <v>5.26</v>
      </c>
      <c r="N124" s="19" t="s">
        <v>98</v>
      </c>
      <c r="O124" s="5" t="str">
        <f>HYPERLINK("http://exon.niaid.nih.gov/transcriptome/O_coriaceus/Sup2/links/netoglyc/OC-34-netoglyc.txt","1")</f>
        <v>1</v>
      </c>
      <c r="P124" s="1">
        <v>16.9</v>
      </c>
      <c r="Q124" s="1">
        <v>3.1</v>
      </c>
      <c r="R124" s="1">
        <v>5.3</v>
      </c>
      <c r="S124" s="27" t="s">
        <v>196</v>
      </c>
      <c r="U124" s="4" t="str">
        <f>HYPERLINK("http://exon.niaid.nih.gov/transcriptome/O_coriaceus/Sup2/links/OCORI-EST/OC-34-OCORI-EST.txt","OCL-P13_H08")</f>
        <v>OCL-P13_H08</v>
      </c>
      <c r="V124" s="1">
        <v>0</v>
      </c>
      <c r="W124" s="5" t="str">
        <f>HYPERLINK("http://exon.niaid.nih.gov/transcriptome/O_coriaceus/Sup2/links/OCORI-EST/OC-34-OCORI-EST.txt"," 16")</f>
        <v> 16</v>
      </c>
      <c r="Y124" s="22" t="s">
        <v>196</v>
      </c>
      <c r="AC124" s="22" t="str">
        <f>HYPERLINK("http://exon.niaid.nih.gov/transcriptome/O_coriaceus/Sup2/links/OC-1D/OC-34-OC-1D.txt","P22_37 |P22_38 |P23_107 |")</f>
        <v>P22_37 |P22_38 |P23_107 |</v>
      </c>
      <c r="AD124" s="27" t="s">
        <v>617</v>
      </c>
      <c r="AE124" s="1">
        <v>2</v>
      </c>
      <c r="AF124" s="1">
        <v>36</v>
      </c>
      <c r="AG124" s="26">
        <f>100*AF124/C124</f>
        <v>16</v>
      </c>
      <c r="AH124" s="4" t="str">
        <f>HYPERLINK("http://exon.niaid.nih.gov/transcriptome/O_coriaceus/Sup2/links/NR/OC-34-NR.txt","cytochrome c oxidase subunit II [Ornithodoros moubata]")</f>
        <v>cytochrome c oxidase subunit II [Ornithodoros moubata]</v>
      </c>
      <c r="AI124" t="str">
        <f>HYPERLINK("http://www.ncbi.nlm.nih.gov/sutils/blink.cgi?pid=28263051","5E-091")</f>
        <v>5E-091</v>
      </c>
      <c r="AJ124" t="s">
        <v>373</v>
      </c>
      <c r="AK124">
        <v>77</v>
      </c>
      <c r="AL124">
        <v>100</v>
      </c>
      <c r="AM124">
        <v>1</v>
      </c>
      <c r="AN124" t="s">
        <v>270</v>
      </c>
      <c r="AO124">
        <v>1</v>
      </c>
      <c r="AP124">
        <v>1</v>
      </c>
      <c r="AQ124">
        <v>1</v>
      </c>
      <c r="AR124" s="4" t="s">
        <v>374</v>
      </c>
      <c r="AS124">
        <f>HYPERLINK("http://exon.niaid.nih.gov/transcriptome/O_coriaceus/Sup2/links/GO/OC-34-GO.txt",5E-68)</f>
        <v>5E-68</v>
      </c>
      <c r="AT124" t="s">
        <v>328</v>
      </c>
      <c r="AU124" t="s">
        <v>329</v>
      </c>
      <c r="AV124" t="s">
        <v>330</v>
      </c>
      <c r="AW124" t="s">
        <v>331</v>
      </c>
      <c r="AX124" s="3">
        <v>5E-68</v>
      </c>
      <c r="AY124" s="4" t="str">
        <f>HYPERLINK("http://exon.niaid.nih.gov/transcriptome/O_coriaceus/Sup2/links/KOG/OC-34-KOG.txt","Cytochrome c oxidase, subunit II, and related proteins")</f>
        <v>Cytochrome c oxidase, subunit II, and related proteins</v>
      </c>
      <c r="AZ124" t="str">
        <f>HYPERLINK("http://www.ncbi.nlm.nih.gov/COG/grace/shokog.cgi?KOG4767","1E-078")</f>
        <v>1E-078</v>
      </c>
      <c r="BA124" t="s">
        <v>291</v>
      </c>
      <c r="BB124" s="4" t="str">
        <f>HYPERLINK("http://exon.niaid.nih.gov/transcriptome/O_coriaceus/Sup2/links/CDD/OC-34-CDD.txt","COX2")</f>
        <v>COX2</v>
      </c>
      <c r="BC124" t="str">
        <f>HYPERLINK("http://www.ncbi.nlm.nih.gov/Structure/cdd/cddsrv.cgi?uid=pfam00116&amp;version=v4.0","1E-046")</f>
        <v>1E-046</v>
      </c>
      <c r="BD124" t="s">
        <v>375</v>
      </c>
      <c r="BE124" s="4" t="str">
        <f>HYPERLINK("http://exon.niaid.nih.gov/transcriptome/O_coriaceus/Sup2/links/PFAM/OC-34-PFAM.txt","COX2")</f>
        <v>COX2</v>
      </c>
      <c r="BF124" t="str">
        <f>HYPERLINK("http://pfam.janelia.org/cgi-bin/getdesc?acc=PF00116","4E-047")</f>
        <v>4E-047</v>
      </c>
      <c r="BG124" s="4" t="str">
        <f>HYPERLINK("http://exon.niaid.nih.gov/transcriptome/O_coriaceus/Sup2/links/SMART/OC-34-SMART.txt","CHK")</f>
        <v>CHK</v>
      </c>
      <c r="BH124" t="str">
        <f>HYPERLINK("http://smart.embl-heidelberg.de/smart/do_annotation.pl?DOMAIN=CHK&amp;BLAST=DUMMY","0.79")</f>
        <v>0.79</v>
      </c>
      <c r="BI124" s="2">
        <v>35</v>
      </c>
      <c r="BJ124" s="1">
        <v>1</v>
      </c>
      <c r="BK124" s="2">
        <v>37</v>
      </c>
      <c r="BL124" s="1">
        <v>1</v>
      </c>
      <c r="BM124" s="2">
        <v>36</v>
      </c>
      <c r="BN124" s="1">
        <v>1</v>
      </c>
      <c r="BO124" s="2">
        <v>39</v>
      </c>
      <c r="BP124" s="1">
        <v>1</v>
      </c>
      <c r="BQ124" s="2">
        <v>38</v>
      </c>
      <c r="BR124" s="1">
        <v>1</v>
      </c>
      <c r="BS124" s="2">
        <v>41</v>
      </c>
      <c r="BT124" s="1">
        <v>1</v>
      </c>
      <c r="BU124" s="2">
        <v>43</v>
      </c>
      <c r="BV124" s="1">
        <v>1</v>
      </c>
    </row>
    <row r="125" spans="1:74" ht="10.5">
      <c r="A125" t="str">
        <f>HYPERLINK("http://exon.niaid.nih.gov/transcriptome/O_coriaceus/Sup2/links/pep/OC-157-pep.txt","OC-157")</f>
        <v>OC-157</v>
      </c>
      <c r="B125" s="1" t="s">
        <v>114</v>
      </c>
      <c r="C125">
        <v>180</v>
      </c>
      <c r="D125" t="s">
        <v>131</v>
      </c>
      <c r="E125" t="str">
        <f>HYPERLINK("http://exon.niaid.nih.gov/transcriptome/O_coriaceus/Sup2/links/nuc/OC-157-nuc.txt","OC-157")</f>
        <v>OC-157</v>
      </c>
      <c r="F125" s="1" t="s">
        <v>195</v>
      </c>
      <c r="G125" s="1" t="s">
        <v>194</v>
      </c>
      <c r="H125" s="5" t="str">
        <f>HYPERLINK("http://exon.niaid.nih.gov/transcriptome/O_coriaceus/Sup2/links/Sigp/OC-157-SigP.txt","CYT")</f>
        <v>CYT</v>
      </c>
      <c r="I125" t="s">
        <v>196</v>
      </c>
      <c r="J125" s="1">
        <v>20.951</v>
      </c>
      <c r="K125" s="1">
        <v>9.52</v>
      </c>
      <c r="N125" s="19" t="s">
        <v>99</v>
      </c>
      <c r="O125" s="5" t="str">
        <f>HYPERLINK("http://exon.niaid.nih.gov/transcriptome/O_coriaceus/Sup2/links/netoglyc/OC-157-netoglyc.txt","0")</f>
        <v>0</v>
      </c>
      <c r="P125" s="1">
        <v>6.7</v>
      </c>
      <c r="Q125" s="1">
        <v>6.1</v>
      </c>
      <c r="R125" s="1">
        <v>6.1</v>
      </c>
      <c r="S125" s="27" t="s">
        <v>196</v>
      </c>
      <c r="U125" s="4" t="str">
        <f>HYPERLINK("http://exon.niaid.nih.gov/transcriptome/O_coriaceus/Sup2/links/OCORI-EST/OC-157-OCORI-EST.txt","OCL-P11_D08")</f>
        <v>OCL-P11_D08</v>
      </c>
      <c r="V125" s="1">
        <v>0</v>
      </c>
      <c r="W125" s="5" t="str">
        <f>HYPERLINK("http://exon.niaid.nih.gov/transcriptome/O_coriaceus/Sup2/links/OCORI-EST/OC-157-OCORI-EST.txt"," 1")</f>
        <v> 1</v>
      </c>
      <c r="Y125" s="22" t="s">
        <v>196</v>
      </c>
      <c r="AC125" s="22" t="str">
        <f>HYPERLINK("http://exon.niaid.nih.gov/transcriptome/O_coriaceus/Sup2/links/OC-1D/OC-157-OC-1D.txt","P25_34 |P25_35 |P25_36 |P26_36 |")</f>
        <v>P25_34 |P25_35 |P25_36 |P26_36 |</v>
      </c>
      <c r="AD125" s="27" t="s">
        <v>613</v>
      </c>
      <c r="AE125" s="1">
        <v>3</v>
      </c>
      <c r="AF125" s="1">
        <v>28</v>
      </c>
      <c r="AG125" s="26">
        <f>100*AF125/C125</f>
        <v>15.555555555555555</v>
      </c>
      <c r="AH125" s="4" t="str">
        <f>HYPERLINK("http://exon.niaid.nih.gov/transcriptome/O_coriaceus/Sup2/links/NR/OC-157-NR.txt","cytochrome c oxidase polyprotein IV")</f>
        <v>cytochrome c oxidase polyprotein IV</v>
      </c>
      <c r="AI125" t="str">
        <f>HYPERLINK("http://www.ncbi.nlm.nih.gov/sutils/blink.cgi?pid=149287114","6E-094")</f>
        <v>6E-094</v>
      </c>
      <c r="AJ125" t="s">
        <v>326</v>
      </c>
      <c r="AK125">
        <v>91</v>
      </c>
      <c r="AL125">
        <v>100</v>
      </c>
      <c r="AM125">
        <v>1</v>
      </c>
      <c r="AN125" t="s">
        <v>230</v>
      </c>
      <c r="AO125">
        <v>1</v>
      </c>
      <c r="AP125">
        <v>1</v>
      </c>
      <c r="AQ125">
        <v>1</v>
      </c>
      <c r="AR125" s="4" t="s">
        <v>327</v>
      </c>
      <c r="AS125">
        <f>HYPERLINK("http://exon.niaid.nih.gov/transcriptome/O_coriaceus/Sup2/links/GO/OC-157-GO.txt",1E-46)</f>
        <v>1E-46</v>
      </c>
      <c r="AT125" t="s">
        <v>328</v>
      </c>
      <c r="AU125" t="s">
        <v>329</v>
      </c>
      <c r="AV125" t="s">
        <v>330</v>
      </c>
      <c r="AW125" t="s">
        <v>331</v>
      </c>
      <c r="AX125" s="3">
        <v>1E-46</v>
      </c>
      <c r="AY125" s="4" t="str">
        <f>HYPERLINK("http://exon.niaid.nih.gov/transcriptome/O_coriaceus/Sup2/links/KOG/OC-157-KOG.txt","Cytochrome c oxidase, subunit IV/COX5b")</f>
        <v>Cytochrome c oxidase, subunit IV/COX5b</v>
      </c>
      <c r="AZ125" t="str">
        <f>HYPERLINK("http://www.ncbi.nlm.nih.gov/COG/grace/shokog.cgi?KOG4075","3E-050")</f>
        <v>3E-050</v>
      </c>
      <c r="BA125" t="s">
        <v>291</v>
      </c>
      <c r="BB125" s="4" t="str">
        <f>HYPERLINK("http://exon.niaid.nih.gov/transcriptome/O_coriaceus/Sup2/links/CDD/OC-157-CDD.txt","Cyt_c_Oxidase_I")</f>
        <v>Cyt_c_Oxidase_I</v>
      </c>
      <c r="BC125" t="str">
        <f>HYPERLINK("http://www.ncbi.nlm.nih.gov/Structure/cdd/cddsrv.cgi?uid=cd00922&amp;version=v4.0","1E-048")</f>
        <v>1E-048</v>
      </c>
      <c r="BD125" t="s">
        <v>332</v>
      </c>
      <c r="BE125" s="4" t="str">
        <f>HYPERLINK("http://exon.niaid.nih.gov/transcriptome/O_coriaceus/Sup2/links/PFAM/OC-157-PFAM.txt","COX4")</f>
        <v>COX4</v>
      </c>
      <c r="BF125" t="str">
        <f>HYPERLINK("http://pfam.janelia.org/cgi-bin/getdesc?acc=PF02936","7E-046")</f>
        <v>7E-046</v>
      </c>
      <c r="BG125" s="4" t="s">
        <v>196</v>
      </c>
      <c r="BH125" t="s">
        <v>196</v>
      </c>
      <c r="BI125" s="2">
        <v>27</v>
      </c>
      <c r="BJ125" s="1">
        <v>1</v>
      </c>
      <c r="BK125" s="2">
        <v>29</v>
      </c>
      <c r="BL125" s="1">
        <v>1</v>
      </c>
      <c r="BM125" s="2">
        <v>28</v>
      </c>
      <c r="BN125" s="1">
        <v>1</v>
      </c>
      <c r="BO125" s="2">
        <v>30</v>
      </c>
      <c r="BP125" s="1">
        <v>1</v>
      </c>
      <c r="BQ125" s="2">
        <v>29</v>
      </c>
      <c r="BR125" s="1">
        <v>1</v>
      </c>
      <c r="BS125" s="2">
        <v>29</v>
      </c>
      <c r="BT125" s="1">
        <v>1</v>
      </c>
      <c r="BU125" s="2">
        <v>22</v>
      </c>
      <c r="BV125" s="1">
        <v>1</v>
      </c>
    </row>
    <row r="126" spans="1:74" ht="10.5">
      <c r="A126" t="str">
        <f>HYPERLINK("http://exon.niaid.nih.gov/transcriptome/O_coriaceus/Sup2/links/pep/OC-591-pep.txt","OC-591")</f>
        <v>OC-591</v>
      </c>
      <c r="B126" s="1" t="s">
        <v>179</v>
      </c>
      <c r="C126">
        <v>152</v>
      </c>
      <c r="D126" t="s">
        <v>180</v>
      </c>
      <c r="E126" t="str">
        <f>HYPERLINK("http://exon.niaid.nih.gov/transcriptome/O_coriaceus/Sup2/links/nuc/OC-591-nuc.txt","OC-591")</f>
        <v>OC-591</v>
      </c>
      <c r="F126" s="1" t="s">
        <v>196</v>
      </c>
      <c r="G126" s="1" t="s">
        <v>194</v>
      </c>
      <c r="H126" s="5" t="str">
        <f>HYPERLINK("http://exon.niaid.nih.gov/transcriptome/O_coriaceus/Sup2/links/Sigp/OC-591-SigP.txt","CYT")</f>
        <v>CYT</v>
      </c>
      <c r="I126" t="s">
        <v>196</v>
      </c>
      <c r="J126" s="1">
        <v>17.269</v>
      </c>
      <c r="K126" s="1">
        <v>7.85</v>
      </c>
      <c r="N126" s="19" t="s">
        <v>100</v>
      </c>
      <c r="O126" s="5" t="str">
        <f>HYPERLINK("http://exon.niaid.nih.gov/transcriptome/O_coriaceus/Sup2/links/netoglyc/OC-591-netoglyc.txt","0")</f>
        <v>0</v>
      </c>
      <c r="P126" s="1">
        <v>6.6</v>
      </c>
      <c r="Q126" s="1">
        <v>3.9</v>
      </c>
      <c r="R126" s="1">
        <v>5.9</v>
      </c>
      <c r="S126" s="27" t="s">
        <v>196</v>
      </c>
      <c r="U126" s="4" t="str">
        <f>HYPERLINK("http://exon.niaid.nih.gov/transcriptome/O_coriaceus/Sup2/links/OCORI-EST/OC-591-OCORI-EST.txt","OCM-PLATE06_E06")</f>
        <v>OCM-PLATE06_E06</v>
      </c>
      <c r="V126" s="1">
        <v>0</v>
      </c>
      <c r="W126" s="5" t="str">
        <f>HYPERLINK("http://exon.niaid.nih.gov/transcriptome/O_coriaceus/Sup2/links/OCORI-EST/OC-591-OCORI-EST.txt"," 2")</f>
        <v> 2</v>
      </c>
      <c r="Y126" s="22" t="str">
        <f>HYPERLINK("http://exon.niaid.nih.gov/transcriptome/O_coriaceus/Sup2/links/OC-2D/OC-591-OC-2D.txt","IF-40_7 |IF-49_9 |IF-5_5 |IF-8_6 |")</f>
        <v>IF-40_7 |IF-49_9 |IF-5_5 |IF-8_6 |</v>
      </c>
      <c r="AA126" s="1" t="s">
        <v>196</v>
      </c>
      <c r="AC126" s="22" t="str">
        <f>HYPERLINK("http://exon.niaid.nih.gov/transcriptome/O_coriaceus/Sup2/links/OC-1D/OC-591-OC-1D.txt","P25_64 |P25_65 |P26_1 |P26_2 |P26_3 |P26_4 |P26_5 |P27_27 |S09_22 |S10_25 |S23_90 |")</f>
        <v>P25_64 |P25_65 |P26_1 |P26_2 |P26_3 |P26_4 |P26_5 |P27_27 |S09_22 |S10_25 |S23_90 |</v>
      </c>
      <c r="AD126" s="27" t="s">
        <v>618</v>
      </c>
      <c r="AE126" s="1">
        <v>5</v>
      </c>
      <c r="AF126" s="1">
        <v>50</v>
      </c>
      <c r="AG126" s="26">
        <f>100*AF126/C126</f>
        <v>32.89473684210526</v>
      </c>
      <c r="AH126" s="4" t="str">
        <f>HYPERLINK("http://exon.niaid.nih.gov/transcriptome/O_coriaceus/Sup2/links/NR/OC-591-NR.txt","cytochrome c oxidase subunit Va")</f>
        <v>cytochrome c oxidase subunit Va</v>
      </c>
      <c r="AI126" t="str">
        <f>HYPERLINK("http://www.ncbi.nlm.nih.gov/sutils/blink.cgi?pid=114153290","1E-071")</f>
        <v>1E-071</v>
      </c>
      <c r="AJ126" t="s">
        <v>473</v>
      </c>
      <c r="AK126">
        <v>86</v>
      </c>
      <c r="AL126">
        <v>99</v>
      </c>
      <c r="AM126">
        <v>2</v>
      </c>
      <c r="AN126" t="s">
        <v>294</v>
      </c>
      <c r="AO126">
        <v>2</v>
      </c>
      <c r="AP126">
        <v>1</v>
      </c>
      <c r="AQ126">
        <v>1</v>
      </c>
      <c r="AR126" s="4" t="s">
        <v>474</v>
      </c>
      <c r="AS126">
        <f>HYPERLINK("http://exon.niaid.nih.gov/transcriptome/O_coriaceus/Sup2/links/GO/OC-591-GO.txt",1E-40)</f>
        <v>1E-40</v>
      </c>
      <c r="AT126" t="s">
        <v>328</v>
      </c>
      <c r="AU126" t="s">
        <v>329</v>
      </c>
      <c r="AV126" t="s">
        <v>330</v>
      </c>
      <c r="AW126" t="s">
        <v>331</v>
      </c>
      <c r="AX126" s="3">
        <v>2E-38</v>
      </c>
      <c r="AY126" s="4" t="str">
        <f>HYPERLINK("http://exon.niaid.nih.gov/transcriptome/O_coriaceus/Sup2/links/KOG/OC-591-KOG.txt","Cytochrome c oxidase, subunit Va/COX6")</f>
        <v>Cytochrome c oxidase, subunit Va/COX6</v>
      </c>
      <c r="AZ126" t="str">
        <f>HYPERLINK("http://www.ncbi.nlm.nih.gov/COG/grace/shokog.cgi?KOG4077","1E-043")</f>
        <v>1E-043</v>
      </c>
      <c r="BA126" t="s">
        <v>291</v>
      </c>
      <c r="BB126" s="4" t="str">
        <f>HYPERLINK("http://exon.niaid.nih.gov/transcriptome/O_coriaceus/Sup2/links/CDD/OC-591-CDD.txt","Cyt_c_Oxidase_V")</f>
        <v>Cyt_c_Oxidase_V</v>
      </c>
      <c r="BC126" t="str">
        <f>HYPERLINK("http://www.ncbi.nlm.nih.gov/Structure/cdd/cddsrv.cgi?uid=cd00923&amp;version=v4.0","7E-045")</f>
        <v>7E-045</v>
      </c>
      <c r="BD126" t="s">
        <v>475</v>
      </c>
      <c r="BE126" s="4" t="str">
        <f>HYPERLINK("http://exon.niaid.nih.gov/transcriptome/O_coriaceus/Sup2/links/PFAM/OC-591-PFAM.txt","COX5A")</f>
        <v>COX5A</v>
      </c>
      <c r="BF126" t="str">
        <f>HYPERLINK("http://pfam.janelia.org/cgi-bin/getdesc?acc=PF02284","2E-038")</f>
        <v>2E-038</v>
      </c>
      <c r="BG126" s="4" t="str">
        <f>HYPERLINK("http://exon.niaid.nih.gov/transcriptome/O_coriaceus/Sup2/links/SMART/OC-591-SMART.txt","C345C")</f>
        <v>C345C</v>
      </c>
      <c r="BH126" t="str">
        <f>HYPERLINK("http://smart.embl-heidelberg.de/smart/do_annotation.pl?DOMAIN=C345C&amp;BLAST=DUMMY","0.31")</f>
        <v>0.31</v>
      </c>
      <c r="BI126" s="2">
        <v>58</v>
      </c>
      <c r="BJ126" s="1">
        <v>1</v>
      </c>
      <c r="BK126" s="2">
        <v>61</v>
      </c>
      <c r="BL126" s="1">
        <v>1</v>
      </c>
      <c r="BM126" s="2">
        <v>61</v>
      </c>
      <c r="BN126" s="1">
        <v>1</v>
      </c>
      <c r="BO126" s="2">
        <v>64</v>
      </c>
      <c r="BP126" s="1">
        <v>1</v>
      </c>
      <c r="BQ126" s="2">
        <v>69</v>
      </c>
      <c r="BR126" s="1">
        <v>1</v>
      </c>
      <c r="BS126" s="2">
        <v>72</v>
      </c>
      <c r="BT126" s="1">
        <v>1</v>
      </c>
      <c r="BU126" s="2">
        <v>78</v>
      </c>
      <c r="BV126" s="1">
        <v>1</v>
      </c>
    </row>
    <row r="127" spans="1:74" ht="10.5">
      <c r="A127" t="str">
        <f>HYPERLINK("http://exon.niaid.nih.gov/transcriptome/O_coriaceus/Sup2/links/pep/OC-109-pep.txt","OC-109")</f>
        <v>OC-109</v>
      </c>
      <c r="B127" s="1" t="s">
        <v>114</v>
      </c>
      <c r="C127">
        <v>200</v>
      </c>
      <c r="D127" t="s">
        <v>123</v>
      </c>
      <c r="E127" t="str">
        <f>HYPERLINK("http://exon.niaid.nih.gov/transcriptome/O_coriaceus/Sup2/links/nuc/OC-109-nuc.txt","OC-109")</f>
        <v>OC-109</v>
      </c>
      <c r="F127" s="1" t="s">
        <v>195</v>
      </c>
      <c r="G127" s="1" t="s">
        <v>194</v>
      </c>
      <c r="H127" s="5" t="str">
        <f>HYPERLINK("http://exon.niaid.nih.gov/transcriptome/O_coriaceus/Sup2/links/Sigp/OC-109-SigP.txt","CYT")</f>
        <v>CYT</v>
      </c>
      <c r="I127" t="s">
        <v>196</v>
      </c>
      <c r="J127" s="1">
        <v>21.087</v>
      </c>
      <c r="K127" s="1">
        <v>10.98</v>
      </c>
      <c r="N127" s="19" t="s">
        <v>101</v>
      </c>
      <c r="O127" s="5" t="str">
        <f>HYPERLINK("http://exon.niaid.nih.gov/transcriptome/O_coriaceus/Sup2/links/netoglyc/OC-109-netoglyc.txt","5")</f>
        <v>5</v>
      </c>
      <c r="P127" s="1">
        <v>10</v>
      </c>
      <c r="Q127" s="1">
        <v>5</v>
      </c>
      <c r="R127" s="1">
        <v>9.5</v>
      </c>
      <c r="S127" s="27" t="s">
        <v>2</v>
      </c>
      <c r="U127" s="4" t="str">
        <f>HYPERLINK("http://exon.niaid.nih.gov/transcriptome/O_coriaceus/Sup2/links/OCORI-EST/OC-109-OCORI-EST.txt","OCL-P13_E07")</f>
        <v>OCL-P13_E07</v>
      </c>
      <c r="V127" s="1">
        <v>0</v>
      </c>
      <c r="W127" s="5" t="str">
        <f>HYPERLINK("http://exon.niaid.nih.gov/transcriptome/O_coriaceus/Sup2/links/OCORI-EST/OC-109-OCORI-EST.txt"," 2")</f>
        <v> 2</v>
      </c>
      <c r="Y127" s="22" t="s">
        <v>196</v>
      </c>
      <c r="AC127" s="22" t="str">
        <f>HYPERLINK("http://exon.niaid.nih.gov/transcriptome/O_coriaceus/Sup2/links/OC-1D/OC-109-OC-1D.txt","P15_57 |P18_102 |P19_30 |P19_31 |")</f>
        <v>P15_57 |P18_102 |P19_30 |P19_31 |</v>
      </c>
      <c r="AD127" s="27" t="s">
        <v>619</v>
      </c>
      <c r="AE127" s="1">
        <v>2</v>
      </c>
      <c r="AF127" s="1">
        <v>23</v>
      </c>
      <c r="AG127" s="26">
        <f>100*AF127/C127</f>
        <v>11.5</v>
      </c>
      <c r="AH127" s="4" t="str">
        <f>HYPERLINK("http://exon.niaid.nih.gov/transcriptome/O_coriaceus/Sup2/links/NR/OC-109-NR.txt","histone H1")</f>
        <v>histone H1</v>
      </c>
      <c r="AI127" t="str">
        <f>HYPERLINK("http://www.ncbi.nlm.nih.gov/sutils/blink.cgi?pid=22531323","7E-014")</f>
        <v>7E-014</v>
      </c>
      <c r="AJ127" t="s">
        <v>286</v>
      </c>
      <c r="AK127">
        <v>68</v>
      </c>
      <c r="AL127">
        <v>40</v>
      </c>
      <c r="AM127">
        <v>30</v>
      </c>
      <c r="AN127" t="s">
        <v>287</v>
      </c>
      <c r="AO127">
        <v>34</v>
      </c>
      <c r="AP127">
        <v>31</v>
      </c>
      <c r="AQ127">
        <v>1</v>
      </c>
      <c r="AR127" s="4" t="s">
        <v>288</v>
      </c>
      <c r="AS127">
        <f>HYPERLINK("http://exon.niaid.nih.gov/transcriptome/O_coriaceus/Sup2/links/GO/OC-109-GO.txt",0.0000000007)</f>
        <v>7E-10</v>
      </c>
      <c r="AT127" t="s">
        <v>552</v>
      </c>
      <c r="AU127" t="s">
        <v>282</v>
      </c>
      <c r="AV127" t="s">
        <v>289</v>
      </c>
      <c r="AW127" t="s">
        <v>290</v>
      </c>
      <c r="AX127">
        <v>4E-05</v>
      </c>
      <c r="AY127" s="4" t="str">
        <f>HYPERLINK("http://exon.niaid.nih.gov/transcriptome/O_coriaceus/Sup2/links/KOG/OC-109-KOG.txt","Dihydrolipoamide succinyltransferase (2-oxoglutarate dehydrogenase, E2 subunit)")</f>
        <v>Dihydrolipoamide succinyltransferase (2-oxoglutarate dehydrogenase, E2 subunit)</v>
      </c>
      <c r="AZ127" t="str">
        <f>HYPERLINK("http://www.ncbi.nlm.nih.gov/COG/grace/shokog.cgi?KOG0559","0.005")</f>
        <v>0.005</v>
      </c>
      <c r="BA127" t="s">
        <v>291</v>
      </c>
      <c r="BB127" s="4" t="str">
        <f>HYPERLINK("http://exon.niaid.nih.gov/transcriptome/O_coriaceus/Sup2/links/CDD/OC-109-CDD.txt","Linker_histone")</f>
        <v>Linker_histone</v>
      </c>
      <c r="BC127" t="str">
        <f>HYPERLINK("http://www.ncbi.nlm.nih.gov/Structure/cdd/cddsrv.cgi?uid=pfam00538&amp;version=v4.0","2E-010")</f>
        <v>2E-010</v>
      </c>
      <c r="BD127" t="s">
        <v>292</v>
      </c>
      <c r="BE127" s="4" t="str">
        <f>HYPERLINK("http://exon.niaid.nih.gov/transcriptome/O_coriaceus/Sup2/links/PFAM/OC-109-PFAM.txt","Linker_histone")</f>
        <v>Linker_histone</v>
      </c>
      <c r="BF127" t="str">
        <f>HYPERLINK("http://pfam.janelia.org/cgi-bin/getdesc?acc=PF00538","6E-011")</f>
        <v>6E-011</v>
      </c>
      <c r="BG127" s="4" t="str">
        <f>HYPERLINK("http://exon.niaid.nih.gov/transcriptome/O_coriaceus/Sup2/links/SMART/OC-109-SMART.txt","H15")</f>
        <v>H15</v>
      </c>
      <c r="BH127" t="str">
        <f>HYPERLINK("http://smart.embl-heidelberg.de/smart/do_annotation.pl?DOMAIN=H15&amp;BLAST=DUMMY","3E-010")</f>
        <v>3E-010</v>
      </c>
      <c r="BI127" s="2">
        <v>18</v>
      </c>
      <c r="BJ127" s="1">
        <v>1</v>
      </c>
      <c r="BK127" s="2">
        <v>19</v>
      </c>
      <c r="BL127" s="1">
        <v>1</v>
      </c>
      <c r="BM127" s="2">
        <v>18</v>
      </c>
      <c r="BN127" s="1">
        <v>1</v>
      </c>
      <c r="BO127" s="2">
        <v>20</v>
      </c>
      <c r="BP127" s="1">
        <v>1</v>
      </c>
      <c r="BQ127" s="2">
        <v>17</v>
      </c>
      <c r="BR127" s="1">
        <v>1</v>
      </c>
      <c r="BS127" s="2">
        <v>17</v>
      </c>
      <c r="BT127" s="1">
        <v>1</v>
      </c>
      <c r="BU127" s="2">
        <v>10</v>
      </c>
      <c r="BV127" s="1">
        <v>1</v>
      </c>
    </row>
    <row r="128" spans="1:74" ht="10.5">
      <c r="A128" t="str">
        <f>HYPERLINK("http://exon.niaid.nih.gov/transcriptome/O_coriaceus/Sup2/links/pep/OC-35-pep.txt","OC-35")</f>
        <v>OC-35</v>
      </c>
      <c r="B128" s="1" t="s">
        <v>114</v>
      </c>
      <c r="C128">
        <v>240</v>
      </c>
      <c r="D128" t="s">
        <v>146</v>
      </c>
      <c r="E128" t="str">
        <f>HYPERLINK("http://exon.niaid.nih.gov/transcriptome/O_coriaceus/Sup2/links/nuc/OC-35-nuc.txt","OC-35")</f>
        <v>OC-35</v>
      </c>
      <c r="F128" s="1" t="s">
        <v>195</v>
      </c>
      <c r="G128" s="1" t="s">
        <v>194</v>
      </c>
      <c r="H128" s="5" t="str">
        <f>HYPERLINK("http://exon.niaid.nih.gov/transcriptome/O_coriaceus/Sup2/links/Sigp/OC-35-SigP.txt","CYT")</f>
        <v>CYT</v>
      </c>
      <c r="I128" t="s">
        <v>196</v>
      </c>
      <c r="J128" s="1">
        <v>26.591</v>
      </c>
      <c r="K128" s="1">
        <v>8.69</v>
      </c>
      <c r="N128" s="19" t="s">
        <v>102</v>
      </c>
      <c r="O128" s="5" t="str">
        <f>HYPERLINK("http://exon.niaid.nih.gov/transcriptome/O_coriaceus/Sup2/links/netoglyc/OC-35-netoglyc.txt","7")</f>
        <v>7</v>
      </c>
      <c r="P128" s="1">
        <v>16.7</v>
      </c>
      <c r="Q128" s="1">
        <v>5.4</v>
      </c>
      <c r="R128" s="1">
        <v>7.9</v>
      </c>
      <c r="S128" s="27" t="s">
        <v>196</v>
      </c>
      <c r="U128" s="4" t="str">
        <f>HYPERLINK("http://exon.niaid.nih.gov/transcriptome/O_coriaceus/Sup2/links/OCORI-EST/OC-35-OCORI-EST.txt","OCM-PLATE06_G03")</f>
        <v>OCM-PLATE06_G03</v>
      </c>
      <c r="V128" s="1">
        <v>0</v>
      </c>
      <c r="W128" s="5" t="str">
        <f>HYPERLINK("http://exon.niaid.nih.gov/transcriptome/O_coriaceus/Sup2/links/OCORI-EST/OC-35-OCORI-EST.txt"," 14")</f>
        <v> 14</v>
      </c>
      <c r="Y128" s="22" t="s">
        <v>196</v>
      </c>
      <c r="AC128" s="22" t="str">
        <f>HYPERLINK("http://exon.niaid.nih.gov/transcriptome/O_coriaceus/Sup2/links/OC-1D/OC-35-OC-1D.txt","P26_69 |")</f>
        <v>P26_69 |</v>
      </c>
      <c r="AE128" s="1" t="s">
        <v>196</v>
      </c>
      <c r="AG128" s="26" t="s">
        <v>196</v>
      </c>
      <c r="AH128" s="4" t="str">
        <f>HYPERLINK("http://exon.niaid.nih.gov/transcriptome/O_coriaceus/Sup2/links/NR/OC-35-NR.txt","hypothetical protein TVAG_393460 [Trichomonas vaginalis G3]")</f>
        <v>hypothetical protein TVAG_393460 [Trichomonas vaginalis G3]</v>
      </c>
      <c r="AI128" t="str">
        <f>HYPERLINK("http://www.ncbi.nlm.nih.gov/sutils/blink.cgi?pid=123495866","2.6")</f>
        <v>2.6</v>
      </c>
      <c r="AJ128" t="s">
        <v>376</v>
      </c>
      <c r="AK128">
        <v>36</v>
      </c>
      <c r="AL128">
        <v>27</v>
      </c>
      <c r="AM128">
        <v>11</v>
      </c>
      <c r="AN128" t="s">
        <v>377</v>
      </c>
      <c r="AO128">
        <v>32</v>
      </c>
      <c r="AP128">
        <v>86</v>
      </c>
      <c r="AQ128">
        <v>1</v>
      </c>
      <c r="AR128" s="4" t="s">
        <v>196</v>
      </c>
      <c r="AS128" t="s">
        <v>196</v>
      </c>
      <c r="AT128" t="s">
        <v>196</v>
      </c>
      <c r="AU128" t="s">
        <v>196</v>
      </c>
      <c r="AV128" t="s">
        <v>196</v>
      </c>
      <c r="AW128" t="s">
        <v>196</v>
      </c>
      <c r="AX128" t="s">
        <v>196</v>
      </c>
      <c r="AY128" s="4" t="str">
        <f>HYPERLINK("http://exon.niaid.nih.gov/transcriptome/O_coriaceus/Sup2/links/KOG/OC-35-KOG.txt","Traf2- and Nck-interacting kinase and related germinal center kinase (GCK) family protein kinases")</f>
        <v>Traf2- and Nck-interacting kinase and related germinal center kinase (GCK) family protein kinases</v>
      </c>
      <c r="AZ128" t="str">
        <f>HYPERLINK("http://www.ncbi.nlm.nih.gov/COG/grace/shokog.cgi?KOG0587","0.22")</f>
        <v>0.22</v>
      </c>
      <c r="BA128" t="s">
        <v>378</v>
      </c>
      <c r="BB128" s="4" t="s">
        <v>196</v>
      </c>
      <c r="BC128" t="s">
        <v>196</v>
      </c>
      <c r="BD128" t="s">
        <v>196</v>
      </c>
      <c r="BE128" s="4" t="str">
        <f>HYPERLINK("http://exon.niaid.nih.gov/transcriptome/O_coriaceus/Sup2/links/PFAM/OC-35-PFAM.txt","DUF612")</f>
        <v>DUF612</v>
      </c>
      <c r="BF128" t="str">
        <f>HYPERLINK("http://pfam.janelia.org/cgi-bin/getdesc?acc=PF04747","0.71")</f>
        <v>0.71</v>
      </c>
      <c r="BG128" s="4" t="s">
        <v>196</v>
      </c>
      <c r="BH128" t="s">
        <v>196</v>
      </c>
      <c r="BI128" s="2">
        <v>36</v>
      </c>
      <c r="BJ128" s="1">
        <v>1</v>
      </c>
      <c r="BK128" s="2">
        <v>38</v>
      </c>
      <c r="BL128" s="1">
        <v>1</v>
      </c>
      <c r="BM128" s="2">
        <v>37</v>
      </c>
      <c r="BN128" s="1">
        <v>1</v>
      </c>
      <c r="BO128" s="2">
        <v>40</v>
      </c>
      <c r="BP128" s="1">
        <v>1</v>
      </c>
      <c r="BQ128" s="2">
        <v>39</v>
      </c>
      <c r="BR128" s="1">
        <v>1</v>
      </c>
      <c r="BS128" s="2">
        <v>42</v>
      </c>
      <c r="BT128" s="1">
        <v>1</v>
      </c>
      <c r="BU128" s="2">
        <v>44</v>
      </c>
      <c r="BV128" s="1">
        <v>1</v>
      </c>
    </row>
    <row r="129" spans="1:74" ht="10.5">
      <c r="A129" t="str">
        <f>HYPERLINK("http://exon.niaid.nih.gov/transcriptome/O_coriaceus/Sup2/links/pep/OC-59-pep.txt","OC-59")</f>
        <v>OC-59</v>
      </c>
      <c r="B129" s="1" t="s">
        <v>136</v>
      </c>
      <c r="C129">
        <v>261</v>
      </c>
      <c r="D129" t="s">
        <v>178</v>
      </c>
      <c r="E129" t="str">
        <f>HYPERLINK("http://exon.niaid.nih.gov/transcriptome/O_coriaceus/Sup2/links/nuc/OC-59-nuc.txt","OC-59")</f>
        <v>OC-59</v>
      </c>
      <c r="F129" s="1" t="s">
        <v>196</v>
      </c>
      <c r="G129" s="1" t="s">
        <v>194</v>
      </c>
      <c r="H129" s="5" t="str">
        <f>HYPERLINK("http://exon.niaid.nih.gov/transcriptome/O_coriaceus/Sup2/links/Sigp/OC-59-SigP.txt","CYT")</f>
        <v>CYT</v>
      </c>
      <c r="I129" t="s">
        <v>196</v>
      </c>
      <c r="J129" s="1">
        <v>28.244</v>
      </c>
      <c r="K129" s="1">
        <v>9.39</v>
      </c>
      <c r="N129" s="19" t="s">
        <v>103</v>
      </c>
      <c r="O129" s="5" t="str">
        <f>HYPERLINK("http://exon.niaid.nih.gov/transcriptome/O_coriaceus/Sup2/links/netoglyc/OC-59-netoglyc.txt","3")</f>
        <v>3</v>
      </c>
      <c r="P129" s="1">
        <v>12.6</v>
      </c>
      <c r="Q129" s="1">
        <v>8</v>
      </c>
      <c r="R129" s="1">
        <v>7.7</v>
      </c>
      <c r="S129" s="27" t="s">
        <v>196</v>
      </c>
      <c r="U129" s="4" t="str">
        <f>HYPERLINK("http://exon.niaid.nih.gov/transcriptome/O_coriaceus/Sup2/links/OCORI-EST/OC-59-OCORI-EST.txt","OCL-PLATE02_A11")</f>
        <v>OCL-PLATE02_A11</v>
      </c>
      <c r="V129" s="1">
        <v>0</v>
      </c>
      <c r="W129" s="5" t="str">
        <f>HYPERLINK("http://exon.niaid.nih.gov/transcriptome/O_coriaceus/Sup2/links/OCORI-EST/OC-59-OCORI-EST.txt"," 4")</f>
        <v> 4</v>
      </c>
      <c r="Y129" s="22" t="s">
        <v>196</v>
      </c>
      <c r="AC129" s="22" t="str">
        <f>HYPERLINK("http://exon.niaid.nih.gov/transcriptome/O_coriaceus/Sup2/links/OC-1D/OC-59-OC-1D.txt","P15_61 |P16_16 |P16_17 |P17_25 |P17_26 |P18_60 |P18_61 |P20_65 |P21_89 |P22_75 |P28_63 |P29_18 |P29_19 |S15_36 |S17_29 |S18_56 |S19_23 |S20_50 |S28_22 |S29_43 |S30_13 |")</f>
        <v>P15_61 |P16_16 |P16_17 |P17_25 |P17_26 |P18_60 |P18_61 |P20_65 |P21_89 |P22_75 |P28_63 |P29_18 |P29_19 |S15_36 |S17_29 |S18_56 |S19_23 |S20_50 |S28_22 |S29_43 |S30_13 |</v>
      </c>
      <c r="AD129" s="27" t="s">
        <v>620</v>
      </c>
      <c r="AE129" s="1">
        <v>2</v>
      </c>
      <c r="AF129" s="1">
        <v>32</v>
      </c>
      <c r="AG129" s="26">
        <f>100*AF129/C129</f>
        <v>12.260536398467433</v>
      </c>
      <c r="AH129" s="4" t="str">
        <f>HYPERLINK("http://exon.niaid.nih.gov/transcriptome/O_coriaceus/Sup2/links/NR/OC-59-NR.txt","translation elongation factor EF-1 alpha/Tu")</f>
        <v>translation elongation factor EF-1 alpha/Tu</v>
      </c>
      <c r="AI129" t="str">
        <f>HYPERLINK("http://www.ncbi.nlm.nih.gov/sutils/blink.cgi?pid=94468780","1E-122")</f>
        <v>1E-122</v>
      </c>
      <c r="AJ129" t="s">
        <v>467</v>
      </c>
      <c r="AK129">
        <v>83</v>
      </c>
      <c r="AL129">
        <v>56</v>
      </c>
      <c r="AM129">
        <v>202</v>
      </c>
      <c r="AN129" t="s">
        <v>468</v>
      </c>
      <c r="AO129">
        <v>202</v>
      </c>
      <c r="AP129">
        <v>1</v>
      </c>
      <c r="AQ129">
        <v>1</v>
      </c>
      <c r="AR129" s="4" t="s">
        <v>469</v>
      </c>
      <c r="AS129">
        <f>HYPERLINK("http://exon.niaid.nih.gov/transcriptome/O_coriaceus/Sup2/links/GO/OC-59-GO.txt",0)</f>
        <v>0</v>
      </c>
      <c r="AT129" t="s">
        <v>557</v>
      </c>
      <c r="AU129" t="s">
        <v>470</v>
      </c>
      <c r="AV129" t="s">
        <v>558</v>
      </c>
      <c r="AW129" t="s">
        <v>471</v>
      </c>
      <c r="AX129" s="3">
        <v>1E-121</v>
      </c>
      <c r="AY129" s="4" t="str">
        <f>HYPERLINK("http://exon.niaid.nih.gov/transcriptome/O_coriaceus/Sup2/links/KOG/OC-59-KOG.txt","Translation elongation factor EF-1 alpha/Tu")</f>
        <v>Translation elongation factor EF-1 alpha/Tu</v>
      </c>
      <c r="AZ129" t="str">
        <f>HYPERLINK("http://www.ncbi.nlm.nih.gov/COG/grace/shokog.cgi?KOG0052","2E-073")</f>
        <v>2E-073</v>
      </c>
      <c r="BA129" t="s">
        <v>276</v>
      </c>
      <c r="BB129" s="4" t="str">
        <f>HYPERLINK("http://exon.niaid.nih.gov/transcriptome/O_coriaceus/Sup2/links/CDD/OC-59-CDD.txt","PRK12317")</f>
        <v>PRK12317</v>
      </c>
      <c r="BC129" t="str">
        <f>HYPERLINK("http://www.ncbi.nlm.nih.gov/Structure/cdd/cddsrv.cgi?uid=PRK12317&amp;version=v4.0","3E-088")</f>
        <v>3E-088</v>
      </c>
      <c r="BD129" t="s">
        <v>472</v>
      </c>
      <c r="BE129" s="4" t="str">
        <f>HYPERLINK("http://exon.niaid.nih.gov/transcriptome/O_coriaceus/Sup2/links/PFAM/OC-59-PFAM.txt","GTP_EFTU_D3")</f>
        <v>GTP_EFTU_D3</v>
      </c>
      <c r="BF129" t="str">
        <f>HYPERLINK("http://pfam.janelia.org/cgi-bin/getdesc?acc=PF03143","2E-029")</f>
        <v>2E-029</v>
      </c>
      <c r="BG129" s="4" t="str">
        <f>HYPERLINK("http://exon.niaid.nih.gov/transcriptome/O_coriaceus/Sup2/links/SMART/OC-59-SMART.txt","PRY")</f>
        <v>PRY</v>
      </c>
      <c r="BH129" t="str">
        <f>HYPERLINK("http://smart.embl-heidelberg.de/smart/do_annotation.pl?DOMAIN=PRY&amp;BLAST=DUMMY","0.55")</f>
        <v>0.55</v>
      </c>
      <c r="BI129" s="2">
        <v>57</v>
      </c>
      <c r="BJ129" s="1">
        <v>1</v>
      </c>
      <c r="BK129" s="2">
        <v>60</v>
      </c>
      <c r="BL129" s="1">
        <v>1</v>
      </c>
      <c r="BM129" s="2">
        <v>60</v>
      </c>
      <c r="BN129" s="1">
        <v>1</v>
      </c>
      <c r="BO129" s="2">
        <v>63</v>
      </c>
      <c r="BP129" s="1">
        <v>1</v>
      </c>
      <c r="BQ129" s="2">
        <v>68</v>
      </c>
      <c r="BR129" s="1">
        <v>1</v>
      </c>
      <c r="BS129" s="2">
        <v>71</v>
      </c>
      <c r="BT129" s="1">
        <v>1</v>
      </c>
      <c r="BU129" s="2">
        <v>77</v>
      </c>
      <c r="BV129" s="1">
        <v>1</v>
      </c>
    </row>
    <row r="130" spans="1:74" ht="10.5">
      <c r="A130" t="str">
        <f>HYPERLINK("http://exon.niaid.nih.gov/transcriptome/O_coriaceus/Sup2/links/pep/OC-131-pep.txt","OC-131")</f>
        <v>OC-131</v>
      </c>
      <c r="B130" s="1" t="s">
        <v>126</v>
      </c>
      <c r="C130">
        <v>113</v>
      </c>
      <c r="D130" t="s">
        <v>127</v>
      </c>
      <c r="E130" t="str">
        <f>HYPERLINK("http://exon.niaid.nih.gov/transcriptome/O_coriaceus/Sup2/links/nuc/OC-131-nuc.txt","OC-131")</f>
        <v>OC-131</v>
      </c>
      <c r="F130" s="1" t="s">
        <v>196</v>
      </c>
      <c r="G130" s="1" t="s">
        <v>194</v>
      </c>
      <c r="H130" s="5" t="str">
        <f>HYPERLINK("http://exon.niaid.nih.gov/transcriptome/O_coriaceus/Sup2/links/Sigp/OC-131-SigP.txt","CYT")</f>
        <v>CYT</v>
      </c>
      <c r="I130" t="s">
        <v>196</v>
      </c>
      <c r="J130" s="1">
        <v>13.068</v>
      </c>
      <c r="K130" s="1">
        <v>5.11</v>
      </c>
      <c r="N130" s="19" t="s">
        <v>104</v>
      </c>
      <c r="O130" s="5" t="str">
        <f>HYPERLINK("http://exon.niaid.nih.gov/transcriptome/O_coriaceus/Sup2/links/netoglyc/OC-131-netoglyc.txt","0")</f>
        <v>0</v>
      </c>
      <c r="P130" s="1">
        <v>8.8</v>
      </c>
      <c r="Q130" s="1">
        <v>6.2</v>
      </c>
      <c r="R130" s="1">
        <v>2.7</v>
      </c>
      <c r="S130" s="27" t="s">
        <v>196</v>
      </c>
      <c r="U130" s="4" t="str">
        <f>HYPERLINK("http://exon.niaid.nih.gov/transcriptome/O_coriaceus/Sup2/links/OCORI-EST/OC-131-OCORI-EST.txt","OCM-PLATE09_E03")</f>
        <v>OCM-PLATE09_E03</v>
      </c>
      <c r="V130" s="1">
        <v>0</v>
      </c>
      <c r="W130" s="5" t="str">
        <f>HYPERLINK("http://exon.niaid.nih.gov/transcriptome/O_coriaceus/Sup2/links/OCORI-EST/OC-131-OCORI-EST.txt"," 2")</f>
        <v> 2</v>
      </c>
      <c r="Y130" s="22" t="s">
        <v>196</v>
      </c>
      <c r="AC130" s="22" t="str">
        <f>HYPERLINK("http://exon.niaid.nih.gov/transcriptome/O_coriaceus/Sup2/links/OC-1D/OC-131-OC-1D.txt","P22_124 |")</f>
        <v>P22_124 |</v>
      </c>
      <c r="AE130" s="1" t="s">
        <v>196</v>
      </c>
      <c r="AG130" s="26" t="s">
        <v>196</v>
      </c>
      <c r="AH130" s="4" t="str">
        <f>HYPERLINK("http://exon.niaid.nih.gov/transcriptome/O_coriaceus/Sup2/links/NR/OC-131-NR.txt","Translationally-controlled tumor protein homolog (TCTP) tumor protein")</f>
        <v>Translationally-controlled tumor protein homolog (TCTP) tumor protein</v>
      </c>
      <c r="AI130" t="str">
        <f>HYPERLINK("http://www.ncbi.nlm.nih.gov/sutils/blink.cgi?pid=75029775","5E-037")</f>
        <v>5E-037</v>
      </c>
      <c r="AJ130" t="s">
        <v>303</v>
      </c>
      <c r="AK130">
        <v>71</v>
      </c>
      <c r="AL130">
        <v>63</v>
      </c>
      <c r="AM130">
        <v>64</v>
      </c>
      <c r="AN130" t="s">
        <v>300</v>
      </c>
      <c r="AO130">
        <v>64</v>
      </c>
      <c r="AP130">
        <v>4</v>
      </c>
      <c r="AQ130">
        <v>1</v>
      </c>
      <c r="AR130" s="4" t="s">
        <v>304</v>
      </c>
      <c r="AS130">
        <f>HYPERLINK("http://exon.niaid.nih.gov/transcriptome/O_coriaceus/Sup2/links/GO/OC-131-GO.txt",0.0000000000000000003)</f>
        <v>3E-19</v>
      </c>
      <c r="AT130" t="s">
        <v>305</v>
      </c>
      <c r="AU130" t="s">
        <v>239</v>
      </c>
      <c r="AV130" t="s">
        <v>306</v>
      </c>
      <c r="AW130" t="s">
        <v>307</v>
      </c>
      <c r="AX130" s="3">
        <v>7E-18</v>
      </c>
      <c r="AY130" s="4" t="str">
        <f>HYPERLINK("http://exon.niaid.nih.gov/transcriptome/O_coriaceus/Sup2/links/KOG/OC-131-KOG.txt","Microtubule-binding protein (translationally controlled tumor protein)")</f>
        <v>Microtubule-binding protein (translationally controlled tumor protein)</v>
      </c>
      <c r="AZ130" t="str">
        <f>HYPERLINK("http://www.ncbi.nlm.nih.gov/COG/grace/shokog.cgi?KOG1727","9E-020")</f>
        <v>9E-020</v>
      </c>
      <c r="BA130" t="s">
        <v>308</v>
      </c>
      <c r="BB130" s="4" t="str">
        <f>HYPERLINK("http://exon.niaid.nih.gov/transcriptome/O_coriaceus/Sup2/links/CDD/OC-131-CDD.txt","TCTP")</f>
        <v>TCTP</v>
      </c>
      <c r="BC130" t="str">
        <f>HYPERLINK("http://www.ncbi.nlm.nih.gov/Structure/cdd/cddsrv.cgi?uid=pfam00838&amp;version=v4.0","4E-024")</f>
        <v>4E-024</v>
      </c>
      <c r="BD130" t="s">
        <v>309</v>
      </c>
      <c r="BE130" s="4" t="str">
        <f>HYPERLINK("http://exon.niaid.nih.gov/transcriptome/O_coriaceus/Sup2/links/PFAM/OC-131-PFAM.txt","TCTP")</f>
        <v>TCTP</v>
      </c>
      <c r="BF130" t="str">
        <f>HYPERLINK("http://pfam.janelia.org/cgi-bin/getdesc?acc=PF00838","1E-024")</f>
        <v>1E-024</v>
      </c>
      <c r="BG130" s="4" t="str">
        <f>HYPERLINK("http://exon.niaid.nih.gov/transcriptome/O_coriaceus/Sup2/links/SMART/OC-131-SMART.txt","FH2")</f>
        <v>FH2</v>
      </c>
      <c r="BH130" t="str">
        <f>HYPERLINK("http://smart.embl-heidelberg.de/smart/do_annotation.pl?DOMAIN=FH2&amp;BLAST=DUMMY","0.38")</f>
        <v>0.38</v>
      </c>
      <c r="BI130" s="2">
        <v>22</v>
      </c>
      <c r="BJ130" s="1">
        <v>1</v>
      </c>
      <c r="BK130" s="2">
        <v>24</v>
      </c>
      <c r="BL130" s="1">
        <v>1</v>
      </c>
      <c r="BM130" s="2">
        <v>23</v>
      </c>
      <c r="BN130" s="1">
        <v>1</v>
      </c>
      <c r="BO130" s="2">
        <v>25</v>
      </c>
      <c r="BP130" s="1">
        <v>1</v>
      </c>
      <c r="BQ130" s="2">
        <v>22</v>
      </c>
      <c r="BR130" s="1">
        <v>1</v>
      </c>
      <c r="BS130" s="2">
        <v>22</v>
      </c>
      <c r="BT130" s="1">
        <v>1</v>
      </c>
      <c r="BU130" s="2">
        <v>15</v>
      </c>
      <c r="BV130" s="1">
        <v>1</v>
      </c>
    </row>
    <row r="131" spans="1:74" ht="10.5">
      <c r="A131" t="str">
        <f>HYPERLINK("http://exon.niaid.nih.gov/transcriptome/O_coriaceus/Sup2/links/pep/OC-365-pep.txt","OC-365")</f>
        <v>OC-365</v>
      </c>
      <c r="B131" s="1" t="s">
        <v>147</v>
      </c>
      <c r="C131">
        <v>65</v>
      </c>
      <c r="D131" t="s">
        <v>148</v>
      </c>
      <c r="E131" t="str">
        <f>HYPERLINK("http://exon.niaid.nih.gov/transcriptome/O_coriaceus/Sup2/links/nuc/OC-365-nuc.txt","OC-365")</f>
        <v>OC-365</v>
      </c>
      <c r="F131" s="1" t="s">
        <v>196</v>
      </c>
      <c r="G131" s="1" t="s">
        <v>194</v>
      </c>
      <c r="H131" s="5" t="str">
        <f>HYPERLINK("http://exon.niaid.nih.gov/transcriptome/O_coriaceus/Sup2/links/Sigp/OC-365-SigP.txt","CYT")</f>
        <v>CYT</v>
      </c>
      <c r="I131" t="s">
        <v>196</v>
      </c>
      <c r="J131" s="1">
        <v>7.466</v>
      </c>
      <c r="K131" s="1">
        <v>10.35</v>
      </c>
      <c r="N131" s="19" t="s">
        <v>105</v>
      </c>
      <c r="O131" s="5" t="str">
        <f>HYPERLINK("http://exon.niaid.nih.gov/transcriptome/O_coriaceus/Sup2/links/netoglyc/OC-365-netoglyc.txt","0")</f>
        <v>0</v>
      </c>
      <c r="P131" s="1">
        <v>15.4</v>
      </c>
      <c r="Q131" s="1">
        <v>3.1</v>
      </c>
      <c r="R131" s="1">
        <v>1.5</v>
      </c>
      <c r="S131" s="27" t="s">
        <v>3</v>
      </c>
      <c r="U131" s="4" t="str">
        <f>HYPERLINK("http://exon.niaid.nih.gov/transcriptome/O_coriaceus/Sup2/links/OCORI-EST/OC-365-OCORI-EST.txt","OCL14.F02_07053013EK")</f>
        <v>OCL14.F02_07053013EK</v>
      </c>
      <c r="V131" s="1">
        <v>1E-110</v>
      </c>
      <c r="W131" s="5" t="str">
        <f>HYPERLINK("http://exon.niaid.nih.gov/transcriptome/O_coriaceus/Sup2/links/OCORI-EST/OC-365-OCORI-EST.txt"," 1")</f>
        <v> 1</v>
      </c>
      <c r="Y131" s="22" t="s">
        <v>196</v>
      </c>
      <c r="AC131" s="22" t="str">
        <f>HYPERLINK("http://exon.niaid.nih.gov/transcriptome/O_coriaceus/Sup2/links/OC-1D/OC-365-OC-1D.txt","P27_58 |P28_1 |P28_2 |P29_16 |P29_17 |S28_38 |")</f>
        <v>P27_58 |P28_1 |P28_2 |P29_16 |P29_17 |S28_38 |</v>
      </c>
      <c r="AD131" s="27" t="s">
        <v>621</v>
      </c>
      <c r="AE131" s="1">
        <v>2</v>
      </c>
      <c r="AF131" s="1">
        <v>28</v>
      </c>
      <c r="AG131" s="26">
        <f>100*AF131/C131</f>
        <v>43.07692307692308</v>
      </c>
      <c r="AH131" s="4" t="str">
        <f>HYPERLINK("http://exon.niaid.nih.gov/transcriptome/O_coriaceus/Sup2/links/NR/OC-365-NR.txt","stunted-like")</f>
        <v>stunted-like</v>
      </c>
      <c r="AI131" t="str">
        <f>HYPERLINK("http://www.ncbi.nlm.nih.gov/sutils/blink.cgi?pid=67083923","2E-009")</f>
        <v>2E-009</v>
      </c>
      <c r="AJ131" t="s">
        <v>379</v>
      </c>
      <c r="AK131">
        <v>70</v>
      </c>
      <c r="AL131">
        <v>98</v>
      </c>
      <c r="AM131">
        <v>1</v>
      </c>
      <c r="AN131" t="s">
        <v>300</v>
      </c>
      <c r="AO131">
        <v>1</v>
      </c>
      <c r="AP131">
        <v>12</v>
      </c>
      <c r="AQ131">
        <v>1</v>
      </c>
      <c r="AR131" s="4" t="s">
        <v>380</v>
      </c>
      <c r="AS131">
        <f>HYPERLINK("http://exon.niaid.nih.gov/transcriptome/O_coriaceus/Sup2/links/GO/OC-365-GO.txt",0.004)</f>
        <v>0.004</v>
      </c>
      <c r="AT131" t="s">
        <v>559</v>
      </c>
      <c r="AU131" t="s">
        <v>282</v>
      </c>
      <c r="AV131" t="s">
        <v>289</v>
      </c>
      <c r="AW131" t="s">
        <v>381</v>
      </c>
      <c r="AX131">
        <v>0.004</v>
      </c>
      <c r="AY131" s="4" t="str">
        <f>HYPERLINK("http://exon.niaid.nih.gov/transcriptome/O_coriaceus/Sup2/links/KOG/OC-365-KOG.txt","Mitochondrial F1F0-ATP synthase, subunit epsilon/ATP15")</f>
        <v>Mitochondrial F1F0-ATP synthase, subunit epsilon/ATP15</v>
      </c>
      <c r="AZ131" t="str">
        <f>HYPERLINK("http://www.ncbi.nlm.nih.gov/COG/grace/shokog.cgi?KOG3495","3E-006")</f>
        <v>3E-006</v>
      </c>
      <c r="BA131" t="s">
        <v>291</v>
      </c>
      <c r="BB131" s="4" t="str">
        <f>HYPERLINK("http://exon.niaid.nih.gov/transcriptome/O_coriaceus/Sup2/links/CDD/OC-365-CDD.txt","ATP-synt_Eps")</f>
        <v>ATP-synt_Eps</v>
      </c>
      <c r="BC131" t="str">
        <f>HYPERLINK("http://www.ncbi.nlm.nih.gov/Structure/cdd/cddsrv.cgi?uid=pfam04627&amp;version=v4.0","6E-006")</f>
        <v>6E-006</v>
      </c>
      <c r="BD131" t="s">
        <v>382</v>
      </c>
      <c r="BE131" s="4" t="str">
        <f>HYPERLINK("http://exon.niaid.nih.gov/transcriptome/O_coriaceus/Sup2/links/PFAM/OC-365-PFAM.txt","ATP-synt_Eps")</f>
        <v>ATP-synt_Eps</v>
      </c>
      <c r="BF131" t="str">
        <f>HYPERLINK("http://pfam.janelia.org/cgi-bin/getdesc?acc=PF04627","2E-006")</f>
        <v>2E-006</v>
      </c>
      <c r="BG131" s="4" t="str">
        <f>HYPERLINK("http://exon.niaid.nih.gov/transcriptome/O_coriaceus/Sup2/links/SMART/OC-365-SMART.txt","RasGEF")</f>
        <v>RasGEF</v>
      </c>
      <c r="BH131" t="str">
        <f>HYPERLINK("http://smart.embl-heidelberg.de/smart/do_annotation.pl?DOMAIN=RasGEF&amp;BLAST=DUMMY","0.33")</f>
        <v>0.33</v>
      </c>
      <c r="BI131" s="2">
        <v>37</v>
      </c>
      <c r="BJ131" s="1">
        <v>1</v>
      </c>
      <c r="BK131" s="2">
        <v>39</v>
      </c>
      <c r="BL131" s="1">
        <v>1</v>
      </c>
      <c r="BM131" s="2">
        <v>38</v>
      </c>
      <c r="BN131" s="1">
        <v>1</v>
      </c>
      <c r="BO131" s="2">
        <v>41</v>
      </c>
      <c r="BP131" s="1">
        <v>1</v>
      </c>
      <c r="BQ131" s="2">
        <v>40</v>
      </c>
      <c r="BR131" s="1">
        <v>1</v>
      </c>
      <c r="BS131" s="2">
        <v>43</v>
      </c>
      <c r="BT131" s="1">
        <v>1</v>
      </c>
      <c r="BU131" s="2">
        <v>45</v>
      </c>
      <c r="BV131" s="1">
        <v>1</v>
      </c>
    </row>
    <row r="132" spans="1:74" ht="10.5">
      <c r="A132" t="str">
        <f>HYPERLINK("http://exon.niaid.nih.gov/transcriptome/O_coriaceus/Sup2/links/pep/OC-72-pep.txt","OC-72")</f>
        <v>OC-72</v>
      </c>
      <c r="B132" s="1" t="s">
        <v>114</v>
      </c>
      <c r="C132">
        <v>122</v>
      </c>
      <c r="D132" t="s">
        <v>146</v>
      </c>
      <c r="E132" t="str">
        <f>HYPERLINK("http://exon.niaid.nih.gov/transcriptome/O_coriaceus/Sup2/links/nuc/OC-72-nuc.txt","OC-72")</f>
        <v>OC-72</v>
      </c>
      <c r="F132" s="1" t="s">
        <v>195</v>
      </c>
      <c r="G132" s="1" t="s">
        <v>194</v>
      </c>
      <c r="H132" s="5" t="str">
        <f>HYPERLINK("http://exon.niaid.nih.gov/transcriptome/O_coriaceus/Sup2/links/Sigp/OC-72-SigP.txt","CYT")</f>
        <v>CYT</v>
      </c>
      <c r="I132" t="s">
        <v>196</v>
      </c>
      <c r="J132" s="1">
        <v>13.531</v>
      </c>
      <c r="K132" s="1">
        <v>10.5</v>
      </c>
      <c r="N132" s="19" t="s">
        <v>106</v>
      </c>
      <c r="O132" s="5" t="str">
        <f>HYPERLINK("http://exon.niaid.nih.gov/transcriptome/O_coriaceus/Sup2/links/netoglyc/OC-72-netoglyc.txt","0")</f>
        <v>0</v>
      </c>
      <c r="P132" s="1">
        <v>8.2</v>
      </c>
      <c r="Q132" s="1">
        <v>11.5</v>
      </c>
      <c r="R132" s="1">
        <v>14.8</v>
      </c>
      <c r="S132" s="27" t="s">
        <v>196</v>
      </c>
      <c r="U132" s="4" t="str">
        <f>HYPERLINK("http://exon.niaid.nih.gov/transcriptome/O_coriaceus/Sup2/links/OCORI-EST/OC-72-OCORI-EST.txt","OCM-PLATE08_F05")</f>
        <v>OCM-PLATE08_F05</v>
      </c>
      <c r="V132" s="1">
        <v>2E-73</v>
      </c>
      <c r="W132" s="5" t="str">
        <f>HYPERLINK("http://exon.niaid.nih.gov/transcriptome/O_coriaceus/Sup2/links/OCORI-EST/OC-72-OCORI-EST.txt"," 4")</f>
        <v> 4</v>
      </c>
      <c r="Y132" s="22" t="s">
        <v>196</v>
      </c>
      <c r="AC132" s="22" t="str">
        <f>HYPERLINK("http://exon.niaid.nih.gov/transcriptome/O_coriaceus/Sup2/links/OC-1D/OC-72-OC-1D.txt","S09_23 |")</f>
        <v>S09_23 |</v>
      </c>
      <c r="AE132" s="1" t="s">
        <v>196</v>
      </c>
      <c r="AG132" s="26" t="s">
        <v>196</v>
      </c>
      <c r="AH132" s="4" t="str">
        <f>HYPERLINK("http://exon.niaid.nih.gov/transcriptome/O_coriaceus/Sup2/links/NR/OC-72-NR.txt","chloroquine resistance marker protein, putative [Plasmodium vivax SaI-1]")</f>
        <v>chloroquine resistance marker protein, putative [Plasmodium vivax SaI-1]</v>
      </c>
      <c r="AI132" t="str">
        <f>HYPERLINK("http://www.ncbi.nlm.nih.gov/sutils/blink.cgi?pid=156100355","0.93")</f>
        <v>0.93</v>
      </c>
      <c r="AJ132" t="s">
        <v>495</v>
      </c>
      <c r="AK132">
        <v>32</v>
      </c>
      <c r="AL132">
        <v>3</v>
      </c>
      <c r="AM132">
        <v>562</v>
      </c>
      <c r="AN132" t="s">
        <v>496</v>
      </c>
      <c r="AO132">
        <v>304</v>
      </c>
      <c r="AP132">
        <v>109</v>
      </c>
      <c r="AQ132">
        <v>1</v>
      </c>
      <c r="AR132" s="4" t="s">
        <v>196</v>
      </c>
      <c r="AS132" t="s">
        <v>196</v>
      </c>
      <c r="AT132" t="s">
        <v>196</v>
      </c>
      <c r="AU132" t="s">
        <v>196</v>
      </c>
      <c r="AV132" t="s">
        <v>196</v>
      </c>
      <c r="AW132" t="s">
        <v>196</v>
      </c>
      <c r="AX132" t="s">
        <v>196</v>
      </c>
      <c r="AY132" s="4" t="str">
        <f>HYPERLINK("http://exon.niaid.nih.gov/transcriptome/O_coriaceus/Sup2/links/KOG/OC-72-KOG.txt","Cell differentiation regulator of the Headcase family")</f>
        <v>Cell differentiation regulator of the Headcase family</v>
      </c>
      <c r="AZ132" t="str">
        <f>HYPERLINK("http://www.ncbi.nlm.nih.gov/COG/grace/shokog.cgi?KOG3816","0.34")</f>
        <v>0.34</v>
      </c>
      <c r="BA132" t="s">
        <v>378</v>
      </c>
      <c r="BB132" s="4" t="str">
        <f>HYPERLINK("http://exon.niaid.nih.gov/transcriptome/O_coriaceus/Sup2/links/CDD/OC-72-CDD.txt","Ribosomal_L19e_")</f>
        <v>Ribosomal_L19e_</v>
      </c>
      <c r="BC132" t="str">
        <f>HYPERLINK("http://www.ncbi.nlm.nih.gov/Structure/cdd/cddsrv.cgi?uid=cd01418&amp;version=v4.0","0.38")</f>
        <v>0.38</v>
      </c>
      <c r="BD132" t="s">
        <v>497</v>
      </c>
      <c r="BE132" s="4" t="str">
        <f>HYPERLINK("http://exon.niaid.nih.gov/transcriptome/O_coriaceus/Sup2/links/PFAM/OC-72-PFAM.txt","DUF871")</f>
        <v>DUF871</v>
      </c>
      <c r="BF132" t="str">
        <f>HYPERLINK("http://pfam.janelia.org/cgi-bin/getdesc?acc=PF05913","0.37")</f>
        <v>0.37</v>
      </c>
      <c r="BG132" s="4" t="s">
        <v>196</v>
      </c>
      <c r="BH132" t="s">
        <v>196</v>
      </c>
      <c r="BI132" s="2">
        <v>64</v>
      </c>
      <c r="BJ132" s="1">
        <v>1</v>
      </c>
      <c r="BK132" s="2">
        <v>68</v>
      </c>
      <c r="BL132" s="1">
        <v>1</v>
      </c>
      <c r="BM132" s="2">
        <v>68</v>
      </c>
      <c r="BN132" s="1">
        <v>1</v>
      </c>
      <c r="BO132" s="2">
        <v>73</v>
      </c>
      <c r="BP132" s="1">
        <v>1</v>
      </c>
      <c r="BQ132" s="2">
        <v>78</v>
      </c>
      <c r="BR132" s="1">
        <v>1</v>
      </c>
      <c r="BS132" s="2">
        <v>82</v>
      </c>
      <c r="BT132" s="1">
        <v>1</v>
      </c>
      <c r="BU132" s="2">
        <v>89</v>
      </c>
      <c r="BV132" s="1">
        <v>1</v>
      </c>
    </row>
    <row r="133" spans="1:33" s="6" customFormat="1" ht="10.5">
      <c r="A133" s="12" t="s">
        <v>255</v>
      </c>
      <c r="H133" s="11"/>
      <c r="N133" s="18" t="s">
        <v>196</v>
      </c>
      <c r="O133" s="11"/>
      <c r="P133" s="11"/>
      <c r="Q133" s="11"/>
      <c r="R133" s="11"/>
      <c r="S133" s="18" t="s">
        <v>196</v>
      </c>
      <c r="W133" s="11"/>
      <c r="X133" s="18"/>
      <c r="Y133" s="21" t="s">
        <v>196</v>
      </c>
      <c r="Z133" s="18"/>
      <c r="AA133" s="11"/>
      <c r="AB133" s="11"/>
      <c r="AC133" s="21" t="s">
        <v>196</v>
      </c>
      <c r="AD133" s="18"/>
      <c r="AE133" s="11"/>
      <c r="AF133" s="11"/>
      <c r="AG133" s="25" t="s">
        <v>196</v>
      </c>
    </row>
    <row r="134" spans="1:74" ht="10.5">
      <c r="A134" t="str">
        <f>HYPERLINK("http://exon.niaid.nih.gov/transcriptome/O_coriaceus/Sup2/links/pep/OC-160-pep.txt","OC-160")</f>
        <v>OC-160</v>
      </c>
      <c r="B134" s="1" t="s">
        <v>132</v>
      </c>
      <c r="C134">
        <v>235</v>
      </c>
      <c r="D134" t="s">
        <v>133</v>
      </c>
      <c r="E134" t="str">
        <f>HYPERLINK("http://exon.niaid.nih.gov/transcriptome/O_coriaceus/Sup2/links/nuc/OC-160-nuc.txt","OC-160")</f>
        <v>OC-160</v>
      </c>
      <c r="F134" s="1" t="s">
        <v>196</v>
      </c>
      <c r="G134" s="1" t="s">
        <v>194</v>
      </c>
      <c r="H134" s="5" t="str">
        <f>HYPERLINK("http://exon.niaid.nih.gov/transcriptome/O_coriaceus/Sup2/links/Sigp/OC-160-SigP.txt","CYT")</f>
        <v>CYT</v>
      </c>
      <c r="I134" t="s">
        <v>196</v>
      </c>
      <c r="J134" s="1">
        <v>25.927</v>
      </c>
      <c r="K134" s="1">
        <v>9.82</v>
      </c>
      <c r="N134" s="19" t="s">
        <v>107</v>
      </c>
      <c r="O134" s="5" t="str">
        <f>HYPERLINK("http://exon.niaid.nih.gov/transcriptome/O_coriaceus/Sup2/links/netoglyc/OC-160-netoglyc.txt","1")</f>
        <v>1</v>
      </c>
      <c r="P134" s="1">
        <v>10.6</v>
      </c>
      <c r="Q134" s="1">
        <v>11.5</v>
      </c>
      <c r="R134" s="1">
        <v>3.4</v>
      </c>
      <c r="S134" s="27" t="s">
        <v>4</v>
      </c>
      <c r="U134" s="4" t="str">
        <f>HYPERLINK("http://exon.niaid.nih.gov/transcriptome/O_coriaceus/Sup2/links/OCORI-EST/OC-160-OCORI-EST.txt","OCL-P11_E05")</f>
        <v>OCL-P11_E05</v>
      </c>
      <c r="V134" s="1">
        <v>0</v>
      </c>
      <c r="W134" s="5" t="str">
        <f>HYPERLINK("http://exon.niaid.nih.gov/transcriptome/O_coriaceus/Sup2/links/OCORI-EST/OC-160-OCORI-EST.txt"," 1")</f>
        <v> 1</v>
      </c>
      <c r="Y134" s="22" t="s">
        <v>196</v>
      </c>
      <c r="AC134" s="22" t="str">
        <f>HYPERLINK("http://exon.niaid.nih.gov/transcriptome/O_coriaceus/Sup2/links/OC-1D/OC-160-OC-1D.txt","P06_70 |S23_93 |")</f>
        <v>P06_70 |S23_93 |</v>
      </c>
      <c r="AE134" s="1" t="s">
        <v>196</v>
      </c>
      <c r="AG134" s="26" t="s">
        <v>196</v>
      </c>
      <c r="AH134" s="4" t="str">
        <f>HYPERLINK("http://exon.niaid.nih.gov/transcriptome/O_coriaceus/Sup2/links/NR/OC-160-NR.txt","reverse transcriptase-like protein")</f>
        <v>reverse transcriptase-like protein</v>
      </c>
      <c r="AI134" t="str">
        <f>HYPERLINK("http://www.ncbi.nlm.nih.gov/sutils/blink.cgi?pid=56267943","1E-045")</f>
        <v>1E-045</v>
      </c>
      <c r="AJ134" t="s">
        <v>333</v>
      </c>
      <c r="AK134">
        <v>46</v>
      </c>
      <c r="AL134">
        <v>42</v>
      </c>
      <c r="AM134">
        <v>301</v>
      </c>
      <c r="AN134" t="s">
        <v>334</v>
      </c>
      <c r="AO134">
        <v>301</v>
      </c>
      <c r="AP134">
        <v>3</v>
      </c>
      <c r="AQ134">
        <v>1</v>
      </c>
      <c r="AR134" s="4" t="s">
        <v>196</v>
      </c>
      <c r="AS134" t="s">
        <v>196</v>
      </c>
      <c r="AT134" t="s">
        <v>196</v>
      </c>
      <c r="AU134" t="s">
        <v>196</v>
      </c>
      <c r="AV134" t="s">
        <v>196</v>
      </c>
      <c r="AW134" t="s">
        <v>196</v>
      </c>
      <c r="AX134" t="s">
        <v>196</v>
      </c>
      <c r="AY134" s="4" t="str">
        <f>HYPERLINK("http://exon.niaid.nih.gov/transcriptome/O_coriaceus/Sup2/links/KOG/OC-160-KOG.txt","Chondroitin synthase 1")</f>
        <v>Chondroitin synthase 1</v>
      </c>
      <c r="AZ134" t="str">
        <f>HYPERLINK("http://www.ncbi.nlm.nih.gov/COG/grace/shokog.cgi?KOG3588","0.067")</f>
        <v>0.067</v>
      </c>
      <c r="BA134" t="s">
        <v>335</v>
      </c>
      <c r="BB134" s="4" t="s">
        <v>196</v>
      </c>
      <c r="BC134" t="s">
        <v>196</v>
      </c>
      <c r="BD134" t="s">
        <v>196</v>
      </c>
      <c r="BE134" s="4" t="s">
        <v>196</v>
      </c>
      <c r="BF134" t="s">
        <v>196</v>
      </c>
      <c r="BG134" s="4" t="s">
        <v>196</v>
      </c>
      <c r="BH134" t="s">
        <v>196</v>
      </c>
      <c r="BI134" s="2">
        <v>28</v>
      </c>
      <c r="BJ134" s="1">
        <v>1</v>
      </c>
      <c r="BK134" s="2">
        <v>30</v>
      </c>
      <c r="BL134" s="1">
        <v>1</v>
      </c>
      <c r="BM134" s="2">
        <v>29</v>
      </c>
      <c r="BN134" s="1">
        <v>1</v>
      </c>
      <c r="BO134" s="2">
        <v>31</v>
      </c>
      <c r="BP134" s="1">
        <v>1</v>
      </c>
      <c r="BQ134" s="2">
        <v>30</v>
      </c>
      <c r="BR134" s="1">
        <v>1</v>
      </c>
      <c r="BS134" s="2">
        <v>30</v>
      </c>
      <c r="BT134" s="1">
        <v>1</v>
      </c>
      <c r="BU134" s="2">
        <v>23</v>
      </c>
      <c r="BV134" s="1">
        <v>1</v>
      </c>
    </row>
    <row r="135" spans="14:19" ht="10.5">
      <c r="N135" s="19" t="s">
        <v>196</v>
      </c>
      <c r="S135" s="27" t="s">
        <v>196</v>
      </c>
    </row>
    <row r="136" spans="14:38" ht="10.5">
      <c r="N136" s="19" t="s">
        <v>196</v>
      </c>
      <c r="S136" s="27" t="s">
        <v>196</v>
      </c>
      <c r="AK136">
        <f>AVERAGE(AK100:AK134)</f>
        <v>75.58064516129032</v>
      </c>
      <c r="AL136">
        <f>AVERAGE(AL100:AL134)</f>
        <v>78.96774193548387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jribeiro</cp:lastModifiedBy>
  <dcterms:created xsi:type="dcterms:W3CDTF">2008-01-30T14:51:25Z</dcterms:created>
  <dcterms:modified xsi:type="dcterms:W3CDTF">2008-04-16T13:54:11Z</dcterms:modified>
  <cp:category/>
  <cp:version/>
  <cp:contentType/>
  <cp:contentStatus/>
</cp:coreProperties>
</file>