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110" windowWidth="19245" windowHeight="6675" tabRatio="865" activeTab="0"/>
  </bookViews>
  <sheets>
    <sheet name="Introduction" sheetId="1" r:id="rId1"/>
    <sheet name="Data" sheetId="2" r:id="rId2"/>
    <sheet name="Gas Wall Fan DHE" sheetId="3" r:id="rId3"/>
    <sheet name="Gas Wall Gravity DHE" sheetId="4" r:id="rId4"/>
    <sheet name="Gas Floor DHE" sheetId="5" r:id="rId5"/>
    <sheet name="Gas Room DHE" sheetId="6" r:id="rId6"/>
    <sheet name="TP_EnergyUseCalc" sheetId="7" r:id="rId7"/>
    <sheet name="Table-Lookup" sheetId="8" r:id="rId8"/>
    <sheet name="TP_Definitions" sheetId="9" r:id="rId9"/>
  </sheets>
  <externalReferences>
    <externalReference r:id="rId12"/>
  </externalReferences>
  <definedNames>
    <definedName name="_xlfn.BAHTTEXT" hidden="1">#NAME?</definedName>
    <definedName name="A">'TP_EnergyUseCalc'!$AE$10:$AE$38</definedName>
    <definedName name="A_F">'TP_EnergyUseCalc'!$Z$10:$Z$38</definedName>
    <definedName name="AFUE">'TP_EnergyUseCalc'!$H$10:$H$38</definedName>
    <definedName name="avgHLH">'TP_EnergyUseCalc'!$AA$10:$AA$38</definedName>
    <definedName name="B">'TP_EnergyUseCalc'!$AF$10:$AF$38</definedName>
    <definedName name="base_cost_fan">'Gas Wall Fan DHE'!$G$8</definedName>
    <definedName name="base_cost_floor">'Gas Floor DHE'!$G$8</definedName>
    <definedName name="base_cost_gravity">'Gas Wall Gravity DHE'!$G$8</definedName>
    <definedName name="Base_cost_room">'Gas Room DHE'!$G$8</definedName>
    <definedName name="bld_markup">'Data'!$E$62</definedName>
    <definedName name="BOH_H">'TP_EnergyUseCalc'!$AH$11:$AH$38</definedName>
    <definedName name="BOH_R">'TP_EnergyUseCalc'!$AI$11:$AI$38</definedName>
    <definedName name="BOH_SS">'TP_EnergyUseCalc'!$AG$10:$AG$38</definedName>
    <definedName name="Burner">'TP_EnergyUseCalc'!$W$11:$W$38</definedName>
    <definedName name="C_J">'TP_EnergyUseCalc'!$M$10:$M$38</definedName>
    <definedName name="contr_markup_new_construction">'Data'!$E$58</definedName>
    <definedName name="contr_markup_replacement">'Data'!$E$60</definedName>
    <definedName name="Controls">'TP_EnergyUseCalc'!$Y$11:$Y$38</definedName>
    <definedName name="CPI_1990">'Data'!$E$41</definedName>
    <definedName name="CPI_1991">'Data'!$E$42</definedName>
    <definedName name="CPI_1992">'Data'!$E$43</definedName>
    <definedName name="CPI_1993">'Data'!$E$44</definedName>
    <definedName name="CPI_1998">'Data'!$E$45</definedName>
    <definedName name="CPI_1999">'Data'!$E$46</definedName>
    <definedName name="CPI_2001">'Data'!$E$47</definedName>
    <definedName name="CPI_2002">'Data'!$E$48</definedName>
    <definedName name="CPI_2003">'Data'!$E$49</definedName>
    <definedName name="CPI_2004">'Data'!$E$50</definedName>
    <definedName name="CPI_2005">'Data'!$E$51</definedName>
    <definedName name="CPI_2006">'Data'!$E$52</definedName>
    <definedName name="CPI_2007">'Data'!$E$53</definedName>
    <definedName name="CPI_Table">'[1]CPI'!$A$13:$B$71</definedName>
    <definedName name="D_p">'TP_EnergyUseCalc'!$K$11:$K$38</definedName>
    <definedName name="D_s">'TP_EnergyUseCalc'!$L$11:$L$38</definedName>
    <definedName name="dhe_lifetime">'Data'!$E$9</definedName>
    <definedName name="DHR">'TP_EnergyUseCalc'!$AB$10:$AB$38</definedName>
    <definedName name="DHR_Table">'Table-Lookup'!$A$7:$B$24</definedName>
    <definedName name="distr_markup">'Data'!$E$56</definedName>
    <definedName name="Elec_Grounding">'Data'!$H$16</definedName>
    <definedName name="Elec_Grounding_Frac">'Data'!$E$17</definedName>
    <definedName name="Elec_Grounding_Frac_fan">'Data'!$E$17</definedName>
    <definedName name="Elec_Grounding_Frac_floor">'Data'!$E$19</definedName>
    <definedName name="Elec_Grounding_Frac_gravity">'Data'!$E$18</definedName>
    <definedName name="Elec_Grounding_Frac_room">'Data'!$E$20</definedName>
    <definedName name="elec_price">'Data'!$H$74</definedName>
    <definedName name="Elec_Use_fan">'Gas Wall Fan DHE'!$L$8:$L$12</definedName>
    <definedName name="Elec_Use_floor">'Gas Floor DHE'!$L$8:$L$13</definedName>
    <definedName name="Elec_Use_gravity">'Gas Wall Gravity DHE'!$L$8:$L$13</definedName>
    <definedName name="Elec_Use_room">'Gas Room DHE'!$L$8:$L$15</definedName>
    <definedName name="Elec_Wiring_adder">'Data'!$H$14</definedName>
    <definedName name="Elec_Wiring_Frac">'Data'!$E$15</definedName>
    <definedName name="Fan_Power">'TP_EnergyUseCalc'!$O$10:$O$38</definedName>
    <definedName name="frac_lpg_fan">'Data'!$E$87</definedName>
    <definedName name="frac_lpg_floor">'Data'!$E$89</definedName>
    <definedName name="frac_lpg_gravity">'Data'!$E$88</definedName>
    <definedName name="frac_lpg_room">'Data'!$E$90</definedName>
    <definedName name="frac_lpg_Wall_Furnaces">'Data'!$E$87</definedName>
    <definedName name="frac_new_constr">'Data'!$E$82</definedName>
    <definedName name="frac_replacement">'Data'!$E$83</definedName>
    <definedName name="frac_replacement_fan">'Data'!$E$83</definedName>
    <definedName name="frac_replacement_floor">'Data'!$E$85</definedName>
    <definedName name="frac_replacement_gravity">'Data'!$E$84</definedName>
    <definedName name="frac_replacement_room">'Data'!$E$86</definedName>
    <definedName name="fuel_price_fan">'Data'!$H$77</definedName>
    <definedName name="fuel_price_floor">'Data'!$H$79</definedName>
    <definedName name="fuel_price_gravity">'Data'!$H$78</definedName>
    <definedName name="fuel_price_room">'Data'!$H$80</definedName>
    <definedName name="fuel_price_wall_furnaces">'Data'!$H$77</definedName>
    <definedName name="Fuel_Use_fan">'Gas Wall Fan DHE'!$K$8:$K$12</definedName>
    <definedName name="Fuel_Use_floor">'Gas Floor DHE'!$K$8:$K$13</definedName>
    <definedName name="Fuel_Use_Gravity">'Gas Wall Gravity DHE'!$K$8:$K$13</definedName>
    <definedName name="Fuel_Use_room">'Gas Room DHE'!$K$8:$K$15</definedName>
    <definedName name="Ignition_Power">'TP_EnergyUseCalc'!$P$10:$P$38</definedName>
    <definedName name="incr_bld_markup">'Data'!$E$63</definedName>
    <definedName name="incr_contr_markup_new_construction">'Data'!$E$59</definedName>
    <definedName name="incr_contr_markup_replacement">'Data'!$E$61</definedName>
    <definedName name="incr_distr_markup">'Data'!$E$57</definedName>
    <definedName name="Incremental_cost_fan">'Gas Wall Fan DHE'!$F$8:$F$12</definedName>
    <definedName name="Incremental_Cost_floor">'Gas Floor DHE'!$F$8:$F$13</definedName>
    <definedName name="Incremental_Cost_gravity">'Gas Wall Gravity DHE'!$F$8:$F$13</definedName>
    <definedName name="Incremental_Cost_room">'Gas Room DHE'!$F$8:$F$15</definedName>
    <definedName name="InducerFan_Power">'TP_EnergyUseCalc'!$Q$11:$Q$38</definedName>
    <definedName name="Installation_Cost_adder_Condensing">'Data'!$H$21</definedName>
    <definedName name="Installation_Cost_baseline_floor">'Data'!$H$13</definedName>
    <definedName name="Installation_Cost_baseline_Room">'Data'!$H$11</definedName>
    <definedName name="Installation_Cost_fan">'Gas Wall Fan DHE'!$H$8:$H$12</definedName>
    <definedName name="Installation_Cost_floor">'Gas Floor DHE'!$H$8:$H$13</definedName>
    <definedName name="Installation_Cost_gravity">'Gas Wall Gravity DHE'!$H$8:$H$13</definedName>
    <definedName name="Installation_Cost_room">'Gas Room DHE'!$H$8:$H$15</definedName>
    <definedName name="Installation_Cost_Wall_Furnaces">'Data'!$H$12</definedName>
    <definedName name="L_J">'TP_EnergyUseCalc'!$N$10:$N$38</definedName>
    <definedName name="LPG_price">'Data'!$H$76</definedName>
    <definedName name="maint_air_circulation">'Data'!$H$31</definedName>
    <definedName name="maint_air_circulation_Freq">'Data'!$E$32</definedName>
    <definedName name="maint_air_circulation_Prob">'Data'!$E$33</definedName>
    <definedName name="maint_condensing">'Data'!$H$37</definedName>
    <definedName name="maint_condensing_Freq">'Data'!$E$38</definedName>
    <definedName name="maint_condensing_Prob">'Data'!$E$39</definedName>
    <definedName name="maint_cost_baseline">'Data'!$H$23</definedName>
    <definedName name="maint_cost_baseline_freq">'Data'!$E$24</definedName>
    <definedName name="maint_elec_ignition">'Data'!$H$28</definedName>
    <definedName name="maint_elec_ignition_Freq">'Data'!$E$29</definedName>
    <definedName name="maint_elec_ignition_Prob">'Data'!$E$30</definedName>
    <definedName name="maint_induced_draft">'Data'!$H$34</definedName>
    <definedName name="maint_induced_draft_Freq">'Data'!$E$35</definedName>
    <definedName name="maint_induced_draft_Prob">'Data'!$E$36</definedName>
    <definedName name="maint_modulating">'Data'!#REF!</definedName>
    <definedName name="maint_modulating_Freq">'Data'!#REF!</definedName>
    <definedName name="maint_standing_pilot_ignition">'Data'!$H$25</definedName>
    <definedName name="maint_standing_pilot_ignition_Freq">'Data'!$E$26</definedName>
    <definedName name="maint_standing_pilot_ignition_Prob">'Data'!$E$27</definedName>
    <definedName name="maint_two_stage">'Data'!#REF!</definedName>
    <definedName name="maint_two_stage_Freq">'Data'!#REF!</definedName>
    <definedName name="Maintenance_Cost_fan">'Gas Wall Fan DHE'!$I$8:$I$12</definedName>
    <definedName name="Maintenance_Cost_floor">'Gas Floor DHE'!$I$8:$I$13</definedName>
    <definedName name="Maintenance_Cost_Gravity">'Gas Wall Gravity DHE'!$I$8:$I$13</definedName>
    <definedName name="maintenance_cost_room">'Gas Room DHE'!$I$8:$I$15</definedName>
    <definedName name="markup_base_cost">'Data'!$E$65</definedName>
    <definedName name="markup_base_cost_fan">'Data'!$E$65</definedName>
    <definedName name="markup_base_cost_floor">'Data'!$E$69</definedName>
    <definedName name="markup_base_cost_gravity">'Data'!$E$67</definedName>
    <definedName name="markup_base_cost_room">'Data'!$E$71</definedName>
    <definedName name="markup_increm_cost">'Data'!$E$66</definedName>
    <definedName name="markup_increm_cost_fan">'Data'!$E$66</definedName>
    <definedName name="markup_increm_cost_floor">'Data'!$E$70</definedName>
    <definedName name="markup_increm_cost_gravity">'Data'!$E$68</definedName>
    <definedName name="markup_increm_cost_room">'Data'!$E$72</definedName>
    <definedName name="mfr_markup">'Data'!$E$55</definedName>
    <definedName name="NG_price">'Data'!$H$75</definedName>
    <definedName name="Other_Power">'TP_EnergyUseCalc'!$R$10:$R$38</definedName>
    <definedName name="PE">'TP_EnergyUseCalc'!$U$10:$U$38</definedName>
    <definedName name="PPI_1990">'Data'!#REF!</definedName>
    <definedName name="PPI_2006">'Data'!#REF!</definedName>
    <definedName name="Product">'TP_EnergyUseCalc'!$V$10:$V$38</definedName>
    <definedName name="Q_IN">'TP_EnergyUseCalc'!$C$10:$C$38</definedName>
    <definedName name="Q_IN_r">'TP_EnergyUseCalc'!$D$11:$D$38</definedName>
    <definedName name="Q_OUT">'TP_EnergyUseCalc'!$E$10:$E$38</definedName>
    <definedName name="Q_P">'TP_EnergyUseCalc'!$G$10:$G$38</definedName>
    <definedName name="R_">'TP_EnergyUseCalc'!$T$11:$T$38</definedName>
    <definedName name="R_Q_out">'TP_EnergyUseCalc'!$F$11:$F$38</definedName>
    <definedName name="Retail_Price_fan">'Gas Wall Fan DHE'!$G$8:$G$12</definedName>
    <definedName name="Retail_Price_floor">'Gas Floor DHE'!$G$8:$G$13</definedName>
    <definedName name="Retail_Price_gravity">'Gas Wall Gravity DHE'!$G$8:$G$13</definedName>
    <definedName name="Retail_Price_room">'Gas Room DHE'!$G$8:$G$15</definedName>
    <definedName name="sales_tax">'Data'!$E$64</definedName>
    <definedName name="Standby">'TP_EnergyUseCalc'!$S$10:$S$38</definedName>
    <definedName name="Total_Installed_Cost_fan">'Gas Wall Fan DHE'!$M$8:$M$12</definedName>
    <definedName name="Total_Installed_fan">'Gas Wall Fan DHE'!$M$8:$M$12</definedName>
    <definedName name="Total_Installed_fan_baseline">'Gas Wall Fan DHE'!$M$8</definedName>
    <definedName name="Total_Installed_floor">'Gas Floor DHE'!$M$8:$M$13</definedName>
    <definedName name="Total_Installed_floor_baseline">'Gas Floor DHE'!$M$8</definedName>
    <definedName name="Total_Installed_Gravity">'Gas Wall Gravity DHE'!$M$8:$M$13</definedName>
    <definedName name="Total_Installed_Gravity_baseline">'Gas Wall Gravity DHE'!$M$8</definedName>
    <definedName name="Total_Installed_Room">'Gas Room DHE'!$M$8:$M$15</definedName>
    <definedName name="Total_Installed_Room_baseline">'Gas Room DHE'!$M$8</definedName>
    <definedName name="Total_Mfr_Cost_fan">'Gas Wall Fan DHE'!$E$8:$E$12</definedName>
    <definedName name="Total_Mfr_Cost_floor">'Gas Floor DHE'!$E$8:$E$13</definedName>
    <definedName name="Total_Mfr_Cost_gravity">'Gas Wall Gravity DHE'!$E$8:$E$13</definedName>
    <definedName name="Total_Mfr_Cost_room">'Gas Room DHE'!$E$8:$E$15</definedName>
    <definedName name="Total_Operating_Cost_fan">'Gas Wall Fan DHE'!$N$8:$N$12</definedName>
    <definedName name="Total_Operating_fan">'Gas Wall Fan DHE'!$N$8:$N$12</definedName>
    <definedName name="Total_Operating_Fan_Baseline">'Gas Wall Fan DHE'!$N$8</definedName>
    <definedName name="Total_Operating_floor">'Gas Floor DHE'!$N$8:$N$13</definedName>
    <definedName name="Total_Operating_floor_baseline">'Gas Floor DHE'!$N$8</definedName>
    <definedName name="Total_Operating_Gravity">'Gas Wall Gravity DHE'!$N$8:$N$13</definedName>
    <definedName name="Total_Operating_Gravity_baseline">'Gas Wall Gravity DHE'!$N$8</definedName>
    <definedName name="Total_Operating_room">'Gas Room DHE'!$N$8:$N$15</definedName>
    <definedName name="Total_Operating_room_baseline">'Gas Room DHE'!$N$8</definedName>
    <definedName name="Venting">'TP_EnergyUseCalc'!$X$11:$X$38</definedName>
    <definedName name="X_1">'TP_EnergyUseCalc'!$AC$11:$AC$38</definedName>
    <definedName name="X_2">'TP_EnergyUseCalc'!$AD$11:$AD$38</definedName>
    <definedName name="X_Factor_Table">'Table-Lookup'!$A$30:$C$45</definedName>
    <definedName name="η_ss">'TP_EnergyUseCalc'!$J$10:$J$38</definedName>
    <definedName name="η_u">'TP_EnergyUseCalc'!$I$10:$I$38</definedName>
    <definedName name="ηSS_table">'Table-Lookup'!#REF!</definedName>
  </definedNames>
  <calcPr fullCalcOnLoad="1"/>
</workbook>
</file>

<file path=xl/comments7.xml><?xml version="1.0" encoding="utf-8"?>
<comments xmlns="http://schemas.openxmlformats.org/spreadsheetml/2006/main">
  <authors>
    <author>LBNL</author>
    <author>ablaps</author>
  </authors>
  <commentList>
    <comment ref="P11" authorId="0">
      <text>
        <r>
          <rPr>
            <b/>
            <sz val="10"/>
            <rFont val="Tahoma"/>
            <family val="2"/>
          </rPr>
          <t>gas valve components = .5 amps (12 watts)
24 V Transformer power draw = 0.6 W
Source: 1995 TSD, 1-13 (Source: Personal Communication)</t>
        </r>
      </text>
    </comment>
    <comment ref="Q15" authorId="0">
      <text>
        <r>
          <rPr>
            <b/>
            <sz val="8"/>
            <rFont val="Tahoma"/>
            <family val="0"/>
          </rPr>
          <t>Source: 1995 TSD, 1-15 (Assumed Value)</t>
        </r>
      </text>
    </comment>
    <comment ref="O11" authorId="0">
      <text>
        <r>
          <rPr>
            <b/>
            <sz val="8"/>
            <rFont val="Tahoma"/>
            <family val="0"/>
          </rPr>
          <t>Source: 1995 TSD, 1-19 (Assumed Value)</t>
        </r>
      </text>
    </comment>
    <comment ref="P13" authorId="0">
      <text>
        <r>
          <rPr>
            <b/>
            <sz val="8"/>
            <rFont val="Tahoma"/>
            <family val="0"/>
          </rPr>
          <t>gas valve components = 10.8 watts
Control Module = ,15 amps (3.6 W)
Thermostat = 1.2 W
24 V Transformer power draw = .6 W
Source: 1995 TSD, 1-13 (Personal Communication)</t>
        </r>
      </text>
    </comment>
    <comment ref="S11" authorId="0">
      <text>
        <r>
          <rPr>
            <b/>
            <sz val="11"/>
            <rFont val="Tahoma"/>
            <family val="2"/>
          </rPr>
          <t>24 volt system = .6 W
Source: 1995 TSD, 1-13 (source: Personal Communication)</t>
        </r>
      </text>
    </comment>
    <comment ref="S13" authorId="0">
      <text>
        <r>
          <rPr>
            <b/>
            <sz val="8"/>
            <rFont val="Tahoma"/>
            <family val="0"/>
          </rPr>
          <t>24 volt system = .6 W
Elec. Thermo. = .4 W
Source: 1995 TSD, 1-13 (Personal Communication)</t>
        </r>
      </text>
    </comment>
    <comment ref="G11" authorId="0">
      <text>
        <r>
          <rPr>
            <b/>
            <sz val="8"/>
            <rFont val="Tahoma"/>
            <family val="0"/>
          </rPr>
          <t>Source: 1995 TSD, 1-19 (Assumed Value)</t>
        </r>
      </text>
    </comment>
    <comment ref="G17" authorId="0">
      <text>
        <r>
          <rPr>
            <b/>
            <sz val="8"/>
            <rFont val="Tahoma"/>
            <family val="0"/>
          </rPr>
          <t>Source: 1995 TSD, 1-19 (Assumed Value)</t>
        </r>
      </text>
    </comment>
    <comment ref="G24" authorId="0">
      <text>
        <r>
          <rPr>
            <b/>
            <sz val="8"/>
            <rFont val="Tahoma"/>
            <family val="0"/>
          </rPr>
          <t>Source: 1995 TSD, 1-19 (Assumed Value)</t>
        </r>
      </text>
    </comment>
    <comment ref="G31" authorId="0">
      <text>
        <r>
          <rPr>
            <b/>
            <sz val="8"/>
            <rFont val="Tahoma"/>
            <family val="0"/>
          </rPr>
          <t>Source: 1995 TSD, 1-19 (Assumed Value)</t>
        </r>
      </text>
    </comment>
    <comment ref="AB8" authorId="1">
      <text>
        <r>
          <rPr>
            <b/>
            <sz val="10"/>
            <rFont val="Tahoma"/>
            <family val="2"/>
          </rPr>
          <t>DHR has to be set equal to the capacity of the baseline model. (source 1995 TSD)</t>
        </r>
        <r>
          <rPr>
            <sz val="8"/>
            <rFont val="Tahoma"/>
            <family val="0"/>
          </rPr>
          <t xml:space="preserve">
</t>
        </r>
      </text>
    </comment>
    <comment ref="AB11" authorId="1">
      <text>
        <r>
          <rPr>
            <b/>
            <sz val="8"/>
            <rFont val="Tahoma"/>
            <family val="0"/>
          </rPr>
          <t>function of Qout , see Table-Lookup (also see Table 4, p.342 DOE test Proc)</t>
        </r>
        <r>
          <rPr>
            <sz val="8"/>
            <rFont val="Tahoma"/>
            <family val="0"/>
          </rPr>
          <t xml:space="preserve">
</t>
        </r>
      </text>
    </comment>
  </commentList>
</comments>
</file>

<file path=xl/comments9.xml><?xml version="1.0" encoding="utf-8"?>
<comments xmlns="http://schemas.openxmlformats.org/spreadsheetml/2006/main">
  <authors>
    <author>LBNL</author>
  </authors>
  <commentList>
    <comment ref="C28" authorId="0">
      <text>
        <r>
          <rPr>
            <sz val="8"/>
            <rFont val="Tahoma"/>
            <family val="2"/>
          </rPr>
          <t>defined according to 2.9.1 or 2.9.2 of ANSI Z21.56-1994</t>
        </r>
      </text>
    </comment>
    <comment ref="C30" authorId="0">
      <text>
        <r>
          <rPr>
            <sz val="8"/>
            <rFont val="Tahoma"/>
            <family val="2"/>
          </rPr>
          <t>= 2Ec if tested according to 2.9.1 of ANSI Z21.56-1994
= 3.412 PErated if tested according to 2.9.2 of ANSI Z21.56-1994</t>
        </r>
      </text>
    </comment>
    <comment ref="C29" authorId="0">
      <text>
        <r>
          <rPr>
            <sz val="8"/>
            <rFont val="Tahoma"/>
            <family val="2"/>
          </rPr>
          <t>from section 4.2</t>
        </r>
      </text>
    </comment>
    <comment ref="C31" authorId="0">
      <text>
        <r>
          <rPr>
            <sz val="8"/>
            <rFont val="Tahoma"/>
            <family val="2"/>
          </rPr>
          <t>from 1995 TSD</t>
        </r>
      </text>
    </comment>
    <comment ref="C32" authorId="0">
      <text>
        <r>
          <rPr>
            <sz val="8"/>
            <rFont val="Tahoma"/>
            <family val="2"/>
          </rPr>
          <t>from section 2.9 of ANSI Z21.56-1994</t>
        </r>
      </text>
    </comment>
  </commentList>
</comments>
</file>

<file path=xl/sharedStrings.xml><?xml version="1.0" encoding="utf-8"?>
<sst xmlns="http://schemas.openxmlformats.org/spreadsheetml/2006/main" count="638" uniqueCount="370">
  <si>
    <r>
      <t>E</t>
    </r>
    <r>
      <rPr>
        <b/>
        <vertAlign val="subscript"/>
        <sz val="10"/>
        <rFont val="Arial"/>
        <family val="2"/>
      </rPr>
      <t>F</t>
    </r>
  </si>
  <si>
    <t>MMBtu/year</t>
  </si>
  <si>
    <r>
      <t xml:space="preserve">2) </t>
    </r>
    <r>
      <rPr>
        <b/>
        <sz val="10"/>
        <rFont val="Arial"/>
        <family val="2"/>
      </rPr>
      <t>Data</t>
    </r>
    <r>
      <rPr>
        <sz val="10"/>
        <rFont val="Arial"/>
        <family val="2"/>
      </rPr>
      <t xml:space="preserve"> - contains the input selections, the description of variables and data sources. </t>
    </r>
  </si>
  <si>
    <t>Electricity Consumption of the heater including the electrical energy to the recirculating pump</t>
  </si>
  <si>
    <t>Variable Definitions</t>
  </si>
  <si>
    <t>PHL</t>
  </si>
  <si>
    <r>
      <t>E</t>
    </r>
    <r>
      <rPr>
        <b/>
        <vertAlign val="subscript"/>
        <sz val="10"/>
        <rFont val="Arial"/>
        <family val="2"/>
      </rPr>
      <t>T</t>
    </r>
  </si>
  <si>
    <t>=</t>
  </si>
  <si>
    <t>Product Class</t>
  </si>
  <si>
    <t>BTU/h</t>
  </si>
  <si>
    <t>kWh</t>
  </si>
  <si>
    <t>CONTACT INFORMATION</t>
  </si>
  <si>
    <t xml:space="preserve">     Mohammed Khan, Department of Energy, (202) 586-7892, mohammed.khan@hq.doe.gov</t>
  </si>
  <si>
    <t>BTU/hr</t>
  </si>
  <si>
    <t>kW</t>
  </si>
  <si>
    <r>
      <t>E</t>
    </r>
    <r>
      <rPr>
        <b/>
        <vertAlign val="subscript"/>
        <sz val="10"/>
        <rFont val="Arial"/>
        <family val="2"/>
      </rPr>
      <t>AE</t>
    </r>
  </si>
  <si>
    <r>
      <t>Q</t>
    </r>
    <r>
      <rPr>
        <b/>
        <vertAlign val="subscript"/>
        <sz val="10"/>
        <rFont val="Arial"/>
        <family val="2"/>
      </rPr>
      <t>IN</t>
    </r>
  </si>
  <si>
    <r>
      <t>Q</t>
    </r>
    <r>
      <rPr>
        <b/>
        <vertAlign val="subscript"/>
        <sz val="10"/>
        <rFont val="Arial"/>
        <family val="2"/>
      </rPr>
      <t>P</t>
    </r>
  </si>
  <si>
    <t>hr/yr</t>
  </si>
  <si>
    <t>DATA WORKSHEET</t>
  </si>
  <si>
    <t>INTRODUCTION</t>
  </si>
  <si>
    <t>$</t>
  </si>
  <si>
    <t>Cost Data</t>
  </si>
  <si>
    <t>Retail</t>
  </si>
  <si>
    <t>Fuel</t>
  </si>
  <si>
    <t>kWh/year</t>
  </si>
  <si>
    <t>years</t>
  </si>
  <si>
    <t>Summary Economics</t>
  </si>
  <si>
    <t>Total Costs</t>
  </si>
  <si>
    <t>$/yr</t>
  </si>
  <si>
    <t>Definition</t>
  </si>
  <si>
    <t>Variable Name</t>
  </si>
  <si>
    <t>Unit</t>
  </si>
  <si>
    <t>%</t>
  </si>
  <si>
    <t>Energy Prices</t>
  </si>
  <si>
    <t>AFUE</t>
  </si>
  <si>
    <t>PE</t>
  </si>
  <si>
    <t>MBtu/yr</t>
  </si>
  <si>
    <t>Electric</t>
  </si>
  <si>
    <t>Simple Payback</t>
  </si>
  <si>
    <t>BOH</t>
  </si>
  <si>
    <t>hr</t>
  </si>
  <si>
    <t>Source</t>
  </si>
  <si>
    <t>Energy Use Data</t>
  </si>
  <si>
    <t>Total Installed</t>
  </si>
  <si>
    <t>Total Operating</t>
  </si>
  <si>
    <t>Installation Costs</t>
  </si>
  <si>
    <t>Maintenance Costs</t>
  </si>
  <si>
    <t>Markups / Sales Tax</t>
  </si>
  <si>
    <t>Frequency Values</t>
  </si>
  <si>
    <t>GENERAL:</t>
  </si>
  <si>
    <t>WORKSHEETS DESCRIPTION:</t>
  </si>
  <si>
    <t>ADDITIONAL NOTES</t>
  </si>
  <si>
    <r>
      <t xml:space="preserve">1) </t>
    </r>
    <r>
      <rPr>
        <b/>
        <sz val="10"/>
        <rFont val="Arial"/>
        <family val="2"/>
      </rPr>
      <t>Introduction</t>
    </r>
    <r>
      <rPr>
        <sz val="10"/>
        <rFont val="Arial"/>
        <family val="2"/>
      </rPr>
      <t xml:space="preserve"> - contains the instructions for using the spreadsheet.</t>
    </r>
  </si>
  <si>
    <t>Comments</t>
  </si>
  <si>
    <t>Product Parameters</t>
  </si>
  <si>
    <t>Consumer Price Index (CPI)</t>
  </si>
  <si>
    <t>Rated fuel energy input</t>
  </si>
  <si>
    <t>Energy consumption of continously operating pilot light if employed</t>
  </si>
  <si>
    <t>Thermal efficiency</t>
  </si>
  <si>
    <t>EAE</t>
  </si>
  <si>
    <r>
      <t>BOH_SS</t>
    </r>
    <r>
      <rPr>
        <sz val="10"/>
        <rFont val="Geneva"/>
        <family val="0"/>
      </rPr>
      <t xml:space="preserve"> * </t>
    </r>
    <r>
      <rPr>
        <b/>
        <i/>
        <sz val="10"/>
        <rFont val="Geneva"/>
        <family val="0"/>
      </rPr>
      <t>PE</t>
    </r>
  </si>
  <si>
    <t>EF</t>
  </si>
  <si>
    <r>
      <t>(</t>
    </r>
    <r>
      <rPr>
        <b/>
        <i/>
        <sz val="10"/>
        <rFont val="Arial"/>
        <family val="2"/>
      </rPr>
      <t>BOH_SS</t>
    </r>
    <r>
      <rPr>
        <sz val="10"/>
        <rFont val="Arial"/>
        <family val="0"/>
      </rPr>
      <t xml:space="preserve"> * (Q_IN - Q_P) + 8760 *Q_P)/1000000</t>
    </r>
  </si>
  <si>
    <t>BOH_SS</t>
  </si>
  <si>
    <r>
      <t xml:space="preserve">avgHLH * (A_F * </t>
    </r>
    <r>
      <rPr>
        <b/>
        <i/>
        <sz val="10"/>
        <rFont val="Arial"/>
        <family val="2"/>
      </rPr>
      <t>DHR</t>
    </r>
    <r>
      <rPr>
        <sz val="10"/>
        <rFont val="Arial"/>
        <family val="0"/>
      </rPr>
      <t xml:space="preserve"> * </t>
    </r>
    <r>
      <rPr>
        <b/>
        <i/>
        <sz val="10"/>
        <rFont val="Arial"/>
        <family val="2"/>
      </rPr>
      <t>A</t>
    </r>
    <r>
      <rPr>
        <sz val="10"/>
        <rFont val="Arial"/>
        <family val="0"/>
      </rPr>
      <t xml:space="preserve"> - </t>
    </r>
    <r>
      <rPr>
        <b/>
        <i/>
        <sz val="10"/>
        <rFont val="Arial"/>
        <family val="2"/>
      </rPr>
      <t>B</t>
    </r>
    <r>
      <rPr>
        <sz val="10"/>
        <rFont val="Arial"/>
        <family val="0"/>
      </rPr>
      <t>)</t>
    </r>
  </si>
  <si>
    <t>(Fan_power+Other_power+Ignition_power)/1000</t>
  </si>
  <si>
    <t>A</t>
  </si>
  <si>
    <r>
      <t xml:space="preserve">100000 / (341300 * </t>
    </r>
    <r>
      <rPr>
        <b/>
        <i/>
        <sz val="10"/>
        <rFont val="Arial"/>
        <family val="2"/>
      </rPr>
      <t>PE</t>
    </r>
    <r>
      <rPr>
        <sz val="10"/>
        <rFont val="Arial"/>
        <family val="0"/>
      </rPr>
      <t xml:space="preserve"> + (Q_IN - Q_P) * </t>
    </r>
    <r>
      <rPr>
        <b/>
        <i/>
        <sz val="10"/>
        <rFont val="Arial"/>
        <family val="2"/>
      </rPr>
      <t>η_u</t>
    </r>
    <r>
      <rPr>
        <sz val="10"/>
        <rFont val="Arial"/>
        <family val="0"/>
      </rPr>
      <t>)</t>
    </r>
  </si>
  <si>
    <t>B</t>
  </si>
  <si>
    <r>
      <t xml:space="preserve">(2.938 * Q_P * </t>
    </r>
    <r>
      <rPr>
        <b/>
        <i/>
        <sz val="10"/>
        <rFont val="Arial"/>
        <family val="2"/>
      </rPr>
      <t>η_u</t>
    </r>
    <r>
      <rPr>
        <sz val="10"/>
        <rFont val="Arial"/>
        <family val="0"/>
      </rPr>
      <t xml:space="preserve"> * </t>
    </r>
    <r>
      <rPr>
        <b/>
        <i/>
        <sz val="10"/>
        <rFont val="Arial"/>
        <family val="2"/>
      </rPr>
      <t>A</t>
    </r>
    <r>
      <rPr>
        <sz val="10"/>
        <rFont val="Arial"/>
        <family val="0"/>
      </rPr>
      <t>) /100000</t>
    </r>
  </si>
  <si>
    <t>DHR</t>
  </si>
  <si>
    <t>VLOOKUP(Q_OUT,RDHR_Table,2)</t>
  </si>
  <si>
    <t>Q_OUT</t>
  </si>
  <si>
    <r>
      <t>((</t>
    </r>
    <r>
      <rPr>
        <b/>
        <i/>
        <sz val="10"/>
        <rFont val="Arial"/>
        <family val="2"/>
      </rPr>
      <t>η_ss</t>
    </r>
    <r>
      <rPr>
        <sz val="10"/>
        <rFont val="Arial"/>
        <family val="0"/>
      </rPr>
      <t xml:space="preserve"> / 100) - C_J * (</t>
    </r>
    <r>
      <rPr>
        <b/>
        <i/>
        <sz val="10"/>
        <rFont val="Arial"/>
        <family val="2"/>
      </rPr>
      <t>L_J</t>
    </r>
    <r>
      <rPr>
        <sz val="10"/>
        <rFont val="Arial"/>
        <family val="0"/>
      </rPr>
      <t>/100)) * Q_IN</t>
    </r>
  </si>
  <si>
    <t>L_J</t>
  </si>
  <si>
    <t>Is a measured value for floor furnaces and is equal to zero for all other DHE product classes.</t>
  </si>
  <si>
    <t>η_u</t>
  </si>
  <si>
    <r>
      <t xml:space="preserve">( AFUE * 2950 * </t>
    </r>
    <r>
      <rPr>
        <b/>
        <i/>
        <sz val="10"/>
        <rFont val="Arial"/>
        <family val="2"/>
      </rPr>
      <t>η_ss</t>
    </r>
    <r>
      <rPr>
        <sz val="10"/>
        <rFont val="Arial"/>
        <family val="0"/>
      </rPr>
      <t xml:space="preserve"> * Q_IN ) / ( 2950 * </t>
    </r>
    <r>
      <rPr>
        <b/>
        <i/>
        <sz val="10"/>
        <rFont val="Arial"/>
        <family val="2"/>
      </rPr>
      <t>η_ss</t>
    </r>
    <r>
      <rPr>
        <sz val="10"/>
        <rFont val="Arial"/>
        <family val="0"/>
      </rPr>
      <t xml:space="preserve"> * Q_IN - 2.083 * 4600 * Q_P * AFUE )</t>
    </r>
  </si>
  <si>
    <t>η_ss</t>
  </si>
  <si>
    <t>AFUE+VLOOKUP(Product,ηSS_table,3) or values given by manufacturers by efficiency levels.</t>
  </si>
  <si>
    <t>Table 1</t>
  </si>
  <si>
    <t>Average Typical Design Heating Requirements for Vented Heaters w/ Different Output Capacities</t>
  </si>
  <si>
    <t>(source: Table 4, DOE Test Procedure 2006)</t>
  </si>
  <si>
    <t>Minimum Qout</t>
  </si>
  <si>
    <t>RDHR</t>
  </si>
  <si>
    <t>kBTU/h</t>
  </si>
  <si>
    <t>Table 2</t>
  </si>
  <si>
    <r>
      <t>Table lookup for X</t>
    </r>
    <r>
      <rPr>
        <b/>
        <vertAlign val="subscript"/>
        <sz val="10"/>
        <rFont val="Arial"/>
        <family val="2"/>
      </rPr>
      <t>H</t>
    </r>
    <r>
      <rPr>
        <b/>
        <sz val="10"/>
        <rFont val="Arial"/>
        <family val="2"/>
      </rPr>
      <t xml:space="preserve"> and X</t>
    </r>
    <r>
      <rPr>
        <b/>
        <vertAlign val="subscript"/>
        <sz val="10"/>
        <rFont val="Arial"/>
        <family val="2"/>
      </rPr>
      <t>R</t>
    </r>
    <r>
      <rPr>
        <b/>
        <sz val="10"/>
        <rFont val="Arial"/>
        <family val="2"/>
      </rPr>
      <t xml:space="preserve"> </t>
    </r>
  </si>
  <si>
    <r>
      <t>BOH</t>
    </r>
    <r>
      <rPr>
        <b/>
        <vertAlign val="subscript"/>
        <sz val="10"/>
        <rFont val="Arial"/>
        <family val="2"/>
      </rPr>
      <t>SS</t>
    </r>
  </si>
  <si>
    <t>Avg HLH</t>
  </si>
  <si>
    <r>
      <t>Q</t>
    </r>
    <r>
      <rPr>
        <b/>
        <vertAlign val="subscript"/>
        <sz val="10"/>
        <rFont val="Arial"/>
        <family val="2"/>
      </rPr>
      <t>OUT</t>
    </r>
  </si>
  <si>
    <r>
      <t>L</t>
    </r>
    <r>
      <rPr>
        <b/>
        <vertAlign val="subscript"/>
        <sz val="10"/>
        <rFont val="Arial"/>
        <family val="2"/>
      </rPr>
      <t>J</t>
    </r>
  </si>
  <si>
    <r>
      <t>η</t>
    </r>
    <r>
      <rPr>
        <b/>
        <vertAlign val="subscript"/>
        <sz val="10"/>
        <rFont val="Arial"/>
        <family val="2"/>
      </rPr>
      <t>SS</t>
    </r>
  </si>
  <si>
    <r>
      <t>η</t>
    </r>
    <r>
      <rPr>
        <b/>
        <vertAlign val="subscript"/>
        <sz val="10"/>
        <rFont val="Arial"/>
        <family val="2"/>
      </rPr>
      <t>U</t>
    </r>
  </si>
  <si>
    <r>
      <t>A</t>
    </r>
    <r>
      <rPr>
        <b/>
        <vertAlign val="subscript"/>
        <sz val="10"/>
        <rFont val="Arial"/>
        <family val="2"/>
      </rPr>
      <t>F</t>
    </r>
  </si>
  <si>
    <t>Ignition Power</t>
  </si>
  <si>
    <t>Other Power</t>
  </si>
  <si>
    <t>Standby</t>
  </si>
  <si>
    <r>
      <t>C</t>
    </r>
    <r>
      <rPr>
        <b/>
        <vertAlign val="subscript"/>
        <sz val="10"/>
        <rFont val="Arial"/>
        <family val="2"/>
      </rPr>
      <t>J</t>
    </r>
  </si>
  <si>
    <t>Product</t>
  </si>
  <si>
    <t>1 -</t>
  </si>
  <si>
    <t>2 -</t>
  </si>
  <si>
    <t>3 -</t>
  </si>
  <si>
    <t>4 -</t>
  </si>
  <si>
    <t>5 -</t>
  </si>
  <si>
    <t>1,2,3,4</t>
  </si>
  <si>
    <t>80% AFUE</t>
  </si>
  <si>
    <t>W</t>
  </si>
  <si>
    <t>Controls</t>
  </si>
  <si>
    <t>1,2,3</t>
  </si>
  <si>
    <t>Single-Stage</t>
  </si>
  <si>
    <t>Two-Stage</t>
  </si>
  <si>
    <t>Step-Modulation</t>
  </si>
  <si>
    <t>74% AFUE</t>
  </si>
  <si>
    <r>
      <t>3)</t>
    </r>
    <r>
      <rPr>
        <b/>
        <sz val="10"/>
        <rFont val="Arial"/>
        <family val="2"/>
      </rPr>
      <t xml:space="preserve"> Engineering Worksheets </t>
    </r>
    <r>
      <rPr>
        <sz val="10"/>
        <rFont val="Arial"/>
        <family val="2"/>
      </rPr>
      <t>- contain the total and incremental manufacturer costs,  retail prices, the installation costs, the repair and maintenance costs, the energy use calculations, and the simple payback period calculations for each product class at each efficiency level.</t>
    </r>
  </si>
  <si>
    <r>
      <t>4)</t>
    </r>
    <r>
      <rPr>
        <b/>
        <sz val="10"/>
        <rFont val="Arial"/>
        <family val="2"/>
      </rPr>
      <t xml:space="preserve"> Energy Use Calculations Worksheet </t>
    </r>
    <r>
      <rPr>
        <sz val="10"/>
        <rFont val="Arial"/>
        <family val="2"/>
      </rPr>
      <t>- utilizes DOE direct heating equipment test procedure to calculate parameters used in the energy use calculations.</t>
    </r>
  </si>
  <si>
    <t>Section 4.6.2 (pg. 341)</t>
  </si>
  <si>
    <t>77% AFUE</t>
  </si>
  <si>
    <t xml:space="preserve">76% AFUE </t>
  </si>
  <si>
    <t>Airflow Fan Power</t>
  </si>
  <si>
    <t>Draft Inducer Power</t>
  </si>
  <si>
    <t>Efficiency Level</t>
  </si>
  <si>
    <t>Design Options Pathway</t>
  </si>
  <si>
    <t>Atmospheric</t>
  </si>
  <si>
    <t>Power</t>
  </si>
  <si>
    <t>Draft hood</t>
  </si>
  <si>
    <t>Direct Vent</t>
  </si>
  <si>
    <t>Barometric Draft Regulator</t>
  </si>
  <si>
    <r>
      <t>D</t>
    </r>
    <r>
      <rPr>
        <b/>
        <vertAlign val="subscript"/>
        <sz val="10"/>
        <rFont val="Arial"/>
        <family val="2"/>
      </rPr>
      <t>P</t>
    </r>
  </si>
  <si>
    <r>
      <t>D</t>
    </r>
    <r>
      <rPr>
        <b/>
        <vertAlign val="subscript"/>
        <sz val="10"/>
        <rFont val="Arial"/>
        <family val="2"/>
      </rPr>
      <t>S</t>
    </r>
  </si>
  <si>
    <t>Venting</t>
  </si>
  <si>
    <t>Burner</t>
  </si>
  <si>
    <t>1,2</t>
  </si>
  <si>
    <t>R</t>
  </si>
  <si>
    <t>R-Qout</t>
  </si>
  <si>
    <t>Heat Output Ratio</t>
  </si>
  <si>
    <r>
      <t>X</t>
    </r>
    <r>
      <rPr>
        <b/>
        <vertAlign val="subscript"/>
        <sz val="10"/>
        <rFont val="Arial"/>
        <family val="2"/>
      </rPr>
      <t>1</t>
    </r>
  </si>
  <si>
    <r>
      <t>X</t>
    </r>
    <r>
      <rPr>
        <b/>
        <vertAlign val="subscript"/>
        <sz val="10"/>
        <rFont val="Arial"/>
        <family val="2"/>
      </rPr>
      <t>2</t>
    </r>
  </si>
  <si>
    <t>(source: Table 3, DOE Test Procedure 2006)</t>
  </si>
  <si>
    <r>
      <t>BOH</t>
    </r>
    <r>
      <rPr>
        <b/>
        <vertAlign val="subscript"/>
        <sz val="10"/>
        <rFont val="Arial"/>
        <family val="2"/>
      </rPr>
      <t>H</t>
    </r>
  </si>
  <si>
    <r>
      <t>BOH</t>
    </r>
    <r>
      <rPr>
        <b/>
        <vertAlign val="subscript"/>
        <sz val="10"/>
        <rFont val="Arial"/>
        <family val="2"/>
      </rPr>
      <t>R</t>
    </r>
  </si>
  <si>
    <t>X1</t>
  </si>
  <si>
    <t>X2</t>
  </si>
  <si>
    <r>
      <t>Q</t>
    </r>
    <r>
      <rPr>
        <b/>
        <vertAlign val="subscript"/>
        <sz val="10"/>
        <rFont val="Arial"/>
        <family val="2"/>
      </rPr>
      <t>IN,R</t>
    </r>
  </si>
  <si>
    <t>Energy Use Calculation for Direct Heating Equipment (10 CFR, Appendix O)</t>
  </si>
  <si>
    <t>1990 Consumer Price Index</t>
  </si>
  <si>
    <t>CPI_1990</t>
  </si>
  <si>
    <t>-</t>
  </si>
  <si>
    <t>1991 Consumer Price Index</t>
  </si>
  <si>
    <t>CPI_1991</t>
  </si>
  <si>
    <t>1992 Consumer Price Index</t>
  </si>
  <si>
    <t>CPI_1992</t>
  </si>
  <si>
    <t>1998 Consumer Price Index</t>
  </si>
  <si>
    <t>CPI_1998</t>
  </si>
  <si>
    <t>1999 Consumer Price Index</t>
  </si>
  <si>
    <t>CPI_1999</t>
  </si>
  <si>
    <t>2001 Consumer Price Index</t>
  </si>
  <si>
    <t>CPI_2001</t>
  </si>
  <si>
    <t>2002 Consumer Price Index</t>
  </si>
  <si>
    <t>CPI_2002</t>
  </si>
  <si>
    <t>2003 Consumer Price Index</t>
  </si>
  <si>
    <t>CPI_2003</t>
  </si>
  <si>
    <t>2004 Consumer Price Index</t>
  </si>
  <si>
    <t>CPI_2004</t>
  </si>
  <si>
    <t>2005 Consumer Price Index</t>
  </si>
  <si>
    <t>CPI_2005</t>
  </si>
  <si>
    <t>2006 Consumer Price Index</t>
  </si>
  <si>
    <t>CPI_2006</t>
  </si>
  <si>
    <t>Mfr Markup</t>
  </si>
  <si>
    <t>mfr_markup</t>
  </si>
  <si>
    <t>Wholesaler Markup</t>
  </si>
  <si>
    <t>distr_markup</t>
  </si>
  <si>
    <t>incr_distr_markup</t>
  </si>
  <si>
    <t>Builder Markup</t>
  </si>
  <si>
    <t>bld_markup</t>
  </si>
  <si>
    <t>incr_bld_markup</t>
  </si>
  <si>
    <t>Sales Tax</t>
  </si>
  <si>
    <t>sales_tax</t>
  </si>
  <si>
    <t>elec_price</t>
  </si>
  <si>
    <t>$/kWh</t>
  </si>
  <si>
    <t>2013 Residential Natural Gas Price</t>
  </si>
  <si>
    <t>NG_price</t>
  </si>
  <si>
    <t>$/MBtu</t>
  </si>
  <si>
    <t>2013 Residential LPG Price</t>
  </si>
  <si>
    <t>LPG_price</t>
  </si>
  <si>
    <t>RECS 2001</t>
  </si>
  <si>
    <t>YEAR$</t>
  </si>
  <si>
    <t>Original $ Value</t>
  </si>
  <si>
    <t>Installation Cost Adder for Condensing Furnaces</t>
  </si>
  <si>
    <t>1993 Consumer Price Index</t>
  </si>
  <si>
    <t>CPI_1993</t>
  </si>
  <si>
    <t xml:space="preserve">75% AFUE </t>
  </si>
  <si>
    <t>Installation_Cost_Wall_Furnaces</t>
  </si>
  <si>
    <t>Installation_Cost_adder_Condensing</t>
  </si>
  <si>
    <t>Standing Pilot Ignition Systems</t>
  </si>
  <si>
    <t>Electronic Ignition Systems</t>
  </si>
  <si>
    <t>Induced Draft (Fan)</t>
  </si>
  <si>
    <t>Condensing Furnace Systems</t>
  </si>
  <si>
    <t>Standing Pilot Ignition Systems Frequency</t>
  </si>
  <si>
    <t>Electronic Ignition Systems Frequency</t>
  </si>
  <si>
    <t>Induced Draft (Fan) Frequency</t>
  </si>
  <si>
    <t>Condensing Furnace Systems Frequency</t>
  </si>
  <si>
    <t>maint_standing_pilot_ignition</t>
  </si>
  <si>
    <t>maint_standing_pilot_ignition_Freq</t>
  </si>
  <si>
    <t>maint_elec_ignition</t>
  </si>
  <si>
    <t>maint_elec_ignition_Freq</t>
  </si>
  <si>
    <t>maint_induced_draft</t>
  </si>
  <si>
    <t>maint_induced_draft_Freq</t>
  </si>
  <si>
    <t>maint_condensing</t>
  </si>
  <si>
    <t>maint_condensing_Freq</t>
  </si>
  <si>
    <t>Contractor Markup Replacement</t>
  </si>
  <si>
    <t>Contractor Markup New Construction</t>
  </si>
  <si>
    <t>contr_markup_replacement</t>
  </si>
  <si>
    <t>contr_markup_new_construction</t>
  </si>
  <si>
    <t>incr_contr_markup_new_construction</t>
  </si>
  <si>
    <t>incr_contr_markup_replacement</t>
  </si>
  <si>
    <t>Fraction of Wall Furnace households with LPG</t>
  </si>
  <si>
    <t>Fraction of Floor Furnace households with LPG</t>
  </si>
  <si>
    <t>Fraction of Room Heater households with LPG</t>
  </si>
  <si>
    <t>sample includes fireplaces</t>
  </si>
  <si>
    <t>2013 Residential Fuel Price Wall Furnaces</t>
  </si>
  <si>
    <t>2013 Residential Fuel Price Floor Furnaces</t>
  </si>
  <si>
    <t>2013 Residential Fuel Price Room Heaters</t>
  </si>
  <si>
    <t>Wholesaler Markup (Incremental)</t>
  </si>
  <si>
    <t>Builder Markup (Incremental)</t>
  </si>
  <si>
    <t xml:space="preserve">Overall Markup on the BASELINE Cost </t>
  </si>
  <si>
    <t>Overall Markup on the INCREMENTAL Cost</t>
  </si>
  <si>
    <t>Cost</t>
  </si>
  <si>
    <t>Numerical Values</t>
  </si>
  <si>
    <t>27-46</t>
  </si>
  <si>
    <t>over 37</t>
  </si>
  <si>
    <t>over 42</t>
  </si>
  <si>
    <t>kBtu/hr</t>
  </si>
  <si>
    <t>Contractor Markup New Construction (Incremental)</t>
  </si>
  <si>
    <t>Contractor Markup Replacement (Incremental)</t>
  </si>
  <si>
    <t>2007 Consumer Price Index</t>
  </si>
  <si>
    <t>CPI_2007</t>
  </si>
  <si>
    <t>Fraction of New Construction Installations</t>
  </si>
  <si>
    <t>frac_new_constr</t>
  </si>
  <si>
    <t>in 2007$ (AEO lists in 2006$), forecasted 2013 Natural Gas Price</t>
  </si>
  <si>
    <t>in 2007$ (AEO lists in 2006$), forecasted 2013 LPG Price</t>
  </si>
  <si>
    <t>Annual Energy Outlook 2008 (DOE/EIA-0383, 2008), Table   A3.  Energy Prices by Sector and Source</t>
  </si>
  <si>
    <t>DHE Average Lifetime</t>
  </si>
  <si>
    <t>dhe_lifetime</t>
  </si>
  <si>
    <t>Air Circulation Blower</t>
  </si>
  <si>
    <t>Air Circulation Blower Frequency</t>
  </si>
  <si>
    <t>maint_air_circulation_Freq</t>
  </si>
  <si>
    <t>maint_air_circulation</t>
  </si>
  <si>
    <t>Standing Pilot Ignition Systems Probability</t>
  </si>
  <si>
    <t>maint_standing_pilot_ignition_Prob</t>
  </si>
  <si>
    <t>Baseline Maintenance</t>
  </si>
  <si>
    <t>Maintenance Cost Baseline Frequency</t>
  </si>
  <si>
    <t>maint_cost_baseline_freq</t>
  </si>
  <si>
    <t>maint_cost_baseline</t>
  </si>
  <si>
    <t>Electronic Ignition Systems Probability</t>
  </si>
  <si>
    <t>Air Circulation Blower Probability</t>
  </si>
  <si>
    <t>Induced Draft (Fan) Probability</t>
  </si>
  <si>
    <t>Condensing Furnace Systems Probability</t>
  </si>
  <si>
    <t>maint_elec_ignition_Prob</t>
  </si>
  <si>
    <t>maint_air_circulation_Prob</t>
  </si>
  <si>
    <t>maint_induced_draft_Prob</t>
  </si>
  <si>
    <t>maint_condensing_Prob</t>
  </si>
  <si>
    <t>2013 Residential Electrical Energy Price</t>
  </si>
  <si>
    <r>
      <t>Q</t>
    </r>
    <r>
      <rPr>
        <b/>
        <vertAlign val="subscript"/>
        <sz val="10"/>
        <rFont val="Arial"/>
        <family val="0"/>
      </rPr>
      <t>P</t>
    </r>
  </si>
  <si>
    <t>Manufacturer Costs (per unit) from Engineering Analysis</t>
  </si>
  <si>
    <t>Consumer Costs from the LCC Analysis</t>
  </si>
  <si>
    <t>Manufacturer Production Cost (MPC)*</t>
  </si>
  <si>
    <t>Total Manufacturer Selling Price (MSP)**</t>
  </si>
  <si>
    <t>Incremental MSP</t>
  </si>
  <si>
    <t>2007$</t>
  </si>
  <si>
    <t>Over 42 kBtu/h - Representative Input Capacity</t>
  </si>
  <si>
    <t>Standing Pilot (Baseline)</t>
  </si>
  <si>
    <t>Electronic Ignition, Two-Speed Blower</t>
  </si>
  <si>
    <t>Electronic Ignition, Improved HX</t>
  </si>
  <si>
    <t>Electronic Ignition, Two-Speed Blower, Improved HX</t>
  </si>
  <si>
    <t>Electronic Ignition, Induced Draft (Max-Tech)</t>
  </si>
  <si>
    <t xml:space="preserve">* The manufacturing production cost (MPC) includes the direct labor, direct material, and direct overhead.  </t>
  </si>
  <si>
    <t>** The manufacturing selling price (MSP) includes manufacturer profit and non-production costs, such as selling, general and administrative expenses, research and development, and interest.</t>
  </si>
  <si>
    <t>Efficiency Levels</t>
  </si>
  <si>
    <t>Potential Design Option</t>
  </si>
  <si>
    <t>Over 27 kBtu/h up to 46 kBtu/h - Representative Input Capacity</t>
  </si>
  <si>
    <t>Standing Pilot, Improved HX</t>
  </si>
  <si>
    <t>Electronic Ignition</t>
  </si>
  <si>
    <t>Induced Draft (Max-Tech)</t>
  </si>
  <si>
    <t>Installation</t>
  </si>
  <si>
    <t>Maintenance</t>
  </si>
  <si>
    <t>Over 37 kBtu/h - Representative Input Capacity</t>
  </si>
  <si>
    <t>Induced Draft</t>
  </si>
  <si>
    <t>Condensing (Max-Tech)</t>
  </si>
  <si>
    <t xml:space="preserve">     Ashley Armstrong, Navigant Consulting,  (202) 973-4528, Ashley.Armstrong@NavigantConsulting.com</t>
  </si>
  <si>
    <t>in 2007$ (AEO lists in 2006$), forecasted 2013 Electricity Price</t>
  </si>
  <si>
    <t>1993 TSD, p.1-45</t>
  </si>
  <si>
    <t>calculated</t>
  </si>
  <si>
    <t xml:space="preserve">Electrical Wiring Outlet </t>
  </si>
  <si>
    <t>Elec_Wiring_adder</t>
  </si>
  <si>
    <t>Fraction of Retrofit Installations Requiring Wiring Outlet</t>
  </si>
  <si>
    <t>Elec_Wiring_Frac</t>
  </si>
  <si>
    <t>Electrical Grounding for Households Built Before 1960</t>
  </si>
  <si>
    <t>Elec_Grounding</t>
  </si>
  <si>
    <t>Fraction of Retrofit Installations Built Before 1960</t>
  </si>
  <si>
    <t>Fraction of Retrofit Installations (FWF)</t>
  </si>
  <si>
    <t>Fraction of Retrofit Installations (GWF)</t>
  </si>
  <si>
    <t>Fraction of Retrofit Installations (FF)</t>
  </si>
  <si>
    <t>Fraction of Retrofit Installations (RH)</t>
  </si>
  <si>
    <t xml:space="preserve">     Alex Lekov, Lawrence Berkeley National Laboratory, (510) 486-6849, ablekov@lbl.gov</t>
  </si>
  <si>
    <t>Rulemaking Framework for Residential Water Heaters, Direct Heating Equipment, and Pool Heaters (September 27, 2006)</t>
  </si>
  <si>
    <t>Bureau of Labor Statistics - Consumer Price Index (http://www.bls.gov/cpi/)</t>
  </si>
  <si>
    <t>Included in MSP Calculation</t>
  </si>
  <si>
    <t>See TSD, Ch 5</t>
  </si>
  <si>
    <t>1997 Economic Census, Business Expenses Survey. See TSD, Ch 5</t>
  </si>
  <si>
    <t>2002 Economic Census Geographic Area Series Construction. See TSD, Ch 5</t>
  </si>
  <si>
    <t>Sales Tax Clearinghouse. See TSD, Ch 5</t>
  </si>
  <si>
    <t>ACCA 2005 Financial Analysis for the HVACR Contracting Industry. See TSD, Ch 5</t>
  </si>
  <si>
    <r>
      <t>5)</t>
    </r>
    <r>
      <rPr>
        <b/>
        <sz val="10"/>
        <rFont val="Arial"/>
        <family val="2"/>
      </rPr>
      <t xml:space="preserve"> Definitions Worksheet </t>
    </r>
    <r>
      <rPr>
        <sz val="10"/>
        <rFont val="Arial"/>
        <family val="2"/>
      </rPr>
      <t>- lists and defines equations and variables used in the energy use calculations worksheet.</t>
    </r>
  </si>
  <si>
    <t>Capacity Gas Wall Fan DHE</t>
  </si>
  <si>
    <t>Capacity Gas Wall Gravity DHE</t>
  </si>
  <si>
    <t>Capacity Gas Floor DHE</t>
  </si>
  <si>
    <t>Capacity Gas Room DHE</t>
  </si>
  <si>
    <t>Installation Cost Gas Room DHE</t>
  </si>
  <si>
    <t>Installation Cost Gas Wall Fan &amp; Gravity DHE</t>
  </si>
  <si>
    <t>Installation Cost Gas Floor DHE</t>
  </si>
  <si>
    <t>Gas Wall Fan DHE (over 42,000 Btu/h)</t>
  </si>
  <si>
    <t>Gas Wall Gravity DHE (over 27,000 Btu/h, up to 46,000 Btu/h)</t>
  </si>
  <si>
    <t>Gas Floor DHE (over 37,000 Btu/h)</t>
  </si>
  <si>
    <t>Gas Room DHE (over 27,000 Btu/h, up to 46,000 Btu/h)</t>
  </si>
  <si>
    <t>default_capcity_Fan</t>
  </si>
  <si>
    <t>default_capcity_Gravity</t>
  </si>
  <si>
    <t>default_capcity_Floor</t>
  </si>
  <si>
    <t>default_capcity_Room</t>
  </si>
  <si>
    <t>Elec_Grounding_Frac_fan</t>
  </si>
  <si>
    <t>Elec_Grounding_Frac_gravity</t>
  </si>
  <si>
    <t>Elec_Grounding_Frac_floor</t>
  </si>
  <si>
    <t>Elec_Grounding_Frac_room</t>
  </si>
  <si>
    <t>Installation_Cost_baseline_floor</t>
  </si>
  <si>
    <t>Installation_Cost_baseline_room</t>
  </si>
  <si>
    <t>fuel_price_fan</t>
  </si>
  <si>
    <t>fuel_price_gravity</t>
  </si>
  <si>
    <t>fuel_price_floor</t>
  </si>
  <si>
    <t>fuel_price_room</t>
  </si>
  <si>
    <t>frac_replacement_fan</t>
  </si>
  <si>
    <t>frac_replacement_gravity</t>
  </si>
  <si>
    <t>frac_lpg_floor</t>
  </si>
  <si>
    <t>frac_lpg_room</t>
  </si>
  <si>
    <t>frac_replacement_room</t>
  </si>
  <si>
    <t>frac_lpg_fan</t>
  </si>
  <si>
    <t>frac_lpg_gravity</t>
  </si>
  <si>
    <t>markup_base_cost_fan</t>
  </si>
  <si>
    <t>markup_increm_cost_fan</t>
  </si>
  <si>
    <t>markup_base_cost_gravity</t>
  </si>
  <si>
    <t>markup_increm_cost_gravity</t>
  </si>
  <si>
    <t>markup_base_cost_floor</t>
  </si>
  <si>
    <t>markup_increm_cost_floor</t>
  </si>
  <si>
    <t>markup_base_cost_room</t>
  </si>
  <si>
    <t>markup_increm_cost_room</t>
  </si>
  <si>
    <t>frac_replacement_floor</t>
  </si>
  <si>
    <t>Gas Wall Fan DHE (Over 42,000 Btu/hr)</t>
  </si>
  <si>
    <t>Gas Wall Gravity DHE (Over 27,000 Btu/hr up to 46,000 Btu/hr)</t>
  </si>
  <si>
    <t>Gas Floor DHE (Over 37,000 Btu/hr)</t>
  </si>
  <si>
    <t>Gas Room DHE (Over 27,000 Btu/hr up to 46,000Btu/hr)</t>
  </si>
  <si>
    <t>Gas Wall Fan DHE</t>
  </si>
  <si>
    <t>Gas Wall Gravity DHE</t>
  </si>
  <si>
    <t>Gas Floor DHE</t>
  </si>
  <si>
    <t>Gas Room DHE</t>
  </si>
  <si>
    <t>Equations for calculating the Energy Consumption of Direct Heating Equipment</t>
  </si>
  <si>
    <t>This workbook contains one introductory worksheet, one data worksheet and four engineering worksheets. One additional worksheet that utilizes DOE direct heating equipment test procedure to calculate parameters used in the energy use calculations and another worksheet to list and define equations and variables used. Microsoft Excel 2000 or a later version is required to access the workbook.</t>
  </si>
  <si>
    <t>Average Pool Heater Heating Load</t>
  </si>
  <si>
    <t>See Appendix 8-A</t>
  </si>
  <si>
    <t>See Appendix 8-B</t>
  </si>
  <si>
    <t xml:space="preserve">See TSD, Ch 8.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</si>
</sst>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quot;$&quot;#,##0.00"/>
    <numFmt numFmtId="168" formatCode="0.000"/>
    <numFmt numFmtId="169" formatCode="0.000%"/>
    <numFmt numFmtId="170" formatCode="0.00000"/>
    <numFmt numFmtId="171" formatCode="#,##0.0"/>
    <numFmt numFmtId="172" formatCode="#,##0.000"/>
    <numFmt numFmtId="173" formatCode="0.000000"/>
    <numFmt numFmtId="174" formatCode="0.0000000"/>
    <numFmt numFmtId="175" formatCode="#,##0.0000"/>
    <numFmt numFmtId="176" formatCode="0.0000000000"/>
    <numFmt numFmtId="177" formatCode="0.000000000"/>
    <numFmt numFmtId="178" formatCode="0.00000000"/>
    <numFmt numFmtId="179" formatCode="&quot;$&quot;#,##0.0"/>
    <numFmt numFmtId="180" formatCode="&quot;$&quot;#,##0.000"/>
    <numFmt numFmtId="181" formatCode="&quot;$&quot;#,##0.0000"/>
    <numFmt numFmtId="182" formatCode="0.00000000000"/>
    <numFmt numFmtId="183" formatCode="&quot;Yes&quot;;&quot;Yes&quot;;&quot;No&quot;"/>
    <numFmt numFmtId="184" formatCode="&quot;True&quot;;&quot;True&quot;;&quot;False&quot;"/>
    <numFmt numFmtId="185" formatCode="&quot;On&quot;;&quot;On&quot;;&quot;Off&quot;"/>
    <numFmt numFmtId="186" formatCode="&quot;$&quot;#,##0"/>
    <numFmt numFmtId="187" formatCode="&quot;$&quot;#,##0.0000_);\(&quot;$&quot;#,##0.0000\)"/>
    <numFmt numFmtId="188" formatCode="0.00_)"/>
    <numFmt numFmtId="189" formatCode="_(* #,##0.000_);_(* \(#,##0.000\);_(* &quot;-&quot;??_);_(@_)"/>
    <numFmt numFmtId="190" formatCode="_(&quot;$&quot;* #,##0.000_);_(&quot;$&quot;* \(#,##0.000\);_(&quot;$&quot;* &quot;-&quot;??_);_(@_)"/>
    <numFmt numFmtId="191" formatCode="&quot;$&quot;#,##0.0_);\(&quot;$&quot;#,##0.0\)"/>
    <numFmt numFmtId="192" formatCode="&quot;$&quot;#,##0.000_);\(&quot;$&quot;#,##0.000\)"/>
    <numFmt numFmtId="193" formatCode="_(&quot;$&quot;* #,##0.0_);_(&quot;$&quot;* \(#,##0.0\);_(&quot;$&quot;* &quot;-&quot;??_);_(@_)"/>
    <numFmt numFmtId="194" formatCode="_(&quot;$&quot;* #,##0_);_(&quot;$&quot;* \(#,##0\);_(&quot;$&quot;* &quot;-&quot;??_);_(@_)"/>
    <numFmt numFmtId="195" formatCode="&quot;$&quot;#,##0.000000"/>
    <numFmt numFmtId="196" formatCode="_(* #,##0.0_);_(* \(#,##0.0\);_(* &quot;-&quot;??_);_(@_)"/>
    <numFmt numFmtId="197" formatCode="_(* #,##0_);_(* \(#,##0\);_(* &quot;-&quot;??_);_(@_)"/>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00000000000000000"/>
    <numFmt numFmtId="205" formatCode="0.0000000000000000000"/>
    <numFmt numFmtId="206" formatCode="m/d/yy"/>
    <numFmt numFmtId="207" formatCode="m/d/yy\ h:mm"/>
    <numFmt numFmtId="208" formatCode="[$€-2]\ #,##0.00_);[Red]\([$€-2]\ #,##0.00\)"/>
  </numFmts>
  <fonts count="75">
    <font>
      <sz val="10"/>
      <name val="Arial"/>
      <family val="0"/>
    </font>
    <font>
      <sz val="10"/>
      <name val="Times New Roman"/>
      <family val="0"/>
    </font>
    <font>
      <b/>
      <sz val="12"/>
      <name val="Times New Roman"/>
      <family val="0"/>
    </font>
    <font>
      <b/>
      <sz val="10"/>
      <name val="Arial"/>
      <family val="2"/>
    </font>
    <font>
      <b/>
      <u val="single"/>
      <sz val="12"/>
      <name val="Arial"/>
      <family val="2"/>
    </font>
    <font>
      <b/>
      <sz val="14"/>
      <name val="Times New Roman"/>
      <family val="1"/>
    </font>
    <font>
      <b/>
      <sz val="14"/>
      <name val="Arial"/>
      <family val="2"/>
    </font>
    <font>
      <b/>
      <u val="single"/>
      <sz val="12"/>
      <color indexed="48"/>
      <name val="Arial"/>
      <family val="2"/>
    </font>
    <font>
      <b/>
      <u val="single"/>
      <sz val="10"/>
      <name val="Arial"/>
      <family val="2"/>
    </font>
    <font>
      <u val="single"/>
      <sz val="10"/>
      <color indexed="12"/>
      <name val="Arial"/>
      <family val="0"/>
    </font>
    <font>
      <u val="single"/>
      <sz val="10"/>
      <color indexed="36"/>
      <name val="Arial"/>
      <family val="0"/>
    </font>
    <font>
      <i/>
      <sz val="12"/>
      <name val="Times New Roman"/>
      <family val="1"/>
    </font>
    <font>
      <b/>
      <sz val="10"/>
      <color indexed="10"/>
      <name val="Arial"/>
      <family val="2"/>
    </font>
    <font>
      <b/>
      <vertAlign val="subscript"/>
      <sz val="10"/>
      <name val="Arial"/>
      <family val="2"/>
    </font>
    <font>
      <i/>
      <sz val="9"/>
      <name val="Arial"/>
      <family val="2"/>
    </font>
    <font>
      <b/>
      <sz val="10"/>
      <color indexed="43"/>
      <name val="Arial"/>
      <family val="2"/>
    </font>
    <font>
      <sz val="10"/>
      <color indexed="43"/>
      <name val="Arial"/>
      <family val="2"/>
    </font>
    <font>
      <sz val="8"/>
      <name val="Tahoma"/>
      <family val="2"/>
    </font>
    <font>
      <b/>
      <i/>
      <u val="single"/>
      <sz val="12"/>
      <name val="Arial"/>
      <family val="2"/>
    </font>
    <font>
      <b/>
      <i/>
      <sz val="10"/>
      <name val="Arial"/>
      <family val="2"/>
    </font>
    <font>
      <b/>
      <u val="single"/>
      <sz val="14"/>
      <color indexed="12"/>
      <name val="Times New Roman"/>
      <family val="1"/>
    </font>
    <font>
      <b/>
      <u val="single"/>
      <sz val="14"/>
      <color indexed="48"/>
      <name val="Arial"/>
      <family val="2"/>
    </font>
    <font>
      <sz val="14"/>
      <name val="Arial"/>
      <family val="2"/>
    </font>
    <font>
      <sz val="8"/>
      <name val="Arial"/>
      <family val="0"/>
    </font>
    <font>
      <b/>
      <i/>
      <sz val="14"/>
      <name val="Times New Roman"/>
      <family val="1"/>
    </font>
    <font>
      <u val="single"/>
      <sz val="10"/>
      <name val="Geneva"/>
      <family val="0"/>
    </font>
    <font>
      <sz val="10"/>
      <name val="Geneva"/>
      <family val="0"/>
    </font>
    <font>
      <b/>
      <sz val="10"/>
      <name val="Geneva"/>
      <family val="0"/>
    </font>
    <font>
      <b/>
      <i/>
      <sz val="10"/>
      <name val="Geneva"/>
      <family val="0"/>
    </font>
    <font>
      <sz val="10"/>
      <color indexed="10"/>
      <name val="Arial"/>
      <family val="2"/>
    </font>
    <font>
      <i/>
      <sz val="10"/>
      <name val="Arial"/>
      <family val="0"/>
    </font>
    <font>
      <b/>
      <sz val="10"/>
      <name val="Tahoma"/>
      <family val="2"/>
    </font>
    <font>
      <b/>
      <sz val="8"/>
      <name val="Tahoma"/>
      <family val="0"/>
    </font>
    <font>
      <b/>
      <sz val="11"/>
      <name val="Tahoma"/>
      <family val="2"/>
    </font>
    <font>
      <u val="single"/>
      <sz val="10"/>
      <color indexed="48"/>
      <name val="Arial"/>
      <family val="2"/>
    </font>
    <font>
      <u val="single"/>
      <sz val="10"/>
      <color indexed="10"/>
      <name val="Arial"/>
      <family val="2"/>
    </font>
    <font>
      <sz val="12"/>
      <color indexed="48"/>
      <name val="Arial"/>
      <family val="2"/>
    </font>
    <font>
      <b/>
      <sz val="12"/>
      <color indexed="43"/>
      <name val="Times New Roman"/>
      <family val="0"/>
    </font>
    <font>
      <i/>
      <sz val="12"/>
      <color indexed="43"/>
      <name val="Times New Roman"/>
      <family val="0"/>
    </font>
    <font>
      <b/>
      <u val="single"/>
      <sz val="10"/>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8"/>
        <bgColor indexed="64"/>
      </patternFill>
    </fill>
    <fill>
      <patternFill patternType="solid">
        <fgColor indexed="21"/>
        <bgColor indexed="64"/>
      </patternFill>
    </fill>
    <fill>
      <patternFill patternType="solid">
        <fgColor indexed="16"/>
        <bgColor indexed="64"/>
      </patternFill>
    </fill>
    <fill>
      <patternFill patternType="solid">
        <fgColor indexed="4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double"/>
    </border>
    <border>
      <left style="thin"/>
      <right style="thin"/>
      <top style="medium"/>
      <bottom style="double"/>
    </border>
    <border>
      <left>
        <color indexed="63"/>
      </left>
      <right style="medium"/>
      <top style="medium"/>
      <bottom style="double"/>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color indexed="63"/>
      </top>
      <bottom style="thin"/>
    </border>
    <border>
      <left>
        <color indexed="63"/>
      </left>
      <right style="thin"/>
      <top style="medium"/>
      <bottom style="double"/>
    </border>
    <border>
      <left style="medium"/>
      <right style="thin"/>
      <top>
        <color indexed="63"/>
      </top>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thin"/>
      <top style="thin"/>
      <bottom style="medium"/>
    </border>
    <border>
      <left>
        <color indexed="63"/>
      </left>
      <right style="thin"/>
      <top>
        <color indexed="63"/>
      </top>
      <bottom style="medium"/>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style="double"/>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double"/>
    </border>
    <border>
      <left style="medium"/>
      <right style="thin"/>
      <top style="thin"/>
      <bottom style="thin"/>
    </border>
    <border>
      <left style="medium"/>
      <right style="thin"/>
      <top style="thin"/>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color indexed="63"/>
      </right>
      <top style="double"/>
      <bottom>
        <color indexed="63"/>
      </bottom>
    </border>
    <border>
      <left style="thin"/>
      <right>
        <color indexed="63"/>
      </right>
      <top style="medium"/>
      <bottom style="double"/>
    </border>
    <border>
      <left style="thin"/>
      <right>
        <color indexed="63"/>
      </right>
      <top style="thin"/>
      <bottom style="medium"/>
    </border>
    <border>
      <left style="medium"/>
      <right>
        <color indexed="63"/>
      </right>
      <top style="medium"/>
      <bottom style="double"/>
    </border>
    <border>
      <left>
        <color indexed="63"/>
      </left>
      <right>
        <color indexed="63"/>
      </right>
      <top style="medium"/>
      <bottom style="medium"/>
    </border>
    <border>
      <left>
        <color indexed="63"/>
      </left>
      <right style="thin"/>
      <top style="medium"/>
      <bottom style="medium"/>
    </border>
    <border>
      <left style="thin"/>
      <right style="thin"/>
      <top style="double"/>
      <bottom>
        <color indexed="63"/>
      </bottom>
    </border>
    <border>
      <left style="medium"/>
      <right style="thin"/>
      <top style="medium"/>
      <bottom style="double"/>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7">
    <xf numFmtId="0" fontId="0" fillId="0" borderId="0" xfId="0" applyAlignment="1">
      <alignment/>
    </xf>
    <xf numFmtId="2" fontId="1" fillId="0" borderId="0" xfId="0" applyNumberFormat="1" applyFont="1" applyAlignment="1">
      <alignment horizontal="center"/>
    </xf>
    <xf numFmtId="0" fontId="2" fillId="0" borderId="10" xfId="0" applyFont="1" applyBorder="1" applyAlignment="1">
      <alignment horizontal="center"/>
    </xf>
    <xf numFmtId="0" fontId="0" fillId="0" borderId="0" xfId="0" applyFont="1" applyAlignment="1">
      <alignment/>
    </xf>
    <xf numFmtId="0" fontId="4"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5" fillId="0" borderId="0" xfId="0" applyFont="1" applyAlignment="1">
      <alignment/>
    </xf>
    <xf numFmtId="0" fontId="3" fillId="0" borderId="0" xfId="0" applyFont="1" applyAlignment="1">
      <alignment/>
    </xf>
    <xf numFmtId="0" fontId="0" fillId="0" borderId="0" xfId="0" applyAlignment="1">
      <alignment horizontal="center"/>
    </xf>
    <xf numFmtId="0" fontId="2" fillId="0" borderId="11" xfId="0" applyFont="1" applyBorder="1" applyAlignment="1">
      <alignment horizontal="right"/>
    </xf>
    <xf numFmtId="3" fontId="2" fillId="0" borderId="12" xfId="0" applyNumberFormat="1" applyFont="1" applyBorder="1" applyAlignment="1">
      <alignment horizontal="left"/>
    </xf>
    <xf numFmtId="0" fontId="2" fillId="0" borderId="13" xfId="0" applyFont="1" applyBorder="1" applyAlignment="1">
      <alignment horizontal="centerContinuous"/>
    </xf>
    <xf numFmtId="0" fontId="2" fillId="0" borderId="14" xfId="0" applyFont="1" applyBorder="1" applyAlignment="1">
      <alignment horizontal="center" wrapText="1"/>
    </xf>
    <xf numFmtId="164" fontId="2" fillId="0" borderId="15" xfId="0" applyNumberFormat="1" applyFont="1" applyBorder="1" applyAlignment="1">
      <alignment horizontal="centerContinuous"/>
    </xf>
    <xf numFmtId="164" fontId="2" fillId="0" borderId="16" xfId="0" applyNumberFormat="1" applyFont="1" applyBorder="1" applyAlignment="1">
      <alignment horizontal="center" wrapText="1"/>
    </xf>
    <xf numFmtId="164" fontId="2" fillId="0" borderId="17" xfId="0" applyNumberFormat="1" applyFont="1" applyBorder="1" applyAlignment="1">
      <alignment horizontal="center" wrapText="1"/>
    </xf>
    <xf numFmtId="0" fontId="2" fillId="0" borderId="13" xfId="0" applyFont="1" applyBorder="1" applyAlignment="1">
      <alignment horizontal="centerContinuous" wrapText="1"/>
    </xf>
    <xf numFmtId="0" fontId="8" fillId="0" borderId="0" xfId="0" applyFont="1" applyAlignment="1">
      <alignment wrapText="1"/>
    </xf>
    <xf numFmtId="0" fontId="0" fillId="0" borderId="0" xfId="0" applyAlignment="1">
      <alignment wrapText="1"/>
    </xf>
    <xf numFmtId="0" fontId="3" fillId="0" borderId="0" xfId="0" applyFont="1" applyAlignment="1">
      <alignment/>
    </xf>
    <xf numFmtId="3" fontId="0" fillId="0" borderId="0" xfId="0" applyNumberFormat="1" applyAlignment="1">
      <alignment horizontal="center"/>
    </xf>
    <xf numFmtId="164" fontId="0" fillId="0" borderId="0" xfId="0" applyNumberFormat="1" applyAlignment="1">
      <alignment horizontal="center"/>
    </xf>
    <xf numFmtId="168" fontId="0" fillId="0" borderId="0" xfId="0" applyNumberFormat="1" applyAlignment="1">
      <alignment horizontal="center"/>
    </xf>
    <xf numFmtId="0" fontId="3" fillId="0" borderId="18" xfId="0" applyFont="1" applyBorder="1" applyAlignment="1">
      <alignment/>
    </xf>
    <xf numFmtId="0" fontId="14" fillId="0" borderId="19" xfId="0" applyFont="1" applyBorder="1" applyAlignment="1">
      <alignment horizontal="center"/>
    </xf>
    <xf numFmtId="0" fontId="0" fillId="33" borderId="20" xfId="0" applyFill="1" applyBorder="1" applyAlignment="1" applyProtection="1">
      <alignment/>
      <protection locked="0"/>
    </xf>
    <xf numFmtId="3" fontId="0" fillId="33" borderId="20" xfId="0" applyNumberFormat="1" applyFill="1" applyBorder="1" applyAlignment="1" applyProtection="1">
      <alignment horizontal="center"/>
      <protection locked="0"/>
    </xf>
    <xf numFmtId="164" fontId="0" fillId="33" borderId="20" xfId="0" applyNumberFormat="1" applyFill="1" applyBorder="1" applyAlignment="1" applyProtection="1">
      <alignment horizontal="center"/>
      <protection locked="0"/>
    </xf>
    <xf numFmtId="3" fontId="16" fillId="34" borderId="20" xfId="0" applyNumberFormat="1" applyFont="1" applyFill="1" applyBorder="1" applyAlignment="1" applyProtection="1">
      <alignment horizontal="center"/>
      <protection/>
    </xf>
    <xf numFmtId="164" fontId="16" fillId="34" borderId="20" xfId="0" applyNumberFormat="1" applyFont="1" applyFill="1" applyBorder="1" applyAlignment="1" applyProtection="1">
      <alignment horizontal="center"/>
      <protection/>
    </xf>
    <xf numFmtId="168" fontId="16" fillId="34" borderId="20" xfId="0" applyNumberFormat="1" applyFont="1" applyFill="1" applyBorder="1" applyAlignment="1" applyProtection="1">
      <alignment horizontal="center"/>
      <protection/>
    </xf>
    <xf numFmtId="0" fontId="16" fillId="34" borderId="20" xfId="0" applyFont="1" applyFill="1" applyBorder="1" applyAlignment="1" applyProtection="1">
      <alignment horizontal="center"/>
      <protection/>
    </xf>
    <xf numFmtId="0" fontId="16" fillId="0" borderId="0" xfId="0" applyFont="1" applyFill="1" applyAlignment="1" applyProtection="1">
      <alignment/>
      <protection/>
    </xf>
    <xf numFmtId="0" fontId="0" fillId="0" borderId="0" xfId="0" applyFill="1" applyAlignment="1">
      <alignment/>
    </xf>
    <xf numFmtId="3" fontId="12" fillId="0" borderId="0" xfId="0" applyNumberFormat="1" applyFont="1" applyFill="1" applyAlignment="1">
      <alignment horizontal="center"/>
    </xf>
    <xf numFmtId="168" fontId="12" fillId="0" borderId="0" xfId="0" applyNumberFormat="1" applyFont="1" applyFill="1" applyAlignment="1">
      <alignment horizontal="center"/>
    </xf>
    <xf numFmtId="0" fontId="14" fillId="0" borderId="0" xfId="0" applyFont="1" applyFill="1" applyAlignment="1">
      <alignment horizontal="center"/>
    </xf>
    <xf numFmtId="0" fontId="18" fillId="0" borderId="0" xfId="0" applyFont="1" applyAlignment="1">
      <alignment/>
    </xf>
    <xf numFmtId="0" fontId="0" fillId="0" borderId="0" xfId="0" applyFont="1" applyAlignment="1">
      <alignment vertical="top" wrapText="1"/>
    </xf>
    <xf numFmtId="167" fontId="2" fillId="0" borderId="21" xfId="0" applyNumberFormat="1" applyFont="1" applyFill="1" applyBorder="1" applyAlignment="1">
      <alignment horizontal="center"/>
    </xf>
    <xf numFmtId="7" fontId="2" fillId="0" borderId="21" xfId="0" applyNumberFormat="1" applyFont="1" applyFill="1" applyBorder="1" applyAlignment="1">
      <alignment horizontal="center"/>
    </xf>
    <xf numFmtId="7" fontId="2" fillId="0" borderId="22" xfId="0" applyNumberFormat="1"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left" wrapText="1"/>
    </xf>
    <xf numFmtId="167" fontId="2" fillId="0" borderId="0" xfId="0" applyNumberFormat="1" applyFont="1" applyFill="1" applyBorder="1" applyAlignment="1">
      <alignment horizontal="center"/>
    </xf>
    <xf numFmtId="167" fontId="2" fillId="0" borderId="25" xfId="44" applyNumberFormat="1" applyFont="1" applyFill="1" applyBorder="1" applyAlignment="1">
      <alignment horizontal="center"/>
    </xf>
    <xf numFmtId="164" fontId="2" fillId="0" borderId="26" xfId="0" applyNumberFormat="1" applyFont="1" applyFill="1" applyBorder="1" applyAlignment="1">
      <alignment horizontal="center"/>
    </xf>
    <xf numFmtId="0" fontId="20" fillId="0" borderId="0" xfId="0" applyFont="1" applyAlignment="1">
      <alignment horizontal="center"/>
    </xf>
    <xf numFmtId="3" fontId="3" fillId="35" borderId="18" xfId="0" applyNumberFormat="1" applyFont="1" applyFill="1" applyBorder="1" applyAlignment="1">
      <alignment horizontal="center"/>
    </xf>
    <xf numFmtId="164" fontId="3" fillId="35" borderId="18" xfId="0" applyNumberFormat="1" applyFont="1" applyFill="1" applyBorder="1" applyAlignment="1">
      <alignment horizontal="center"/>
    </xf>
    <xf numFmtId="168" fontId="3" fillId="35" borderId="18" xfId="0" applyNumberFormat="1" applyFont="1" applyFill="1" applyBorder="1" applyAlignment="1">
      <alignment horizontal="center"/>
    </xf>
    <xf numFmtId="3" fontId="14" fillId="35" borderId="27" xfId="0" applyNumberFormat="1" applyFont="1" applyFill="1" applyBorder="1" applyAlignment="1">
      <alignment horizontal="center"/>
    </xf>
    <xf numFmtId="164" fontId="14" fillId="35" borderId="27" xfId="0" applyNumberFormat="1" applyFont="1" applyFill="1" applyBorder="1" applyAlignment="1">
      <alignment horizontal="center"/>
    </xf>
    <xf numFmtId="168" fontId="14" fillId="35" borderId="27" xfId="0" applyNumberFormat="1" applyFont="1" applyFill="1" applyBorder="1" applyAlignment="1">
      <alignment horizontal="center"/>
    </xf>
    <xf numFmtId="0" fontId="0" fillId="0" borderId="28" xfId="0" applyBorder="1" applyAlignment="1">
      <alignment/>
    </xf>
    <xf numFmtId="0" fontId="16" fillId="34" borderId="29" xfId="0" applyFont="1" applyFill="1" applyBorder="1" applyAlignment="1" applyProtection="1">
      <alignment horizontal="center"/>
      <protection/>
    </xf>
    <xf numFmtId="14" fontId="3" fillId="0" borderId="0" xfId="0" applyNumberFormat="1" applyFont="1" applyAlignment="1">
      <alignment horizontal="left"/>
    </xf>
    <xf numFmtId="0" fontId="3" fillId="0" borderId="0" xfId="0" applyFont="1" applyAlignment="1">
      <alignment wrapText="1"/>
    </xf>
    <xf numFmtId="5" fontId="2" fillId="0" borderId="30" xfId="0" applyNumberFormat="1" applyFont="1" applyFill="1" applyBorder="1" applyAlignment="1">
      <alignment horizontal="center"/>
    </xf>
    <xf numFmtId="1" fontId="15" fillId="34" borderId="20" xfId="0" applyNumberFormat="1" applyFont="1" applyFill="1" applyBorder="1" applyAlignment="1" applyProtection="1">
      <alignment horizontal="left"/>
      <protection/>
    </xf>
    <xf numFmtId="0" fontId="14" fillId="0" borderId="10" xfId="0" applyFont="1" applyFill="1" applyBorder="1" applyAlignment="1">
      <alignment horizontal="center"/>
    </xf>
    <xf numFmtId="1" fontId="15" fillId="34" borderId="31" xfId="0" applyNumberFormat="1" applyFont="1" applyFill="1" applyBorder="1" applyAlignment="1" applyProtection="1">
      <alignment horizontal="left"/>
      <protection/>
    </xf>
    <xf numFmtId="0" fontId="0" fillId="33" borderId="10" xfId="0" applyFill="1" applyBorder="1" applyAlignment="1">
      <alignment/>
    </xf>
    <xf numFmtId="0" fontId="3" fillId="35" borderId="0" xfId="0" applyFont="1" applyFill="1" applyAlignment="1">
      <alignment/>
    </xf>
    <xf numFmtId="0" fontId="0" fillId="36" borderId="32" xfId="0" applyFont="1" applyFill="1" applyBorder="1" applyAlignment="1">
      <alignment/>
    </xf>
    <xf numFmtId="2" fontId="0" fillId="36" borderId="32" xfId="0" applyNumberFormat="1" applyFont="1" applyFill="1" applyBorder="1" applyAlignment="1">
      <alignment horizontal="center"/>
    </xf>
    <xf numFmtId="0" fontId="0" fillId="36" borderId="32" xfId="0" applyFont="1" applyFill="1" applyBorder="1" applyAlignment="1">
      <alignment horizontal="left" vertical="center"/>
    </xf>
    <xf numFmtId="0" fontId="0" fillId="36" borderId="32" xfId="0" applyFont="1" applyFill="1" applyBorder="1" applyAlignment="1">
      <alignment horizontal="left"/>
    </xf>
    <xf numFmtId="0" fontId="0" fillId="36" borderId="32" xfId="0" applyFont="1" applyFill="1" applyBorder="1" applyAlignment="1">
      <alignment vertical="center"/>
    </xf>
    <xf numFmtId="2" fontId="0" fillId="36" borderId="32" xfId="0" applyNumberFormat="1" applyFont="1" applyFill="1" applyBorder="1" applyAlignment="1">
      <alignment horizontal="center" vertical="center"/>
    </xf>
    <xf numFmtId="0" fontId="0" fillId="36" borderId="32" xfId="0" applyFont="1" applyFill="1" applyBorder="1" applyAlignment="1">
      <alignment horizontal="center" vertical="center"/>
    </xf>
    <xf numFmtId="0" fontId="0" fillId="37" borderId="0" xfId="0" applyFont="1" applyFill="1" applyAlignment="1">
      <alignment/>
    </xf>
    <xf numFmtId="0" fontId="0" fillId="37" borderId="0" xfId="0" applyFont="1" applyFill="1" applyAlignment="1">
      <alignment horizontal="center"/>
    </xf>
    <xf numFmtId="0" fontId="0" fillId="37" borderId="0" xfId="0" applyFont="1" applyFill="1" applyBorder="1" applyAlignment="1">
      <alignment/>
    </xf>
    <xf numFmtId="0" fontId="0" fillId="37" borderId="0" xfId="0" applyFont="1" applyFill="1" applyBorder="1" applyAlignment="1">
      <alignment horizontal="center"/>
    </xf>
    <xf numFmtId="0" fontId="0" fillId="37" borderId="0" xfId="0" applyFont="1" applyFill="1" applyBorder="1" applyAlignment="1">
      <alignment horizontal="left"/>
    </xf>
    <xf numFmtId="0" fontId="22" fillId="37" borderId="0" xfId="0" applyFont="1" applyFill="1" applyBorder="1" applyAlignment="1">
      <alignment/>
    </xf>
    <xf numFmtId="2" fontId="24" fillId="0" borderId="0" xfId="0" applyNumberFormat="1" applyFont="1" applyAlignment="1">
      <alignment horizontal="left"/>
    </xf>
    <xf numFmtId="168" fontId="0" fillId="33" borderId="20" xfId="0" applyNumberFormat="1" applyFont="1" applyFill="1" applyBorder="1" applyAlignment="1" applyProtection="1">
      <alignment horizontal="center"/>
      <protection locked="0"/>
    </xf>
    <xf numFmtId="0" fontId="0" fillId="0" borderId="0" xfId="0" applyAlignment="1">
      <alignment horizontal="left"/>
    </xf>
    <xf numFmtId="0" fontId="25" fillId="0" borderId="0" xfId="0" applyFont="1" applyAlignment="1">
      <alignment horizontal="left"/>
    </xf>
    <xf numFmtId="0" fontId="26" fillId="0" borderId="0" xfId="0" applyFont="1" applyAlignment="1">
      <alignment horizontal="left"/>
    </xf>
    <xf numFmtId="0" fontId="0" fillId="0" borderId="0" xfId="0" applyAlignment="1" quotePrefix="1">
      <alignment horizontal="center"/>
    </xf>
    <xf numFmtId="0" fontId="3"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 fillId="36" borderId="33" xfId="0" applyFont="1" applyFill="1" applyBorder="1" applyAlignment="1">
      <alignment horizontal="center"/>
    </xf>
    <xf numFmtId="0" fontId="12" fillId="0" borderId="0" xfId="0" applyFont="1" applyFill="1" applyAlignment="1">
      <alignment/>
    </xf>
    <xf numFmtId="164" fontId="0" fillId="33" borderId="29" xfId="0" applyNumberFormat="1" applyFill="1" applyBorder="1" applyAlignment="1" applyProtection="1">
      <alignment horizontal="center"/>
      <protection locked="0"/>
    </xf>
    <xf numFmtId="0" fontId="12" fillId="0" borderId="0" xfId="0" applyFont="1" applyAlignment="1">
      <alignment/>
    </xf>
    <xf numFmtId="0" fontId="0" fillId="0" borderId="0" xfId="0" applyFill="1" applyAlignment="1">
      <alignment wrapText="1"/>
    </xf>
    <xf numFmtId="0" fontId="3" fillId="35" borderId="0" xfId="0" applyFont="1" applyFill="1" applyAlignment="1">
      <alignment horizontal="left"/>
    </xf>
    <xf numFmtId="0" fontId="16" fillId="34" borderId="34" xfId="0" applyFont="1" applyFill="1" applyBorder="1" applyAlignment="1" applyProtection="1">
      <alignment horizontal="center"/>
      <protection/>
    </xf>
    <xf numFmtId="164" fontId="0" fillId="33" borderId="35" xfId="0" applyNumberFormat="1" applyFill="1" applyBorder="1" applyAlignment="1" applyProtection="1">
      <alignment horizontal="center"/>
      <protection locked="0"/>
    </xf>
    <xf numFmtId="0" fontId="3" fillId="38" borderId="28" xfId="0" applyFont="1" applyFill="1" applyBorder="1" applyAlignment="1">
      <alignment horizontal="center"/>
    </xf>
    <xf numFmtId="0" fontId="3" fillId="38" borderId="36" xfId="0" applyFont="1" applyFill="1" applyBorder="1" applyAlignment="1">
      <alignment horizontal="center"/>
    </xf>
    <xf numFmtId="0" fontId="14" fillId="38" borderId="37" xfId="0" applyFont="1" applyFill="1" applyBorder="1" applyAlignment="1">
      <alignment horizontal="center"/>
    </xf>
    <xf numFmtId="0" fontId="14" fillId="38" borderId="38" xfId="0" applyFont="1" applyFill="1" applyBorder="1" applyAlignment="1">
      <alignment horizontal="center"/>
    </xf>
    <xf numFmtId="168" fontId="3" fillId="35" borderId="12" xfId="0" applyNumberFormat="1" applyFont="1" applyFill="1" applyBorder="1" applyAlignment="1">
      <alignment horizontal="center"/>
    </xf>
    <xf numFmtId="168" fontId="14" fillId="35" borderId="39" xfId="0" applyNumberFormat="1" applyFont="1" applyFill="1" applyBorder="1" applyAlignment="1">
      <alignment horizontal="center"/>
    </xf>
    <xf numFmtId="168" fontId="16" fillId="34" borderId="40" xfId="0" applyNumberFormat="1" applyFont="1" applyFill="1" applyBorder="1" applyAlignment="1" applyProtection="1">
      <alignment horizontal="center"/>
      <protection/>
    </xf>
    <xf numFmtId="1" fontId="0" fillId="33" borderId="40" xfId="0" applyNumberFormat="1" applyFont="1" applyFill="1" applyBorder="1" applyAlignment="1" applyProtection="1">
      <alignment horizontal="center"/>
      <protection locked="0"/>
    </xf>
    <xf numFmtId="0" fontId="3" fillId="36" borderId="41" xfId="0" applyFont="1" applyFill="1" applyBorder="1" applyAlignment="1">
      <alignment horizontal="center"/>
    </xf>
    <xf numFmtId="0" fontId="14" fillId="36" borderId="19" xfId="0" applyFont="1" applyFill="1" applyBorder="1" applyAlignment="1">
      <alignment horizontal="center"/>
    </xf>
    <xf numFmtId="0" fontId="0" fillId="0" borderId="0" xfId="0" applyFont="1" applyFill="1" applyBorder="1" applyAlignment="1">
      <alignment horizontal="center"/>
    </xf>
    <xf numFmtId="0" fontId="3" fillId="0" borderId="0" xfId="0" applyFont="1" applyAlignment="1">
      <alignment horizontal="center"/>
    </xf>
    <xf numFmtId="0" fontId="30" fillId="0" borderId="0" xfId="0" applyFont="1" applyAlignment="1">
      <alignment horizontal="center"/>
    </xf>
    <xf numFmtId="0" fontId="29" fillId="0" borderId="0" xfId="0" applyFont="1" applyAlignment="1">
      <alignment/>
    </xf>
    <xf numFmtId="3" fontId="0" fillId="0" borderId="28" xfId="0" applyNumberFormat="1" applyBorder="1" applyAlignment="1">
      <alignment horizontal="center"/>
    </xf>
    <xf numFmtId="171" fontId="0" fillId="0" borderId="36" xfId="0" applyNumberFormat="1" applyBorder="1" applyAlignment="1">
      <alignment horizontal="center"/>
    </xf>
    <xf numFmtId="3" fontId="0" fillId="0" borderId="33" xfId="0" applyNumberFormat="1" applyBorder="1" applyAlignment="1">
      <alignment horizontal="center"/>
    </xf>
    <xf numFmtId="171" fontId="0" fillId="0" borderId="26" xfId="0" applyNumberFormat="1" applyBorder="1" applyAlignment="1">
      <alignment horizontal="center"/>
    </xf>
    <xf numFmtId="3" fontId="0" fillId="0" borderId="37" xfId="0" applyNumberFormat="1" applyBorder="1" applyAlignment="1">
      <alignment horizontal="center"/>
    </xf>
    <xf numFmtId="171" fontId="0" fillId="0" borderId="38" xfId="0" applyNumberFormat="1" applyBorder="1" applyAlignment="1">
      <alignment horizontal="center"/>
    </xf>
    <xf numFmtId="0" fontId="3" fillId="0" borderId="0" xfId="0" applyFont="1" applyFill="1" applyAlignment="1" applyProtection="1">
      <alignment/>
      <protection locked="0"/>
    </xf>
    <xf numFmtId="0" fontId="0" fillId="0" borderId="0" xfId="0" applyFont="1" applyFill="1" applyAlignment="1" applyProtection="1">
      <alignment/>
      <protection locked="0"/>
    </xf>
    <xf numFmtId="0" fontId="3" fillId="0" borderId="42" xfId="0" applyFont="1" applyBorder="1" applyAlignment="1">
      <alignment horizontal="center"/>
    </xf>
    <xf numFmtId="0" fontId="3" fillId="0" borderId="43" xfId="0" applyFont="1" applyBorder="1" applyAlignment="1">
      <alignment horizontal="center"/>
    </xf>
    <xf numFmtId="2" fontId="0" fillId="0" borderId="17" xfId="0" applyNumberFormat="1" applyFont="1" applyFill="1" applyBorder="1" applyAlignment="1" applyProtection="1">
      <alignment horizontal="center"/>
      <protection locked="0"/>
    </xf>
    <xf numFmtId="2" fontId="0" fillId="0" borderId="44" xfId="0" applyNumberFormat="1" applyFont="1" applyFill="1" applyBorder="1" applyAlignment="1" applyProtection="1">
      <alignment horizontal="center"/>
      <protection locked="0"/>
    </xf>
    <xf numFmtId="164" fontId="0" fillId="33" borderId="34" xfId="0" applyNumberFormat="1" applyFill="1" applyBorder="1" applyAlignment="1" applyProtection="1">
      <alignment horizontal="center"/>
      <protection locked="0"/>
    </xf>
    <xf numFmtId="168" fontId="14" fillId="35" borderId="45" xfId="0" applyNumberFormat="1" applyFont="1" applyFill="1" applyBorder="1" applyAlignment="1">
      <alignment horizontal="center"/>
    </xf>
    <xf numFmtId="164" fontId="16" fillId="34" borderId="40" xfId="0" applyNumberFormat="1" applyFont="1" applyFill="1" applyBorder="1" applyAlignment="1" applyProtection="1">
      <alignment horizontal="center"/>
      <protection/>
    </xf>
    <xf numFmtId="164" fontId="0" fillId="33" borderId="40" xfId="0" applyNumberFormat="1" applyFill="1" applyBorder="1" applyAlignment="1" applyProtection="1">
      <alignment horizontal="center"/>
      <protection locked="0"/>
    </xf>
    <xf numFmtId="164" fontId="16" fillId="34" borderId="15" xfId="0" applyNumberFormat="1" applyFont="1" applyFill="1" applyBorder="1" applyAlignment="1" applyProtection="1">
      <alignment horizontal="center"/>
      <protection/>
    </xf>
    <xf numFmtId="164" fontId="0" fillId="33" borderId="15" xfId="0" applyNumberFormat="1" applyFill="1" applyBorder="1" applyAlignment="1" applyProtection="1">
      <alignment horizontal="center"/>
      <protection locked="0"/>
    </xf>
    <xf numFmtId="1" fontId="0" fillId="0" borderId="0" xfId="0" applyNumberFormat="1" applyAlignment="1">
      <alignment horizontal="center"/>
    </xf>
    <xf numFmtId="2" fontId="3" fillId="0" borderId="0" xfId="0" applyNumberFormat="1" applyFont="1" applyAlignment="1">
      <alignment horizontal="center"/>
    </xf>
    <xf numFmtId="0" fontId="23" fillId="39" borderId="11" xfId="0" applyFont="1" applyFill="1" applyBorder="1" applyAlignment="1">
      <alignment horizontal="left"/>
    </xf>
    <xf numFmtId="0" fontId="23" fillId="39" borderId="10" xfId="0" applyFont="1" applyFill="1" applyBorder="1" applyAlignment="1">
      <alignment horizontal="left"/>
    </xf>
    <xf numFmtId="0" fontId="23" fillId="39" borderId="46" xfId="0" applyFont="1" applyFill="1" applyBorder="1" applyAlignment="1">
      <alignment horizontal="left"/>
    </xf>
    <xf numFmtId="0" fontId="3" fillId="39" borderId="47" xfId="0" applyFont="1" applyFill="1" applyBorder="1" applyAlignment="1">
      <alignment horizontal="center"/>
    </xf>
    <xf numFmtId="16" fontId="14" fillId="39" borderId="39" xfId="0" applyNumberFormat="1" applyFont="1" applyFill="1" applyBorder="1" applyAlignment="1">
      <alignment horizontal="center"/>
    </xf>
    <xf numFmtId="0" fontId="16" fillId="34" borderId="48" xfId="0" applyFont="1" applyFill="1" applyBorder="1" applyAlignment="1" applyProtection="1">
      <alignment horizontal="center"/>
      <protection/>
    </xf>
    <xf numFmtId="1" fontId="0" fillId="33" borderId="48" xfId="0" applyNumberFormat="1" applyFont="1" applyFill="1" applyBorder="1" applyAlignment="1" applyProtection="1">
      <alignment horizontal="center"/>
      <protection locked="0"/>
    </xf>
    <xf numFmtId="168" fontId="16" fillId="34" borderId="48"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horizontal="center"/>
      <protection locked="0"/>
    </xf>
    <xf numFmtId="165" fontId="0" fillId="33" borderId="20" xfId="0" applyNumberFormat="1" applyFont="1" applyFill="1" applyBorder="1" applyAlignment="1" applyProtection="1">
      <alignment horizontal="center"/>
      <protection locked="0"/>
    </xf>
    <xf numFmtId="168" fontId="3" fillId="35" borderId="47" xfId="0" applyNumberFormat="1" applyFont="1" applyFill="1" applyBorder="1" applyAlignment="1">
      <alignment horizontal="center" wrapText="1"/>
    </xf>
    <xf numFmtId="168" fontId="12" fillId="35" borderId="47" xfId="0" applyNumberFormat="1" applyFont="1" applyFill="1" applyBorder="1" applyAlignment="1">
      <alignment horizontal="center" wrapText="1"/>
    </xf>
    <xf numFmtId="4" fontId="2" fillId="0" borderId="25" xfId="59" applyNumberFormat="1" applyFont="1" applyFill="1" applyBorder="1" applyAlignment="1">
      <alignment horizontal="center"/>
    </xf>
    <xf numFmtId="4" fontId="2" fillId="0" borderId="25" xfId="0" applyNumberFormat="1" applyFont="1" applyFill="1" applyBorder="1" applyAlignment="1">
      <alignment horizontal="center"/>
    </xf>
    <xf numFmtId="3" fontId="2" fillId="0" borderId="22" xfId="59" applyNumberFormat="1" applyFont="1" applyFill="1" applyBorder="1" applyAlignment="1">
      <alignment horizontal="center"/>
    </xf>
    <xf numFmtId="3" fontId="2" fillId="0" borderId="25" xfId="59" applyNumberFormat="1" applyFont="1" applyFill="1" applyBorder="1" applyAlignment="1">
      <alignment horizontal="center"/>
    </xf>
    <xf numFmtId="4" fontId="2" fillId="0" borderId="49" xfId="0" applyNumberFormat="1" applyFont="1" applyFill="1" applyBorder="1" applyAlignment="1">
      <alignment horizontal="center"/>
    </xf>
    <xf numFmtId="167" fontId="2" fillId="0" borderId="22" xfId="0" applyNumberFormat="1" applyFont="1" applyFill="1" applyBorder="1" applyAlignment="1">
      <alignment horizontal="center"/>
    </xf>
    <xf numFmtId="1" fontId="15" fillId="40" borderId="31" xfId="0" applyNumberFormat="1" applyFont="1" applyFill="1" applyBorder="1" applyAlignment="1" applyProtection="1">
      <alignment horizontal="left"/>
      <protection/>
    </xf>
    <xf numFmtId="1" fontId="15" fillId="40" borderId="20" xfId="0" applyNumberFormat="1" applyFont="1" applyFill="1" applyBorder="1" applyAlignment="1" applyProtection="1">
      <alignment horizontal="left"/>
      <protection/>
    </xf>
    <xf numFmtId="3" fontId="16" fillId="40" borderId="20" xfId="0" applyNumberFormat="1" applyFont="1" applyFill="1" applyBorder="1" applyAlignment="1" applyProtection="1">
      <alignment horizontal="center"/>
      <protection/>
    </xf>
    <xf numFmtId="164" fontId="16" fillId="40" borderId="20" xfId="0" applyNumberFormat="1" applyFont="1" applyFill="1" applyBorder="1" applyAlignment="1" applyProtection="1">
      <alignment horizontal="center"/>
      <protection/>
    </xf>
    <xf numFmtId="164" fontId="16" fillId="40" borderId="15" xfId="0" applyNumberFormat="1" applyFont="1" applyFill="1" applyBorder="1" applyAlignment="1" applyProtection="1">
      <alignment horizontal="center"/>
      <protection/>
    </xf>
    <xf numFmtId="164" fontId="16" fillId="40" borderId="40" xfId="0" applyNumberFormat="1" applyFont="1" applyFill="1" applyBorder="1" applyAlignment="1" applyProtection="1">
      <alignment horizontal="center"/>
      <protection/>
    </xf>
    <xf numFmtId="168" fontId="16" fillId="40" borderId="48" xfId="0" applyNumberFormat="1" applyFont="1" applyFill="1" applyBorder="1" applyAlignment="1" applyProtection="1">
      <alignment horizontal="center"/>
      <protection/>
    </xf>
    <xf numFmtId="168" fontId="16" fillId="40" borderId="40" xfId="0" applyNumberFormat="1" applyFont="1" applyFill="1" applyBorder="1" applyAlignment="1" applyProtection="1">
      <alignment horizontal="center"/>
      <protection/>
    </xf>
    <xf numFmtId="168" fontId="16" fillId="40" borderId="20" xfId="0" applyNumberFormat="1" applyFont="1" applyFill="1" applyBorder="1" applyAlignment="1" applyProtection="1">
      <alignment horizontal="center"/>
      <protection/>
    </xf>
    <xf numFmtId="0" fontId="16" fillId="40" borderId="20" xfId="0" applyFont="1" applyFill="1" applyBorder="1" applyAlignment="1" applyProtection="1">
      <alignment horizontal="center"/>
      <protection/>
    </xf>
    <xf numFmtId="0" fontId="16" fillId="40" borderId="34" xfId="0" applyFont="1" applyFill="1" applyBorder="1" applyAlignment="1" applyProtection="1">
      <alignment horizontal="center"/>
      <protection/>
    </xf>
    <xf numFmtId="0" fontId="16" fillId="40" borderId="29" xfId="0" applyFont="1" applyFill="1" applyBorder="1" applyAlignment="1" applyProtection="1">
      <alignment horizontal="center"/>
      <protection/>
    </xf>
    <xf numFmtId="1" fontId="15" fillId="41" borderId="31" xfId="0" applyNumberFormat="1" applyFont="1" applyFill="1" applyBorder="1" applyAlignment="1" applyProtection="1">
      <alignment horizontal="left"/>
      <protection/>
    </xf>
    <xf numFmtId="1" fontId="15" fillId="41" borderId="20" xfId="0" applyNumberFormat="1" applyFont="1" applyFill="1" applyBorder="1" applyAlignment="1" applyProtection="1">
      <alignment horizontal="left"/>
      <protection/>
    </xf>
    <xf numFmtId="3" fontId="16" fillId="41" borderId="20" xfId="0" applyNumberFormat="1" applyFont="1" applyFill="1" applyBorder="1" applyAlignment="1" applyProtection="1">
      <alignment horizontal="center"/>
      <protection/>
    </xf>
    <xf numFmtId="164" fontId="16" fillId="41" borderId="20" xfId="0" applyNumberFormat="1" applyFont="1" applyFill="1" applyBorder="1" applyAlignment="1" applyProtection="1">
      <alignment horizontal="center"/>
      <protection/>
    </xf>
    <xf numFmtId="164" fontId="16" fillId="41" borderId="15" xfId="0" applyNumberFormat="1" applyFont="1" applyFill="1" applyBorder="1" applyAlignment="1" applyProtection="1">
      <alignment horizontal="center"/>
      <protection/>
    </xf>
    <xf numFmtId="164" fontId="16" fillId="41" borderId="40" xfId="0" applyNumberFormat="1" applyFont="1" applyFill="1" applyBorder="1" applyAlignment="1" applyProtection="1">
      <alignment horizontal="center"/>
      <protection/>
    </xf>
    <xf numFmtId="168" fontId="16" fillId="41" borderId="48" xfId="0" applyNumberFormat="1" applyFont="1" applyFill="1" applyBorder="1" applyAlignment="1" applyProtection="1">
      <alignment horizontal="center"/>
      <protection/>
    </xf>
    <xf numFmtId="168" fontId="16" fillId="41" borderId="40" xfId="0" applyNumberFormat="1" applyFont="1" applyFill="1" applyBorder="1" applyAlignment="1" applyProtection="1">
      <alignment horizontal="center"/>
      <protection/>
    </xf>
    <xf numFmtId="168" fontId="16" fillId="41" borderId="20" xfId="0" applyNumberFormat="1" applyFont="1" applyFill="1" applyBorder="1" applyAlignment="1" applyProtection="1">
      <alignment horizontal="center"/>
      <protection/>
    </xf>
    <xf numFmtId="0" fontId="16" fillId="41" borderId="20" xfId="0" applyFont="1" applyFill="1" applyBorder="1" applyAlignment="1" applyProtection="1">
      <alignment horizontal="center"/>
      <protection/>
    </xf>
    <xf numFmtId="0" fontId="16" fillId="41" borderId="34" xfId="0" applyFont="1" applyFill="1" applyBorder="1" applyAlignment="1" applyProtection="1">
      <alignment horizontal="center"/>
      <protection/>
    </xf>
    <xf numFmtId="0" fontId="16" fillId="41" borderId="29" xfId="0" applyFont="1" applyFill="1" applyBorder="1" applyAlignment="1" applyProtection="1">
      <alignment horizontal="center"/>
      <protection/>
    </xf>
    <xf numFmtId="1" fontId="15" fillId="42" borderId="31" xfId="0" applyNumberFormat="1" applyFont="1" applyFill="1" applyBorder="1" applyAlignment="1" applyProtection="1">
      <alignment horizontal="left"/>
      <protection/>
    </xf>
    <xf numFmtId="1" fontId="15" fillId="42" borderId="20" xfId="0" applyNumberFormat="1" applyFont="1" applyFill="1" applyBorder="1" applyAlignment="1" applyProtection="1">
      <alignment horizontal="left"/>
      <protection/>
    </xf>
    <xf numFmtId="3" fontId="16" fillId="42" borderId="20" xfId="0" applyNumberFormat="1" applyFont="1" applyFill="1" applyBorder="1" applyAlignment="1" applyProtection="1">
      <alignment horizontal="center"/>
      <protection/>
    </xf>
    <xf numFmtId="164" fontId="16" fillId="42" borderId="20" xfId="0" applyNumberFormat="1" applyFont="1" applyFill="1" applyBorder="1" applyAlignment="1" applyProtection="1">
      <alignment horizontal="center"/>
      <protection/>
    </xf>
    <xf numFmtId="164" fontId="16" fillId="42" borderId="15" xfId="0" applyNumberFormat="1" applyFont="1" applyFill="1" applyBorder="1" applyAlignment="1" applyProtection="1">
      <alignment horizontal="center"/>
      <protection/>
    </xf>
    <xf numFmtId="164" fontId="16" fillId="42" borderId="40" xfId="0" applyNumberFormat="1" applyFont="1" applyFill="1" applyBorder="1" applyAlignment="1" applyProtection="1">
      <alignment horizontal="center"/>
      <protection/>
    </xf>
    <xf numFmtId="168" fontId="16" fillId="42" borderId="48" xfId="0" applyNumberFormat="1" applyFont="1" applyFill="1" applyBorder="1" applyAlignment="1" applyProtection="1">
      <alignment horizontal="center"/>
      <protection/>
    </xf>
    <xf numFmtId="168" fontId="16" fillId="42" borderId="40" xfId="0" applyNumberFormat="1" applyFont="1" applyFill="1" applyBorder="1" applyAlignment="1" applyProtection="1">
      <alignment horizontal="center"/>
      <protection/>
    </xf>
    <xf numFmtId="168" fontId="16" fillId="42" borderId="20" xfId="0" applyNumberFormat="1" applyFont="1" applyFill="1" applyBorder="1" applyAlignment="1" applyProtection="1">
      <alignment horizontal="center"/>
      <protection/>
    </xf>
    <xf numFmtId="0" fontId="16" fillId="42" borderId="20" xfId="0" applyFont="1" applyFill="1" applyBorder="1" applyAlignment="1" applyProtection="1">
      <alignment horizontal="center"/>
      <protection/>
    </xf>
    <xf numFmtId="0" fontId="16" fillId="42" borderId="34" xfId="0" applyFont="1" applyFill="1" applyBorder="1" applyAlignment="1" applyProtection="1">
      <alignment horizontal="center"/>
      <protection/>
    </xf>
    <xf numFmtId="0" fontId="16" fillId="42" borderId="29" xfId="0" applyFont="1" applyFill="1" applyBorder="1" applyAlignment="1" applyProtection="1">
      <alignment horizontal="center"/>
      <protection/>
    </xf>
    <xf numFmtId="3" fontId="2" fillId="0" borderId="41" xfId="0" applyNumberFormat="1" applyFont="1" applyBorder="1" applyAlignment="1">
      <alignment horizontal="left"/>
    </xf>
    <xf numFmtId="4" fontId="2" fillId="0" borderId="22" xfId="0" applyNumberFormat="1" applyFont="1" applyFill="1" applyBorder="1" applyAlignment="1">
      <alignment horizontal="center"/>
    </xf>
    <xf numFmtId="0" fontId="2" fillId="0" borderId="30" xfId="0" applyFont="1" applyFill="1" applyBorder="1" applyAlignment="1">
      <alignment horizontal="left" wrapText="1"/>
    </xf>
    <xf numFmtId="167" fontId="2" fillId="0" borderId="25" xfId="0" applyNumberFormat="1" applyFont="1" applyFill="1" applyBorder="1" applyAlignment="1">
      <alignment horizontal="center"/>
    </xf>
    <xf numFmtId="7" fontId="2" fillId="0" borderId="0" xfId="0" applyNumberFormat="1" applyFont="1" applyFill="1" applyBorder="1" applyAlignment="1">
      <alignment horizontal="center"/>
    </xf>
    <xf numFmtId="7" fontId="2" fillId="0" borderId="25" xfId="0" applyNumberFormat="1" applyFont="1" applyFill="1" applyBorder="1" applyAlignment="1">
      <alignment horizontal="center"/>
    </xf>
    <xf numFmtId="5" fontId="2" fillId="0" borderId="24" xfId="0" applyNumberFormat="1" applyFont="1" applyFill="1" applyBorder="1" applyAlignment="1">
      <alignment horizontal="center"/>
    </xf>
    <xf numFmtId="0" fontId="2" fillId="0" borderId="24" xfId="0" applyFont="1" applyBorder="1" applyAlignment="1">
      <alignment horizontal="center"/>
    </xf>
    <xf numFmtId="2" fontId="11" fillId="0" borderId="50" xfId="0" applyNumberFormat="1" applyFont="1" applyBorder="1" applyAlignment="1">
      <alignment horizontal="center"/>
    </xf>
    <xf numFmtId="164" fontId="11" fillId="0" borderId="51" xfId="0" applyNumberFormat="1" applyFont="1" applyBorder="1" applyAlignment="1">
      <alignment horizontal="center"/>
    </xf>
    <xf numFmtId="164" fontId="11" fillId="0" borderId="50" xfId="0" applyNumberFormat="1" applyFont="1" applyBorder="1" applyAlignment="1">
      <alignment horizontal="center"/>
    </xf>
    <xf numFmtId="164" fontId="11" fillId="0" borderId="25" xfId="0" applyNumberFormat="1" applyFont="1" applyBorder="1" applyAlignment="1">
      <alignment horizontal="center"/>
    </xf>
    <xf numFmtId="0" fontId="11" fillId="0" borderId="26" xfId="0" applyFont="1" applyBorder="1" applyAlignment="1">
      <alignment horizontal="centerContinuous"/>
    </xf>
    <xf numFmtId="3" fontId="0" fillId="33" borderId="20" xfId="0" applyNumberFormat="1" applyFont="1" applyFill="1" applyBorder="1" applyAlignment="1" applyProtection="1">
      <alignment horizontal="center"/>
      <protection locked="0"/>
    </xf>
    <xf numFmtId="164" fontId="3" fillId="33" borderId="20" xfId="0" applyNumberFormat="1" applyFont="1" applyFill="1" applyBorder="1" applyAlignment="1" applyProtection="1">
      <alignment horizontal="center"/>
      <protection locked="0"/>
    </xf>
    <xf numFmtId="164" fontId="3" fillId="33" borderId="15" xfId="0" applyNumberFormat="1" applyFont="1" applyFill="1" applyBorder="1" applyAlignment="1" applyProtection="1">
      <alignment horizontal="center"/>
      <protection locked="0"/>
    </xf>
    <xf numFmtId="165" fontId="0" fillId="33" borderId="48" xfId="0" applyNumberFormat="1" applyFont="1" applyFill="1" applyBorder="1" applyAlignment="1" applyProtection="1">
      <alignment horizontal="center"/>
      <protection locked="0"/>
    </xf>
    <xf numFmtId="165" fontId="16" fillId="40" borderId="48" xfId="0" applyNumberFormat="1" applyFont="1" applyFill="1" applyBorder="1" applyAlignment="1" applyProtection="1">
      <alignment horizontal="center"/>
      <protection/>
    </xf>
    <xf numFmtId="165" fontId="16" fillId="41" borderId="48" xfId="0" applyNumberFormat="1" applyFont="1" applyFill="1" applyBorder="1" applyAlignment="1" applyProtection="1">
      <alignment horizontal="center"/>
      <protection/>
    </xf>
    <xf numFmtId="165" fontId="16" fillId="42" borderId="48" xfId="0" applyNumberFormat="1" applyFont="1" applyFill="1" applyBorder="1" applyAlignment="1" applyProtection="1">
      <alignment horizontal="center"/>
      <protection/>
    </xf>
    <xf numFmtId="164" fontId="3" fillId="33" borderId="40" xfId="0" applyNumberFormat="1" applyFont="1" applyFill="1" applyBorder="1" applyAlignment="1" applyProtection="1">
      <alignment horizontal="center"/>
      <protection locked="0"/>
    </xf>
    <xf numFmtId="4" fontId="2" fillId="0" borderId="52" xfId="0" applyNumberFormat="1" applyFont="1" applyFill="1" applyBorder="1" applyAlignment="1">
      <alignment horizontal="center"/>
    </xf>
    <xf numFmtId="4" fontId="2" fillId="0" borderId="24" xfId="0" applyNumberFormat="1" applyFont="1" applyFill="1" applyBorder="1" applyAlignment="1">
      <alignment horizontal="center"/>
    </xf>
    <xf numFmtId="4" fontId="2" fillId="0" borderId="24" xfId="59" applyNumberFormat="1" applyFont="1" applyFill="1" applyBorder="1" applyAlignment="1">
      <alignment horizontal="center"/>
    </xf>
    <xf numFmtId="168" fontId="3" fillId="35" borderId="12" xfId="0" applyNumberFormat="1" applyFont="1" applyFill="1" applyBorder="1" applyAlignment="1">
      <alignment horizontal="center" wrapText="1"/>
    </xf>
    <xf numFmtId="164" fontId="0" fillId="33" borderId="40" xfId="0" applyNumberFormat="1" applyFont="1" applyFill="1" applyBorder="1" applyAlignment="1" applyProtection="1">
      <alignment horizontal="center"/>
      <protection locked="0"/>
    </xf>
    <xf numFmtId="171" fontId="0" fillId="33" borderId="20" xfId="0" applyNumberFormat="1" applyFill="1" applyBorder="1" applyAlignment="1" applyProtection="1">
      <alignment horizontal="center"/>
      <protection locked="0"/>
    </xf>
    <xf numFmtId="171" fontId="16" fillId="40" borderId="20" xfId="0" applyNumberFormat="1" applyFont="1" applyFill="1" applyBorder="1" applyAlignment="1" applyProtection="1">
      <alignment horizontal="center"/>
      <protection/>
    </xf>
    <xf numFmtId="171" fontId="16" fillId="41" borderId="20" xfId="0" applyNumberFormat="1" applyFont="1" applyFill="1" applyBorder="1" applyAlignment="1" applyProtection="1">
      <alignment horizontal="center"/>
      <protection/>
    </xf>
    <xf numFmtId="171" fontId="16" fillId="42" borderId="20" xfId="0" applyNumberFormat="1" applyFont="1" applyFill="1" applyBorder="1" applyAlignment="1" applyProtection="1">
      <alignment horizontal="center"/>
      <protection/>
    </xf>
    <xf numFmtId="2" fontId="0" fillId="0" borderId="53" xfId="0" applyNumberFormat="1" applyFont="1" applyFill="1" applyBorder="1" applyAlignment="1" applyProtection="1">
      <alignment horizontal="center"/>
      <protection locked="0"/>
    </xf>
    <xf numFmtId="2" fontId="0" fillId="0" borderId="54" xfId="0" applyNumberFormat="1" applyFont="1" applyFill="1" applyBorder="1" applyAlignment="1" applyProtection="1">
      <alignment horizontal="center"/>
      <protection locked="0"/>
    </xf>
    <xf numFmtId="0" fontId="3" fillId="0" borderId="55" xfId="0" applyFont="1" applyBorder="1" applyAlignment="1">
      <alignment horizontal="center"/>
    </xf>
    <xf numFmtId="2" fontId="0" fillId="0" borderId="56" xfId="0" applyNumberFormat="1" applyFont="1" applyFill="1" applyBorder="1" applyAlignment="1" applyProtection="1">
      <alignment horizontal="center"/>
      <protection locked="0"/>
    </xf>
    <xf numFmtId="2" fontId="0" fillId="0" borderId="57" xfId="0" applyNumberFormat="1" applyFont="1" applyFill="1" applyBorder="1" applyAlignment="1" applyProtection="1">
      <alignment horizontal="center"/>
      <protection locked="0"/>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164" fontId="0" fillId="0" borderId="0" xfId="0" applyNumberFormat="1" applyFont="1" applyFill="1" applyBorder="1" applyAlignment="1">
      <alignment horizontal="center" wrapText="1"/>
    </xf>
    <xf numFmtId="164" fontId="0" fillId="0" borderId="0" xfId="0" applyNumberFormat="1" applyFont="1" applyFill="1" applyBorder="1" applyAlignment="1">
      <alignment horizontal="center"/>
    </xf>
    <xf numFmtId="0" fontId="34"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Border="1" applyAlignment="1">
      <alignment/>
    </xf>
    <xf numFmtId="0" fontId="0" fillId="0" borderId="0" xfId="0" applyBorder="1" applyAlignment="1">
      <alignment horizontal="center"/>
    </xf>
    <xf numFmtId="2" fontId="0" fillId="0" borderId="0" xfId="0" applyNumberFormat="1" applyFont="1" applyFill="1" applyBorder="1" applyAlignment="1">
      <alignment horizontal="center"/>
    </xf>
    <xf numFmtId="0" fontId="0" fillId="0" borderId="0" xfId="0" applyFont="1" applyFill="1" applyBorder="1" applyAlignment="1">
      <alignment/>
    </xf>
    <xf numFmtId="2" fontId="0" fillId="0" borderId="0" xfId="0" applyNumberFormat="1" applyFont="1" applyFill="1" applyBorder="1" applyAlignment="1">
      <alignment horizontal="center" vertical="center"/>
    </xf>
    <xf numFmtId="7" fontId="2" fillId="0" borderId="50" xfId="0" applyNumberFormat="1" applyFont="1" applyFill="1" applyBorder="1" applyAlignment="1">
      <alignment horizontal="center"/>
    </xf>
    <xf numFmtId="2" fontId="0" fillId="0" borderId="0" xfId="0" applyNumberFormat="1" applyFont="1" applyFill="1" applyBorder="1" applyAlignment="1">
      <alignment horizontal="center" wrapText="1"/>
    </xf>
    <xf numFmtId="5" fontId="2" fillId="0" borderId="25" xfId="0" applyNumberFormat="1" applyFont="1" applyFill="1" applyBorder="1" applyAlignment="1">
      <alignment horizontal="center"/>
    </xf>
    <xf numFmtId="2" fontId="3" fillId="0" borderId="0" xfId="0" applyNumberFormat="1" applyFont="1" applyFill="1" applyBorder="1" applyAlignment="1">
      <alignment horizontal="center" wrapText="1"/>
    </xf>
    <xf numFmtId="2" fontId="2" fillId="0" borderId="26" xfId="0" applyNumberFormat="1" applyFont="1" applyFill="1" applyBorder="1" applyAlignment="1">
      <alignment horizontal="center"/>
    </xf>
    <xf numFmtId="7" fontId="2" fillId="0" borderId="58" xfId="0" applyNumberFormat="1" applyFont="1" applyFill="1" applyBorder="1" applyAlignment="1">
      <alignment horizontal="center"/>
    </xf>
    <xf numFmtId="167" fontId="2" fillId="0" borderId="50" xfId="44" applyNumberFormat="1" applyFont="1" applyFill="1" applyBorder="1" applyAlignment="1">
      <alignment horizontal="center"/>
    </xf>
    <xf numFmtId="7" fontId="2" fillId="0" borderId="59" xfId="0" applyNumberFormat="1" applyFont="1" applyFill="1" applyBorder="1" applyAlignment="1">
      <alignment horizontal="center"/>
    </xf>
    <xf numFmtId="166" fontId="0" fillId="0" borderId="0" xfId="59" applyNumberFormat="1" applyFont="1" applyFill="1" applyBorder="1" applyAlignment="1">
      <alignment horizontal="center" wrapText="1"/>
    </xf>
    <xf numFmtId="2" fontId="29"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xf>
    <xf numFmtId="43" fontId="29" fillId="0" borderId="0" xfId="42" applyFont="1" applyFill="1" applyBorder="1" applyAlignment="1">
      <alignment horizontal="left"/>
    </xf>
    <xf numFmtId="0" fontId="29" fillId="0" borderId="0" xfId="0" applyFont="1" applyFill="1" applyBorder="1" applyAlignment="1">
      <alignment horizontal="center" wrapText="1"/>
    </xf>
    <xf numFmtId="2" fontId="29" fillId="0" borderId="0" xfId="0" applyNumberFormat="1" applyFont="1" applyFill="1" applyBorder="1" applyAlignment="1">
      <alignment horizontal="center" wrapText="1"/>
    </xf>
    <xf numFmtId="0" fontId="35" fillId="0" borderId="0" xfId="0" applyFont="1"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0" fontId="29" fillId="37" borderId="0" xfId="0" applyFont="1" applyFill="1" applyBorder="1" applyAlignment="1">
      <alignment horizontal="center"/>
    </xf>
    <xf numFmtId="0" fontId="21" fillId="37" borderId="0" xfId="0" applyFont="1" applyFill="1" applyBorder="1" applyAlignment="1">
      <alignment horizontal="left" vertical="top"/>
    </xf>
    <xf numFmtId="0" fontId="0" fillId="36" borderId="32" xfId="0" applyFont="1" applyFill="1" applyBorder="1" applyAlignment="1">
      <alignment vertical="center" wrapText="1"/>
    </xf>
    <xf numFmtId="1" fontId="0" fillId="36" borderId="32" xfId="0" applyNumberFormat="1" applyFont="1" applyFill="1" applyBorder="1" applyAlignment="1">
      <alignment horizontal="center" vertical="center" wrapText="1"/>
    </xf>
    <xf numFmtId="0" fontId="0" fillId="36" borderId="32" xfId="0" applyFont="1" applyFill="1" applyBorder="1" applyAlignment="1">
      <alignment horizontal="center"/>
    </xf>
    <xf numFmtId="0" fontId="0" fillId="36" borderId="14" xfId="0" applyFont="1" applyFill="1" applyBorder="1" applyAlignment="1">
      <alignment horizontal="center"/>
    </xf>
    <xf numFmtId="0" fontId="0" fillId="36" borderId="32" xfId="0" applyFont="1" applyFill="1" applyBorder="1" applyAlignment="1">
      <alignment horizontal="center" vertical="center" wrapText="1"/>
    </xf>
    <xf numFmtId="0" fontId="0" fillId="36" borderId="32" xfId="0" applyFont="1" applyFill="1" applyBorder="1" applyAlignment="1">
      <alignment wrapText="1"/>
    </xf>
    <xf numFmtId="0" fontId="7" fillId="36" borderId="32" xfId="0" applyFont="1" applyFill="1" applyBorder="1" applyAlignment="1">
      <alignment horizontal="center"/>
    </xf>
    <xf numFmtId="0" fontId="0" fillId="36" borderId="14" xfId="0" applyFont="1" applyFill="1" applyBorder="1" applyAlignment="1">
      <alignment/>
    </xf>
    <xf numFmtId="0" fontId="0" fillId="36" borderId="14" xfId="0" applyFont="1" applyFill="1" applyBorder="1" applyAlignment="1">
      <alignment wrapText="1"/>
    </xf>
    <xf numFmtId="0" fontId="0" fillId="0" borderId="24" xfId="0" applyFont="1" applyFill="1" applyBorder="1" applyAlignment="1">
      <alignment horizontal="left" wrapText="1"/>
    </xf>
    <xf numFmtId="0" fontId="0" fillId="36" borderId="14" xfId="0" applyFont="1" applyFill="1" applyBorder="1" applyAlignment="1">
      <alignment horizontal="left"/>
    </xf>
    <xf numFmtId="0" fontId="0" fillId="0" borderId="20" xfId="0" applyFont="1" applyFill="1" applyBorder="1" applyAlignment="1">
      <alignment horizontal="left" wrapText="1"/>
    </xf>
    <xf numFmtId="166" fontId="0" fillId="0" borderId="20" xfId="59" applyNumberFormat="1" applyFont="1" applyBorder="1" applyAlignment="1">
      <alignment horizontal="center"/>
    </xf>
    <xf numFmtId="166" fontId="0" fillId="0" borderId="20" xfId="59" applyNumberFormat="1" applyFont="1" applyFill="1" applyBorder="1" applyAlignment="1">
      <alignment horizontal="center" wrapText="1"/>
    </xf>
    <xf numFmtId="2" fontId="0" fillId="0" borderId="20" xfId="0" applyNumberFormat="1" applyFont="1" applyFill="1" applyBorder="1" applyAlignment="1">
      <alignment horizontal="center" wrapText="1"/>
    </xf>
    <xf numFmtId="0" fontId="0" fillId="0" borderId="40" xfId="0" applyFont="1" applyFill="1" applyBorder="1" applyAlignment="1">
      <alignment horizontal="left" wrapText="1"/>
    </xf>
    <xf numFmtId="0" fontId="2" fillId="36" borderId="37" xfId="0" applyFont="1" applyFill="1" applyBorder="1" applyAlignment="1">
      <alignment horizontal="center"/>
    </xf>
    <xf numFmtId="0" fontId="2" fillId="0" borderId="45" xfId="0" applyFont="1" applyFill="1" applyBorder="1" applyAlignment="1">
      <alignment horizontal="left" wrapText="1"/>
    </xf>
    <xf numFmtId="167" fontId="2" fillId="0" borderId="19" xfId="0" applyNumberFormat="1" applyFont="1" applyFill="1" applyBorder="1" applyAlignment="1">
      <alignment horizontal="center"/>
    </xf>
    <xf numFmtId="167" fontId="2" fillId="0" borderId="39" xfId="44" applyNumberFormat="1" applyFont="1" applyFill="1" applyBorder="1" applyAlignment="1">
      <alignment horizontal="center"/>
    </xf>
    <xf numFmtId="7" fontId="2" fillId="0" borderId="39" xfId="0" applyNumberFormat="1" applyFont="1" applyFill="1" applyBorder="1" applyAlignment="1">
      <alignment horizontal="center"/>
    </xf>
    <xf numFmtId="3" fontId="2" fillId="0" borderId="39" xfId="59" applyNumberFormat="1" applyFont="1" applyFill="1" applyBorder="1" applyAlignment="1">
      <alignment horizontal="center"/>
    </xf>
    <xf numFmtId="4" fontId="2" fillId="0" borderId="39" xfId="0" applyNumberFormat="1" applyFont="1" applyFill="1" applyBorder="1" applyAlignment="1">
      <alignment horizontal="center"/>
    </xf>
    <xf numFmtId="5" fontId="2" fillId="0" borderId="39" xfId="0" applyNumberFormat="1" applyFont="1" applyFill="1" applyBorder="1" applyAlignment="1">
      <alignment horizontal="center"/>
    </xf>
    <xf numFmtId="5" fontId="2" fillId="0" borderId="45" xfId="0" applyNumberFormat="1" applyFont="1" applyFill="1" applyBorder="1" applyAlignment="1">
      <alignment horizontal="center"/>
    </xf>
    <xf numFmtId="164" fontId="2" fillId="0" borderId="38" xfId="0" applyNumberFormat="1" applyFont="1" applyFill="1" applyBorder="1" applyAlignment="1">
      <alignment horizontal="center"/>
    </xf>
    <xf numFmtId="167" fontId="2" fillId="0" borderId="39" xfId="0" applyNumberFormat="1" applyFont="1" applyFill="1" applyBorder="1" applyAlignment="1">
      <alignment horizontal="center"/>
    </xf>
    <xf numFmtId="2" fontId="2" fillId="0" borderId="38" xfId="0" applyNumberFormat="1" applyFont="1" applyFill="1" applyBorder="1" applyAlignment="1">
      <alignment horizontal="center"/>
    </xf>
    <xf numFmtId="7" fontId="2" fillId="0" borderId="27" xfId="0" applyNumberFormat="1" applyFont="1" applyFill="1" applyBorder="1" applyAlignment="1">
      <alignment horizontal="center"/>
    </xf>
    <xf numFmtId="167" fontId="2" fillId="0" borderId="27" xfId="44" applyNumberFormat="1" applyFont="1" applyFill="1" applyBorder="1" applyAlignment="1">
      <alignment horizontal="center"/>
    </xf>
    <xf numFmtId="3" fontId="0" fillId="0" borderId="0" xfId="0" applyNumberFormat="1" applyFont="1" applyFill="1" applyBorder="1" applyAlignment="1">
      <alignment horizontal="center"/>
    </xf>
    <xf numFmtId="9" fontId="0" fillId="0" borderId="0" xfId="59" applyFont="1" applyBorder="1" applyAlignment="1">
      <alignment horizontal="center"/>
    </xf>
    <xf numFmtId="2" fontId="0" fillId="0" borderId="0" xfId="0" applyNumberFormat="1" applyBorder="1" applyAlignment="1">
      <alignment horizontal="center"/>
    </xf>
    <xf numFmtId="168" fontId="0" fillId="0" borderId="0" xfId="0" applyNumberFormat="1" applyFont="1" applyFill="1" applyBorder="1" applyAlignment="1">
      <alignment horizontal="center" wrapText="1"/>
    </xf>
    <xf numFmtId="1" fontId="2" fillId="0" borderId="16"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1" fontId="2" fillId="37" borderId="17" xfId="0" applyNumberFormat="1" applyFont="1" applyFill="1" applyBorder="1" applyAlignment="1">
      <alignment horizontal="center" vertical="center" wrapText="1"/>
    </xf>
    <xf numFmtId="1" fontId="2" fillId="0" borderId="60" xfId="0" applyNumberFormat="1" applyFont="1" applyBorder="1" applyAlignment="1">
      <alignment horizontal="center"/>
    </xf>
    <xf numFmtId="1" fontId="2" fillId="37" borderId="44" xfId="0" applyNumberFormat="1" applyFont="1" applyFill="1" applyBorder="1" applyAlignment="1">
      <alignment horizontal="center"/>
    </xf>
    <xf numFmtId="0" fontId="37" fillId="34" borderId="11" xfId="0" applyFont="1" applyFill="1" applyBorder="1" applyAlignment="1">
      <alignment horizontal="left"/>
    </xf>
    <xf numFmtId="0" fontId="2" fillId="34" borderId="12" xfId="0" applyFont="1" applyFill="1" applyBorder="1" applyAlignment="1">
      <alignment horizontal="center"/>
    </xf>
    <xf numFmtId="0" fontId="2" fillId="34" borderId="41" xfId="0" applyFont="1" applyFill="1" applyBorder="1" applyAlignment="1">
      <alignment horizontal="center"/>
    </xf>
    <xf numFmtId="1" fontId="2" fillId="34" borderId="18" xfId="0" applyNumberFormat="1" applyFont="1" applyFill="1" applyBorder="1" applyAlignment="1">
      <alignment horizontal="center"/>
    </xf>
    <xf numFmtId="1" fontId="2" fillId="34" borderId="41" xfId="0" applyNumberFormat="1" applyFont="1" applyFill="1" applyBorder="1" applyAlignment="1">
      <alignment horizontal="center"/>
    </xf>
    <xf numFmtId="0" fontId="2" fillId="34" borderId="41" xfId="0" applyFont="1" applyFill="1" applyBorder="1" applyAlignment="1">
      <alignment horizontal="center"/>
    </xf>
    <xf numFmtId="0" fontId="2" fillId="34" borderId="12" xfId="0" applyFont="1" applyFill="1" applyBorder="1" applyAlignment="1">
      <alignment horizontal="center"/>
    </xf>
    <xf numFmtId="2" fontId="11" fillId="34" borderId="18" xfId="0" applyNumberFormat="1" applyFont="1" applyFill="1" applyBorder="1" applyAlignment="1">
      <alignment horizontal="center"/>
    </xf>
    <xf numFmtId="164" fontId="11" fillId="34" borderId="41" xfId="0" applyNumberFormat="1" applyFont="1" applyFill="1" applyBorder="1" applyAlignment="1">
      <alignment horizontal="center"/>
    </xf>
    <xf numFmtId="164" fontId="11" fillId="34" borderId="12" xfId="0" applyNumberFormat="1" applyFont="1" applyFill="1" applyBorder="1" applyAlignment="1">
      <alignment horizontal="center"/>
    </xf>
    <xf numFmtId="0" fontId="11" fillId="34" borderId="36" xfId="0" applyFont="1" applyFill="1" applyBorder="1" applyAlignment="1">
      <alignment horizontal="centerContinuous"/>
    </xf>
    <xf numFmtId="186" fontId="2" fillId="43" borderId="22" xfId="0" applyNumberFormat="1" applyFont="1" applyFill="1" applyBorder="1" applyAlignment="1">
      <alignment horizontal="center"/>
    </xf>
    <xf numFmtId="186" fontId="2" fillId="43" borderId="21" xfId="0" applyNumberFormat="1" applyFont="1" applyFill="1" applyBorder="1" applyAlignment="1">
      <alignment horizontal="center"/>
    </xf>
    <xf numFmtId="186" fontId="2" fillId="43" borderId="50" xfId="0" applyNumberFormat="1" applyFont="1" applyFill="1" applyBorder="1" applyAlignment="1">
      <alignment horizontal="center"/>
    </xf>
    <xf numFmtId="186" fontId="2" fillId="43" borderId="0" xfId="0" applyNumberFormat="1" applyFont="1" applyFill="1" applyBorder="1" applyAlignment="1">
      <alignment horizontal="center"/>
    </xf>
    <xf numFmtId="186" fontId="2" fillId="43" borderId="27" xfId="0" applyNumberFormat="1" applyFont="1" applyFill="1" applyBorder="1" applyAlignment="1">
      <alignment horizontal="center"/>
    </xf>
    <xf numFmtId="186" fontId="2" fillId="43" borderId="39" xfId="0" applyNumberFormat="1" applyFont="1" applyFill="1" applyBorder="1" applyAlignment="1">
      <alignment horizontal="center"/>
    </xf>
    <xf numFmtId="0" fontId="2" fillId="43" borderId="30" xfId="0" applyFont="1" applyFill="1" applyBorder="1" applyAlignment="1">
      <alignment horizontal="left" wrapText="1"/>
    </xf>
    <xf numFmtId="0" fontId="2" fillId="43" borderId="24" xfId="0" applyFont="1" applyFill="1" applyBorder="1" applyAlignment="1">
      <alignment horizontal="left" wrapText="1"/>
    </xf>
    <xf numFmtId="0" fontId="2" fillId="43" borderId="45" xfId="0" applyFont="1" applyFill="1" applyBorder="1" applyAlignment="1">
      <alignment horizontal="left" wrapText="1"/>
    </xf>
    <xf numFmtId="0" fontId="2" fillId="35" borderId="61" xfId="0" applyFont="1" applyFill="1" applyBorder="1" applyAlignment="1">
      <alignment horizontal="center"/>
    </xf>
    <xf numFmtId="0" fontId="2" fillId="35" borderId="33" xfId="0" applyFont="1" applyFill="1" applyBorder="1" applyAlignment="1">
      <alignment horizontal="center"/>
    </xf>
    <xf numFmtId="0" fontId="2" fillId="35" borderId="37" xfId="0" applyFont="1" applyFill="1" applyBorder="1" applyAlignment="1">
      <alignment horizontal="center"/>
    </xf>
    <xf numFmtId="0" fontId="37" fillId="34" borderId="12" xfId="0" applyFont="1" applyFill="1" applyBorder="1" applyAlignment="1">
      <alignment horizontal="center"/>
    </xf>
    <xf numFmtId="0" fontId="37" fillId="34" borderId="41" xfId="0" applyFont="1" applyFill="1" applyBorder="1" applyAlignment="1">
      <alignment horizontal="center"/>
    </xf>
    <xf numFmtId="1" fontId="37" fillId="34" borderId="18" xfId="0" applyNumberFormat="1" applyFont="1" applyFill="1" applyBorder="1" applyAlignment="1">
      <alignment horizontal="center"/>
    </xf>
    <xf numFmtId="1" fontId="37" fillId="34" borderId="41" xfId="0" applyNumberFormat="1" applyFont="1" applyFill="1" applyBorder="1" applyAlignment="1">
      <alignment horizontal="center"/>
    </xf>
    <xf numFmtId="2" fontId="38" fillId="34" borderId="18" xfId="0" applyNumberFormat="1" applyFont="1" applyFill="1" applyBorder="1" applyAlignment="1">
      <alignment horizontal="center"/>
    </xf>
    <xf numFmtId="164" fontId="38" fillId="34" borderId="62" xfId="0" applyNumberFormat="1" applyFont="1" applyFill="1" applyBorder="1" applyAlignment="1">
      <alignment horizontal="center"/>
    </xf>
    <xf numFmtId="164" fontId="38" fillId="34" borderId="63" xfId="0" applyNumberFormat="1" applyFont="1" applyFill="1" applyBorder="1" applyAlignment="1">
      <alignment horizontal="center"/>
    </xf>
    <xf numFmtId="164" fontId="38" fillId="34" borderId="41" xfId="0" applyNumberFormat="1" applyFont="1" applyFill="1" applyBorder="1" applyAlignment="1">
      <alignment horizontal="center"/>
    </xf>
    <xf numFmtId="164" fontId="38" fillId="34" borderId="12" xfId="0" applyNumberFormat="1" applyFont="1" applyFill="1" applyBorder="1" applyAlignment="1">
      <alignment horizontal="center"/>
    </xf>
    <xf numFmtId="0" fontId="38" fillId="34" borderId="36" xfId="0" applyFont="1" applyFill="1" applyBorder="1" applyAlignment="1">
      <alignment horizontal="centerContinuous"/>
    </xf>
    <xf numFmtId="9" fontId="2" fillId="43" borderId="30" xfId="0" applyNumberFormat="1" applyFont="1" applyFill="1" applyBorder="1" applyAlignment="1">
      <alignment horizontal="center" wrapText="1"/>
    </xf>
    <xf numFmtId="0" fontId="2" fillId="43" borderId="22" xfId="0" applyFont="1" applyFill="1" applyBorder="1" applyAlignment="1">
      <alignment horizontal="left" wrapText="1"/>
    </xf>
    <xf numFmtId="186" fontId="2" fillId="43" borderId="59" xfId="0" applyNumberFormat="1" applyFont="1" applyFill="1" applyBorder="1" applyAlignment="1">
      <alignment horizontal="center"/>
    </xf>
    <xf numFmtId="9" fontId="2" fillId="43" borderId="24" xfId="0" applyNumberFormat="1" applyFont="1" applyFill="1" applyBorder="1" applyAlignment="1">
      <alignment horizontal="center" wrapText="1"/>
    </xf>
    <xf numFmtId="186" fontId="2" fillId="43" borderId="64" xfId="0" applyNumberFormat="1" applyFont="1" applyFill="1" applyBorder="1" applyAlignment="1">
      <alignment horizontal="center"/>
    </xf>
    <xf numFmtId="186" fontId="2" fillId="43" borderId="25" xfId="0" applyNumberFormat="1" applyFont="1" applyFill="1" applyBorder="1" applyAlignment="1">
      <alignment horizontal="center"/>
    </xf>
    <xf numFmtId="9" fontId="2" fillId="43" borderId="45" xfId="0" applyNumberFormat="1" applyFont="1" applyFill="1" applyBorder="1" applyAlignment="1">
      <alignment horizontal="center" wrapText="1"/>
    </xf>
    <xf numFmtId="186" fontId="2" fillId="43" borderId="19" xfId="0" applyNumberFormat="1" applyFont="1" applyFill="1" applyBorder="1" applyAlignment="1">
      <alignment horizontal="center"/>
    </xf>
    <xf numFmtId="167" fontId="2" fillId="43" borderId="22" xfId="0" applyNumberFormat="1" applyFont="1" applyFill="1" applyBorder="1" applyAlignment="1">
      <alignment horizontal="center"/>
    </xf>
    <xf numFmtId="7" fontId="2" fillId="43" borderId="21" xfId="0" applyNumberFormat="1" applyFont="1" applyFill="1" applyBorder="1" applyAlignment="1">
      <alignment horizontal="center"/>
    </xf>
    <xf numFmtId="7" fontId="2" fillId="43" borderId="22" xfId="0" applyNumberFormat="1" applyFont="1" applyFill="1" applyBorder="1" applyAlignment="1">
      <alignment horizontal="center"/>
    </xf>
    <xf numFmtId="3" fontId="2" fillId="43" borderId="22" xfId="59" applyNumberFormat="1" applyFont="1" applyFill="1" applyBorder="1" applyAlignment="1">
      <alignment horizontal="center"/>
    </xf>
    <xf numFmtId="4" fontId="2" fillId="43" borderId="22" xfId="0" applyNumberFormat="1" applyFont="1" applyFill="1" applyBorder="1" applyAlignment="1">
      <alignment horizontal="center"/>
    </xf>
    <xf numFmtId="5" fontId="2" fillId="43" borderId="30" xfId="0" applyNumberFormat="1" applyFont="1" applyFill="1" applyBorder="1" applyAlignment="1">
      <alignment horizontal="center"/>
    </xf>
    <xf numFmtId="0" fontId="2" fillId="43" borderId="23" xfId="0" applyFont="1" applyFill="1" applyBorder="1" applyAlignment="1">
      <alignment horizontal="center"/>
    </xf>
    <xf numFmtId="167" fontId="2" fillId="43" borderId="25" xfId="44" applyNumberFormat="1" applyFont="1" applyFill="1" applyBorder="1" applyAlignment="1">
      <alignment horizontal="center"/>
    </xf>
    <xf numFmtId="7" fontId="2" fillId="43" borderId="25" xfId="0" applyNumberFormat="1" applyFont="1" applyFill="1" applyBorder="1" applyAlignment="1">
      <alignment horizontal="center"/>
    </xf>
    <xf numFmtId="3" fontId="2" fillId="43" borderId="25" xfId="59" applyNumberFormat="1" applyFont="1" applyFill="1" applyBorder="1" applyAlignment="1">
      <alignment horizontal="center"/>
    </xf>
    <xf numFmtId="4" fontId="2" fillId="43" borderId="25" xfId="59" applyNumberFormat="1" applyFont="1" applyFill="1" applyBorder="1" applyAlignment="1">
      <alignment horizontal="center"/>
    </xf>
    <xf numFmtId="5" fontId="2" fillId="43" borderId="64" xfId="0" applyNumberFormat="1" applyFont="1" applyFill="1" applyBorder="1" applyAlignment="1">
      <alignment horizontal="center"/>
    </xf>
    <xf numFmtId="5" fontId="2" fillId="43" borderId="24" xfId="0" applyNumberFormat="1" applyFont="1" applyFill="1" applyBorder="1" applyAlignment="1">
      <alignment horizontal="center"/>
    </xf>
    <xf numFmtId="164" fontId="2" fillId="43" borderId="26" xfId="0" applyNumberFormat="1" applyFont="1" applyFill="1" applyBorder="1" applyAlignment="1">
      <alignment horizontal="center"/>
    </xf>
    <xf numFmtId="5" fontId="2" fillId="43" borderId="25" xfId="0" applyNumberFormat="1" applyFont="1" applyFill="1" applyBorder="1" applyAlignment="1">
      <alignment horizontal="center"/>
    </xf>
    <xf numFmtId="4" fontId="2" fillId="43" borderId="25" xfId="0" applyNumberFormat="1" applyFont="1" applyFill="1" applyBorder="1" applyAlignment="1">
      <alignment horizontal="center"/>
    </xf>
    <xf numFmtId="167" fontId="2" fillId="43" borderId="39" xfId="44" applyNumberFormat="1" applyFont="1" applyFill="1" applyBorder="1" applyAlignment="1">
      <alignment horizontal="center"/>
    </xf>
    <xf numFmtId="7" fontId="2" fillId="43" borderId="39" xfId="0" applyNumberFormat="1" applyFont="1" applyFill="1" applyBorder="1" applyAlignment="1">
      <alignment horizontal="center"/>
    </xf>
    <xf numFmtId="3" fontId="2" fillId="43" borderId="39" xfId="59" applyNumberFormat="1" applyFont="1" applyFill="1" applyBorder="1" applyAlignment="1">
      <alignment horizontal="center"/>
    </xf>
    <xf numFmtId="4" fontId="2" fillId="43" borderId="39" xfId="0" applyNumberFormat="1" applyFont="1" applyFill="1" applyBorder="1" applyAlignment="1">
      <alignment horizontal="center"/>
    </xf>
    <xf numFmtId="5" fontId="2" fillId="43" borderId="39" xfId="0" applyNumberFormat="1" applyFont="1" applyFill="1" applyBorder="1" applyAlignment="1">
      <alignment horizontal="center"/>
    </xf>
    <xf numFmtId="5" fontId="2" fillId="43" borderId="45" xfId="0" applyNumberFormat="1" applyFont="1" applyFill="1" applyBorder="1" applyAlignment="1">
      <alignment horizontal="center"/>
    </xf>
    <xf numFmtId="164" fontId="2" fillId="43" borderId="38" xfId="0" applyNumberFormat="1" applyFont="1" applyFill="1" applyBorder="1" applyAlignment="1">
      <alignment horizontal="center"/>
    </xf>
    <xf numFmtId="0" fontId="2" fillId="35" borderId="65" xfId="0" applyFont="1" applyFill="1" applyBorder="1" applyAlignment="1">
      <alignment horizontal="center"/>
    </xf>
    <xf numFmtId="186" fontId="2" fillId="43" borderId="30" xfId="0" applyNumberFormat="1" applyFont="1" applyFill="1" applyBorder="1" applyAlignment="1">
      <alignment horizontal="center"/>
    </xf>
    <xf numFmtId="0" fontId="2" fillId="43" borderId="39" xfId="0" applyFont="1" applyFill="1" applyBorder="1" applyAlignment="1">
      <alignment horizontal="left" wrapText="1"/>
    </xf>
    <xf numFmtId="0" fontId="0" fillId="33" borderId="20" xfId="0" applyFont="1" applyFill="1" applyBorder="1" applyAlignment="1" applyProtection="1">
      <alignment/>
      <protection locked="0"/>
    </xf>
    <xf numFmtId="0" fontId="0" fillId="0" borderId="24" xfId="0" applyFont="1" applyFill="1" applyBorder="1" applyAlignment="1">
      <alignment horizontal="left"/>
    </xf>
    <xf numFmtId="2" fontId="0" fillId="0" borderId="0" xfId="42" applyNumberFormat="1" applyFont="1" applyBorder="1" applyAlignment="1">
      <alignment horizontal="center"/>
    </xf>
    <xf numFmtId="0" fontId="21" fillId="37" borderId="51" xfId="0" applyFont="1" applyFill="1" applyBorder="1" applyAlignment="1">
      <alignment horizontal="center" vertical="top"/>
    </xf>
    <xf numFmtId="0" fontId="22" fillId="37" borderId="48" xfId="0" applyFont="1" applyFill="1" applyBorder="1" applyAlignment="1">
      <alignment/>
    </xf>
    <xf numFmtId="0" fontId="21" fillId="37" borderId="51" xfId="0" applyFont="1" applyFill="1" applyBorder="1" applyAlignment="1">
      <alignment horizontal="center" vertical="top" wrapText="1"/>
    </xf>
    <xf numFmtId="0" fontId="21" fillId="37" borderId="48" xfId="0" applyFont="1" applyFill="1" applyBorder="1" applyAlignment="1">
      <alignment horizontal="center" vertical="top" wrapText="1"/>
    </xf>
    <xf numFmtId="0" fontId="36" fillId="37" borderId="15" xfId="0" applyFont="1" applyFill="1" applyBorder="1" applyAlignment="1">
      <alignment horizontal="center" vertical="top" wrapText="1"/>
    </xf>
    <xf numFmtId="0" fontId="36" fillId="37" borderId="20" xfId="0" applyFont="1" applyFill="1" applyBorder="1" applyAlignment="1">
      <alignment horizontal="center" vertical="top" wrapText="1"/>
    </xf>
    <xf numFmtId="0" fontId="36" fillId="37" borderId="40" xfId="0" applyFont="1" applyFill="1" applyBorder="1" applyAlignment="1">
      <alignment horizontal="center" vertical="top" wrapText="1"/>
    </xf>
    <xf numFmtId="0" fontId="21" fillId="37" borderId="48" xfId="0" applyFont="1" applyFill="1" applyBorder="1" applyAlignment="1">
      <alignment horizontal="center" vertical="top"/>
    </xf>
    <xf numFmtId="0" fontId="39"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0" fontId="0" fillId="0" borderId="0" xfId="0" applyFill="1" applyBorder="1" applyAlignment="1">
      <alignment/>
    </xf>
    <xf numFmtId="9" fontId="0" fillId="0" borderId="0" xfId="59" applyFont="1" applyFill="1" applyBorder="1" applyAlignment="1">
      <alignment horizontal="center"/>
    </xf>
    <xf numFmtId="9" fontId="0" fillId="0" borderId="0" xfId="59" applyFont="1" applyFill="1" applyBorder="1" applyAlignment="1">
      <alignment horizontal="center"/>
    </xf>
    <xf numFmtId="2" fontId="0" fillId="0" borderId="0" xfId="42" applyNumberFormat="1" applyFont="1" applyFill="1" applyBorder="1" applyAlignment="1">
      <alignment horizontal="center"/>
    </xf>
    <xf numFmtId="0" fontId="0" fillId="0" borderId="0" xfId="0" applyFill="1" applyBorder="1" applyAlignment="1">
      <alignment/>
    </xf>
    <xf numFmtId="166" fontId="0" fillId="0" borderId="0" xfId="0" applyNumberFormat="1" applyFont="1" applyFill="1" applyBorder="1" applyAlignment="1">
      <alignment horizontal="center" wrapText="1"/>
    </xf>
    <xf numFmtId="0" fontId="0" fillId="0" borderId="24" xfId="0" applyFont="1" applyBorder="1" applyAlignment="1">
      <alignment horizontal="left"/>
    </xf>
    <xf numFmtId="0" fontId="3" fillId="0" borderId="50" xfId="0" applyFont="1" applyFill="1" applyBorder="1" applyAlignment="1">
      <alignment horizontal="left" wrapText="1"/>
    </xf>
    <xf numFmtId="0" fontId="0" fillId="0" borderId="50" xfId="0" applyFont="1" applyFill="1" applyBorder="1" applyAlignment="1">
      <alignment horizontal="center"/>
    </xf>
    <xf numFmtId="0" fontId="0" fillId="0" borderId="24" xfId="0" applyFont="1" applyFill="1" applyBorder="1" applyAlignment="1">
      <alignment/>
    </xf>
    <xf numFmtId="0" fontId="0" fillId="0" borderId="50" xfId="0" applyFont="1" applyFill="1" applyBorder="1" applyAlignment="1">
      <alignment horizontal="left"/>
    </xf>
    <xf numFmtId="0" fontId="3" fillId="0" borderId="50" xfId="0" applyFont="1" applyFill="1" applyBorder="1" applyAlignment="1">
      <alignment horizontal="left"/>
    </xf>
    <xf numFmtId="0" fontId="0" fillId="0" borderId="50" xfId="0" applyFont="1" applyFill="1" applyBorder="1" applyAlignment="1">
      <alignment horizontal="left" wrapText="1"/>
    </xf>
    <xf numFmtId="164" fontId="0" fillId="0" borderId="0" xfId="0" applyNumberFormat="1" applyFill="1" applyBorder="1" applyAlignment="1">
      <alignment horizontal="center"/>
    </xf>
    <xf numFmtId="0" fontId="29" fillId="0" borderId="50" xfId="0" applyFont="1" applyFill="1" applyBorder="1" applyAlignment="1">
      <alignment horizontal="left" wrapText="1"/>
    </xf>
    <xf numFmtId="188" fontId="0" fillId="0" borderId="0" xfId="0" applyNumberFormat="1" applyBorder="1" applyAlignment="1" applyProtection="1">
      <alignment horizontal="center"/>
      <protection/>
    </xf>
    <xf numFmtId="0" fontId="0" fillId="0" borderId="50" xfId="0" applyFont="1" applyFill="1" applyBorder="1" applyAlignment="1">
      <alignment/>
    </xf>
    <xf numFmtId="0" fontId="0" fillId="0" borderId="15" xfId="0" applyFont="1" applyFill="1" applyBorder="1" applyAlignment="1">
      <alignment/>
    </xf>
    <xf numFmtId="0" fontId="6" fillId="36" borderId="16" xfId="0" applyFont="1" applyFill="1" applyBorder="1" applyAlignment="1">
      <alignment horizontal="left" vertical="center" wrapText="1"/>
    </xf>
    <xf numFmtId="0" fontId="6" fillId="36" borderId="32" xfId="0" applyFont="1" applyFill="1" applyBorder="1" applyAlignment="1">
      <alignment horizontal="left" vertical="center" wrapText="1"/>
    </xf>
    <xf numFmtId="2" fontId="0" fillId="0" borderId="66" xfId="0" applyNumberFormat="1" applyFont="1" applyFill="1" applyBorder="1" applyAlignment="1">
      <alignment horizontal="left" vertical="center"/>
    </xf>
    <xf numFmtId="2" fontId="0" fillId="0" borderId="24" xfId="0" applyNumberFormat="1" applyFont="1" applyFill="1" applyBorder="1" applyAlignment="1">
      <alignment horizontal="left" vertical="center"/>
    </xf>
    <xf numFmtId="2" fontId="0" fillId="0" borderId="40" xfId="0" applyNumberFormat="1" applyFont="1" applyFill="1" applyBorder="1" applyAlignment="1">
      <alignment horizontal="left" vertical="center"/>
    </xf>
    <xf numFmtId="0" fontId="0" fillId="0" borderId="6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1" fillId="37" borderId="67" xfId="0" applyFont="1" applyFill="1" applyBorder="1" applyAlignment="1">
      <alignment horizontal="center" vertical="top" wrapText="1"/>
    </xf>
    <xf numFmtId="0" fontId="21" fillId="37" borderId="68" xfId="0" applyFont="1" applyFill="1" applyBorder="1" applyAlignment="1">
      <alignment horizontal="center" vertical="top" wrapText="1"/>
    </xf>
    <xf numFmtId="0" fontId="21" fillId="37" borderId="66" xfId="0" applyFont="1" applyFill="1" applyBorder="1" applyAlignment="1">
      <alignment horizontal="center" vertical="top" wrapText="1"/>
    </xf>
    <xf numFmtId="0" fontId="6" fillId="36" borderId="16" xfId="0" applyFont="1" applyFill="1" applyBorder="1" applyAlignment="1">
      <alignment horizontal="left" wrapText="1"/>
    </xf>
    <xf numFmtId="0" fontId="6" fillId="36" borderId="32" xfId="0" applyFont="1" applyFill="1" applyBorder="1" applyAlignment="1">
      <alignment horizontal="left" wrapText="1"/>
    </xf>
    <xf numFmtId="0" fontId="0" fillId="0" borderId="66" xfId="0" applyFont="1" applyFill="1" applyBorder="1" applyAlignment="1">
      <alignment horizontal="left" vertical="center"/>
    </xf>
    <xf numFmtId="0" fontId="0" fillId="0" borderId="24" xfId="0" applyFont="1" applyFill="1" applyBorder="1" applyAlignment="1">
      <alignment horizontal="left" vertical="center"/>
    </xf>
    <xf numFmtId="0" fontId="0" fillId="0" borderId="40" xfId="0" applyFont="1" applyFill="1" applyBorder="1" applyAlignment="1">
      <alignment horizontal="left" vertical="center"/>
    </xf>
    <xf numFmtId="0" fontId="6" fillId="36" borderId="16" xfId="0" applyFont="1" applyFill="1" applyBorder="1" applyAlignment="1">
      <alignment vertical="center" wrapText="1"/>
    </xf>
    <xf numFmtId="0" fontId="6" fillId="36" borderId="32" xfId="0" applyFont="1" applyFill="1" applyBorder="1" applyAlignment="1">
      <alignment vertical="center" wrapText="1"/>
    </xf>
    <xf numFmtId="166" fontId="2" fillId="35" borderId="69" xfId="0" applyNumberFormat="1" applyFont="1" applyFill="1" applyBorder="1" applyAlignment="1">
      <alignment horizontal="center"/>
    </xf>
    <xf numFmtId="0" fontId="3" fillId="35" borderId="70" xfId="0" applyFont="1" applyFill="1" applyBorder="1" applyAlignment="1">
      <alignment horizontal="center"/>
    </xf>
    <xf numFmtId="0" fontId="3" fillId="35" borderId="71" xfId="0" applyFont="1" applyFill="1" applyBorder="1" applyAlignment="1">
      <alignment horizontal="center"/>
    </xf>
    <xf numFmtId="0" fontId="2" fillId="0" borderId="32" xfId="0" applyFont="1" applyBorder="1" applyAlignment="1">
      <alignment horizontal="center"/>
    </xf>
    <xf numFmtId="0" fontId="2" fillId="0" borderId="14" xfId="0" applyFont="1" applyBorder="1" applyAlignment="1">
      <alignment horizontal="center"/>
    </xf>
    <xf numFmtId="164" fontId="2" fillId="0" borderId="16" xfId="0" applyNumberFormat="1" applyFont="1" applyBorder="1" applyAlignment="1">
      <alignment horizontal="center"/>
    </xf>
    <xf numFmtId="164" fontId="2" fillId="0" borderId="14" xfId="0" applyNumberFormat="1" applyFont="1" applyBorder="1" applyAlignment="1">
      <alignment horizontal="center"/>
    </xf>
    <xf numFmtId="1" fontId="2" fillId="35" borderId="69" xfId="0" applyNumberFormat="1" applyFont="1" applyFill="1" applyBorder="1" applyAlignment="1">
      <alignment horizontal="center"/>
    </xf>
    <xf numFmtId="1" fontId="2" fillId="35" borderId="70" xfId="0" applyNumberFormat="1" applyFont="1" applyFill="1" applyBorder="1" applyAlignment="1">
      <alignment horizontal="center"/>
    </xf>
    <xf numFmtId="1" fontId="2" fillId="35" borderId="72" xfId="0" applyNumberFormat="1" applyFont="1" applyFill="1" applyBorder="1" applyAlignment="1">
      <alignment horizontal="center"/>
    </xf>
    <xf numFmtId="1" fontId="2" fillId="0" borderId="16" xfId="0" applyNumberFormat="1" applyFont="1" applyBorder="1" applyAlignment="1">
      <alignment horizontal="center"/>
    </xf>
    <xf numFmtId="1" fontId="2" fillId="0" borderId="32" xfId="0" applyNumberFormat="1" applyFont="1" applyBorder="1" applyAlignment="1">
      <alignment horizontal="center"/>
    </xf>
    <xf numFmtId="1" fontId="2" fillId="0" borderId="14" xfId="0" applyNumberFormat="1" applyFont="1" applyBorder="1" applyAlignment="1">
      <alignment horizontal="center"/>
    </xf>
    <xf numFmtId="2" fontId="2" fillId="35" borderId="18" xfId="0" applyNumberFormat="1" applyFont="1" applyFill="1" applyBorder="1" applyAlignment="1">
      <alignment horizontal="center" vertical="center"/>
    </xf>
    <xf numFmtId="2" fontId="2" fillId="35" borderId="41" xfId="0" applyNumberFormat="1" applyFont="1" applyFill="1" applyBorder="1" applyAlignment="1">
      <alignment horizontal="center" vertical="center"/>
    </xf>
    <xf numFmtId="2" fontId="2" fillId="35" borderId="12" xfId="0" applyNumberFormat="1" applyFont="1" applyFill="1" applyBorder="1" applyAlignment="1">
      <alignment horizontal="center" vertical="center"/>
    </xf>
    <xf numFmtId="2" fontId="2" fillId="35" borderId="15" xfId="0" applyNumberFormat="1" applyFont="1" applyFill="1" applyBorder="1" applyAlignment="1">
      <alignment horizontal="center" vertical="center"/>
    </xf>
    <xf numFmtId="2" fontId="2" fillId="35" borderId="20" xfId="0" applyNumberFormat="1" applyFont="1" applyFill="1" applyBorder="1" applyAlignment="1">
      <alignment horizontal="center" vertical="center"/>
    </xf>
    <xf numFmtId="2" fontId="2" fillId="35" borderId="40" xfId="0" applyNumberFormat="1" applyFont="1" applyFill="1" applyBorder="1" applyAlignment="1">
      <alignment horizontal="center" vertical="center"/>
    </xf>
    <xf numFmtId="0" fontId="2" fillId="0" borderId="24" xfId="0" applyFont="1"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2" fillId="0" borderId="0" xfId="0" applyFont="1" applyBorder="1" applyAlignment="1">
      <alignment horizontal="center" vertical="center" wrapText="1"/>
    </xf>
    <xf numFmtId="0" fontId="0" fillId="0" borderId="19" xfId="0" applyBorder="1" applyAlignment="1">
      <alignment horizontal="center" vertical="center"/>
    </xf>
    <xf numFmtId="0" fontId="0" fillId="0" borderId="41" xfId="0" applyBorder="1" applyAlignment="1">
      <alignment/>
    </xf>
    <xf numFmtId="0" fontId="0" fillId="0" borderId="0" xfId="0" applyBorder="1" applyAlignment="1">
      <alignment/>
    </xf>
    <xf numFmtId="0" fontId="2" fillId="0" borderId="25" xfId="0" applyFont="1" applyBorder="1" applyAlignment="1">
      <alignment horizontal="center" vertical="center" wrapText="1"/>
    </xf>
    <xf numFmtId="0" fontId="0" fillId="0" borderId="39" xfId="0" applyBorder="1" applyAlignment="1">
      <alignment horizontal="center"/>
    </xf>
    <xf numFmtId="0" fontId="2" fillId="0" borderId="1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eating_Products\Data\Maintenance\_DHE\Maintanence%20Cost_(DHE)_2008-02-19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WF"/>
      <sheetName val="GWF"/>
      <sheetName val="FF"/>
      <sheetName val="RH"/>
      <sheetName val="References"/>
      <sheetName val="Probabilities"/>
      <sheetName val="Maintenance(rsmeans)_Gas"/>
      <sheetName val="CPI"/>
    </sheetNames>
    <sheetDataSet>
      <sheetData sheetId="7">
        <row r="13">
          <cell r="A13">
            <v>1949</v>
          </cell>
          <cell r="B13">
            <v>23.8</v>
          </cell>
        </row>
        <row r="14">
          <cell r="A14">
            <v>1950</v>
          </cell>
          <cell r="B14">
            <v>24.1</v>
          </cell>
        </row>
        <row r="15">
          <cell r="A15">
            <v>1951</v>
          </cell>
          <cell r="B15">
            <v>26</v>
          </cell>
        </row>
        <row r="16">
          <cell r="A16">
            <v>1952</v>
          </cell>
          <cell r="B16">
            <v>26.5</v>
          </cell>
        </row>
        <row r="17">
          <cell r="A17">
            <v>1953</v>
          </cell>
          <cell r="B17">
            <v>26.7</v>
          </cell>
        </row>
        <row r="18">
          <cell r="A18">
            <v>1954</v>
          </cell>
          <cell r="B18">
            <v>26.9</v>
          </cell>
        </row>
        <row r="19">
          <cell r="A19">
            <v>1955</v>
          </cell>
          <cell r="B19">
            <v>26.8</v>
          </cell>
        </row>
        <row r="20">
          <cell r="A20">
            <v>1956</v>
          </cell>
          <cell r="B20">
            <v>27.2</v>
          </cell>
        </row>
        <row r="21">
          <cell r="A21">
            <v>1957</v>
          </cell>
          <cell r="B21">
            <v>28.1</v>
          </cell>
        </row>
        <row r="22">
          <cell r="A22">
            <v>1958</v>
          </cell>
          <cell r="B22">
            <v>28.9</v>
          </cell>
        </row>
        <row r="23">
          <cell r="A23">
            <v>1959</v>
          </cell>
          <cell r="B23">
            <v>29.1</v>
          </cell>
        </row>
        <row r="24">
          <cell r="A24">
            <v>1960</v>
          </cell>
          <cell r="B24">
            <v>29.6</v>
          </cell>
        </row>
        <row r="25">
          <cell r="A25">
            <v>1961</v>
          </cell>
          <cell r="B25">
            <v>29.9</v>
          </cell>
        </row>
        <row r="26">
          <cell r="A26">
            <v>1962</v>
          </cell>
          <cell r="B26">
            <v>30.2</v>
          </cell>
        </row>
        <row r="27">
          <cell r="A27">
            <v>1963</v>
          </cell>
          <cell r="B27">
            <v>30.6</v>
          </cell>
        </row>
        <row r="28">
          <cell r="A28">
            <v>1964</v>
          </cell>
          <cell r="B28">
            <v>31</v>
          </cell>
        </row>
        <row r="29">
          <cell r="A29">
            <v>1965</v>
          </cell>
          <cell r="B29">
            <v>31.5</v>
          </cell>
        </row>
        <row r="30">
          <cell r="A30">
            <v>1966</v>
          </cell>
          <cell r="B30">
            <v>32.4</v>
          </cell>
        </row>
        <row r="31">
          <cell r="A31">
            <v>1967</v>
          </cell>
          <cell r="B31">
            <v>33.4</v>
          </cell>
        </row>
        <row r="32">
          <cell r="A32">
            <v>1968</v>
          </cell>
          <cell r="B32">
            <v>34.8</v>
          </cell>
        </row>
        <row r="33">
          <cell r="A33">
            <v>1969</v>
          </cell>
          <cell r="B33">
            <v>36.7</v>
          </cell>
        </row>
        <row r="34">
          <cell r="A34">
            <v>1970</v>
          </cell>
          <cell r="B34">
            <v>38.8</v>
          </cell>
        </row>
        <row r="35">
          <cell r="A35">
            <v>1971</v>
          </cell>
          <cell r="B35">
            <v>40.5</v>
          </cell>
        </row>
        <row r="36">
          <cell r="A36">
            <v>1972</v>
          </cell>
          <cell r="B36">
            <v>41.8</v>
          </cell>
        </row>
        <row r="37">
          <cell r="A37">
            <v>1973</v>
          </cell>
          <cell r="B37">
            <v>44.4</v>
          </cell>
        </row>
        <row r="38">
          <cell r="A38">
            <v>1974</v>
          </cell>
          <cell r="B38">
            <v>49.3</v>
          </cell>
        </row>
        <row r="39">
          <cell r="A39">
            <v>1975</v>
          </cell>
          <cell r="B39">
            <v>53.8</v>
          </cell>
        </row>
        <row r="40">
          <cell r="A40">
            <v>1976</v>
          </cell>
          <cell r="B40">
            <v>56.9</v>
          </cell>
        </row>
        <row r="41">
          <cell r="A41">
            <v>1977</v>
          </cell>
          <cell r="B41">
            <v>60.6</v>
          </cell>
        </row>
        <row r="42">
          <cell r="A42">
            <v>1978</v>
          </cell>
          <cell r="B42">
            <v>65.2</v>
          </cell>
        </row>
        <row r="43">
          <cell r="A43">
            <v>1979</v>
          </cell>
          <cell r="B43">
            <v>72.6</v>
          </cell>
        </row>
        <row r="44">
          <cell r="A44">
            <v>1980</v>
          </cell>
          <cell r="B44">
            <v>82.4</v>
          </cell>
        </row>
        <row r="45">
          <cell r="A45">
            <v>1981</v>
          </cell>
          <cell r="B45">
            <v>90.9</v>
          </cell>
        </row>
        <row r="46">
          <cell r="A46">
            <v>1982</v>
          </cell>
          <cell r="B46">
            <v>96.5</v>
          </cell>
        </row>
        <row r="47">
          <cell r="A47">
            <v>1983</v>
          </cell>
          <cell r="B47">
            <v>99.6</v>
          </cell>
        </row>
        <row r="48">
          <cell r="A48">
            <v>1984</v>
          </cell>
          <cell r="B48">
            <v>103.9</v>
          </cell>
        </row>
        <row r="49">
          <cell r="A49">
            <v>1985</v>
          </cell>
          <cell r="B49">
            <v>107.6</v>
          </cell>
        </row>
        <row r="50">
          <cell r="A50">
            <v>1986</v>
          </cell>
          <cell r="B50">
            <v>109.6</v>
          </cell>
        </row>
        <row r="51">
          <cell r="A51">
            <v>1987</v>
          </cell>
          <cell r="B51">
            <v>113.6</v>
          </cell>
        </row>
        <row r="52">
          <cell r="A52">
            <v>1988</v>
          </cell>
          <cell r="B52">
            <v>118.3</v>
          </cell>
        </row>
        <row r="53">
          <cell r="A53">
            <v>1989</v>
          </cell>
          <cell r="B53">
            <v>124</v>
          </cell>
        </row>
        <row r="54">
          <cell r="A54">
            <v>1990</v>
          </cell>
          <cell r="B54">
            <v>130.7</v>
          </cell>
        </row>
        <row r="55">
          <cell r="A55">
            <v>1991</v>
          </cell>
          <cell r="B55">
            <v>136.2</v>
          </cell>
        </row>
        <row r="56">
          <cell r="A56">
            <v>1992</v>
          </cell>
          <cell r="B56">
            <v>140.3</v>
          </cell>
        </row>
        <row r="57">
          <cell r="A57">
            <v>1993</v>
          </cell>
          <cell r="B57">
            <v>144.5</v>
          </cell>
        </row>
        <row r="58">
          <cell r="A58">
            <v>1994</v>
          </cell>
          <cell r="B58">
            <v>148.2</v>
          </cell>
        </row>
        <row r="59">
          <cell r="A59">
            <v>1995</v>
          </cell>
          <cell r="B59">
            <v>152.4</v>
          </cell>
        </row>
        <row r="60">
          <cell r="A60">
            <v>1996</v>
          </cell>
          <cell r="B60">
            <v>156.9</v>
          </cell>
        </row>
        <row r="61">
          <cell r="A61">
            <v>1997</v>
          </cell>
          <cell r="B61">
            <v>160.5</v>
          </cell>
        </row>
        <row r="62">
          <cell r="A62">
            <v>1998</v>
          </cell>
          <cell r="B62">
            <v>163</v>
          </cell>
        </row>
        <row r="63">
          <cell r="A63">
            <v>1999</v>
          </cell>
          <cell r="B63">
            <v>166.6</v>
          </cell>
        </row>
        <row r="64">
          <cell r="A64">
            <v>2000</v>
          </cell>
          <cell r="B64">
            <v>172.2</v>
          </cell>
        </row>
        <row r="65">
          <cell r="A65">
            <v>2001</v>
          </cell>
          <cell r="B65">
            <v>177.1</v>
          </cell>
        </row>
        <row r="66">
          <cell r="A66">
            <v>2002</v>
          </cell>
          <cell r="B66">
            <v>179.9</v>
          </cell>
        </row>
        <row r="67">
          <cell r="A67">
            <v>2003</v>
          </cell>
          <cell r="B67">
            <v>184</v>
          </cell>
        </row>
        <row r="68">
          <cell r="A68">
            <v>2004</v>
          </cell>
          <cell r="B68">
            <v>188.9</v>
          </cell>
        </row>
        <row r="69">
          <cell r="A69">
            <v>2005</v>
          </cell>
          <cell r="B69">
            <v>195.3</v>
          </cell>
        </row>
        <row r="70">
          <cell r="A70">
            <v>2006</v>
          </cell>
          <cell r="B70">
            <v>201.6</v>
          </cell>
        </row>
        <row r="71">
          <cell r="A71">
            <v>2007</v>
          </cell>
          <cell r="B71">
            <v>207.342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A1" sqref="A1"/>
    </sheetView>
  </sheetViews>
  <sheetFormatPr defaultColWidth="9.140625" defaultRowHeight="12.75"/>
  <cols>
    <col min="1" max="1" width="91.7109375" style="0" customWidth="1"/>
  </cols>
  <sheetData>
    <row r="1" ht="12.75">
      <c r="A1" s="57">
        <f ca="1">TODAY()</f>
        <v>39822</v>
      </c>
    </row>
    <row r="2" spans="1:4" ht="15.75">
      <c r="A2" s="4" t="s">
        <v>20</v>
      </c>
      <c r="D2" s="9"/>
    </row>
    <row r="3" spans="1:4" ht="15.75">
      <c r="A3" s="4"/>
      <c r="D3" s="9"/>
    </row>
    <row r="4" spans="1:4" ht="12.75">
      <c r="A4" s="18" t="s">
        <v>50</v>
      </c>
      <c r="D4" s="9"/>
    </row>
    <row r="5" spans="1:4" ht="51">
      <c r="A5" s="6" t="s">
        <v>365</v>
      </c>
      <c r="D5" s="9"/>
    </row>
    <row r="6" spans="1:4" ht="15.75">
      <c r="A6" s="4"/>
      <c r="D6" s="9"/>
    </row>
    <row r="7" spans="1:8" ht="12.75">
      <c r="A7" s="8" t="s">
        <v>51</v>
      </c>
      <c r="B7" s="3"/>
      <c r="C7" s="3"/>
      <c r="D7" s="5"/>
      <c r="E7" s="3"/>
      <c r="F7" s="3"/>
      <c r="G7" s="3"/>
      <c r="H7" s="3"/>
    </row>
    <row r="8" spans="1:8" ht="12.75">
      <c r="A8" s="3" t="s">
        <v>53</v>
      </c>
      <c r="B8" s="3"/>
      <c r="C8" s="3"/>
      <c r="D8" s="3"/>
      <c r="E8" s="3"/>
      <c r="F8" s="3"/>
      <c r="G8" s="3"/>
      <c r="H8" s="3"/>
    </row>
    <row r="9" spans="1:8" ht="12.75">
      <c r="A9" s="39" t="s">
        <v>2</v>
      </c>
      <c r="B9" s="3"/>
      <c r="C9" s="3"/>
      <c r="D9" s="3"/>
      <c r="E9" s="3"/>
      <c r="F9" s="3"/>
      <c r="G9" s="3"/>
      <c r="H9" s="3"/>
    </row>
    <row r="10" spans="1:8" ht="38.25">
      <c r="A10" s="6" t="s">
        <v>115</v>
      </c>
      <c r="B10" s="3"/>
      <c r="C10" s="3"/>
      <c r="D10" s="3"/>
      <c r="E10" s="3"/>
      <c r="F10" s="3"/>
      <c r="G10" s="3"/>
      <c r="H10" s="3"/>
    </row>
    <row r="11" spans="1:8" ht="25.5">
      <c r="A11" s="6" t="s">
        <v>116</v>
      </c>
      <c r="B11" s="3"/>
      <c r="C11" s="3"/>
      <c r="D11" s="3"/>
      <c r="E11" s="3"/>
      <c r="F11" s="3"/>
      <c r="G11" s="3"/>
      <c r="H11" s="3"/>
    </row>
    <row r="12" spans="1:8" ht="25.5">
      <c r="A12" s="6" t="s">
        <v>314</v>
      </c>
      <c r="B12" s="3"/>
      <c r="C12" s="3"/>
      <c r="D12" s="3"/>
      <c r="E12" s="3"/>
      <c r="F12" s="3"/>
      <c r="G12" s="3"/>
      <c r="H12" s="3"/>
    </row>
    <row r="13" spans="1:8" ht="12.75">
      <c r="A13" s="6"/>
      <c r="B13" s="3"/>
      <c r="C13" s="3"/>
      <c r="D13" s="3"/>
      <c r="E13" s="3"/>
      <c r="F13" s="3"/>
      <c r="G13" s="3"/>
      <c r="H13" s="3"/>
    </row>
    <row r="14" spans="1:8" ht="12.75">
      <c r="A14" s="8" t="s">
        <v>52</v>
      </c>
      <c r="B14" s="3"/>
      <c r="C14" s="3"/>
      <c r="D14" s="3"/>
      <c r="E14" s="3"/>
      <c r="F14" s="3"/>
      <c r="G14" s="3"/>
      <c r="H14" s="3"/>
    </row>
    <row r="16" ht="12.75">
      <c r="A16" s="58" t="s">
        <v>11</v>
      </c>
    </row>
    <row r="17" ht="12.75">
      <c r="A17" s="19" t="s">
        <v>12</v>
      </c>
    </row>
    <row r="18" ht="12.75">
      <c r="A18" s="91" t="s">
        <v>290</v>
      </c>
    </row>
    <row r="19" ht="12.75">
      <c r="A19" s="19" t="s">
        <v>305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10"/>
  <sheetViews>
    <sheetView zoomScale="85" zoomScaleNormal="8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2.00390625" style="72" customWidth="1"/>
    <col min="2" max="2" width="49.140625" style="72" customWidth="1"/>
    <col min="3" max="3" width="32.140625" style="72" customWidth="1"/>
    <col min="4" max="4" width="9.57421875" style="73" customWidth="1"/>
    <col min="5" max="5" width="14.140625" style="73" customWidth="1"/>
    <col min="6" max="6" width="12.28125" style="73" customWidth="1"/>
    <col min="7" max="7" width="13.140625" style="73" customWidth="1"/>
    <col min="8" max="8" width="8.7109375" style="72" customWidth="1"/>
    <col min="9" max="9" width="58.7109375" style="72" customWidth="1"/>
    <col min="10" max="10" width="94.8515625" style="72" customWidth="1"/>
    <col min="11" max="16384" width="9.140625" style="74" customWidth="1"/>
  </cols>
  <sheetData>
    <row r="1" spans="2:10" ht="18">
      <c r="B1" s="247" t="s">
        <v>19</v>
      </c>
      <c r="C1" s="244"/>
      <c r="D1" s="245"/>
      <c r="E1" s="245"/>
      <c r="F1" s="245"/>
      <c r="G1" s="245"/>
      <c r="H1" s="244"/>
      <c r="I1" s="244"/>
      <c r="J1" s="244"/>
    </row>
    <row r="2" spans="1:10" ht="36">
      <c r="A2" s="74"/>
      <c r="B2" s="357" t="s">
        <v>30</v>
      </c>
      <c r="C2" s="357" t="s">
        <v>31</v>
      </c>
      <c r="D2" s="357" t="s">
        <v>32</v>
      </c>
      <c r="E2" s="359" t="s">
        <v>229</v>
      </c>
      <c r="F2" s="394" t="s">
        <v>228</v>
      </c>
      <c r="G2" s="395"/>
      <c r="H2" s="396"/>
      <c r="I2" s="357" t="s">
        <v>54</v>
      </c>
      <c r="J2" s="357" t="s">
        <v>42</v>
      </c>
    </row>
    <row r="3" spans="2:10" s="77" customFormat="1" ht="30">
      <c r="B3" s="358"/>
      <c r="C3" s="358"/>
      <c r="D3" s="358"/>
      <c r="E3" s="360"/>
      <c r="F3" s="361" t="s">
        <v>187</v>
      </c>
      <c r="G3" s="362" t="s">
        <v>188</v>
      </c>
      <c r="H3" s="363" t="s">
        <v>270</v>
      </c>
      <c r="I3" s="364"/>
      <c r="J3" s="364"/>
    </row>
    <row r="4" spans="1:10" s="75" customFormat="1" ht="24.75" customHeight="1">
      <c r="A4" s="397" t="s">
        <v>55</v>
      </c>
      <c r="B4" s="398"/>
      <c r="C4" s="254"/>
      <c r="D4" s="254"/>
      <c r="E4" s="254"/>
      <c r="F4" s="254"/>
      <c r="G4" s="254"/>
      <c r="H4" s="250"/>
      <c r="I4" s="254"/>
      <c r="J4" s="251"/>
    </row>
    <row r="5" spans="1:10" s="75" customFormat="1" ht="12.75">
      <c r="A5" s="375"/>
      <c r="B5" s="218" t="s">
        <v>315</v>
      </c>
      <c r="C5" s="223" t="s">
        <v>326</v>
      </c>
      <c r="D5" s="105" t="s">
        <v>233</v>
      </c>
      <c r="E5" s="105" t="s">
        <v>232</v>
      </c>
      <c r="F5" s="365"/>
      <c r="G5" s="365"/>
      <c r="H5" s="105"/>
      <c r="I5" s="365"/>
      <c r="J5" s="355" t="s">
        <v>306</v>
      </c>
    </row>
    <row r="6" spans="1:10" s="75" customFormat="1" ht="12.75">
      <c r="A6" s="375"/>
      <c r="B6" s="218" t="s">
        <v>316</v>
      </c>
      <c r="C6" s="223" t="s">
        <v>327</v>
      </c>
      <c r="D6" s="105" t="s">
        <v>233</v>
      </c>
      <c r="E6" s="105" t="s">
        <v>230</v>
      </c>
      <c r="F6" s="365"/>
      <c r="G6" s="365"/>
      <c r="H6" s="105"/>
      <c r="I6" s="365"/>
      <c r="J6" s="355" t="s">
        <v>306</v>
      </c>
    </row>
    <row r="7" spans="1:10" s="75" customFormat="1" ht="12.75">
      <c r="A7" s="375"/>
      <c r="B7" s="218" t="s">
        <v>317</v>
      </c>
      <c r="C7" s="223" t="s">
        <v>328</v>
      </c>
      <c r="D7" s="105" t="s">
        <v>233</v>
      </c>
      <c r="E7" s="105" t="s">
        <v>231</v>
      </c>
      <c r="F7" s="365"/>
      <c r="G7" s="365"/>
      <c r="H7" s="105"/>
      <c r="I7" s="365"/>
      <c r="J7" s="355" t="s">
        <v>306</v>
      </c>
    </row>
    <row r="8" spans="1:10" s="75" customFormat="1" ht="12.75">
      <c r="A8" s="375"/>
      <c r="B8" s="218" t="s">
        <v>318</v>
      </c>
      <c r="C8" s="223" t="s">
        <v>329</v>
      </c>
      <c r="D8" s="105" t="s">
        <v>233</v>
      </c>
      <c r="E8" s="105" t="s">
        <v>230</v>
      </c>
      <c r="F8" s="365"/>
      <c r="G8" s="365"/>
      <c r="H8" s="105"/>
      <c r="I8" s="365"/>
      <c r="J8" s="355" t="s">
        <v>306</v>
      </c>
    </row>
    <row r="9" spans="1:10" s="75" customFormat="1" ht="12.75">
      <c r="A9" s="376"/>
      <c r="B9" s="218" t="s">
        <v>243</v>
      </c>
      <c r="C9" s="223" t="s">
        <v>244</v>
      </c>
      <c r="D9" s="219" t="s">
        <v>26</v>
      </c>
      <c r="E9" s="278">
        <v>15</v>
      </c>
      <c r="F9" s="278"/>
      <c r="G9" s="222"/>
      <c r="H9" s="105"/>
      <c r="I9" s="222"/>
      <c r="J9" s="377" t="s">
        <v>292</v>
      </c>
    </row>
    <row r="10" spans="1:10" ht="24.75" customHeight="1">
      <c r="A10" s="397" t="s">
        <v>46</v>
      </c>
      <c r="B10" s="398"/>
      <c r="C10" s="65"/>
      <c r="D10" s="66"/>
      <c r="E10" s="70"/>
      <c r="F10" s="70"/>
      <c r="G10" s="70"/>
      <c r="H10" s="71"/>
      <c r="I10" s="65"/>
      <c r="J10" s="255"/>
    </row>
    <row r="11" spans="1:10" s="76" customFormat="1" ht="12.75">
      <c r="A11" s="378"/>
      <c r="B11" s="223" t="s">
        <v>319</v>
      </c>
      <c r="C11" s="223" t="s">
        <v>335</v>
      </c>
      <c r="D11" s="223"/>
      <c r="E11" s="226"/>
      <c r="F11" s="239">
        <v>1990</v>
      </c>
      <c r="G11" s="226">
        <v>385</v>
      </c>
      <c r="H11" s="226">
        <f>G11*CPI_2007/CPI_1990</f>
        <v>610.762586074981</v>
      </c>
      <c r="I11" s="240"/>
      <c r="J11" s="388" t="s">
        <v>367</v>
      </c>
    </row>
    <row r="12" spans="1:10" s="76" customFormat="1" ht="12.75">
      <c r="A12" s="378"/>
      <c r="B12" s="223" t="s">
        <v>320</v>
      </c>
      <c r="C12" s="223" t="s">
        <v>193</v>
      </c>
      <c r="D12" s="223"/>
      <c r="E12" s="226"/>
      <c r="F12" s="239">
        <v>1990</v>
      </c>
      <c r="G12" s="226">
        <v>500</v>
      </c>
      <c r="H12" s="226">
        <f>G12*CPI_2007/CPI_1990</f>
        <v>793.1981637337415</v>
      </c>
      <c r="I12" s="240"/>
      <c r="J12" s="389"/>
    </row>
    <row r="13" spans="1:10" s="76" customFormat="1" ht="12.75">
      <c r="A13" s="378"/>
      <c r="B13" s="223" t="s">
        <v>321</v>
      </c>
      <c r="C13" s="223" t="s">
        <v>334</v>
      </c>
      <c r="D13" s="223"/>
      <c r="E13" s="226"/>
      <c r="F13" s="239">
        <v>1990</v>
      </c>
      <c r="G13" s="226">
        <v>705</v>
      </c>
      <c r="H13" s="226">
        <f>G13*CPI_2007/CPI_1990</f>
        <v>1118.4094108645756</v>
      </c>
      <c r="I13" s="240"/>
      <c r="J13" s="389"/>
    </row>
    <row r="14" spans="1:10" s="76" customFormat="1" ht="12.75">
      <c r="A14" s="378"/>
      <c r="B14" s="223" t="s">
        <v>294</v>
      </c>
      <c r="C14" s="223" t="s">
        <v>295</v>
      </c>
      <c r="D14" s="223"/>
      <c r="E14" s="226"/>
      <c r="F14" s="105">
        <v>2007</v>
      </c>
      <c r="G14" s="356">
        <v>167.827448367755</v>
      </c>
      <c r="H14" s="226">
        <v>167.827448367755</v>
      </c>
      <c r="I14" s="240"/>
      <c r="J14" s="389"/>
    </row>
    <row r="15" spans="1:10" s="76" customFormat="1" ht="11.25" customHeight="1">
      <c r="A15" s="378"/>
      <c r="B15" s="218" t="s">
        <v>296</v>
      </c>
      <c r="C15" s="223" t="s">
        <v>297</v>
      </c>
      <c r="D15" s="226" t="s">
        <v>33</v>
      </c>
      <c r="E15" s="370">
        <v>1</v>
      </c>
      <c r="F15" s="105"/>
      <c r="G15" s="371"/>
      <c r="H15" s="226"/>
      <c r="I15" s="240"/>
      <c r="J15" s="389"/>
    </row>
    <row r="16" spans="1:10" s="76" customFormat="1" ht="12.75">
      <c r="A16" s="378"/>
      <c r="B16" s="223" t="s">
        <v>298</v>
      </c>
      <c r="C16" s="223" t="s">
        <v>299</v>
      </c>
      <c r="D16" s="223"/>
      <c r="E16" s="226"/>
      <c r="F16" s="105">
        <v>2007</v>
      </c>
      <c r="G16" s="371">
        <v>32.28</v>
      </c>
      <c r="H16" s="226">
        <v>32.28</v>
      </c>
      <c r="I16" s="240"/>
      <c r="J16" s="389"/>
    </row>
    <row r="17" spans="1:10" s="76" customFormat="1" ht="12.75">
      <c r="A17" s="378"/>
      <c r="B17" s="218" t="s">
        <v>300</v>
      </c>
      <c r="C17" s="223" t="s">
        <v>330</v>
      </c>
      <c r="D17" s="226" t="s">
        <v>33</v>
      </c>
      <c r="E17" s="370">
        <v>0.5994111276519748</v>
      </c>
      <c r="F17" s="105"/>
      <c r="G17" s="371"/>
      <c r="H17" s="226"/>
      <c r="I17" s="372"/>
      <c r="J17" s="389"/>
    </row>
    <row r="18" spans="1:10" s="76" customFormat="1" ht="12.75">
      <c r="A18" s="378"/>
      <c r="B18" s="218" t="s">
        <v>300</v>
      </c>
      <c r="C18" s="223" t="s">
        <v>331</v>
      </c>
      <c r="D18" s="226" t="s">
        <v>33</v>
      </c>
      <c r="E18" s="370">
        <v>0.6936678584834781</v>
      </c>
      <c r="F18" s="105"/>
      <c r="G18" s="371"/>
      <c r="H18" s="226"/>
      <c r="I18" s="372"/>
      <c r="J18" s="389"/>
    </row>
    <row r="19" spans="1:10" s="76" customFormat="1" ht="12.75">
      <c r="A19" s="378"/>
      <c r="B19" s="218" t="s">
        <v>300</v>
      </c>
      <c r="C19" s="223" t="s">
        <v>332</v>
      </c>
      <c r="D19" s="226" t="s">
        <v>33</v>
      </c>
      <c r="E19" s="370">
        <v>0.7035754513664555</v>
      </c>
      <c r="F19" s="105"/>
      <c r="G19" s="371"/>
      <c r="H19" s="226"/>
      <c r="I19" s="372"/>
      <c r="J19" s="389"/>
    </row>
    <row r="20" spans="1:10" s="76" customFormat="1" ht="12.75">
      <c r="A20" s="378"/>
      <c r="B20" s="218" t="s">
        <v>300</v>
      </c>
      <c r="C20" s="223" t="s">
        <v>333</v>
      </c>
      <c r="D20" s="226" t="s">
        <v>33</v>
      </c>
      <c r="E20" s="370">
        <v>0.30651543320935015</v>
      </c>
      <c r="F20" s="105"/>
      <c r="G20" s="371"/>
      <c r="H20" s="226"/>
      <c r="I20" s="372"/>
      <c r="J20" s="389"/>
    </row>
    <row r="21" spans="1:10" s="76" customFormat="1" ht="12.75">
      <c r="A21" s="378"/>
      <c r="B21" s="223" t="s">
        <v>189</v>
      </c>
      <c r="C21" s="223" t="s">
        <v>194</v>
      </c>
      <c r="D21" s="223"/>
      <c r="E21" s="226"/>
      <c r="F21" s="239">
        <v>1990</v>
      </c>
      <c r="G21" s="226">
        <v>100</v>
      </c>
      <c r="H21" s="226">
        <f>G21*CPI_2007/CPI_1990</f>
        <v>158.6396327467483</v>
      </c>
      <c r="I21" s="240"/>
      <c r="J21" s="390"/>
    </row>
    <row r="22" spans="1:10" ht="24.75" customHeight="1">
      <c r="A22" s="386" t="s">
        <v>47</v>
      </c>
      <c r="B22" s="387"/>
      <c r="C22" s="248"/>
      <c r="D22" s="249"/>
      <c r="E22" s="249"/>
      <c r="F22" s="249"/>
      <c r="G22" s="249"/>
      <c r="H22" s="252"/>
      <c r="I22" s="253"/>
      <c r="J22" s="256"/>
    </row>
    <row r="23" spans="1:10" ht="12.75">
      <c r="A23" s="379"/>
      <c r="B23" s="224" t="s">
        <v>251</v>
      </c>
      <c r="C23" s="223" t="s">
        <v>254</v>
      </c>
      <c r="D23" s="226"/>
      <c r="E23" s="228"/>
      <c r="F23" s="225">
        <v>1992</v>
      </c>
      <c r="G23" s="280">
        <v>145</v>
      </c>
      <c r="H23" s="226">
        <f>G23*CPI_2007/CPI_1992</f>
        <v>214.2878831076265</v>
      </c>
      <c r="I23" s="238"/>
      <c r="J23" s="399" t="s">
        <v>368</v>
      </c>
    </row>
    <row r="24" spans="1:10" ht="12.75">
      <c r="A24" s="379"/>
      <c r="B24" s="218" t="s">
        <v>252</v>
      </c>
      <c r="C24" s="218" t="s">
        <v>253</v>
      </c>
      <c r="D24" s="219" t="s">
        <v>26</v>
      </c>
      <c r="E24" s="219">
        <v>5</v>
      </c>
      <c r="F24" s="366"/>
      <c r="G24" s="367"/>
      <c r="H24" s="226"/>
      <c r="I24" s="238"/>
      <c r="J24" s="400"/>
    </row>
    <row r="25" spans="1:10" ht="12.75">
      <c r="A25" s="379"/>
      <c r="B25" s="368" t="s">
        <v>195</v>
      </c>
      <c r="C25" s="223" t="s">
        <v>203</v>
      </c>
      <c r="D25" s="226"/>
      <c r="E25" s="228"/>
      <c r="F25" s="366">
        <v>2007</v>
      </c>
      <c r="G25" s="367">
        <v>162.23115</v>
      </c>
      <c r="H25" s="226">
        <f>G25*CPI_2007/CPI_2007</f>
        <v>162.23115</v>
      </c>
      <c r="I25" s="238"/>
      <c r="J25" s="400"/>
    </row>
    <row r="26" spans="1:10" ht="12.75">
      <c r="A26" s="379"/>
      <c r="B26" s="368" t="s">
        <v>199</v>
      </c>
      <c r="C26" s="223" t="s">
        <v>204</v>
      </c>
      <c r="D26" s="226" t="s">
        <v>26</v>
      </c>
      <c r="E26" s="366">
        <v>10</v>
      </c>
      <c r="F26" s="366"/>
      <c r="G26" s="367"/>
      <c r="H26" s="226"/>
      <c r="I26" s="238"/>
      <c r="J26" s="400"/>
    </row>
    <row r="27" spans="1:10" ht="12.75">
      <c r="A27" s="379"/>
      <c r="B27" s="368" t="s">
        <v>249</v>
      </c>
      <c r="C27" s="223" t="s">
        <v>250</v>
      </c>
      <c r="D27" s="226" t="s">
        <v>33</v>
      </c>
      <c r="E27" s="369">
        <v>0.805</v>
      </c>
      <c r="F27" s="366"/>
      <c r="G27" s="367"/>
      <c r="H27" s="226"/>
      <c r="I27" s="238"/>
      <c r="J27" s="400"/>
    </row>
    <row r="28" spans="1:10" ht="12.75">
      <c r="A28" s="379"/>
      <c r="B28" s="368" t="s">
        <v>196</v>
      </c>
      <c r="C28" s="223" t="s">
        <v>205</v>
      </c>
      <c r="D28" s="226"/>
      <c r="E28" s="227"/>
      <c r="F28" s="366">
        <v>2007</v>
      </c>
      <c r="G28" s="367">
        <v>204.46380000000005</v>
      </c>
      <c r="H28" s="226">
        <f>G28*CPI_2007/CPI_2007</f>
        <v>204.46380000000005</v>
      </c>
      <c r="I28" s="238"/>
      <c r="J28" s="400"/>
    </row>
    <row r="29" spans="1:10" ht="12.75">
      <c r="A29" s="379"/>
      <c r="B29" s="368" t="s">
        <v>200</v>
      </c>
      <c r="C29" s="223" t="s">
        <v>206</v>
      </c>
      <c r="D29" s="226" t="s">
        <v>26</v>
      </c>
      <c r="E29" s="366">
        <v>10</v>
      </c>
      <c r="F29" s="366"/>
      <c r="G29" s="367"/>
      <c r="H29" s="226"/>
      <c r="I29" s="238"/>
      <c r="J29" s="400"/>
    </row>
    <row r="30" spans="1:10" ht="12.75">
      <c r="A30" s="379"/>
      <c r="B30" s="368" t="s">
        <v>255</v>
      </c>
      <c r="C30" s="223" t="s">
        <v>259</v>
      </c>
      <c r="D30" s="226" t="s">
        <v>33</v>
      </c>
      <c r="E30" s="369">
        <v>0.805</v>
      </c>
      <c r="F30" s="366"/>
      <c r="G30" s="367"/>
      <c r="H30" s="226"/>
      <c r="I30" s="238"/>
      <c r="J30" s="400"/>
    </row>
    <row r="31" spans="1:10" ht="12.75">
      <c r="A31" s="379"/>
      <c r="B31" s="368" t="s">
        <v>245</v>
      </c>
      <c r="C31" s="223" t="s">
        <v>248</v>
      </c>
      <c r="D31" s="226"/>
      <c r="E31" s="227"/>
      <c r="F31" s="366">
        <v>2007</v>
      </c>
      <c r="G31" s="367">
        <v>296.59200000000004</v>
      </c>
      <c r="H31" s="226">
        <f>G31*CPI_2007/CPI_2007</f>
        <v>296.59200000000004</v>
      </c>
      <c r="I31" s="238"/>
      <c r="J31" s="400"/>
    </row>
    <row r="32" spans="1:10" ht="12.75">
      <c r="A32" s="379"/>
      <c r="B32" s="368" t="s">
        <v>246</v>
      </c>
      <c r="C32" s="223" t="s">
        <v>247</v>
      </c>
      <c r="D32" s="226" t="s">
        <v>26</v>
      </c>
      <c r="E32" s="366">
        <v>12</v>
      </c>
      <c r="F32" s="366"/>
      <c r="G32" s="367"/>
      <c r="H32" s="226"/>
      <c r="I32" s="238"/>
      <c r="J32" s="400"/>
    </row>
    <row r="33" spans="1:10" ht="12.75">
      <c r="A33" s="379"/>
      <c r="B33" s="368" t="s">
        <v>256</v>
      </c>
      <c r="C33" s="223" t="s">
        <v>260</v>
      </c>
      <c r="D33" s="226" t="s">
        <v>33</v>
      </c>
      <c r="E33" s="369">
        <v>0.65</v>
      </c>
      <c r="F33" s="366"/>
      <c r="G33" s="367"/>
      <c r="H33" s="226"/>
      <c r="I33" s="238"/>
      <c r="J33" s="400"/>
    </row>
    <row r="34" spans="1:10" ht="12.75">
      <c r="A34" s="379"/>
      <c r="B34" s="368" t="s">
        <v>197</v>
      </c>
      <c r="C34" s="223" t="s">
        <v>207</v>
      </c>
      <c r="D34" s="226"/>
      <c r="E34" s="227"/>
      <c r="F34" s="366">
        <v>2007</v>
      </c>
      <c r="G34" s="367">
        <v>296.59200000000004</v>
      </c>
      <c r="H34" s="226">
        <f>G34*CPI_2007/CPI_2007</f>
        <v>296.59200000000004</v>
      </c>
      <c r="I34" s="238"/>
      <c r="J34" s="400"/>
    </row>
    <row r="35" spans="1:10" ht="12.75">
      <c r="A35" s="379"/>
      <c r="B35" s="368" t="s">
        <v>201</v>
      </c>
      <c r="C35" s="223" t="s">
        <v>208</v>
      </c>
      <c r="D35" s="226" t="s">
        <v>26</v>
      </c>
      <c r="E35" s="366">
        <v>15</v>
      </c>
      <c r="F35" s="366"/>
      <c r="G35" s="368"/>
      <c r="H35" s="226"/>
      <c r="I35" s="238"/>
      <c r="J35" s="400"/>
    </row>
    <row r="36" spans="1:10" ht="12.75">
      <c r="A36" s="379"/>
      <c r="B36" s="368" t="s">
        <v>257</v>
      </c>
      <c r="C36" s="223" t="s">
        <v>261</v>
      </c>
      <c r="D36" s="226" t="s">
        <v>33</v>
      </c>
      <c r="E36" s="369">
        <v>0.466</v>
      </c>
      <c r="F36" s="366"/>
      <c r="G36" s="368"/>
      <c r="H36" s="226"/>
      <c r="I36" s="238"/>
      <c r="J36" s="400"/>
    </row>
    <row r="37" spans="1:10" ht="12.75">
      <c r="A37" s="379"/>
      <c r="B37" s="224" t="s">
        <v>198</v>
      </c>
      <c r="C37" s="223" t="s">
        <v>209</v>
      </c>
      <c r="D37" s="226"/>
      <c r="E37" s="227"/>
      <c r="F37" s="225">
        <v>2007</v>
      </c>
      <c r="G37" s="224">
        <v>0</v>
      </c>
      <c r="H37" s="226">
        <f>G37*CPI_2007/CPI_1990</f>
        <v>0</v>
      </c>
      <c r="I37" s="238"/>
      <c r="J37" s="400"/>
    </row>
    <row r="38" spans="1:10" ht="12.75">
      <c r="A38" s="379"/>
      <c r="B38" s="224" t="s">
        <v>202</v>
      </c>
      <c r="C38" s="223" t="s">
        <v>210</v>
      </c>
      <c r="D38" s="226" t="s">
        <v>26</v>
      </c>
      <c r="E38" s="225">
        <v>7.7</v>
      </c>
      <c r="F38" s="225"/>
      <c r="G38" s="224"/>
      <c r="H38" s="226"/>
      <c r="I38" s="238"/>
      <c r="J38" s="400"/>
    </row>
    <row r="39" spans="1:10" ht="12.75">
      <c r="A39" s="379"/>
      <c r="B39" s="224" t="s">
        <v>258</v>
      </c>
      <c r="C39" s="223" t="s">
        <v>262</v>
      </c>
      <c r="D39" s="226" t="s">
        <v>26</v>
      </c>
      <c r="E39" s="279">
        <v>0</v>
      </c>
      <c r="F39" s="225"/>
      <c r="G39" s="224"/>
      <c r="H39" s="226"/>
      <c r="I39" s="238"/>
      <c r="J39" s="401"/>
    </row>
    <row r="40" spans="1:10" ht="24.75" customHeight="1">
      <c r="A40" s="386" t="s">
        <v>56</v>
      </c>
      <c r="B40" s="387"/>
      <c r="C40" s="69"/>
      <c r="D40" s="70"/>
      <c r="E40" s="70"/>
      <c r="F40" s="70"/>
      <c r="G40" s="70"/>
      <c r="H40" s="71"/>
      <c r="I40" s="65"/>
      <c r="J40" s="255"/>
    </row>
    <row r="41" spans="1:10" s="75" customFormat="1" ht="12.75">
      <c r="A41" s="380"/>
      <c r="B41" s="218" t="s">
        <v>146</v>
      </c>
      <c r="C41" s="218" t="s">
        <v>147</v>
      </c>
      <c r="D41" s="219" t="s">
        <v>148</v>
      </c>
      <c r="E41" s="220">
        <v>130.7</v>
      </c>
      <c r="F41" s="220"/>
      <c r="G41" s="220"/>
      <c r="H41" s="220"/>
      <c r="I41" s="218"/>
      <c r="J41" s="391" t="s">
        <v>307</v>
      </c>
    </row>
    <row r="42" spans="1:10" s="75" customFormat="1" ht="12.75">
      <c r="A42" s="380"/>
      <c r="B42" s="218" t="s">
        <v>149</v>
      </c>
      <c r="C42" s="218" t="s">
        <v>150</v>
      </c>
      <c r="D42" s="219" t="s">
        <v>148</v>
      </c>
      <c r="E42" s="366">
        <v>136.2</v>
      </c>
      <c r="F42" s="366"/>
      <c r="G42" s="366"/>
      <c r="H42" s="220"/>
      <c r="I42" s="218"/>
      <c r="J42" s="392"/>
    </row>
    <row r="43" spans="1:10" s="75" customFormat="1" ht="12.75">
      <c r="A43" s="380"/>
      <c r="B43" s="218" t="s">
        <v>151</v>
      </c>
      <c r="C43" s="218" t="s">
        <v>152</v>
      </c>
      <c r="D43" s="219" t="s">
        <v>148</v>
      </c>
      <c r="E43" s="220">
        <v>140.3</v>
      </c>
      <c r="F43" s="220"/>
      <c r="G43" s="220"/>
      <c r="H43" s="220"/>
      <c r="I43" s="218"/>
      <c r="J43" s="392"/>
    </row>
    <row r="44" spans="1:10" s="75" customFormat="1" ht="12.75">
      <c r="A44" s="380"/>
      <c r="B44" s="218" t="s">
        <v>190</v>
      </c>
      <c r="C44" s="218" t="s">
        <v>191</v>
      </c>
      <c r="D44" s="219" t="s">
        <v>148</v>
      </c>
      <c r="E44" s="220">
        <v>144.5</v>
      </c>
      <c r="F44" s="220"/>
      <c r="G44" s="220"/>
      <c r="H44" s="220"/>
      <c r="I44" s="218"/>
      <c r="J44" s="392"/>
    </row>
    <row r="45" spans="1:10" s="75" customFormat="1" ht="12.75">
      <c r="A45" s="380"/>
      <c r="B45" s="218" t="s">
        <v>153</v>
      </c>
      <c r="C45" s="218" t="s">
        <v>154</v>
      </c>
      <c r="D45" s="219" t="s">
        <v>148</v>
      </c>
      <c r="E45" s="381">
        <v>163</v>
      </c>
      <c r="F45" s="381"/>
      <c r="G45" s="381"/>
      <c r="H45" s="220"/>
      <c r="I45" s="218"/>
      <c r="J45" s="392"/>
    </row>
    <row r="46" spans="1:10" s="75" customFormat="1" ht="12.75">
      <c r="A46" s="380"/>
      <c r="B46" s="218" t="s">
        <v>155</v>
      </c>
      <c r="C46" s="218" t="s">
        <v>156</v>
      </c>
      <c r="D46" s="219" t="s">
        <v>148</v>
      </c>
      <c r="E46" s="220">
        <v>166.6</v>
      </c>
      <c r="F46" s="220"/>
      <c r="G46" s="220"/>
      <c r="H46" s="220"/>
      <c r="I46" s="218"/>
      <c r="J46" s="392"/>
    </row>
    <row r="47" spans="1:10" s="75" customFormat="1" ht="12.75">
      <c r="A47" s="380"/>
      <c r="B47" s="218" t="s">
        <v>157</v>
      </c>
      <c r="C47" s="218" t="s">
        <v>158</v>
      </c>
      <c r="D47" s="219" t="s">
        <v>148</v>
      </c>
      <c r="E47" s="220">
        <v>177.1</v>
      </c>
      <c r="F47" s="220"/>
      <c r="G47" s="220"/>
      <c r="H47" s="220"/>
      <c r="I47" s="218"/>
      <c r="J47" s="392"/>
    </row>
    <row r="48" spans="1:10" s="75" customFormat="1" ht="12.75">
      <c r="A48" s="380"/>
      <c r="B48" s="218" t="s">
        <v>159</v>
      </c>
      <c r="C48" s="218" t="s">
        <v>160</v>
      </c>
      <c r="D48" s="219" t="s">
        <v>148</v>
      </c>
      <c r="E48" s="220">
        <v>179.9</v>
      </c>
      <c r="F48" s="220"/>
      <c r="G48" s="220"/>
      <c r="H48" s="220"/>
      <c r="I48" s="218"/>
      <c r="J48" s="392"/>
    </row>
    <row r="49" spans="1:10" s="75" customFormat="1" ht="12.75">
      <c r="A49" s="380"/>
      <c r="B49" s="218" t="s">
        <v>161</v>
      </c>
      <c r="C49" s="218" t="s">
        <v>162</v>
      </c>
      <c r="D49" s="219" t="s">
        <v>148</v>
      </c>
      <c r="E49" s="220">
        <v>184</v>
      </c>
      <c r="F49" s="220"/>
      <c r="G49" s="220"/>
      <c r="H49" s="220"/>
      <c r="I49" s="218"/>
      <c r="J49" s="392"/>
    </row>
    <row r="50" spans="1:10" s="75" customFormat="1" ht="12.75">
      <c r="A50" s="380"/>
      <c r="B50" s="218" t="s">
        <v>163</v>
      </c>
      <c r="C50" s="218" t="s">
        <v>164</v>
      </c>
      <c r="D50" s="219" t="s">
        <v>148</v>
      </c>
      <c r="E50" s="220">
        <v>188.9</v>
      </c>
      <c r="F50" s="220"/>
      <c r="G50" s="220"/>
      <c r="H50" s="220"/>
      <c r="I50" s="218"/>
      <c r="J50" s="392"/>
    </row>
    <row r="51" spans="1:10" s="75" customFormat="1" ht="12.75">
      <c r="A51" s="380"/>
      <c r="B51" s="218" t="s">
        <v>165</v>
      </c>
      <c r="C51" s="218" t="s">
        <v>166</v>
      </c>
      <c r="D51" s="219" t="s">
        <v>148</v>
      </c>
      <c r="E51" s="221">
        <v>195.3</v>
      </c>
      <c r="F51" s="221"/>
      <c r="G51" s="221"/>
      <c r="H51" s="221"/>
      <c r="I51" s="222"/>
      <c r="J51" s="392"/>
    </row>
    <row r="52" spans="1:10" s="75" customFormat="1" ht="12.75">
      <c r="A52" s="380"/>
      <c r="B52" s="218" t="s">
        <v>167</v>
      </c>
      <c r="C52" s="218" t="s">
        <v>168</v>
      </c>
      <c r="D52" s="219" t="s">
        <v>148</v>
      </c>
      <c r="E52" s="221">
        <v>201.6</v>
      </c>
      <c r="F52" s="221"/>
      <c r="G52" s="221"/>
      <c r="H52" s="221"/>
      <c r="I52" s="222"/>
      <c r="J52" s="392"/>
    </row>
    <row r="53" spans="1:10" s="75" customFormat="1" ht="12.75">
      <c r="A53" s="380"/>
      <c r="B53" s="218" t="s">
        <v>236</v>
      </c>
      <c r="C53" s="218" t="s">
        <v>237</v>
      </c>
      <c r="D53" s="219" t="s">
        <v>148</v>
      </c>
      <c r="E53" s="221">
        <v>207.342</v>
      </c>
      <c r="F53" s="221"/>
      <c r="G53" s="221"/>
      <c r="H53" s="221"/>
      <c r="I53" s="222"/>
      <c r="J53" s="393"/>
    </row>
    <row r="54" spans="1:10" s="76" customFormat="1" ht="24.75" customHeight="1">
      <c r="A54" s="386" t="s">
        <v>48</v>
      </c>
      <c r="B54" s="387"/>
      <c r="C54" s="67"/>
      <c r="D54" s="67"/>
      <c r="E54" s="71"/>
      <c r="F54" s="71"/>
      <c r="G54" s="71"/>
      <c r="H54" s="71"/>
      <c r="I54" s="68"/>
      <c r="J54" s="258"/>
    </row>
    <row r="55" spans="1:10" s="75" customFormat="1" ht="12.75">
      <c r="A55" s="380"/>
      <c r="B55" s="218" t="s">
        <v>169</v>
      </c>
      <c r="C55" s="218" t="s">
        <v>170</v>
      </c>
      <c r="D55" s="219" t="s">
        <v>148</v>
      </c>
      <c r="E55" s="230">
        <v>1.38</v>
      </c>
      <c r="F55" s="230"/>
      <c r="G55" s="230"/>
      <c r="H55" s="230"/>
      <c r="I55" s="223" t="s">
        <v>308</v>
      </c>
      <c r="J55" s="355" t="s">
        <v>309</v>
      </c>
    </row>
    <row r="56" spans="1:10" s="75" customFormat="1" ht="12.75">
      <c r="A56" s="380"/>
      <c r="B56" s="218" t="s">
        <v>171</v>
      </c>
      <c r="C56" s="218" t="s">
        <v>172</v>
      </c>
      <c r="D56" s="219" t="s">
        <v>148</v>
      </c>
      <c r="E56" s="230">
        <v>1.35</v>
      </c>
      <c r="F56" s="230"/>
      <c r="G56" s="230"/>
      <c r="H56" s="230"/>
      <c r="I56" s="105"/>
      <c r="J56" s="374" t="s">
        <v>310</v>
      </c>
    </row>
    <row r="57" spans="1:10" s="75" customFormat="1" ht="12.75">
      <c r="A57" s="380"/>
      <c r="B57" s="218" t="s">
        <v>224</v>
      </c>
      <c r="C57" s="218" t="s">
        <v>173</v>
      </c>
      <c r="D57" s="219" t="s">
        <v>148</v>
      </c>
      <c r="E57" s="230">
        <v>1.11</v>
      </c>
      <c r="F57" s="230"/>
      <c r="G57" s="230"/>
      <c r="H57" s="230"/>
      <c r="I57" s="105"/>
      <c r="J57" s="374" t="s">
        <v>310</v>
      </c>
    </row>
    <row r="58" spans="1:10" s="75" customFormat="1" ht="12.75">
      <c r="A58" s="380"/>
      <c r="B58" s="218" t="s">
        <v>212</v>
      </c>
      <c r="C58" s="218" t="s">
        <v>214</v>
      </c>
      <c r="D58" s="219" t="s">
        <v>148</v>
      </c>
      <c r="E58" s="230">
        <v>1.32</v>
      </c>
      <c r="F58" s="230"/>
      <c r="G58" s="230"/>
      <c r="H58" s="230"/>
      <c r="I58" s="105"/>
      <c r="J58" s="374" t="s">
        <v>313</v>
      </c>
    </row>
    <row r="59" spans="1:10" s="75" customFormat="1" ht="13.5" customHeight="1">
      <c r="A59" s="380"/>
      <c r="B59" s="218" t="s">
        <v>234</v>
      </c>
      <c r="C59" s="218" t="s">
        <v>215</v>
      </c>
      <c r="D59" s="219" t="s">
        <v>148</v>
      </c>
      <c r="E59" s="230">
        <v>1.32</v>
      </c>
      <c r="F59" s="230"/>
      <c r="G59" s="230"/>
      <c r="H59" s="230"/>
      <c r="I59" s="105"/>
      <c r="J59" s="374" t="s">
        <v>313</v>
      </c>
    </row>
    <row r="60" spans="1:10" s="75" customFormat="1" ht="12.75">
      <c r="A60" s="380"/>
      <c r="B60" s="218" t="s">
        <v>211</v>
      </c>
      <c r="C60" s="218" t="s">
        <v>213</v>
      </c>
      <c r="D60" s="219" t="s">
        <v>148</v>
      </c>
      <c r="E60" s="230">
        <v>1.32</v>
      </c>
      <c r="F60" s="230"/>
      <c r="G60" s="230"/>
      <c r="H60" s="230"/>
      <c r="I60" s="105"/>
      <c r="J60" s="374" t="s">
        <v>313</v>
      </c>
    </row>
    <row r="61" spans="1:10" s="75" customFormat="1" ht="12.75">
      <c r="A61" s="380"/>
      <c r="B61" s="218" t="s">
        <v>235</v>
      </c>
      <c r="C61" s="218" t="s">
        <v>216</v>
      </c>
      <c r="D61" s="219" t="s">
        <v>148</v>
      </c>
      <c r="E61" s="230">
        <v>1.32</v>
      </c>
      <c r="F61" s="230"/>
      <c r="G61" s="230"/>
      <c r="H61" s="230"/>
      <c r="I61" s="105"/>
      <c r="J61" s="374" t="s">
        <v>313</v>
      </c>
    </row>
    <row r="62" spans="1:10" s="75" customFormat="1" ht="12.75">
      <c r="A62" s="380"/>
      <c r="B62" s="218" t="s">
        <v>174</v>
      </c>
      <c r="C62" s="218" t="s">
        <v>175</v>
      </c>
      <c r="D62" s="219" t="s">
        <v>148</v>
      </c>
      <c r="E62" s="219">
        <v>1.31</v>
      </c>
      <c r="F62" s="219"/>
      <c r="G62" s="219"/>
      <c r="H62" s="219"/>
      <c r="I62" s="105"/>
      <c r="J62" s="374" t="s">
        <v>311</v>
      </c>
    </row>
    <row r="63" spans="1:10" s="75" customFormat="1" ht="12.75">
      <c r="A63" s="380"/>
      <c r="B63" s="218" t="s">
        <v>225</v>
      </c>
      <c r="C63" s="218" t="s">
        <v>176</v>
      </c>
      <c r="D63" s="219" t="s">
        <v>148</v>
      </c>
      <c r="E63" s="219">
        <v>1.26</v>
      </c>
      <c r="F63" s="219"/>
      <c r="G63" s="219"/>
      <c r="H63" s="219"/>
      <c r="I63" s="105"/>
      <c r="J63" s="374" t="s">
        <v>311</v>
      </c>
    </row>
    <row r="64" spans="1:10" s="75" customFormat="1" ht="12.75">
      <c r="A64" s="380"/>
      <c r="B64" s="218" t="s">
        <v>177</v>
      </c>
      <c r="C64" s="218" t="s">
        <v>178</v>
      </c>
      <c r="D64" s="219" t="s">
        <v>148</v>
      </c>
      <c r="E64" s="281">
        <v>1.075</v>
      </c>
      <c r="F64" s="219"/>
      <c r="G64" s="219"/>
      <c r="H64" s="219"/>
      <c r="I64" s="105"/>
      <c r="J64" s="355" t="s">
        <v>312</v>
      </c>
    </row>
    <row r="65" spans="1:10" s="246" customFormat="1" ht="12.75">
      <c r="A65" s="382"/>
      <c r="B65" s="218" t="s">
        <v>226</v>
      </c>
      <c r="C65" s="218" t="s">
        <v>347</v>
      </c>
      <c r="D65" s="241" t="s">
        <v>148</v>
      </c>
      <c r="E65" s="230">
        <f>distr_markup*contr_markup_replacement*(83:83*sales_tax+(1-83:83)*bld_markup)</f>
        <v>1.9910286000000001</v>
      </c>
      <c r="F65" s="242"/>
      <c r="G65" s="242"/>
      <c r="H65" s="242"/>
      <c r="I65" s="243"/>
      <c r="J65" s="355" t="s">
        <v>293</v>
      </c>
    </row>
    <row r="66" spans="1:10" s="246" customFormat="1" ht="12.75">
      <c r="A66" s="382"/>
      <c r="B66" s="218" t="s">
        <v>227</v>
      </c>
      <c r="C66" s="218" t="s">
        <v>348</v>
      </c>
      <c r="D66" s="241" t="s">
        <v>148</v>
      </c>
      <c r="E66" s="230">
        <f>incr_distr_markup*incr_contr_markup_replacement*(83:83*sales_tax+(1-83:83)*incr_bld_markup)</f>
        <v>1.6238811600000005</v>
      </c>
      <c r="F66" s="242"/>
      <c r="G66" s="242"/>
      <c r="H66" s="242"/>
      <c r="I66" s="243"/>
      <c r="J66" s="355" t="s">
        <v>293</v>
      </c>
    </row>
    <row r="67" spans="1:10" s="246" customFormat="1" ht="12.75">
      <c r="A67" s="382"/>
      <c r="B67" s="218" t="s">
        <v>226</v>
      </c>
      <c r="C67" s="218" t="s">
        <v>349</v>
      </c>
      <c r="D67" s="241" t="s">
        <v>148</v>
      </c>
      <c r="E67" s="230">
        <f>distr_markup*contr_markup_replacement*(84:84*sales_tax+(1-84:84)*bld_markup)</f>
        <v>1.9575270000000002</v>
      </c>
      <c r="F67" s="242"/>
      <c r="G67" s="242"/>
      <c r="H67" s="242"/>
      <c r="I67" s="243"/>
      <c r="J67" s="355" t="s">
        <v>293</v>
      </c>
    </row>
    <row r="68" spans="1:10" s="246" customFormat="1" ht="12.75">
      <c r="A68" s="382"/>
      <c r="B68" s="218" t="s">
        <v>227</v>
      </c>
      <c r="C68" s="218" t="s">
        <v>350</v>
      </c>
      <c r="D68" s="241" t="s">
        <v>148</v>
      </c>
      <c r="E68" s="230">
        <f>incr_distr_markup*incr_contr_markup_replacement*(84:84*sales_tax+(1-84:84)*incr_bld_markup)</f>
        <v>1.6021962000000003</v>
      </c>
      <c r="F68" s="242"/>
      <c r="G68" s="242"/>
      <c r="H68" s="242"/>
      <c r="I68" s="243"/>
      <c r="J68" s="355" t="s">
        <v>293</v>
      </c>
    </row>
    <row r="69" spans="1:10" s="246" customFormat="1" ht="12.75">
      <c r="A69" s="382"/>
      <c r="B69" s="218" t="s">
        <v>226</v>
      </c>
      <c r="C69" s="218" t="s">
        <v>351</v>
      </c>
      <c r="D69" s="241" t="s">
        <v>148</v>
      </c>
      <c r="E69" s="230">
        <f>distr_markup*contr_markup_replacement*(85:85*sales_tax+(1-85:85)*bld_markup)</f>
        <v>1.9156500000000003</v>
      </c>
      <c r="F69" s="242"/>
      <c r="G69" s="242"/>
      <c r="H69" s="242"/>
      <c r="I69" s="243"/>
      <c r="J69" s="355" t="s">
        <v>293</v>
      </c>
    </row>
    <row r="70" spans="1:10" s="246" customFormat="1" ht="12.75">
      <c r="A70" s="382"/>
      <c r="B70" s="218" t="s">
        <v>227</v>
      </c>
      <c r="C70" s="218" t="s">
        <v>352</v>
      </c>
      <c r="D70" s="241" t="s">
        <v>148</v>
      </c>
      <c r="E70" s="230">
        <f>incr_distr_markup*incr_contr_markup_replacement*(frac_replacement_floor*sales_tax+(1-frac_replacement_floor)*incr_bld_markup)</f>
        <v>1.5750900000000003</v>
      </c>
      <c r="F70" s="242"/>
      <c r="G70" s="242"/>
      <c r="H70" s="242"/>
      <c r="I70" s="243"/>
      <c r="J70" s="355" t="s">
        <v>293</v>
      </c>
    </row>
    <row r="71" spans="1:10" s="246" customFormat="1" ht="12.75">
      <c r="A71" s="382"/>
      <c r="B71" s="218" t="s">
        <v>226</v>
      </c>
      <c r="C71" s="218" t="s">
        <v>353</v>
      </c>
      <c r="D71" s="241" t="s">
        <v>148</v>
      </c>
      <c r="E71" s="230">
        <f>distr_markup*contr_markup_replacement*(86:86*sales_tax+(1-86:86)*bld_markup)</f>
        <v>2.0915334000000003</v>
      </c>
      <c r="F71" s="242"/>
      <c r="G71" s="242"/>
      <c r="H71" s="242"/>
      <c r="I71" s="243"/>
      <c r="J71" s="355" t="s">
        <v>293</v>
      </c>
    </row>
    <row r="72" spans="1:10" s="246" customFormat="1" ht="12.75">
      <c r="A72" s="382"/>
      <c r="B72" s="218" t="s">
        <v>227</v>
      </c>
      <c r="C72" s="218" t="s">
        <v>354</v>
      </c>
      <c r="D72" s="241" t="s">
        <v>148</v>
      </c>
      <c r="E72" s="230">
        <f>incr_distr_markup*incr_contr_markup_replacement*(86:86*sales_tax+(1-86:86)*incr_bld_markup)</f>
        <v>1.68893604</v>
      </c>
      <c r="F72" s="242"/>
      <c r="G72" s="242"/>
      <c r="H72" s="242"/>
      <c r="I72" s="243"/>
      <c r="J72" s="355" t="s">
        <v>293</v>
      </c>
    </row>
    <row r="73" spans="1:10" ht="24.75" customHeight="1">
      <c r="A73" s="402" t="s">
        <v>34</v>
      </c>
      <c r="B73" s="403"/>
      <c r="C73" s="69"/>
      <c r="D73" s="71"/>
      <c r="E73" s="71"/>
      <c r="F73" s="71"/>
      <c r="G73" s="71"/>
      <c r="H73" s="71"/>
      <c r="I73" s="65"/>
      <c r="J73" s="255"/>
    </row>
    <row r="74" spans="1:10" s="75" customFormat="1" ht="12.75">
      <c r="A74" s="380"/>
      <c r="B74" s="218" t="s">
        <v>263</v>
      </c>
      <c r="C74" s="218" t="s">
        <v>179</v>
      </c>
      <c r="D74" s="218" t="s">
        <v>180</v>
      </c>
      <c r="E74" s="218"/>
      <c r="F74" s="218">
        <v>2006</v>
      </c>
      <c r="G74" s="230">
        <f>30.3085327148438*3.412/1000</f>
        <v>0.10341271362304703</v>
      </c>
      <c r="H74" s="230">
        <v>0.10978903670266166</v>
      </c>
      <c r="I74" s="218" t="s">
        <v>291</v>
      </c>
      <c r="J74" s="257" t="s">
        <v>242</v>
      </c>
    </row>
    <row r="75" spans="1:10" s="75" customFormat="1" ht="12.75">
      <c r="A75" s="380"/>
      <c r="B75" s="218" t="s">
        <v>181</v>
      </c>
      <c r="C75" s="218" t="s">
        <v>182</v>
      </c>
      <c r="D75" s="218" t="s">
        <v>183</v>
      </c>
      <c r="E75" s="218"/>
      <c r="F75" s="218">
        <v>2006</v>
      </c>
      <c r="G75" s="383">
        <v>11.4623289108276</v>
      </c>
      <c r="H75" s="230">
        <v>12.16908449067494</v>
      </c>
      <c r="I75" s="218" t="s">
        <v>240</v>
      </c>
      <c r="J75" s="257" t="s">
        <v>242</v>
      </c>
    </row>
    <row r="76" spans="1:10" s="75" customFormat="1" ht="12.75">
      <c r="A76" s="380"/>
      <c r="B76" s="218" t="s">
        <v>184</v>
      </c>
      <c r="C76" s="218" t="s">
        <v>185</v>
      </c>
      <c r="D76" s="218" t="s">
        <v>183</v>
      </c>
      <c r="E76" s="218"/>
      <c r="F76" s="218">
        <v>2006</v>
      </c>
      <c r="G76" s="383">
        <v>24.4579639434814</v>
      </c>
      <c r="H76" s="230">
        <v>25.966017204143988</v>
      </c>
      <c r="I76" s="218" t="s">
        <v>241</v>
      </c>
      <c r="J76" s="257" t="s">
        <v>242</v>
      </c>
    </row>
    <row r="77" spans="1:10" s="75" customFormat="1" ht="12.75">
      <c r="A77" s="380"/>
      <c r="B77" s="218" t="s">
        <v>221</v>
      </c>
      <c r="C77" s="218" t="s">
        <v>336</v>
      </c>
      <c r="D77" s="218" t="s">
        <v>183</v>
      </c>
      <c r="E77" s="218"/>
      <c r="F77" s="218">
        <v>2007</v>
      </c>
      <c r="G77" s="230"/>
      <c r="H77" s="230">
        <f>NG_price*(1-frac_lpg_fan)+LPG_price*frac_lpg_fan</f>
        <v>13.527580193105054</v>
      </c>
      <c r="I77" s="232"/>
      <c r="J77" s="355" t="s">
        <v>293</v>
      </c>
    </row>
    <row r="78" spans="1:10" s="75" customFormat="1" ht="12.75">
      <c r="A78" s="380"/>
      <c r="B78" s="218" t="s">
        <v>221</v>
      </c>
      <c r="C78" s="218" t="s">
        <v>337</v>
      </c>
      <c r="D78" s="218" t="s">
        <v>183</v>
      </c>
      <c r="E78" s="218"/>
      <c r="F78" s="218">
        <v>2007</v>
      </c>
      <c r="G78" s="230"/>
      <c r="H78" s="230">
        <f>NG_price*(1-frac_lpg_gravity)+LPG_price*frac_lpg_gravity</f>
        <v>13.395086962313478</v>
      </c>
      <c r="I78" s="232"/>
      <c r="J78" s="355" t="s">
        <v>293</v>
      </c>
    </row>
    <row r="79" spans="1:10" s="75" customFormat="1" ht="12.75">
      <c r="A79" s="380"/>
      <c r="B79" s="218" t="s">
        <v>222</v>
      </c>
      <c r="C79" s="218" t="s">
        <v>338</v>
      </c>
      <c r="D79" s="218" t="s">
        <v>183</v>
      </c>
      <c r="E79" s="218"/>
      <c r="F79" s="218">
        <v>2007</v>
      </c>
      <c r="G79" s="230"/>
      <c r="H79" s="230">
        <f>NG_price*(1-frac_lpg_floor)+LPG_price*frac_lpg_floor</f>
        <v>12.904448911687176</v>
      </c>
      <c r="I79" s="232"/>
      <c r="J79" s="355" t="s">
        <v>293</v>
      </c>
    </row>
    <row r="80" spans="1:10" s="75" customFormat="1" ht="12.75">
      <c r="A80" s="380"/>
      <c r="B80" s="218" t="s">
        <v>223</v>
      </c>
      <c r="C80" s="218" t="s">
        <v>339</v>
      </c>
      <c r="D80" s="218" t="s">
        <v>183</v>
      </c>
      <c r="E80" s="218"/>
      <c r="F80" s="218">
        <v>2007</v>
      </c>
      <c r="G80" s="230"/>
      <c r="H80" s="230">
        <f>NG_price*(1-frac_lpg_room)+LPG_price*frac_lpg_room</f>
        <v>14.670080246231194</v>
      </c>
      <c r="I80" s="232"/>
      <c r="J80" s="355" t="s">
        <v>293</v>
      </c>
    </row>
    <row r="81" spans="1:10" ht="28.5" customHeight="1">
      <c r="A81" s="386" t="s">
        <v>49</v>
      </c>
      <c r="B81" s="387"/>
      <c r="C81" s="69"/>
      <c r="D81" s="71"/>
      <c r="E81" s="71"/>
      <c r="F81" s="71"/>
      <c r="G81" s="71"/>
      <c r="H81" s="71"/>
      <c r="I81" s="65"/>
      <c r="J81" s="255"/>
    </row>
    <row r="82" spans="1:10" s="75" customFormat="1" ht="12.75">
      <c r="A82" s="380"/>
      <c r="B82" s="218" t="s">
        <v>238</v>
      </c>
      <c r="C82" s="218" t="s">
        <v>239</v>
      </c>
      <c r="D82" s="218" t="s">
        <v>33</v>
      </c>
      <c r="E82" s="373">
        <v>0.15</v>
      </c>
      <c r="F82" s="237"/>
      <c r="G82" s="237"/>
      <c r="H82" s="237"/>
      <c r="I82" s="230"/>
      <c r="J82" s="355" t="s">
        <v>369</v>
      </c>
    </row>
    <row r="83" spans="1:10" ht="12.75">
      <c r="A83" s="384"/>
      <c r="B83" s="218" t="s">
        <v>301</v>
      </c>
      <c r="C83" s="218" t="s">
        <v>340</v>
      </c>
      <c r="D83" s="218" t="s">
        <v>33</v>
      </c>
      <c r="E83" s="373">
        <v>0.82</v>
      </c>
      <c r="F83" s="237"/>
      <c r="G83" s="237"/>
      <c r="H83" s="237"/>
      <c r="I83" s="230"/>
      <c r="J83" s="355" t="s">
        <v>369</v>
      </c>
    </row>
    <row r="84" spans="1:10" ht="12.75">
      <c r="A84" s="384"/>
      <c r="B84" s="218" t="s">
        <v>302</v>
      </c>
      <c r="C84" s="218" t="s">
        <v>341</v>
      </c>
      <c r="D84" s="218" t="s">
        <v>33</v>
      </c>
      <c r="E84" s="373">
        <v>0.9</v>
      </c>
      <c r="F84" s="237"/>
      <c r="G84" s="237"/>
      <c r="H84" s="237"/>
      <c r="I84" s="230"/>
      <c r="J84" s="355" t="s">
        <v>369</v>
      </c>
    </row>
    <row r="85" spans="1:10" ht="12.75">
      <c r="A85" s="384"/>
      <c r="B85" s="218" t="s">
        <v>303</v>
      </c>
      <c r="C85" s="218" t="s">
        <v>355</v>
      </c>
      <c r="D85" s="218" t="s">
        <v>33</v>
      </c>
      <c r="E85" s="373">
        <v>1</v>
      </c>
      <c r="F85" s="237"/>
      <c r="G85" s="237"/>
      <c r="H85" s="237"/>
      <c r="I85" s="230"/>
      <c r="J85" s="355" t="s">
        <v>369</v>
      </c>
    </row>
    <row r="86" spans="1:10" ht="12.75">
      <c r="A86" s="384"/>
      <c r="B86" s="218" t="s">
        <v>304</v>
      </c>
      <c r="C86" s="218" t="s">
        <v>344</v>
      </c>
      <c r="D86" s="218" t="s">
        <v>33</v>
      </c>
      <c r="E86" s="373">
        <v>0.58</v>
      </c>
      <c r="F86" s="237"/>
      <c r="G86" s="237"/>
      <c r="H86" s="237"/>
      <c r="I86" s="230"/>
      <c r="J86" s="355" t="s">
        <v>369</v>
      </c>
    </row>
    <row r="87" spans="1:10" s="75" customFormat="1" ht="12.75">
      <c r="A87" s="380"/>
      <c r="B87" s="218" t="s">
        <v>217</v>
      </c>
      <c r="C87" s="218" t="s">
        <v>345</v>
      </c>
      <c r="D87" s="218" t="s">
        <v>33</v>
      </c>
      <c r="E87" s="237">
        <v>0.09846360279077848</v>
      </c>
      <c r="F87" s="237"/>
      <c r="G87" s="237"/>
      <c r="H87" s="237"/>
      <c r="I87" s="230" t="s">
        <v>220</v>
      </c>
      <c r="J87" s="257" t="s">
        <v>186</v>
      </c>
    </row>
    <row r="88" spans="1:10" s="75" customFormat="1" ht="12.75">
      <c r="A88" s="380"/>
      <c r="B88" s="218" t="s">
        <v>217</v>
      </c>
      <c r="C88" s="218" t="s">
        <v>346</v>
      </c>
      <c r="D88" s="218" t="s">
        <v>33</v>
      </c>
      <c r="E88" s="237">
        <v>0.08886050958570457</v>
      </c>
      <c r="F88" s="237"/>
      <c r="G88" s="237"/>
      <c r="H88" s="237"/>
      <c r="I88" s="230"/>
      <c r="J88" s="257" t="s">
        <v>186</v>
      </c>
    </row>
    <row r="89" spans="1:10" ht="12.75">
      <c r="A89" s="384"/>
      <c r="B89" s="218" t="s">
        <v>218</v>
      </c>
      <c r="C89" s="218" t="s">
        <v>342</v>
      </c>
      <c r="D89" s="218" t="s">
        <v>33</v>
      </c>
      <c r="E89" s="237">
        <v>0.05329912352869177</v>
      </c>
      <c r="F89" s="237"/>
      <c r="G89" s="237"/>
      <c r="H89" s="237"/>
      <c r="I89" s="230"/>
      <c r="J89" s="257" t="s">
        <v>186</v>
      </c>
    </row>
    <row r="90" spans="1:10" ht="12.75">
      <c r="A90" s="385"/>
      <c r="B90" s="259" t="s">
        <v>219</v>
      </c>
      <c r="C90" s="259" t="s">
        <v>343</v>
      </c>
      <c r="D90" s="259" t="s">
        <v>33</v>
      </c>
      <c r="E90" s="260">
        <v>0.18127186726907019</v>
      </c>
      <c r="F90" s="261"/>
      <c r="G90" s="261"/>
      <c r="H90" s="261"/>
      <c r="I90" s="262" t="s">
        <v>220</v>
      </c>
      <c r="J90" s="263" t="s">
        <v>186</v>
      </c>
    </row>
    <row r="91" spans="2:7" ht="12.75">
      <c r="B91" s="74"/>
      <c r="C91" s="74"/>
      <c r="D91" s="75"/>
      <c r="E91" s="75"/>
      <c r="F91" s="75"/>
      <c r="G91" s="75"/>
    </row>
    <row r="92" spans="2:7" ht="12.75">
      <c r="B92" s="74"/>
      <c r="C92" s="74"/>
      <c r="D92" s="75"/>
      <c r="E92" s="75"/>
      <c r="F92" s="75"/>
      <c r="G92" s="75"/>
    </row>
    <row r="93" spans="2:7" ht="12.75">
      <c r="B93" s="74"/>
      <c r="C93" s="74"/>
      <c r="D93" s="75"/>
      <c r="E93" s="75"/>
      <c r="F93" s="75"/>
      <c r="G93" s="75"/>
    </row>
    <row r="94" spans="2:7" ht="12.75">
      <c r="B94" s="74"/>
      <c r="C94" s="74"/>
      <c r="D94" s="75"/>
      <c r="E94" s="75"/>
      <c r="F94" s="75"/>
      <c r="G94" s="75"/>
    </row>
    <row r="95" spans="2:7" ht="12.75">
      <c r="B95" s="74"/>
      <c r="C95" s="74"/>
      <c r="D95" s="75"/>
      <c r="E95" s="75"/>
      <c r="F95" s="75"/>
      <c r="G95" s="75"/>
    </row>
    <row r="96" spans="2:7" ht="12.75">
      <c r="B96" s="74"/>
      <c r="C96" s="74"/>
      <c r="D96" s="75"/>
      <c r="E96" s="75"/>
      <c r="F96" s="75"/>
      <c r="G96" s="75"/>
    </row>
    <row r="97" spans="2:7" ht="12.75">
      <c r="B97" s="74"/>
      <c r="C97" s="74"/>
      <c r="D97" s="75"/>
      <c r="E97" s="75"/>
      <c r="F97" s="75"/>
      <c r="G97" s="75"/>
    </row>
    <row r="98" spans="2:7" ht="12.75">
      <c r="B98" s="74"/>
      <c r="C98" s="74"/>
      <c r="D98" s="75"/>
      <c r="E98" s="75"/>
      <c r="F98" s="75"/>
      <c r="G98" s="75"/>
    </row>
    <row r="99" spans="2:7" ht="12.75">
      <c r="B99" s="74"/>
      <c r="C99" s="74"/>
      <c r="D99" s="75"/>
      <c r="E99" s="75"/>
      <c r="F99" s="75"/>
      <c r="G99" s="75"/>
    </row>
    <row r="100" spans="2:7" ht="12.75">
      <c r="B100" s="74"/>
      <c r="C100" s="74"/>
      <c r="D100" s="75"/>
      <c r="E100" s="75"/>
      <c r="F100" s="75"/>
      <c r="G100" s="75"/>
    </row>
    <row r="101" spans="2:7" ht="12.75">
      <c r="B101" s="74"/>
      <c r="C101" s="74"/>
      <c r="D101" s="75"/>
      <c r="E101" s="75"/>
      <c r="F101" s="75"/>
      <c r="G101" s="75"/>
    </row>
    <row r="102" spans="2:7" ht="12.75">
      <c r="B102" s="74"/>
      <c r="C102" s="74"/>
      <c r="D102" s="75"/>
      <c r="E102" s="75"/>
      <c r="F102" s="75"/>
      <c r="G102" s="75"/>
    </row>
    <row r="103" spans="2:7" ht="12.75">
      <c r="B103" s="74"/>
      <c r="C103" s="74"/>
      <c r="D103" s="75"/>
      <c r="E103" s="75"/>
      <c r="F103" s="75"/>
      <c r="G103" s="75"/>
    </row>
    <row r="104" spans="2:7" ht="12.75">
      <c r="B104" s="74"/>
      <c r="C104" s="74"/>
      <c r="D104" s="75"/>
      <c r="E104" s="75"/>
      <c r="F104" s="75"/>
      <c r="G104" s="75"/>
    </row>
    <row r="105" spans="2:7" ht="12.75">
      <c r="B105" s="74"/>
      <c r="C105" s="74"/>
      <c r="D105" s="75"/>
      <c r="E105" s="75"/>
      <c r="F105" s="75"/>
      <c r="G105" s="75"/>
    </row>
    <row r="106" spans="2:7" ht="12.75">
      <c r="B106" s="74"/>
      <c r="C106" s="74"/>
      <c r="D106" s="75"/>
      <c r="E106" s="75"/>
      <c r="F106" s="75"/>
      <c r="G106" s="75"/>
    </row>
    <row r="107" spans="2:7" ht="12.75">
      <c r="B107" s="74"/>
      <c r="C107" s="74"/>
      <c r="D107" s="75"/>
      <c r="E107" s="75"/>
      <c r="F107" s="75"/>
      <c r="G107" s="75"/>
    </row>
    <row r="108" spans="2:7" ht="12.75">
      <c r="B108" s="74"/>
      <c r="C108" s="74"/>
      <c r="D108" s="75"/>
      <c r="E108" s="75"/>
      <c r="F108" s="75"/>
      <c r="G108" s="75"/>
    </row>
    <row r="109" spans="2:7" ht="12.75">
      <c r="B109" s="74"/>
      <c r="C109" s="74"/>
      <c r="D109" s="75"/>
      <c r="E109" s="75"/>
      <c r="F109" s="75"/>
      <c r="G109" s="75"/>
    </row>
    <row r="110" spans="2:7" ht="12.75">
      <c r="B110" s="74"/>
      <c r="C110" s="74"/>
      <c r="D110" s="75"/>
      <c r="E110" s="75"/>
      <c r="F110" s="75"/>
      <c r="G110" s="75"/>
    </row>
  </sheetData>
  <sheetProtection/>
  <mergeCells count="11">
    <mergeCell ref="A81:B81"/>
    <mergeCell ref="A40:B40"/>
    <mergeCell ref="A54:B54"/>
    <mergeCell ref="J23:J39"/>
    <mergeCell ref="A73:B73"/>
    <mergeCell ref="A22:B22"/>
    <mergeCell ref="J11:J21"/>
    <mergeCell ref="J41:J53"/>
    <mergeCell ref="F2:H2"/>
    <mergeCell ref="A4:B4"/>
    <mergeCell ref="A10:B10"/>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3.xml><?xml version="1.0" encoding="utf-8"?>
<worksheet xmlns="http://schemas.openxmlformats.org/spreadsheetml/2006/main" xmlns:r="http://schemas.openxmlformats.org/officeDocument/2006/relationships">
  <sheetPr>
    <tabColor indexed="54"/>
  </sheetPr>
  <dimension ref="A1:CA14"/>
  <sheetViews>
    <sheetView zoomScale="70" zoomScaleNormal="70" zoomScalePageLayoutView="0" workbookViewId="0" topLeftCell="A1">
      <pane xSplit="2" topLeftCell="C1" activePane="topRight" state="frozen"/>
      <selection pane="topLeft" activeCell="A15" sqref="A15:B15"/>
      <selection pane="topRight" activeCell="A1" sqref="A1"/>
    </sheetView>
  </sheetViews>
  <sheetFormatPr defaultColWidth="9.140625" defaultRowHeight="12.75"/>
  <cols>
    <col min="1" max="1" width="12.421875" style="0" customWidth="1"/>
    <col min="2" max="2" width="12.7109375" style="0" customWidth="1"/>
    <col min="3" max="3" width="58.28125" style="0" customWidth="1"/>
    <col min="4" max="4" width="28.57421875" style="0" customWidth="1"/>
    <col min="5" max="5" width="24.421875" style="0" customWidth="1"/>
    <col min="6" max="6" width="17.28125" style="0" customWidth="1"/>
    <col min="7" max="7" width="11.140625" style="0" bestFit="1" customWidth="1"/>
    <col min="8" max="8" width="14.00390625" style="0" bestFit="1" customWidth="1"/>
    <col min="9" max="9" width="18.28125" style="0" bestFit="1" customWidth="1"/>
    <col min="10" max="12" width="9.7109375" style="0" customWidth="1"/>
    <col min="13" max="13" width="10.421875" style="0" customWidth="1"/>
    <col min="14" max="14" width="11.421875" style="0" customWidth="1"/>
    <col min="15" max="15" width="9.7109375" style="0" customWidth="1"/>
  </cols>
  <sheetData>
    <row r="1" spans="1:79" ht="19.5">
      <c r="A1" s="7" t="s">
        <v>322</v>
      </c>
      <c r="B1" s="1"/>
      <c r="C1" s="1"/>
      <c r="D1" s="78"/>
      <c r="E1" s="1"/>
      <c r="F1" s="1"/>
      <c r="G1" s="1"/>
      <c r="H1" s="4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79" ht="20.25" thickBot="1">
      <c r="A2" s="7"/>
      <c r="B2" s="1"/>
      <c r="C2" s="1"/>
      <c r="D2" s="78"/>
      <c r="E2" s="1"/>
      <c r="F2" s="1"/>
      <c r="G2" s="1"/>
      <c r="H2" s="48"/>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15" ht="15.75">
      <c r="A3" s="10"/>
      <c r="B3" s="11"/>
      <c r="C3" s="183"/>
      <c r="D3" s="411" t="s">
        <v>22</v>
      </c>
      <c r="E3" s="412"/>
      <c r="F3" s="412"/>
      <c r="G3" s="412"/>
      <c r="H3" s="412"/>
      <c r="I3" s="413"/>
      <c r="J3" s="417" t="s">
        <v>43</v>
      </c>
      <c r="K3" s="418"/>
      <c r="L3" s="419"/>
      <c r="M3" s="404" t="s">
        <v>27</v>
      </c>
      <c r="N3" s="405"/>
      <c r="O3" s="406"/>
    </row>
    <row r="4" spans="1:15" ht="15.75" customHeight="1">
      <c r="A4" s="426" t="s">
        <v>122</v>
      </c>
      <c r="B4" s="423" t="s">
        <v>35</v>
      </c>
      <c r="C4" s="430" t="s">
        <v>123</v>
      </c>
      <c r="D4" s="414" t="s">
        <v>265</v>
      </c>
      <c r="E4" s="415"/>
      <c r="F4" s="416"/>
      <c r="G4" s="407" t="s">
        <v>266</v>
      </c>
      <c r="H4" s="407"/>
      <c r="I4" s="408"/>
      <c r="J4" s="420"/>
      <c r="K4" s="421"/>
      <c r="L4" s="422"/>
      <c r="M4" s="409" t="s">
        <v>28</v>
      </c>
      <c r="N4" s="410"/>
      <c r="O4" s="12"/>
    </row>
    <row r="5" spans="1:15" ht="31.5">
      <c r="A5" s="426"/>
      <c r="B5" s="424"/>
      <c r="C5" s="430"/>
      <c r="D5" s="282" t="s">
        <v>267</v>
      </c>
      <c r="E5" s="283" t="s">
        <v>268</v>
      </c>
      <c r="F5" s="284" t="s">
        <v>269</v>
      </c>
      <c r="G5" s="13" t="s">
        <v>23</v>
      </c>
      <c r="H5" s="13" t="s">
        <v>285</v>
      </c>
      <c r="I5" s="13" t="s">
        <v>286</v>
      </c>
      <c r="J5" s="16" t="s">
        <v>40</v>
      </c>
      <c r="K5" s="14" t="s">
        <v>24</v>
      </c>
      <c r="L5" s="14" t="s">
        <v>38</v>
      </c>
      <c r="M5" s="15" t="s">
        <v>44</v>
      </c>
      <c r="N5" s="16" t="s">
        <v>45</v>
      </c>
      <c r="O5" s="17" t="s">
        <v>39</v>
      </c>
    </row>
    <row r="6" spans="1:15" ht="16.5" thickBot="1">
      <c r="A6" s="427"/>
      <c r="B6" s="425"/>
      <c r="C6" s="431"/>
      <c r="D6" s="285" t="s">
        <v>270</v>
      </c>
      <c r="E6" s="285" t="s">
        <v>270</v>
      </c>
      <c r="F6" s="286" t="s">
        <v>270</v>
      </c>
      <c r="G6" s="190" t="s">
        <v>21</v>
      </c>
      <c r="H6" s="190" t="s">
        <v>21</v>
      </c>
      <c r="I6" s="190" t="s">
        <v>21</v>
      </c>
      <c r="J6" s="191" t="s">
        <v>41</v>
      </c>
      <c r="K6" s="192" t="s">
        <v>37</v>
      </c>
      <c r="L6" s="193" t="s">
        <v>25</v>
      </c>
      <c r="M6" s="193" t="s">
        <v>21</v>
      </c>
      <c r="N6" s="194" t="s">
        <v>29</v>
      </c>
      <c r="O6" s="195" t="s">
        <v>26</v>
      </c>
    </row>
    <row r="7" spans="1:15" ht="16.5" thickBot="1">
      <c r="A7" s="287" t="s">
        <v>271</v>
      </c>
      <c r="B7" s="288"/>
      <c r="C7" s="289"/>
      <c r="D7" s="290"/>
      <c r="E7" s="291"/>
      <c r="F7" s="291"/>
      <c r="G7" s="292"/>
      <c r="H7" s="292"/>
      <c r="I7" s="293"/>
      <c r="J7" s="294"/>
      <c r="K7" s="295"/>
      <c r="L7" s="296"/>
      <c r="M7" s="295"/>
      <c r="N7" s="296"/>
      <c r="O7" s="297"/>
    </row>
    <row r="8" spans="1:15" ht="16.5" thickBot="1">
      <c r="A8" s="307">
        <v>0</v>
      </c>
      <c r="B8" s="185" t="s">
        <v>114</v>
      </c>
      <c r="C8" s="304" t="s">
        <v>272</v>
      </c>
      <c r="D8" s="298">
        <v>355</v>
      </c>
      <c r="E8" s="298">
        <v>490</v>
      </c>
      <c r="F8" s="299"/>
      <c r="G8" s="146">
        <f>Total_Mfr_Cost_fan*markup_base_cost_fan</f>
        <v>975.6040140000001</v>
      </c>
      <c r="H8" s="41">
        <f>Installation_Cost_Wall_Furnaces</f>
        <v>793.1981637337415</v>
      </c>
      <c r="I8" s="42">
        <f>maint_cost_baseline/maint_cost_baseline_freq+(maint_standing_pilot_ignition*maint_standing_pilot_ignition_Prob+maint_air_circulation*maint_air_circulation_Prob)/dhe_lifetime</f>
        <v>64.4163016715253</v>
      </c>
      <c r="J8" s="143">
        <f>TP_EnergyUseCalc!AG11</f>
        <v>848.5120265297606</v>
      </c>
      <c r="K8" s="184">
        <f>TP_EnergyUseCalc!AJ11</f>
        <v>49.832756648524935</v>
      </c>
      <c r="L8" s="184">
        <f>TP_EnergyUseCalc!AK11</f>
        <v>61.60197312606062</v>
      </c>
      <c r="M8" s="59">
        <f>Retail_Price_fan+Installation_Cost_fan</f>
        <v>1768.8021777337417</v>
      </c>
      <c r="N8" s="59">
        <f>Maintenance_Cost_fan+fuel_price_fan*Fuel_Use_fan+elec_price*Elec_Use_fan</f>
        <v>745.2961347664288</v>
      </c>
      <c r="O8" s="43"/>
    </row>
    <row r="9" spans="1:15" ht="16.5" thickTop="1">
      <c r="A9" s="87">
        <v>1</v>
      </c>
      <c r="B9" s="44" t="s">
        <v>192</v>
      </c>
      <c r="C9" s="305" t="s">
        <v>273</v>
      </c>
      <c r="D9" s="300">
        <v>382</v>
      </c>
      <c r="E9" s="324">
        <v>527</v>
      </c>
      <c r="F9" s="301">
        <v>37</v>
      </c>
      <c r="G9" s="46">
        <f>base_cost_fan+Incremental_cost_fan*markup_increm_cost_fan</f>
        <v>1035.6876169200002</v>
      </c>
      <c r="H9" s="188">
        <f>Installation_Cost_Wall_Furnaces</f>
        <v>793.1981637337415</v>
      </c>
      <c r="I9" s="188">
        <f>maint_cost_baseline/maint_cost_baseline_freq+(maint_elec_ignition*maint_elec_ignition_Prob+maint_air_circulation*maint_air_circulation_Prob)/dhe_lifetime</f>
        <v>66.6827872215253</v>
      </c>
      <c r="J9" s="144">
        <f>TP_EnergyUseCalc!AG12</f>
        <v>879.9089539491168</v>
      </c>
      <c r="K9" s="141">
        <f>TP_EnergyUseCalc!AJ12</f>
        <v>48.394992467201426</v>
      </c>
      <c r="L9" s="141">
        <f>TP_EnergyUseCalc!AK12</f>
        <v>67.0490622909227</v>
      </c>
      <c r="M9" s="231">
        <f>Retail_Price_fan+Installation_Cost_fan</f>
        <v>1828.8857806537417</v>
      </c>
      <c r="N9" s="189">
        <f>Maintenance_Cost_fan+fuel_price_fan*Fuel_Use_fan+elec_price*Elec_Use_fan</f>
        <v>728.7111807270447</v>
      </c>
      <c r="O9" s="47">
        <f>(Total_Installed_fan-Total_Installed_fan_baseline)/(Total_Operating_Fan_Baseline-Total_Operating_fan)</f>
        <v>3.6227777766112634</v>
      </c>
    </row>
    <row r="10" spans="1:15" ht="15.75">
      <c r="A10" s="308">
        <v>2</v>
      </c>
      <c r="B10" s="44" t="s">
        <v>119</v>
      </c>
      <c r="C10" s="305" t="s">
        <v>274</v>
      </c>
      <c r="D10" s="300">
        <v>396</v>
      </c>
      <c r="E10" s="325">
        <v>546</v>
      </c>
      <c r="F10" s="301">
        <v>56</v>
      </c>
      <c r="G10" s="46">
        <f>base_cost_fan+Incremental_cost_fan*markup_increm_cost_fan</f>
        <v>1066.5413589600003</v>
      </c>
      <c r="H10" s="188">
        <f>Installation_Cost_Wall_Furnaces</f>
        <v>793.1981637337415</v>
      </c>
      <c r="I10" s="188">
        <f>maint_cost_baseline/maint_cost_baseline_freq+(maint_elec_ignition*maint_elec_ignition_Prob+maint_air_circulation*maint_air_circulation_Prob)/dhe_lifetime</f>
        <v>66.6827872215253</v>
      </c>
      <c r="J10" s="144">
        <f>TP_EnergyUseCalc!AG13</f>
        <v>868.4027934085304</v>
      </c>
      <c r="K10" s="141">
        <f>TP_EnergyUseCalc!AJ13</f>
        <v>47.762153637469176</v>
      </c>
      <c r="L10" s="141">
        <f>TP_EnergyUseCalc!AK13</f>
        <v>66.17229285773003</v>
      </c>
      <c r="M10" s="231">
        <f>Retail_Price_fan+Installation_Cost_fan</f>
        <v>1859.7395226937417</v>
      </c>
      <c r="N10" s="189">
        <f>Maintenance_Cost_fan+fuel_price_fan*Fuel_Use_fan+elec_price*Elec_Use_fan</f>
        <v>720.0541430370505</v>
      </c>
      <c r="O10" s="47">
        <f>(Total_Installed_fan-Total_Installed_fan_baseline)/(Total_Operating_Fan_Baseline-Total_Operating_fan)</f>
        <v>3.602621613022752</v>
      </c>
    </row>
    <row r="11" spans="1:15" ht="15.75">
      <c r="A11" s="87">
        <v>3</v>
      </c>
      <c r="B11" s="44" t="s">
        <v>118</v>
      </c>
      <c r="C11" s="305" t="s">
        <v>275</v>
      </c>
      <c r="D11" s="300">
        <v>413</v>
      </c>
      <c r="E11" s="325">
        <v>570</v>
      </c>
      <c r="F11" s="301">
        <v>80</v>
      </c>
      <c r="G11" s="46">
        <f>base_cost_fan+Incremental_cost_fan*markup_increm_cost_fan</f>
        <v>1105.5145068000002</v>
      </c>
      <c r="H11" s="188">
        <f>Installation_Cost_Wall_Furnaces</f>
        <v>793.1981637337415</v>
      </c>
      <c r="I11" s="188">
        <f>maint_cost_baseline/maint_cost_baseline_freq+(maint_elec_ignition*maint_elec_ignition_Prob+maint_air_circulation*maint_air_circulation_Prob)/dhe_lifetime</f>
        <v>66.6827872215253</v>
      </c>
      <c r="J11" s="144">
        <f>TP_EnergyUseCalc!AG14</f>
        <v>857.1936700804248</v>
      </c>
      <c r="K11" s="141">
        <f>TP_EnergyUseCalc!AJ14</f>
        <v>47.14565185442336</v>
      </c>
      <c r="L11" s="141">
        <f>TP_EnergyUseCalc!AK14</f>
        <v>65.31815766012838</v>
      </c>
      <c r="M11" s="231">
        <f>Retail_Price_fan+Installation_Cost_fan</f>
        <v>1898.7126705337416</v>
      </c>
      <c r="N11" s="189">
        <f>Maintenance_Cost_fan+fuel_price_fan*Fuel_Use_fan+elec_price*Elec_Use_fan</f>
        <v>711.6205910471474</v>
      </c>
      <c r="O11" s="47">
        <f>(Total_Installed_fan-Total_Installed_fan_baseline)/(Total_Operating_Fan_Baseline-Total_Operating_fan)</f>
        <v>3.8577103277954703</v>
      </c>
    </row>
    <row r="12" spans="1:15" ht="16.5" thickBot="1">
      <c r="A12" s="309">
        <v>4</v>
      </c>
      <c r="B12" s="265" t="s">
        <v>107</v>
      </c>
      <c r="C12" s="306" t="s">
        <v>276</v>
      </c>
      <c r="D12" s="302">
        <v>468</v>
      </c>
      <c r="E12" s="303">
        <v>646</v>
      </c>
      <c r="F12" s="303">
        <v>156</v>
      </c>
      <c r="G12" s="267">
        <f>base_cost_fan+Incremental_cost_fan*markup_increm_cost_fan</f>
        <v>1228.92947496</v>
      </c>
      <c r="H12" s="268">
        <f>Installation_Cost_Wall_Furnaces</f>
        <v>793.1981637337415</v>
      </c>
      <c r="I12" s="268">
        <f>maint_cost_baseline/maint_cost_baseline_freq+(maint_elec_ignition*maint_elec_ignition_Prob+maint_air_circulation*maint_air_circulation_Prob+maint_induced_draft*maint_induced_draft_Prob)/dhe_lifetime</f>
        <v>75.89691202152531</v>
      </c>
      <c r="J12" s="269">
        <f>TP_EnergyUseCalc!AG15</f>
        <v>822.0682065642663</v>
      </c>
      <c r="K12" s="270">
        <f>TP_EnergyUseCalc!AJ15</f>
        <v>45.213751361034646</v>
      </c>
      <c r="L12" s="270">
        <f>TP_EnergyUseCalc!AK15</f>
        <v>103.74500766841042</v>
      </c>
      <c r="M12" s="271">
        <f>Retail_Price_fan+Installation_Cost_fan</f>
        <v>2022.1276386937416</v>
      </c>
      <c r="N12" s="272">
        <f>Maintenance_Cost_fan+fuel_price_fan*Fuel_Use_fan+elec_price*Elec_Use_fan</f>
        <v>698.9196238436593</v>
      </c>
      <c r="O12" s="273">
        <f>(Total_Installed_fan-Total_Installed_fan_baseline)/(Total_Operating_Fan_Baseline-Total_Operating_fan)</f>
        <v>5.462365665710839</v>
      </c>
    </row>
    <row r="13" spans="1:13" ht="12.75">
      <c r="A13" s="428" t="s">
        <v>277</v>
      </c>
      <c r="B13" s="428"/>
      <c r="C13" s="428"/>
      <c r="D13" s="428"/>
      <c r="E13" s="428"/>
      <c r="F13" s="428"/>
      <c r="G13" s="428"/>
      <c r="H13" s="428"/>
      <c r="I13" s="428"/>
      <c r="J13" s="428"/>
      <c r="K13" s="428"/>
      <c r="L13" s="428"/>
      <c r="M13" s="428"/>
    </row>
    <row r="14" spans="1:13" ht="12.75">
      <c r="A14" s="429" t="s">
        <v>278</v>
      </c>
      <c r="B14" s="429"/>
      <c r="C14" s="429"/>
      <c r="D14" s="429"/>
      <c r="E14" s="429"/>
      <c r="F14" s="429"/>
      <c r="G14" s="429"/>
      <c r="H14" s="429"/>
      <c r="I14" s="429"/>
      <c r="J14" s="429"/>
      <c r="K14" s="429"/>
      <c r="L14" s="429"/>
      <c r="M14" s="429"/>
    </row>
  </sheetData>
  <sheetProtection/>
  <mergeCells count="11">
    <mergeCell ref="B4:B6"/>
    <mergeCell ref="A4:A6"/>
    <mergeCell ref="A13:M13"/>
    <mergeCell ref="A14:M14"/>
    <mergeCell ref="C4:C6"/>
    <mergeCell ref="M3:O3"/>
    <mergeCell ref="G4:I4"/>
    <mergeCell ref="M4:N4"/>
    <mergeCell ref="D3:I3"/>
    <mergeCell ref="D4:F4"/>
    <mergeCell ref="J3:L4"/>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4.xml><?xml version="1.0" encoding="utf-8"?>
<worksheet xmlns="http://schemas.openxmlformats.org/spreadsheetml/2006/main" xmlns:r="http://schemas.openxmlformats.org/officeDocument/2006/relationships">
  <sheetPr>
    <tabColor indexed="12"/>
  </sheetPr>
  <dimension ref="A1:CA15"/>
  <sheetViews>
    <sheetView zoomScale="70" zoomScaleNormal="70" zoomScalePageLayoutView="0" workbookViewId="0" topLeftCell="A1">
      <pane xSplit="2" topLeftCell="C1" activePane="topRight" state="frozen"/>
      <selection pane="topLeft" activeCell="A15" sqref="A15:B15"/>
      <selection pane="topRight" activeCell="A1" sqref="A1"/>
    </sheetView>
  </sheetViews>
  <sheetFormatPr defaultColWidth="9.140625" defaultRowHeight="12.75"/>
  <cols>
    <col min="1" max="1" width="14.28125" style="0" customWidth="1"/>
    <col min="2" max="2" width="12.140625" style="0" bestFit="1" customWidth="1"/>
    <col min="3" max="3" width="40.7109375" style="0" customWidth="1"/>
    <col min="4" max="4" width="25.28125" style="0" customWidth="1"/>
    <col min="5" max="5" width="24.140625" style="0" customWidth="1"/>
    <col min="6" max="6" width="14.28125" style="0" customWidth="1"/>
    <col min="7" max="9" width="14.7109375" style="0" customWidth="1"/>
    <col min="10" max="12" width="9.7109375" style="0" customWidth="1"/>
    <col min="13" max="13" width="10.7109375" style="0" customWidth="1"/>
    <col min="14" max="14" width="11.421875" style="0" customWidth="1"/>
    <col min="15" max="15" width="9.7109375" style="0" customWidth="1"/>
  </cols>
  <sheetData>
    <row r="1" spans="1:79" ht="19.5">
      <c r="A1" s="7" t="s">
        <v>323</v>
      </c>
      <c r="B1" s="1"/>
      <c r="C1" s="1"/>
      <c r="D1" s="78"/>
      <c r="E1" s="1"/>
      <c r="F1" s="1"/>
      <c r="G1" s="1"/>
      <c r="H1" s="4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79" ht="20.25" thickBot="1">
      <c r="A2" s="7"/>
      <c r="B2" s="1"/>
      <c r="C2" s="1"/>
      <c r="D2" s="78"/>
      <c r="E2" s="1"/>
      <c r="F2" s="1"/>
      <c r="G2" s="1"/>
      <c r="H2" s="48"/>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15" ht="15.75">
      <c r="A3" s="10"/>
      <c r="B3" s="11"/>
      <c r="C3" s="183"/>
      <c r="D3" s="411" t="s">
        <v>22</v>
      </c>
      <c r="E3" s="412"/>
      <c r="F3" s="412"/>
      <c r="G3" s="412"/>
      <c r="H3" s="412"/>
      <c r="I3" s="413"/>
      <c r="J3" s="417" t="s">
        <v>43</v>
      </c>
      <c r="K3" s="418"/>
      <c r="L3" s="419"/>
      <c r="M3" s="404" t="s">
        <v>27</v>
      </c>
      <c r="N3" s="405"/>
      <c r="O3" s="406"/>
    </row>
    <row r="4" spans="1:15" ht="15.75" customHeight="1">
      <c r="A4" s="2"/>
      <c r="D4" s="414" t="s">
        <v>265</v>
      </c>
      <c r="E4" s="415"/>
      <c r="F4" s="416"/>
      <c r="G4" s="407" t="s">
        <v>266</v>
      </c>
      <c r="H4" s="407"/>
      <c r="I4" s="408"/>
      <c r="J4" s="420"/>
      <c r="K4" s="421"/>
      <c r="L4" s="422"/>
      <c r="M4" s="409" t="s">
        <v>28</v>
      </c>
      <c r="N4" s="410"/>
      <c r="O4" s="12"/>
    </row>
    <row r="5" spans="1:15" ht="31.5">
      <c r="A5" s="432" t="s">
        <v>279</v>
      </c>
      <c r="B5" s="430" t="s">
        <v>35</v>
      </c>
      <c r="C5" s="430" t="s">
        <v>280</v>
      </c>
      <c r="D5" s="282" t="s">
        <v>267</v>
      </c>
      <c r="E5" s="283" t="s">
        <v>268</v>
      </c>
      <c r="F5" s="284" t="s">
        <v>269</v>
      </c>
      <c r="G5" s="13" t="s">
        <v>23</v>
      </c>
      <c r="H5" s="13" t="s">
        <v>285</v>
      </c>
      <c r="I5" s="13" t="s">
        <v>286</v>
      </c>
      <c r="J5" s="16" t="s">
        <v>40</v>
      </c>
      <c r="K5" s="14" t="s">
        <v>24</v>
      </c>
      <c r="L5" s="14" t="s">
        <v>38</v>
      </c>
      <c r="M5" s="15" t="s">
        <v>44</v>
      </c>
      <c r="N5" s="16" t="s">
        <v>45</v>
      </c>
      <c r="O5" s="17" t="s">
        <v>39</v>
      </c>
    </row>
    <row r="6" spans="1:15" ht="16.5" thickBot="1">
      <c r="A6" s="433"/>
      <c r="B6" s="434"/>
      <c r="C6" s="434"/>
      <c r="D6" s="285" t="s">
        <v>270</v>
      </c>
      <c r="E6" s="285" t="s">
        <v>270</v>
      </c>
      <c r="F6" s="286" t="s">
        <v>270</v>
      </c>
      <c r="G6" s="190" t="s">
        <v>21</v>
      </c>
      <c r="H6" s="190" t="s">
        <v>21</v>
      </c>
      <c r="I6" s="190" t="s">
        <v>21</v>
      </c>
      <c r="J6" s="191" t="s">
        <v>41</v>
      </c>
      <c r="K6" s="192" t="s">
        <v>37</v>
      </c>
      <c r="L6" s="193" t="s">
        <v>25</v>
      </c>
      <c r="M6" s="193" t="s">
        <v>21</v>
      </c>
      <c r="N6" s="194" t="s">
        <v>29</v>
      </c>
      <c r="O6" s="195" t="s">
        <v>26</v>
      </c>
    </row>
    <row r="7" spans="1:15" ht="16.5" thickBot="1">
      <c r="A7" s="287" t="s">
        <v>281</v>
      </c>
      <c r="B7" s="310"/>
      <c r="C7" s="311"/>
      <c r="D7" s="312"/>
      <c r="E7" s="313"/>
      <c r="F7" s="313"/>
      <c r="G7" s="311"/>
      <c r="H7" s="311"/>
      <c r="I7" s="310"/>
      <c r="J7" s="314"/>
      <c r="K7" s="315"/>
      <c r="L7" s="316"/>
      <c r="M7" s="317"/>
      <c r="N7" s="318"/>
      <c r="O7" s="319"/>
    </row>
    <row r="8" spans="1:15" ht="16.5" thickBot="1">
      <c r="A8" s="351">
        <v>0</v>
      </c>
      <c r="B8" s="320">
        <v>0.64</v>
      </c>
      <c r="C8" s="321" t="s">
        <v>272</v>
      </c>
      <c r="D8" s="322">
        <v>198</v>
      </c>
      <c r="E8" s="299">
        <v>273</v>
      </c>
      <c r="F8" s="299"/>
      <c r="G8" s="328">
        <f>Total_Mfr_Cost_gravity*markup_base_cost_gravity</f>
        <v>534.4048710000001</v>
      </c>
      <c r="H8" s="329">
        <f>Installation_Cost_Wall_Furnaces</f>
        <v>793.1981637337415</v>
      </c>
      <c r="I8" s="330">
        <f>maint_cost_baseline/maint_cost_baseline_freq+(maint_standing_pilot_ignition*maint_standing_pilot_ignition_Prob)/dhe_lifetime</f>
        <v>51.5639816715253</v>
      </c>
      <c r="J8" s="331">
        <f>TP_EnergyUseCalc!AG17</f>
        <v>846.660270270075</v>
      </c>
      <c r="K8" s="332">
        <f>TP_EnergyUseCalc!AJ17</f>
        <v>32.79844535134459</v>
      </c>
      <c r="L8" s="332">
        <f>TP_EnergyUseCalc!AK17</f>
        <v>0</v>
      </c>
      <c r="M8" s="333">
        <f aca="true" t="shared" si="0" ref="M8:M13">Retail_Price_gravity+Installation_Cost_gravity</f>
        <v>1327.6030347337414</v>
      </c>
      <c r="N8" s="333">
        <f aca="true" t="shared" si="1" ref="N8:N13">Maintenance_Cost_Gravity+fuel_price_gravity*Fuel_Use_Gravity+elec_price*Elec_Use_gravity</f>
        <v>490.90200938147234</v>
      </c>
      <c r="O8" s="334"/>
    </row>
    <row r="9" spans="1:15" ht="16.5" thickTop="1">
      <c r="A9" s="87">
        <v>1</v>
      </c>
      <c r="B9" s="323">
        <v>0.66</v>
      </c>
      <c r="C9" s="305" t="s">
        <v>282</v>
      </c>
      <c r="D9" s="300">
        <v>224</v>
      </c>
      <c r="E9" s="324">
        <v>309</v>
      </c>
      <c r="F9" s="324">
        <v>36</v>
      </c>
      <c r="G9" s="335">
        <f>base_cost_gravity+Incremental_Cost_gravity*markup_increm_cost_gravity</f>
        <v>592.0839342</v>
      </c>
      <c r="H9" s="336">
        <f>Installation_Cost_Wall_Furnaces</f>
        <v>793.1981637337415</v>
      </c>
      <c r="I9" s="336">
        <f>maint_cost_baseline/maint_cost_baseline_freq+(maint_standing_pilot_ignition*maint_standing_pilot_ignition_Prob)/dhe_lifetime</f>
        <v>51.5639816715253</v>
      </c>
      <c r="J9" s="337">
        <f>TP_EnergyUseCalc!AG18</f>
        <v>819.5003698711207</v>
      </c>
      <c r="K9" s="338">
        <f>TP_EnergyUseCalc!AJ18</f>
        <v>31.858712797540775</v>
      </c>
      <c r="L9" s="338">
        <f>TP_EnergyUseCalc!AK18</f>
        <v>0</v>
      </c>
      <c r="M9" s="339">
        <f t="shared" si="0"/>
        <v>1385.2820979337416</v>
      </c>
      <c r="N9" s="340">
        <f t="shared" si="1"/>
        <v>478.3142101019533</v>
      </c>
      <c r="O9" s="341">
        <f>(Total_Installed_Gravity-Total_Installed_Gravity_baseline)/(Total_Operating_Gravity_baseline-Total_Operating_Gravity)</f>
        <v>4.582140366175582</v>
      </c>
    </row>
    <row r="10" spans="1:15" ht="15.75">
      <c r="A10" s="308">
        <v>2</v>
      </c>
      <c r="B10" s="323">
        <v>0.68</v>
      </c>
      <c r="C10" s="305" t="s">
        <v>282</v>
      </c>
      <c r="D10" s="300">
        <v>231</v>
      </c>
      <c r="E10" s="325">
        <v>319</v>
      </c>
      <c r="F10" s="325">
        <v>46</v>
      </c>
      <c r="G10" s="335">
        <f>base_cost_gravity+Incremental_Cost_gravity*markup_increm_cost_gravity</f>
        <v>608.1058962000001</v>
      </c>
      <c r="H10" s="336">
        <f>Installation_Cost_Wall_Furnaces</f>
        <v>793.1981637337415</v>
      </c>
      <c r="I10" s="336">
        <f>maint_cost_baseline/maint_cost_baseline_freq+(maint_standing_pilot_ignition*maint_standing_pilot_ignition_Prob)/dhe_lifetime</f>
        <v>51.5639816715253</v>
      </c>
      <c r="J10" s="337">
        <f>TP_EnergyUseCalc!AG19</f>
        <v>793.9406200713486</v>
      </c>
      <c r="K10" s="338">
        <f>TP_EnergyUseCalc!AJ19</f>
        <v>30.97434545446866</v>
      </c>
      <c r="L10" s="338">
        <f>TP_EnergyUseCalc!AK19</f>
        <v>0</v>
      </c>
      <c r="M10" s="342">
        <f t="shared" si="0"/>
        <v>1401.3040599337414</v>
      </c>
      <c r="N10" s="340">
        <f t="shared" si="1"/>
        <v>466.4680326348722</v>
      </c>
      <c r="O10" s="341">
        <f>(Total_Installed_Gravity-Total_Installed_Gravity_baseline)/(Total_Operating_Gravity_baseline-Total_Operating_Gravity)</f>
        <v>3.016333606450498</v>
      </c>
    </row>
    <row r="11" spans="1:15" ht="15.75">
      <c r="A11" s="87">
        <v>3</v>
      </c>
      <c r="B11" s="323">
        <v>0.71</v>
      </c>
      <c r="C11" s="305" t="s">
        <v>282</v>
      </c>
      <c r="D11" s="300">
        <v>259</v>
      </c>
      <c r="E11" s="325">
        <v>357</v>
      </c>
      <c r="F11" s="325">
        <v>84</v>
      </c>
      <c r="G11" s="335">
        <f>base_cost_gravity+Incremental_Cost_gravity*markup_increm_cost_gravity</f>
        <v>668.9893518000001</v>
      </c>
      <c r="H11" s="336">
        <f>Installation_Cost_Wall_Furnaces</f>
        <v>793.1981637337415</v>
      </c>
      <c r="I11" s="336">
        <f>maint_cost_baseline/maint_cost_baseline_freq+(maint_standing_pilot_ignition*maint_standing_pilot_ignition_Prob)/dhe_lifetime</f>
        <v>51.5639816715253</v>
      </c>
      <c r="J11" s="337">
        <f>TP_EnergyUseCalc!AG20</f>
        <v>758.3050509015145</v>
      </c>
      <c r="K11" s="343">
        <f>TP_EnergyUseCalc!AJ20</f>
        <v>29.741354761192405</v>
      </c>
      <c r="L11" s="343">
        <f>TP_EnergyUseCalc!AK20</f>
        <v>0</v>
      </c>
      <c r="M11" s="342">
        <f t="shared" si="0"/>
        <v>1462.1875155337416</v>
      </c>
      <c r="N11" s="340">
        <f t="shared" si="1"/>
        <v>449.9520150747136</v>
      </c>
      <c r="O11" s="341">
        <f>(Total_Installed_Gravity-Total_Installed_Gravity_baseline)/(Total_Operating_Gravity_baseline-Total_Operating_Gravity)</f>
        <v>3.286556764619309</v>
      </c>
    </row>
    <row r="12" spans="1:15" ht="15.75" customHeight="1">
      <c r="A12" s="308">
        <v>4</v>
      </c>
      <c r="B12" s="323">
        <v>0.72</v>
      </c>
      <c r="C12" s="305" t="s">
        <v>283</v>
      </c>
      <c r="D12" s="300">
        <v>284</v>
      </c>
      <c r="E12" s="325">
        <v>392</v>
      </c>
      <c r="F12" s="325">
        <v>119</v>
      </c>
      <c r="G12" s="335">
        <f>base_cost_gravity+Incremental_Cost_gravity*markup_increm_cost_gravity</f>
        <v>725.0662188000001</v>
      </c>
      <c r="H12" s="336">
        <f>Installation_Cost_Wall_Furnaces+frac_replacement_gravity*Elec_Wiring_Frac*(Elec_Wiring_adder+Elec_Grounding*Elec_Grounding_Frac_gravity)</f>
        <v>964.3953058893829</v>
      </c>
      <c r="I12" s="335">
        <f>maint_cost_baseline/maint_cost_baseline_freq+(maint_elec_ignition*maint_elec_ignition_Prob)/dhe_lifetime</f>
        <v>53.830467221525296</v>
      </c>
      <c r="J12" s="337">
        <f>TP_EnergyUseCalc!AG21</f>
        <v>812.2689192101395</v>
      </c>
      <c r="K12" s="343">
        <f>TP_EnergyUseCalc!AJ21</f>
        <v>28.429412172354883</v>
      </c>
      <c r="L12" s="343">
        <f>TP_EnergyUseCalc!AK21</f>
        <v>13.15875649120426</v>
      </c>
      <c r="M12" s="342">
        <f t="shared" si="0"/>
        <v>1689.4615246893832</v>
      </c>
      <c r="N12" s="340">
        <f t="shared" si="1"/>
        <v>436.08960275704646</v>
      </c>
      <c r="O12" s="341">
        <f>(Total_Installed_Gravity-Total_Installed_Gravity_baseline)/(Total_Operating_Gravity_baseline-Total_Operating_Gravity)</f>
        <v>6.601762488465302</v>
      </c>
    </row>
    <row r="13" spans="1:15" ht="16.5" thickBot="1">
      <c r="A13" s="264">
        <v>5</v>
      </c>
      <c r="B13" s="326">
        <v>0.75</v>
      </c>
      <c r="C13" s="306" t="s">
        <v>284</v>
      </c>
      <c r="D13" s="327">
        <v>337</v>
      </c>
      <c r="E13" s="303">
        <v>465</v>
      </c>
      <c r="F13" s="303">
        <v>192</v>
      </c>
      <c r="G13" s="344">
        <f>base_cost_gravity+Incremental_Cost_gravity*markup_increm_cost_gravity</f>
        <v>842.0265414000002</v>
      </c>
      <c r="H13" s="345">
        <f>Installation_Cost_Wall_Furnaces+frac_replacement_gravity*Elec_Wiring_Frac*(Elec_Wiring_adder+Elec_Grounding*Elec_Grounding_Frac_gravity)</f>
        <v>964.3953058893829</v>
      </c>
      <c r="I13" s="344">
        <f>maint_cost_baseline/maint_cost_baseline_freq+(maint_elec_ignition*maint_elec_ignition_Prob+maint_induced_draft*maint_induced_draft_Prob)/dhe_lifetime</f>
        <v>63.044592021525304</v>
      </c>
      <c r="J13" s="346">
        <f>TP_EnergyUseCalc!AG22</f>
        <v>774.8199737236155</v>
      </c>
      <c r="K13" s="347">
        <f>TP_EnergyUseCalc!AJ22</f>
        <v>27.118699080326543</v>
      </c>
      <c r="L13" s="347">
        <f>TP_EnergyUseCalc!AK22</f>
        <v>51.293082260503354</v>
      </c>
      <c r="M13" s="348">
        <f t="shared" si="0"/>
        <v>1806.421847289383</v>
      </c>
      <c r="N13" s="349">
        <f t="shared" si="1"/>
        <v>431.9333425982009</v>
      </c>
      <c r="O13" s="350">
        <f>(Total_Installed_Gravity-Total_Installed_Gravity_baseline)/(Total_Operating_Gravity_baseline-Total_Operating_Gravity)</f>
        <v>8.11988533360357</v>
      </c>
    </row>
    <row r="14" spans="1:19" ht="12.75">
      <c r="A14" s="428" t="s">
        <v>277</v>
      </c>
      <c r="B14" s="428"/>
      <c r="C14" s="428"/>
      <c r="D14" s="428"/>
      <c r="E14" s="429"/>
      <c r="F14" s="428"/>
      <c r="G14" s="428"/>
      <c r="H14" s="428"/>
      <c r="I14" s="428"/>
      <c r="J14" s="428"/>
      <c r="K14" s="428"/>
      <c r="L14" s="428"/>
      <c r="M14" s="428"/>
      <c r="P14" s="224"/>
      <c r="Q14" s="224"/>
      <c r="R14" s="224"/>
      <c r="S14" s="224"/>
    </row>
    <row r="15" spans="1:13" ht="12.75">
      <c r="A15" s="429" t="s">
        <v>278</v>
      </c>
      <c r="B15" s="429"/>
      <c r="C15" s="429"/>
      <c r="D15" s="429"/>
      <c r="E15" s="429"/>
      <c r="F15" s="429"/>
      <c r="G15" s="429"/>
      <c r="H15" s="429"/>
      <c r="I15" s="429"/>
      <c r="J15" s="429"/>
      <c r="K15" s="429"/>
      <c r="L15" s="429"/>
      <c r="M15" s="429"/>
    </row>
  </sheetData>
  <sheetProtection/>
  <mergeCells count="11">
    <mergeCell ref="J3:L4"/>
    <mergeCell ref="A15:M15"/>
    <mergeCell ref="A5:A6"/>
    <mergeCell ref="B5:B6"/>
    <mergeCell ref="C5:C6"/>
    <mergeCell ref="A14:M14"/>
    <mergeCell ref="M3:O3"/>
    <mergeCell ref="G4:I4"/>
    <mergeCell ref="M4:N4"/>
    <mergeCell ref="D3:I3"/>
    <mergeCell ref="D4:F4"/>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5.xml><?xml version="1.0" encoding="utf-8"?>
<worksheet xmlns="http://schemas.openxmlformats.org/spreadsheetml/2006/main" xmlns:r="http://schemas.openxmlformats.org/officeDocument/2006/relationships">
  <sheetPr>
    <tabColor indexed="17"/>
  </sheetPr>
  <dimension ref="A1:CA15"/>
  <sheetViews>
    <sheetView zoomScale="70" zoomScaleNormal="70" zoomScalePageLayoutView="0" workbookViewId="0" topLeftCell="A1">
      <pane xSplit="2" topLeftCell="C1" activePane="topRight" state="frozen"/>
      <selection pane="topLeft" activeCell="A15" sqref="A15:B15"/>
      <selection pane="topRight" activeCell="A1" sqref="A1"/>
    </sheetView>
  </sheetViews>
  <sheetFormatPr defaultColWidth="9.140625" defaultRowHeight="12.75"/>
  <cols>
    <col min="1" max="1" width="12.00390625" style="0" customWidth="1"/>
    <col min="2" max="2" width="12.7109375" style="0" customWidth="1"/>
    <col min="3" max="3" width="40.421875" style="0" customWidth="1"/>
    <col min="4" max="4" width="25.57421875" style="0" customWidth="1"/>
    <col min="5" max="5" width="24.28125" style="0" bestFit="1" customWidth="1"/>
    <col min="6" max="6" width="13.7109375" style="0" bestFit="1" customWidth="1"/>
    <col min="7" max="9" width="15.140625" style="0" customWidth="1"/>
    <col min="10" max="12" width="9.7109375" style="0" customWidth="1"/>
    <col min="13" max="13" width="12.00390625" style="0" customWidth="1"/>
    <col min="14" max="14" width="11.8515625" style="0" customWidth="1"/>
    <col min="15" max="15" width="9.7109375" style="0" customWidth="1"/>
  </cols>
  <sheetData>
    <row r="1" spans="1:79" ht="19.5">
      <c r="A1" s="7" t="s">
        <v>324</v>
      </c>
      <c r="B1" s="1"/>
      <c r="C1" s="1"/>
      <c r="D1" s="78"/>
      <c r="E1" s="1"/>
      <c r="F1" s="1"/>
      <c r="G1" s="1"/>
      <c r="H1" s="4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79" ht="20.25" thickBot="1">
      <c r="A2" s="7"/>
      <c r="B2" s="1"/>
      <c r="C2" s="1"/>
      <c r="D2" s="78"/>
      <c r="E2" s="1"/>
      <c r="F2" s="1"/>
      <c r="G2" s="1"/>
      <c r="H2" s="48"/>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15" ht="15.75">
      <c r="A3" s="10"/>
      <c r="B3" s="11"/>
      <c r="C3" s="183"/>
      <c r="D3" s="411" t="s">
        <v>22</v>
      </c>
      <c r="E3" s="412"/>
      <c r="F3" s="412"/>
      <c r="G3" s="412"/>
      <c r="H3" s="412"/>
      <c r="I3" s="413"/>
      <c r="J3" s="417" t="s">
        <v>43</v>
      </c>
      <c r="K3" s="418"/>
      <c r="L3" s="419"/>
      <c r="M3" s="404" t="s">
        <v>27</v>
      </c>
      <c r="N3" s="405"/>
      <c r="O3" s="406"/>
    </row>
    <row r="4" spans="1:15" ht="15.75" customHeight="1">
      <c r="A4" s="2"/>
      <c r="D4" s="414" t="s">
        <v>265</v>
      </c>
      <c r="E4" s="415"/>
      <c r="F4" s="416"/>
      <c r="G4" s="407" t="s">
        <v>266</v>
      </c>
      <c r="H4" s="407"/>
      <c r="I4" s="408"/>
      <c r="J4" s="420"/>
      <c r="K4" s="421"/>
      <c r="L4" s="422"/>
      <c r="M4" s="409" t="s">
        <v>28</v>
      </c>
      <c r="N4" s="410"/>
      <c r="O4" s="12"/>
    </row>
    <row r="5" spans="1:15" ht="31.5">
      <c r="A5" s="432" t="s">
        <v>279</v>
      </c>
      <c r="B5" s="435" t="s">
        <v>35</v>
      </c>
      <c r="C5" s="430" t="s">
        <v>280</v>
      </c>
      <c r="D5" s="282" t="s">
        <v>267</v>
      </c>
      <c r="E5" s="283" t="s">
        <v>268</v>
      </c>
      <c r="F5" s="284" t="s">
        <v>269</v>
      </c>
      <c r="G5" s="13" t="s">
        <v>23</v>
      </c>
      <c r="H5" s="13" t="s">
        <v>285</v>
      </c>
      <c r="I5" s="13" t="s">
        <v>286</v>
      </c>
      <c r="J5" s="16" t="s">
        <v>40</v>
      </c>
      <c r="K5" s="14" t="s">
        <v>24</v>
      </c>
      <c r="L5" s="14" t="s">
        <v>38</v>
      </c>
      <c r="M5" s="15" t="s">
        <v>44</v>
      </c>
      <c r="N5" s="16" t="s">
        <v>45</v>
      </c>
      <c r="O5" s="17" t="s">
        <v>39</v>
      </c>
    </row>
    <row r="6" spans="1:15" ht="16.5" thickBot="1">
      <c r="A6" s="433"/>
      <c r="B6" s="436"/>
      <c r="C6" s="434"/>
      <c r="D6" s="285" t="s">
        <v>270</v>
      </c>
      <c r="E6" s="285" t="s">
        <v>270</v>
      </c>
      <c r="F6" s="286" t="s">
        <v>270</v>
      </c>
      <c r="G6" s="190" t="s">
        <v>21</v>
      </c>
      <c r="H6" s="190" t="s">
        <v>21</v>
      </c>
      <c r="I6" s="190" t="s">
        <v>21</v>
      </c>
      <c r="J6" s="191" t="s">
        <v>41</v>
      </c>
      <c r="K6" s="192" t="s">
        <v>37</v>
      </c>
      <c r="L6" s="193" t="s">
        <v>25</v>
      </c>
      <c r="M6" s="193" t="s">
        <v>21</v>
      </c>
      <c r="N6" s="194" t="s">
        <v>29</v>
      </c>
      <c r="O6" s="195" t="s">
        <v>26</v>
      </c>
    </row>
    <row r="7" spans="1:15" ht="16.5" thickBot="1">
      <c r="A7" s="287" t="s">
        <v>287</v>
      </c>
      <c r="B7" s="310"/>
      <c r="C7" s="311"/>
      <c r="D7" s="312"/>
      <c r="E7" s="313"/>
      <c r="F7" s="313"/>
      <c r="G7" s="311"/>
      <c r="H7" s="311"/>
      <c r="I7" s="310"/>
      <c r="J7" s="314"/>
      <c r="K7" s="315"/>
      <c r="L7" s="316"/>
      <c r="M7" s="317"/>
      <c r="N7" s="318"/>
      <c r="O7" s="319"/>
    </row>
    <row r="8" spans="1:15" ht="16.5" thickBot="1">
      <c r="A8" s="351">
        <v>0</v>
      </c>
      <c r="B8" s="320">
        <v>0.57</v>
      </c>
      <c r="C8" s="321" t="s">
        <v>272</v>
      </c>
      <c r="D8" s="322">
        <v>338</v>
      </c>
      <c r="E8" s="299">
        <v>466</v>
      </c>
      <c r="F8" s="299"/>
      <c r="G8" s="146">
        <f>Total_Mfr_Cost_floor*markup_base_cost_floor</f>
        <v>892.6929000000001</v>
      </c>
      <c r="H8" s="41">
        <f>Installation_Cost_baseline_floor</f>
        <v>1118.4094108645756</v>
      </c>
      <c r="I8" s="42">
        <f>maint_cost_baseline/maint_cost_baseline_freq+(maint_standing_pilot_ignition*maint_standing_pilot_ignition_Prob)/dhe_lifetime</f>
        <v>51.5639816715253</v>
      </c>
      <c r="J8" s="143">
        <f>TP_EnergyUseCalc!AG24</f>
        <v>807.4933059221447</v>
      </c>
      <c r="K8" s="184">
        <f>TP_EnergyUseCalc!AJ24</f>
        <v>53.64321297950801</v>
      </c>
      <c r="L8" s="184">
        <f>TP_EnergyUseCalc!AK24</f>
        <v>0</v>
      </c>
      <c r="M8" s="59">
        <f aca="true" t="shared" si="0" ref="M8:M13">Retail_Price_floor+Installation_Cost_floor</f>
        <v>2011.1023108645759</v>
      </c>
      <c r="N8" s="59">
        <f aca="true" t="shared" si="1" ref="N8:N13">Maintenance_Cost_floor+fuel_price_floor*Fuel_Use_floor+elec_price*Elec_Use_floor</f>
        <v>743.8000830243408</v>
      </c>
      <c r="O8" s="43"/>
    </row>
    <row r="9" spans="1:15" ht="16.5" thickTop="1">
      <c r="A9" s="87">
        <v>1</v>
      </c>
      <c r="B9" s="323">
        <v>0.58</v>
      </c>
      <c r="C9" s="305" t="s">
        <v>282</v>
      </c>
      <c r="D9" s="300">
        <v>353</v>
      </c>
      <c r="E9" s="324">
        <v>487</v>
      </c>
      <c r="F9" s="324">
        <v>21</v>
      </c>
      <c r="G9" s="186">
        <f>base_cost_floor+Incremental_Cost_floor*markup_increm_cost_floor</f>
        <v>925.7697900000002</v>
      </c>
      <c r="H9" s="187">
        <f>Installation_Cost_baseline_floor</f>
        <v>1118.4094108645756</v>
      </c>
      <c r="I9" s="188">
        <f>maint_cost_baseline/maint_cost_baseline_freq+(maint_standing_pilot_ignition*maint_standing_pilot_ignition_Prob)/dhe_lifetime</f>
        <v>51.5639816715253</v>
      </c>
      <c r="J9" s="144">
        <f>TP_EnergyUseCalc!AG25</f>
        <v>793.0196192038155</v>
      </c>
      <c r="K9" s="144">
        <f>TP_EnergyUseCalc!AJ25</f>
        <v>52.75235756199484</v>
      </c>
      <c r="L9" s="141">
        <f>TP_EnergyUseCalc!AK25</f>
        <v>0</v>
      </c>
      <c r="M9" s="231">
        <f t="shared" si="0"/>
        <v>2044.1792008645757</v>
      </c>
      <c r="N9" s="231">
        <f t="shared" si="1"/>
        <v>732.3040848013424</v>
      </c>
      <c r="O9" s="233">
        <f>(Total_Installed_floor-Total_Installed_floor_baseline)/(Total_Operating_floor_baseline-Total_Operating_floor)</f>
        <v>2.877252532435813</v>
      </c>
    </row>
    <row r="10" spans="1:15" ht="15.75">
      <c r="A10" s="308">
        <v>2</v>
      </c>
      <c r="B10" s="323">
        <v>0.61</v>
      </c>
      <c r="C10" s="305" t="s">
        <v>282</v>
      </c>
      <c r="D10" s="300">
        <v>368</v>
      </c>
      <c r="E10" s="325">
        <v>508</v>
      </c>
      <c r="F10" s="325">
        <v>42</v>
      </c>
      <c r="G10" s="186">
        <f>base_cost_floor+Incremental_Cost_floor*markup_increm_cost_floor</f>
        <v>958.8466800000001</v>
      </c>
      <c r="H10" s="188">
        <f>Installation_Cost_baseline_floor</f>
        <v>1118.4094108645756</v>
      </c>
      <c r="I10" s="188">
        <f>maint_cost_baseline/maint_cost_baseline_freq+(maint_standing_pilot_ignition*maint_standing_pilot_ignition_Prob)/dhe_lifetime</f>
        <v>51.5639816715253</v>
      </c>
      <c r="J10" s="144">
        <f>TP_EnergyUseCalc!AG26</f>
        <v>752.4504637255599</v>
      </c>
      <c r="K10" s="141">
        <f>TP_EnergyUseCalc!AJ26</f>
        <v>50.25532604230821</v>
      </c>
      <c r="L10" s="141">
        <f>TP_EnergyUseCalc!AK26</f>
        <v>0</v>
      </c>
      <c r="M10" s="231">
        <f t="shared" si="0"/>
        <v>2077.2560908645755</v>
      </c>
      <c r="N10" s="189">
        <f t="shared" si="1"/>
        <v>700.0812691246737</v>
      </c>
      <c r="O10" s="233">
        <f>(Total_Installed_floor-Total_Installed_floor_baseline)/(Total_Operating_floor_baseline-Total_Operating_floor)</f>
        <v>1.5131650220845392</v>
      </c>
    </row>
    <row r="11" spans="1:15" ht="15.75">
      <c r="A11" s="87">
        <v>3</v>
      </c>
      <c r="B11" s="323">
        <v>0.62</v>
      </c>
      <c r="C11" s="305" t="s">
        <v>282</v>
      </c>
      <c r="D11" s="300">
        <v>383</v>
      </c>
      <c r="E11" s="325">
        <v>529</v>
      </c>
      <c r="F11" s="325">
        <v>63</v>
      </c>
      <c r="G11" s="186">
        <f>base_cost_floor+Incremental_Cost_floor*markup_increm_cost_floor</f>
        <v>991.9235700000002</v>
      </c>
      <c r="H11" s="188">
        <f>Installation_Cost_baseline_floor</f>
        <v>1118.4094108645756</v>
      </c>
      <c r="I11" s="188">
        <f>maint_cost_baseline/maint_cost_baseline_freq+(maint_standing_pilot_ignition*maint_standing_pilot_ignition_Prob)/dhe_lifetime</f>
        <v>51.5639816715253</v>
      </c>
      <c r="J11" s="144">
        <f>TP_EnergyUseCalc!AG27</f>
        <v>739.8012705636376</v>
      </c>
      <c r="K11" s="142">
        <f>TP_EnergyUseCalc!AJ27</f>
        <v>49.47676820319189</v>
      </c>
      <c r="L11" s="142">
        <f>TP_EnergyUseCalc!AK27</f>
        <v>0</v>
      </c>
      <c r="M11" s="231">
        <f t="shared" si="0"/>
        <v>2110.332980864576</v>
      </c>
      <c r="N11" s="189">
        <f t="shared" si="1"/>
        <v>690.0344092650035</v>
      </c>
      <c r="O11" s="233">
        <f>(Total_Installed_floor-Total_Installed_floor_baseline)/(Total_Operating_floor_baseline-Total_Operating_floor)</f>
        <v>1.845613810108108</v>
      </c>
    </row>
    <row r="12" spans="1:15" ht="15.75">
      <c r="A12" s="308">
        <v>4</v>
      </c>
      <c r="B12" s="323">
        <v>0.65</v>
      </c>
      <c r="C12" s="305" t="s">
        <v>274</v>
      </c>
      <c r="D12" s="300">
        <v>410</v>
      </c>
      <c r="E12" s="325">
        <v>566</v>
      </c>
      <c r="F12" s="325">
        <v>100</v>
      </c>
      <c r="G12" s="186">
        <f>base_cost_floor+Incremental_Cost_floor*markup_increm_cost_floor</f>
        <v>1050.2019000000003</v>
      </c>
      <c r="H12" s="188">
        <f>Installation_Cost_baseline_floor+frac_replacement_floor*Elec_Wiring_Frac*(Elec_Wiring_adder+Elec_Grounding*Elec_Grounding_Frac_floor)</f>
        <v>1308.9482748024398</v>
      </c>
      <c r="I12" s="46">
        <f>maint_cost_baseline/maint_cost_baseline_freq+(maint_elec_ignition*maint_elec_ignition_Prob)/dhe_lifetime</f>
        <v>53.830467221525296</v>
      </c>
      <c r="J12" s="144">
        <f>TP_EnergyUseCalc!AG28</f>
        <v>743.9078136634705</v>
      </c>
      <c r="K12" s="142">
        <f>TP_EnergyUseCalc!AJ28</f>
        <v>46.12228444713517</v>
      </c>
      <c r="L12" s="142">
        <f>TP_EnergyUseCalc!AK28</f>
        <v>12.051306581348221</v>
      </c>
      <c r="M12" s="231">
        <f t="shared" si="0"/>
        <v>2359.1501748024402</v>
      </c>
      <c r="N12" s="189">
        <f t="shared" si="1"/>
        <v>650.3362319004598</v>
      </c>
      <c r="O12" s="233">
        <f>(Total_Installed_floor-Total_Installed_floor_baseline)/(Total_Operating_floor_baseline-Total_Operating_floor)</f>
        <v>3.7238767689611545</v>
      </c>
    </row>
    <row r="13" spans="1:15" ht="16.5" thickBot="1">
      <c r="A13" s="264">
        <v>5</v>
      </c>
      <c r="B13" s="326">
        <v>0.78</v>
      </c>
      <c r="C13" s="306" t="s">
        <v>284</v>
      </c>
      <c r="D13" s="302">
        <v>468</v>
      </c>
      <c r="E13" s="303">
        <v>646</v>
      </c>
      <c r="F13" s="303">
        <v>180</v>
      </c>
      <c r="G13" s="274">
        <f>base_cost_floor+Incremental_Cost_floor*markup_increm_cost_floor</f>
        <v>1176.2091000000003</v>
      </c>
      <c r="H13" s="188">
        <f>Installation_Cost_baseline_floor+frac_replacement_floor*Elec_Wiring_Frac*(Elec_Wiring_adder+Elec_Grounding*Elec_Grounding_Frac_floor)</f>
        <v>1308.9482748024398</v>
      </c>
      <c r="I13" s="267">
        <f>maint_cost_baseline/maint_cost_baseline_freq+(maint_elec_ignition*maint_elec_ignition_Prob+maint_air_circulation*maint_air_circulation_Prob+maint_induced_draft*maint_induced_draft_Prob)/dhe_lifetime</f>
        <v>75.89691202152531</v>
      </c>
      <c r="J13" s="269">
        <f>TP_EnergyUseCalc!AG29</f>
        <v>615.2935564554871</v>
      </c>
      <c r="K13" s="270">
        <f>TP_EnergyUseCalc!AJ29</f>
        <v>38.1482005002402</v>
      </c>
      <c r="L13" s="270">
        <f>TP_EnergyUseCalc!AK29</f>
        <v>77.65004682468248</v>
      </c>
      <c r="M13" s="271">
        <f t="shared" si="0"/>
        <v>2485.1573748024402</v>
      </c>
      <c r="N13" s="272">
        <f t="shared" si="1"/>
        <v>576.7035402904726</v>
      </c>
      <c r="O13" s="275">
        <f>(Total_Installed_floor-Total_Installed_floor_baseline)/(Total_Operating_floor_baseline-Total_Operating_floor)</f>
        <v>2.837012999681769</v>
      </c>
    </row>
    <row r="14" spans="1:13" ht="12.75">
      <c r="A14" s="428" t="s">
        <v>277</v>
      </c>
      <c r="B14" s="428"/>
      <c r="C14" s="428"/>
      <c r="D14" s="428"/>
      <c r="E14" s="428"/>
      <c r="F14" s="428"/>
      <c r="G14" s="428"/>
      <c r="H14" s="428"/>
      <c r="I14" s="428"/>
      <c r="J14" s="428"/>
      <c r="K14" s="428"/>
      <c r="L14" s="428"/>
      <c r="M14" s="428"/>
    </row>
    <row r="15" spans="1:13" ht="12.75">
      <c r="A15" s="429" t="s">
        <v>278</v>
      </c>
      <c r="B15" s="429"/>
      <c r="C15" s="429"/>
      <c r="D15" s="429"/>
      <c r="E15" s="429"/>
      <c r="F15" s="429"/>
      <c r="G15" s="429"/>
      <c r="H15" s="429"/>
      <c r="I15" s="429"/>
      <c r="J15" s="429"/>
      <c r="K15" s="429"/>
      <c r="L15" s="429"/>
      <c r="M15" s="429"/>
    </row>
  </sheetData>
  <sheetProtection/>
  <mergeCells count="11">
    <mergeCell ref="J3:L4"/>
    <mergeCell ref="A15:M15"/>
    <mergeCell ref="A5:A6"/>
    <mergeCell ref="B5:B6"/>
    <mergeCell ref="C5:C6"/>
    <mergeCell ref="A14:M14"/>
    <mergeCell ref="M3:O3"/>
    <mergeCell ref="G4:I4"/>
    <mergeCell ref="M4:N4"/>
    <mergeCell ref="D3:I3"/>
    <mergeCell ref="D4:F4"/>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CA17"/>
  <sheetViews>
    <sheetView zoomScale="70" zoomScaleNormal="70" zoomScalePageLayoutView="0" workbookViewId="0" topLeftCell="A1">
      <pane xSplit="2" topLeftCell="C1" activePane="topRight" state="frozen"/>
      <selection pane="topLeft" activeCell="A15" sqref="A15:B15"/>
      <selection pane="topRight" activeCell="A1" sqref="A1"/>
    </sheetView>
  </sheetViews>
  <sheetFormatPr defaultColWidth="9.140625" defaultRowHeight="12.75"/>
  <cols>
    <col min="1" max="1" width="12.00390625" style="0" customWidth="1"/>
    <col min="2" max="2" width="7.00390625" style="0" bestFit="1" customWidth="1"/>
    <col min="3" max="3" width="35.7109375" style="0" customWidth="1"/>
    <col min="4" max="4" width="18.140625" style="0" customWidth="1"/>
    <col min="5" max="5" width="24.28125" style="0" bestFit="1" customWidth="1"/>
    <col min="6" max="6" width="19.421875" style="0" bestFit="1" customWidth="1"/>
    <col min="7" max="9" width="14.28125" style="0" customWidth="1"/>
    <col min="10" max="10" width="6.421875" style="0" bestFit="1" customWidth="1"/>
    <col min="11" max="11" width="9.421875" style="0" bestFit="1" customWidth="1"/>
    <col min="12" max="12" width="10.8515625" style="0" bestFit="1" customWidth="1"/>
    <col min="13" max="13" width="10.421875" style="0" bestFit="1" customWidth="1"/>
    <col min="14" max="14" width="11.57421875" style="0" bestFit="1" customWidth="1"/>
    <col min="15" max="15" width="9.421875" style="0" bestFit="1" customWidth="1"/>
  </cols>
  <sheetData>
    <row r="1" spans="1:79" ht="19.5">
      <c r="A1" s="7" t="s">
        <v>325</v>
      </c>
      <c r="B1" s="1"/>
      <c r="C1" s="1"/>
      <c r="D1" s="78"/>
      <c r="E1" s="1"/>
      <c r="F1" s="1"/>
      <c r="G1" s="1"/>
      <c r="H1" s="4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79" ht="20.25" thickBot="1">
      <c r="A2" s="7"/>
      <c r="B2" s="1"/>
      <c r="C2" s="1"/>
      <c r="D2" s="78"/>
      <c r="E2" s="1"/>
      <c r="F2" s="1"/>
      <c r="G2" s="1"/>
      <c r="H2" s="48"/>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15" ht="15.75">
      <c r="A3" s="10"/>
      <c r="B3" s="11"/>
      <c r="C3" s="183"/>
      <c r="D3" s="411" t="s">
        <v>22</v>
      </c>
      <c r="E3" s="412"/>
      <c r="F3" s="412"/>
      <c r="G3" s="412"/>
      <c r="H3" s="412"/>
      <c r="I3" s="413"/>
      <c r="J3" s="417" t="s">
        <v>43</v>
      </c>
      <c r="K3" s="418"/>
      <c r="L3" s="419"/>
      <c r="M3" s="404" t="s">
        <v>27</v>
      </c>
      <c r="N3" s="405"/>
      <c r="O3" s="406"/>
    </row>
    <row r="4" spans="1:15" ht="15.75" customHeight="1">
      <c r="A4" s="2"/>
      <c r="D4" s="414" t="s">
        <v>265</v>
      </c>
      <c r="E4" s="415"/>
      <c r="F4" s="416"/>
      <c r="G4" s="407" t="s">
        <v>266</v>
      </c>
      <c r="H4" s="407"/>
      <c r="I4" s="408"/>
      <c r="J4" s="420"/>
      <c r="K4" s="421"/>
      <c r="L4" s="422"/>
      <c r="M4" s="409" t="s">
        <v>28</v>
      </c>
      <c r="N4" s="410"/>
      <c r="O4" s="12"/>
    </row>
    <row r="5" spans="1:15" ht="47.25">
      <c r="A5" s="432" t="s">
        <v>279</v>
      </c>
      <c r="B5" s="435" t="s">
        <v>35</v>
      </c>
      <c r="C5" s="430" t="s">
        <v>280</v>
      </c>
      <c r="D5" s="282" t="s">
        <v>267</v>
      </c>
      <c r="E5" s="283" t="s">
        <v>268</v>
      </c>
      <c r="F5" s="284" t="s">
        <v>269</v>
      </c>
      <c r="G5" s="13" t="s">
        <v>23</v>
      </c>
      <c r="H5" s="13" t="s">
        <v>285</v>
      </c>
      <c r="I5" s="13" t="s">
        <v>286</v>
      </c>
      <c r="J5" s="16" t="s">
        <v>40</v>
      </c>
      <c r="K5" s="14" t="s">
        <v>24</v>
      </c>
      <c r="L5" s="14" t="s">
        <v>38</v>
      </c>
      <c r="M5" s="15" t="s">
        <v>44</v>
      </c>
      <c r="N5" s="16" t="s">
        <v>45</v>
      </c>
      <c r="O5" s="17" t="s">
        <v>39</v>
      </c>
    </row>
    <row r="6" spans="1:15" ht="16.5" thickBot="1">
      <c r="A6" s="433"/>
      <c r="B6" s="436"/>
      <c r="C6" s="434"/>
      <c r="D6" s="285" t="s">
        <v>270</v>
      </c>
      <c r="E6" s="285" t="s">
        <v>270</v>
      </c>
      <c r="F6" s="286" t="s">
        <v>270</v>
      </c>
      <c r="G6" s="190" t="s">
        <v>21</v>
      </c>
      <c r="H6" s="190" t="s">
        <v>21</v>
      </c>
      <c r="I6" s="190" t="s">
        <v>21</v>
      </c>
      <c r="J6" s="191" t="s">
        <v>41</v>
      </c>
      <c r="K6" s="192" t="s">
        <v>37</v>
      </c>
      <c r="L6" s="193" t="s">
        <v>25</v>
      </c>
      <c r="M6" s="193" t="s">
        <v>21</v>
      </c>
      <c r="N6" s="194" t="s">
        <v>29</v>
      </c>
      <c r="O6" s="195" t="s">
        <v>26</v>
      </c>
    </row>
    <row r="7" spans="1:15" ht="16.5" thickBot="1">
      <c r="A7" s="287" t="s">
        <v>281</v>
      </c>
      <c r="B7" s="310"/>
      <c r="C7" s="311"/>
      <c r="D7" s="312"/>
      <c r="E7" s="313"/>
      <c r="F7" s="313"/>
      <c r="G7" s="311"/>
      <c r="H7" s="311"/>
      <c r="I7" s="310"/>
      <c r="J7" s="314"/>
      <c r="K7" s="315"/>
      <c r="L7" s="316"/>
      <c r="M7" s="317"/>
      <c r="N7" s="318"/>
      <c r="O7" s="319"/>
    </row>
    <row r="8" spans="1:15" ht="16.5" thickBot="1">
      <c r="A8" s="351">
        <v>0</v>
      </c>
      <c r="B8" s="320">
        <v>0.64</v>
      </c>
      <c r="C8" s="321" t="s">
        <v>272</v>
      </c>
      <c r="D8" s="322">
        <v>221</v>
      </c>
      <c r="E8" s="299">
        <v>305</v>
      </c>
      <c r="F8" s="352"/>
      <c r="G8" s="40">
        <f>Total_Mfr_Cost_room*markup_base_cost_room</f>
        <v>637.9176870000001</v>
      </c>
      <c r="H8" s="42">
        <f>Installation_Cost_baseline_Room</f>
        <v>610.762586074981</v>
      </c>
      <c r="I8" s="236">
        <f>maint_cost_baseline/maint_cost_baseline_freq+(maint_standing_pilot_ignition*maint_standing_pilot_ignition_Prob)/dhe_lifetime</f>
        <v>51.5639816715253</v>
      </c>
      <c r="J8" s="143">
        <f>TP_EnergyUseCalc!AG31</f>
        <v>855.3151108101686</v>
      </c>
      <c r="K8" s="204">
        <f>TP_EnergyUseCalc!AJ31</f>
        <v>32.70266858957234</v>
      </c>
      <c r="L8" s="145">
        <f>TP_EnergyUseCalc!AK31</f>
        <v>0</v>
      </c>
      <c r="M8" s="59">
        <f aca="true" t="shared" si="0" ref="M8:M15">Retail_Price_room+Installation_Cost_room</f>
        <v>1248.680273074981</v>
      </c>
      <c r="N8" s="59">
        <f aca="true" t="shared" si="1" ref="N8:N15">maintenance_cost_room+Fuel_Use_room*fuel_price_room+Elec_Use_room*elec_price</f>
        <v>531.3147541464558</v>
      </c>
      <c r="O8" s="43"/>
    </row>
    <row r="9" spans="1:15" ht="16.5" thickTop="1">
      <c r="A9" s="87">
        <v>1</v>
      </c>
      <c r="B9" s="323">
        <v>0.65</v>
      </c>
      <c r="C9" s="305" t="s">
        <v>282</v>
      </c>
      <c r="D9" s="300">
        <v>237</v>
      </c>
      <c r="E9" s="324">
        <v>327</v>
      </c>
      <c r="F9" s="324">
        <v>22</v>
      </c>
      <c r="G9" s="45">
        <f aca="true" t="shared" si="2" ref="G9:G15">Base_cost_room+Incremental_Cost_room*markup_increm_cost_room</f>
        <v>675.0742798800001</v>
      </c>
      <c r="H9" s="229">
        <f>Installation_Cost_baseline_Room</f>
        <v>610.762586074981</v>
      </c>
      <c r="I9" s="234">
        <f>maint_cost_baseline/maint_cost_baseline_freq+(maint_standing_pilot_ignition*maint_standing_pilot_ignition_Prob)/dhe_lifetime</f>
        <v>51.5639816715253</v>
      </c>
      <c r="J9" s="144">
        <f>TP_EnergyUseCalc!AG32</f>
        <v>841.4902076446722</v>
      </c>
      <c r="K9" s="205">
        <f>TP_EnergyUseCalc!AJ32</f>
        <v>32.22363569488789</v>
      </c>
      <c r="L9" s="142">
        <f>TP_EnergyUseCalc!AK32</f>
        <v>0</v>
      </c>
      <c r="M9" s="189">
        <f t="shared" si="0"/>
        <v>1285.836865954981</v>
      </c>
      <c r="N9" s="189">
        <f t="shared" si="1"/>
        <v>524.2873031408506</v>
      </c>
      <c r="O9" s="47">
        <f aca="true" t="shared" si="3" ref="O9:O15">(Total_Installed_Room-Total_Installed_Room_baseline)/(Total_Operating_room_baseline-Total_Operating_room)</f>
        <v>5.287349972324688</v>
      </c>
    </row>
    <row r="10" spans="1:15" ht="15.75">
      <c r="A10" s="308">
        <v>2</v>
      </c>
      <c r="B10" s="323">
        <v>0.66</v>
      </c>
      <c r="C10" s="305" t="s">
        <v>282</v>
      </c>
      <c r="D10" s="300">
        <v>252</v>
      </c>
      <c r="E10" s="325">
        <v>348</v>
      </c>
      <c r="F10" s="325">
        <v>43</v>
      </c>
      <c r="G10" s="45">
        <f t="shared" si="2"/>
        <v>710.5419367200001</v>
      </c>
      <c r="H10" s="229">
        <f>Installation_Cost_baseline_Room</f>
        <v>610.762586074981</v>
      </c>
      <c r="I10" s="229">
        <f>maint_cost_baseline/maint_cost_baseline_freq+(maint_standing_pilot_ignition*maint_standing_pilot_ignition_Prob)/dhe_lifetime</f>
        <v>51.5639816715253</v>
      </c>
      <c r="J10" s="144">
        <f>TP_EnergyUseCalc!AG33</f>
        <v>828.0848024286536</v>
      </c>
      <c r="K10" s="205">
        <f>TP_EnergyUseCalc!AJ33</f>
        <v>31.759138404152846</v>
      </c>
      <c r="L10" s="142">
        <f>TP_EnergyUseCalc!AK33</f>
        <v>0</v>
      </c>
      <c r="M10" s="231">
        <f t="shared" si="0"/>
        <v>1321.304522794981</v>
      </c>
      <c r="N10" s="189">
        <f t="shared" si="1"/>
        <v>517.4730906116105</v>
      </c>
      <c r="O10" s="47">
        <f t="shared" si="3"/>
        <v>5.246786236146692</v>
      </c>
    </row>
    <row r="11" spans="1:15" ht="15.75">
      <c r="A11" s="87">
        <v>3</v>
      </c>
      <c r="B11" s="323">
        <v>0.67</v>
      </c>
      <c r="C11" s="305" t="s">
        <v>282</v>
      </c>
      <c r="D11" s="300">
        <v>267</v>
      </c>
      <c r="E11" s="325">
        <v>368</v>
      </c>
      <c r="F11" s="325">
        <v>63</v>
      </c>
      <c r="G11" s="45">
        <f t="shared" si="2"/>
        <v>744.3206575200002</v>
      </c>
      <c r="H11" s="229">
        <f>Installation_Cost_baseline_Room</f>
        <v>610.762586074981</v>
      </c>
      <c r="I11" s="229">
        <f>maint_cost_baseline/maint_cost_baseline_freq+(maint_standing_pilot_ignition*maint_standing_pilot_ignition_Prob)/dhe_lifetime</f>
        <v>51.5639816715253</v>
      </c>
      <c r="J11" s="144">
        <f>TP_EnergyUseCalc!AG34</f>
        <v>815.0800880178331</v>
      </c>
      <c r="K11" s="206">
        <f>TP_EnergyUseCalc!AJ34</f>
        <v>31.308525049817916</v>
      </c>
      <c r="L11" s="141">
        <f>TP_EnergyUseCalc!AK34</f>
        <v>0</v>
      </c>
      <c r="M11" s="231">
        <f t="shared" si="0"/>
        <v>1355.083243594981</v>
      </c>
      <c r="N11" s="189">
        <f t="shared" si="1"/>
        <v>510.86255654349367</v>
      </c>
      <c r="O11" s="47">
        <f t="shared" si="3"/>
        <v>5.202520168521619</v>
      </c>
    </row>
    <row r="12" spans="1:15" ht="15.75">
      <c r="A12" s="308">
        <v>4</v>
      </c>
      <c r="B12" s="323">
        <v>0.68</v>
      </c>
      <c r="C12" s="305" t="s">
        <v>282</v>
      </c>
      <c r="D12" s="300">
        <v>282</v>
      </c>
      <c r="E12" s="325">
        <v>389</v>
      </c>
      <c r="F12" s="325">
        <v>84</v>
      </c>
      <c r="G12" s="45">
        <f t="shared" si="2"/>
        <v>779.7883143600001</v>
      </c>
      <c r="H12" s="229">
        <f>Installation_Cost_baseline_Room</f>
        <v>610.762586074981</v>
      </c>
      <c r="I12" s="229">
        <f>maint_cost_baseline/maint_cost_baseline_freq+(maint_standing_pilot_ignition*maint_standing_pilot_ignition_Prob)/dhe_lifetime</f>
        <v>51.5639816715253</v>
      </c>
      <c r="J12" s="144">
        <f>TP_EnergyUseCalc!AG35</f>
        <v>802.4583648807904</v>
      </c>
      <c r="K12" s="206">
        <f>TP_EnergyUseCalc!AJ35</f>
        <v>30.87118234311939</v>
      </c>
      <c r="L12" s="141">
        <f>TP_EnergyUseCalc!AK35</f>
        <v>0</v>
      </c>
      <c r="M12" s="231">
        <f t="shared" si="0"/>
        <v>1390.550900434981</v>
      </c>
      <c r="N12" s="189">
        <f t="shared" si="1"/>
        <v>504.4467039411223</v>
      </c>
      <c r="O12" s="47">
        <f t="shared" si="3"/>
        <v>5.280272527250138</v>
      </c>
    </row>
    <row r="13" spans="1:15" ht="15.75">
      <c r="A13" s="87">
        <v>5</v>
      </c>
      <c r="B13" s="323">
        <v>0.7</v>
      </c>
      <c r="C13" s="305" t="s">
        <v>283</v>
      </c>
      <c r="D13" s="300">
        <v>307</v>
      </c>
      <c r="E13" s="325">
        <v>424</v>
      </c>
      <c r="F13" s="325">
        <v>119</v>
      </c>
      <c r="G13" s="45">
        <f t="shared" si="2"/>
        <v>838.9010757600001</v>
      </c>
      <c r="H13" s="229">
        <f>Installation_Cost_baseline_Room+frac_replacement_room*Elec_Wiring_Frac*(Elec_Wiring_adder+Elec_Grounding*Elec_Grounding_Frac_room)</f>
        <v>713.8412106749976</v>
      </c>
      <c r="I13" s="229">
        <f>maint_cost_baseline/maint_cost_baseline_freq+(maint_elec_ignition*maint_elec_ignition_Prob)/dhe_lifetime</f>
        <v>53.830467221525296</v>
      </c>
      <c r="J13" s="144">
        <f>TP_EnergyUseCalc!AG36</f>
        <v>835.8425793015605</v>
      </c>
      <c r="K13" s="205">
        <f>TP_EnergyUseCalc!AJ36</f>
        <v>29.254490275554616</v>
      </c>
      <c r="L13" s="142">
        <f>TP_EnergyUseCalc!AK36</f>
        <v>10.531616499199663</v>
      </c>
      <c r="M13" s="231">
        <f t="shared" si="0"/>
        <v>1552.7422864349978</v>
      </c>
      <c r="N13" s="189">
        <f t="shared" si="1"/>
        <v>484.1524431568706</v>
      </c>
      <c r="O13" s="47">
        <f t="shared" si="3"/>
        <v>6.44713982372837</v>
      </c>
    </row>
    <row r="14" spans="1:15" ht="15.75">
      <c r="A14" s="308">
        <v>6</v>
      </c>
      <c r="B14" s="323">
        <v>0.78</v>
      </c>
      <c r="C14" s="305" t="s">
        <v>288</v>
      </c>
      <c r="D14" s="300">
        <v>361</v>
      </c>
      <c r="E14" s="325">
        <v>498</v>
      </c>
      <c r="F14" s="325">
        <v>193</v>
      </c>
      <c r="G14" s="45">
        <f t="shared" si="2"/>
        <v>963.8823427200001</v>
      </c>
      <c r="H14" s="229">
        <f>Installation_Cost_baseline_Room+frac_replacement_room*Elec_Wiring_Frac*(Elec_Wiring_adder+Elec_Grounding*Elec_Grounding_Frac_room)</f>
        <v>713.8412106749976</v>
      </c>
      <c r="I14" s="235">
        <f>maint_cost_baseline/maint_cost_baseline_freq+(maint_elec_ignition*maint_elec_ignition_Prob+maint_air_circulation*maint_air_circulation_Prob+maint_induced_draft*maint_induced_draft_Prob)/dhe_lifetime</f>
        <v>75.89691202152531</v>
      </c>
      <c r="J14" s="144">
        <f>TP_EnergyUseCalc!AG37</f>
        <v>739.7603508363212</v>
      </c>
      <c r="K14" s="205">
        <f>TP_EnergyUseCalc!AJ37</f>
        <v>25.891612279271243</v>
      </c>
      <c r="L14" s="142">
        <f>TP_EnergyUseCalc!AK37</f>
        <v>93.35775627554374</v>
      </c>
      <c r="M14" s="231">
        <f t="shared" si="0"/>
        <v>1677.7235533949977</v>
      </c>
      <c r="N14" s="189">
        <f t="shared" si="1"/>
        <v>465.97859999295315</v>
      </c>
      <c r="O14" s="47">
        <f t="shared" si="3"/>
        <v>6.566705461604152</v>
      </c>
    </row>
    <row r="15" spans="1:15" ht="16.5" thickBot="1">
      <c r="A15" s="264">
        <v>7</v>
      </c>
      <c r="B15" s="326">
        <v>0.93</v>
      </c>
      <c r="C15" s="353" t="s">
        <v>289</v>
      </c>
      <c r="D15" s="302">
        <v>552</v>
      </c>
      <c r="E15" s="303">
        <v>762</v>
      </c>
      <c r="F15" s="303">
        <v>457</v>
      </c>
      <c r="G15" s="266">
        <f t="shared" si="2"/>
        <v>1409.76145728</v>
      </c>
      <c r="H15" s="276">
        <f>Installation_Cost_baseline_Room+frac_replacement_room*Elec_Wiring_Frac*(Elec_Wiring_adder+Elec_Grounding*Elec_Grounding_Frac_room)</f>
        <v>713.8412106749976</v>
      </c>
      <c r="I15" s="277">
        <f>maint_cost_baseline/maint_cost_baseline_freq+(maint_elec_ignition*maint_elec_ignition_Prob+maint_air_circulation*maint_air_circulation_Prob+maint_induced_draft*maint_induced_draft_Prob)/dhe_lifetime</f>
        <v>75.89691202152531</v>
      </c>
      <c r="J15" s="269">
        <f>TP_EnergyUseCalc!AG38</f>
        <v>622.0024070668728</v>
      </c>
      <c r="K15" s="270">
        <f>TP_EnergyUseCalc!AJ38</f>
        <v>21.77008424734055</v>
      </c>
      <c r="L15" s="270">
        <f>TP_EnergyUseCalc!AK38</f>
        <v>78.49670377183935</v>
      </c>
      <c r="M15" s="271">
        <f t="shared" si="0"/>
        <v>2123.6026679549977</v>
      </c>
      <c r="N15" s="271">
        <f t="shared" si="1"/>
        <v>403.88387238866915</v>
      </c>
      <c r="O15" s="273">
        <f t="shared" si="3"/>
        <v>6.8658584387968</v>
      </c>
    </row>
    <row r="16" spans="1:19" ht="12.75">
      <c r="A16" s="428" t="s">
        <v>277</v>
      </c>
      <c r="B16" s="428"/>
      <c r="C16" s="428"/>
      <c r="D16" s="428"/>
      <c r="E16" s="429"/>
      <c r="F16" s="428"/>
      <c r="G16" s="428"/>
      <c r="H16" s="428"/>
      <c r="I16" s="428"/>
      <c r="J16" s="428"/>
      <c r="K16" s="428"/>
      <c r="L16" s="428"/>
      <c r="M16" s="428"/>
      <c r="P16" s="224"/>
      <c r="Q16" s="224"/>
      <c r="R16" s="224"/>
      <c r="S16" s="224"/>
    </row>
    <row r="17" spans="1:13" ht="12.75">
      <c r="A17" s="429" t="s">
        <v>278</v>
      </c>
      <c r="B17" s="429"/>
      <c r="C17" s="429"/>
      <c r="D17" s="429"/>
      <c r="E17" s="429"/>
      <c r="F17" s="429"/>
      <c r="G17" s="429"/>
      <c r="H17" s="429"/>
      <c r="I17" s="429"/>
      <c r="J17" s="429"/>
      <c r="K17" s="429"/>
      <c r="L17" s="429"/>
      <c r="M17" s="429"/>
    </row>
  </sheetData>
  <sheetProtection/>
  <mergeCells count="11">
    <mergeCell ref="J3:L4"/>
    <mergeCell ref="A17:M17"/>
    <mergeCell ref="A5:A6"/>
    <mergeCell ref="B5:B6"/>
    <mergeCell ref="C5:C6"/>
    <mergeCell ref="A16:M16"/>
    <mergeCell ref="M3:O3"/>
    <mergeCell ref="G4:I4"/>
    <mergeCell ref="M4:N4"/>
    <mergeCell ref="D3:I3"/>
    <mergeCell ref="D4:F4"/>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47"/>
  <sheetViews>
    <sheetView zoomScale="85" zoomScaleNormal="85" zoomScalePageLayoutView="0" workbookViewId="0" topLeftCell="A1">
      <pane xSplit="2" ySplit="9" topLeftCell="Y10" activePane="bottomRight" state="frozen"/>
      <selection pane="topLeft" activeCell="B85" sqref="B85"/>
      <selection pane="topRight" activeCell="B85" sqref="B85"/>
      <selection pane="bottomLeft" activeCell="B85" sqref="B85"/>
      <selection pane="bottomRight" activeCell="A1" sqref="A1"/>
    </sheetView>
  </sheetViews>
  <sheetFormatPr defaultColWidth="9.140625" defaultRowHeight="12.75"/>
  <cols>
    <col min="1" max="1" width="3.57421875" style="0" customWidth="1"/>
    <col min="2" max="2" width="57.8515625" style="0" customWidth="1"/>
    <col min="3" max="7" width="8.7109375" style="21" customWidth="1"/>
    <col min="8" max="20" width="8.7109375" style="22" customWidth="1"/>
    <col min="21" max="21" width="8.7109375" style="23" customWidth="1"/>
    <col min="22" max="24" width="16.421875" style="23" customWidth="1"/>
    <col min="25" max="25" width="12.7109375" style="23" customWidth="1"/>
    <col min="26" max="32" width="8.7109375" style="23" customWidth="1"/>
    <col min="33" max="35" width="8.7109375" style="0" customWidth="1"/>
    <col min="36" max="36" width="9.7109375" style="0" customWidth="1"/>
    <col min="37" max="37" width="9.7109375" style="34" customWidth="1"/>
    <col min="38" max="16384" width="9.140625" style="34" customWidth="1"/>
  </cols>
  <sheetData>
    <row r="1" spans="1:36" ht="18.75" customHeight="1" thickBot="1">
      <c r="A1" s="38" t="s">
        <v>145</v>
      </c>
      <c r="U1"/>
      <c r="V1" s="106" t="s">
        <v>100</v>
      </c>
      <c r="W1" s="106" t="s">
        <v>132</v>
      </c>
      <c r="X1" s="106" t="s">
        <v>131</v>
      </c>
      <c r="Y1" s="106" t="s">
        <v>109</v>
      </c>
      <c r="Z1"/>
      <c r="AA1" s="127"/>
      <c r="AB1"/>
      <c r="AC1"/>
      <c r="AD1"/>
      <c r="AE1"/>
      <c r="AF1"/>
      <c r="AJ1" s="34"/>
    </row>
    <row r="2" spans="19:36" ht="12.75" customHeight="1">
      <c r="S2"/>
      <c r="T2"/>
      <c r="U2" s="128" t="s">
        <v>101</v>
      </c>
      <c r="V2" s="129" t="s">
        <v>360</v>
      </c>
      <c r="W2" s="129" t="s">
        <v>124</v>
      </c>
      <c r="X2" s="129" t="s">
        <v>126</v>
      </c>
      <c r="Y2" s="129" t="s">
        <v>111</v>
      </c>
      <c r="Z2"/>
      <c r="AB2"/>
      <c r="AC2"/>
      <c r="AD2"/>
      <c r="AE2"/>
      <c r="AF2"/>
      <c r="AJ2" s="34"/>
    </row>
    <row r="3" spans="8:32" ht="12.75" customHeight="1">
      <c r="H3" s="21"/>
      <c r="I3" s="21"/>
      <c r="J3" s="21"/>
      <c r="K3" s="21"/>
      <c r="L3" s="21"/>
      <c r="M3" s="21"/>
      <c r="N3" s="21"/>
      <c r="S3"/>
      <c r="T3"/>
      <c r="U3" s="128" t="s">
        <v>102</v>
      </c>
      <c r="V3" s="130" t="s">
        <v>361</v>
      </c>
      <c r="W3" s="130" t="s">
        <v>125</v>
      </c>
      <c r="X3" s="130" t="s">
        <v>128</v>
      </c>
      <c r="Y3" s="130" t="s">
        <v>112</v>
      </c>
      <c r="Z3"/>
      <c r="AB3"/>
      <c r="AC3"/>
      <c r="AD3"/>
      <c r="AE3"/>
      <c r="AF3"/>
    </row>
    <row r="4" spans="8:32" ht="12.75" customHeight="1">
      <c r="H4" s="21"/>
      <c r="I4" s="21"/>
      <c r="J4" s="21"/>
      <c r="K4" s="21"/>
      <c r="L4" s="21"/>
      <c r="M4" s="21"/>
      <c r="N4" s="21"/>
      <c r="S4"/>
      <c r="T4" s="90"/>
      <c r="U4" s="128" t="s">
        <v>103</v>
      </c>
      <c r="V4" s="130" t="s">
        <v>362</v>
      </c>
      <c r="W4" s="130"/>
      <c r="X4" s="130" t="s">
        <v>127</v>
      </c>
      <c r="Y4" s="130" t="s">
        <v>113</v>
      </c>
      <c r="Z4"/>
      <c r="AB4"/>
      <c r="AC4"/>
      <c r="AD4"/>
      <c r="AE4"/>
      <c r="AF4"/>
    </row>
    <row r="5" spans="8:32" ht="12.75" customHeight="1">
      <c r="H5" s="21"/>
      <c r="I5" s="21"/>
      <c r="J5" s="21"/>
      <c r="K5" s="21"/>
      <c r="L5" s="21"/>
      <c r="M5" s="21"/>
      <c r="N5" s="21"/>
      <c r="S5"/>
      <c r="T5"/>
      <c r="U5" s="128" t="s">
        <v>104</v>
      </c>
      <c r="V5" s="130" t="s">
        <v>363</v>
      </c>
      <c r="W5" s="130"/>
      <c r="X5" s="130"/>
      <c r="Y5" s="130"/>
      <c r="Z5" s="90"/>
      <c r="AB5" s="90"/>
      <c r="AC5" s="90"/>
      <c r="AD5" s="90"/>
      <c r="AE5" s="90"/>
      <c r="AF5" s="90"/>
    </row>
    <row r="6" spans="19:35" ht="12.75" customHeight="1" thickBot="1">
      <c r="S6" s="23"/>
      <c r="T6" s="23"/>
      <c r="U6" s="128" t="s">
        <v>105</v>
      </c>
      <c r="V6" s="131"/>
      <c r="W6" s="131"/>
      <c r="X6" s="131"/>
      <c r="Y6" s="131"/>
      <c r="Z6"/>
      <c r="AB6" s="90"/>
      <c r="AC6" s="90"/>
      <c r="AD6" s="90"/>
      <c r="AE6"/>
      <c r="AF6"/>
      <c r="AG6" s="90"/>
      <c r="AH6" s="90"/>
      <c r="AI6" s="90"/>
    </row>
    <row r="7" spans="8:41" ht="13.5" thickBot="1">
      <c r="H7" s="35"/>
      <c r="I7" s="35"/>
      <c r="J7" s="35"/>
      <c r="K7" s="35"/>
      <c r="L7" s="35"/>
      <c r="M7" s="35"/>
      <c r="N7" s="35"/>
      <c r="P7" s="35"/>
      <c r="Q7" s="35"/>
      <c r="R7" s="35"/>
      <c r="S7" s="35"/>
      <c r="T7" s="35"/>
      <c r="U7" s="36"/>
      <c r="V7" s="36"/>
      <c r="W7" s="36"/>
      <c r="X7" s="36"/>
      <c r="Y7" s="36"/>
      <c r="Z7" s="36"/>
      <c r="AA7" s="36"/>
      <c r="AB7" s="36"/>
      <c r="AC7" s="36"/>
      <c r="AD7" s="36"/>
      <c r="AE7" s="36"/>
      <c r="AF7" s="36"/>
      <c r="AM7"/>
      <c r="AN7"/>
      <c r="AO7"/>
    </row>
    <row r="8" spans="1:41" ht="38.25">
      <c r="A8" s="55"/>
      <c r="B8" s="24" t="s">
        <v>8</v>
      </c>
      <c r="C8" s="49" t="s">
        <v>16</v>
      </c>
      <c r="D8" s="49" t="s">
        <v>144</v>
      </c>
      <c r="E8" s="49" t="s">
        <v>91</v>
      </c>
      <c r="F8" s="49" t="s">
        <v>135</v>
      </c>
      <c r="G8" s="49" t="s">
        <v>264</v>
      </c>
      <c r="H8" s="50" t="s">
        <v>35</v>
      </c>
      <c r="I8" s="50" t="s">
        <v>94</v>
      </c>
      <c r="J8" s="50" t="s">
        <v>93</v>
      </c>
      <c r="K8" s="51" t="s">
        <v>129</v>
      </c>
      <c r="L8" s="51" t="s">
        <v>130</v>
      </c>
      <c r="M8" s="51" t="s">
        <v>99</v>
      </c>
      <c r="N8" s="51" t="s">
        <v>92</v>
      </c>
      <c r="O8" s="140" t="s">
        <v>120</v>
      </c>
      <c r="P8" s="140" t="s">
        <v>96</v>
      </c>
      <c r="Q8" s="140" t="s">
        <v>121</v>
      </c>
      <c r="R8" s="140" t="s">
        <v>97</v>
      </c>
      <c r="S8" s="139" t="s">
        <v>98</v>
      </c>
      <c r="T8" s="207" t="s">
        <v>134</v>
      </c>
      <c r="U8" s="99" t="s">
        <v>36</v>
      </c>
      <c r="V8" s="132" t="s">
        <v>100</v>
      </c>
      <c r="W8" s="132" t="s">
        <v>132</v>
      </c>
      <c r="X8" s="132" t="s">
        <v>131</v>
      </c>
      <c r="Y8" s="132" t="s">
        <v>109</v>
      </c>
      <c r="Z8" s="103" t="s">
        <v>95</v>
      </c>
      <c r="AA8" s="99" t="s">
        <v>90</v>
      </c>
      <c r="AB8" s="103" t="s">
        <v>71</v>
      </c>
      <c r="AC8" s="103" t="s">
        <v>142</v>
      </c>
      <c r="AD8" s="103" t="s">
        <v>143</v>
      </c>
      <c r="AE8" s="103" t="s">
        <v>67</v>
      </c>
      <c r="AF8" s="103" t="s">
        <v>69</v>
      </c>
      <c r="AG8" s="103" t="s">
        <v>89</v>
      </c>
      <c r="AH8" s="103" t="s">
        <v>140</v>
      </c>
      <c r="AI8" s="103" t="s">
        <v>141</v>
      </c>
      <c r="AJ8" s="95" t="s">
        <v>0</v>
      </c>
      <c r="AK8" s="96" t="s">
        <v>15</v>
      </c>
      <c r="AM8"/>
      <c r="AN8"/>
      <c r="AO8"/>
    </row>
    <row r="9" spans="1:42" s="37" customFormat="1" ht="13.5" thickBot="1">
      <c r="A9" s="61"/>
      <c r="B9" s="25"/>
      <c r="C9" s="52" t="s">
        <v>9</v>
      </c>
      <c r="D9" s="52" t="s">
        <v>9</v>
      </c>
      <c r="E9" s="52" t="s">
        <v>9</v>
      </c>
      <c r="F9" s="52"/>
      <c r="G9" s="52" t="s">
        <v>13</v>
      </c>
      <c r="H9" s="53" t="s">
        <v>33</v>
      </c>
      <c r="I9" s="53" t="s">
        <v>33</v>
      </c>
      <c r="J9" s="53" t="s">
        <v>33</v>
      </c>
      <c r="K9" s="53"/>
      <c r="L9" s="53"/>
      <c r="M9" s="54"/>
      <c r="N9" s="54"/>
      <c r="O9" s="100" t="s">
        <v>108</v>
      </c>
      <c r="P9" s="100" t="s">
        <v>108</v>
      </c>
      <c r="Q9" s="100" t="s">
        <v>108</v>
      </c>
      <c r="R9" s="100" t="s">
        <v>108</v>
      </c>
      <c r="S9" s="100" t="s">
        <v>108</v>
      </c>
      <c r="T9" s="122"/>
      <c r="U9" s="122" t="s">
        <v>14</v>
      </c>
      <c r="V9" s="133" t="s">
        <v>106</v>
      </c>
      <c r="W9" s="133" t="s">
        <v>133</v>
      </c>
      <c r="X9" s="133" t="s">
        <v>110</v>
      </c>
      <c r="Y9" s="133" t="s">
        <v>110</v>
      </c>
      <c r="Z9" s="104"/>
      <c r="AA9" s="122"/>
      <c r="AB9" s="104"/>
      <c r="AC9" s="104"/>
      <c r="AD9" s="104"/>
      <c r="AE9" s="104"/>
      <c r="AF9" s="104"/>
      <c r="AG9" s="104" t="s">
        <v>18</v>
      </c>
      <c r="AH9" s="104" t="s">
        <v>18</v>
      </c>
      <c r="AI9" s="104" t="s">
        <v>18</v>
      </c>
      <c r="AJ9" s="97" t="s">
        <v>1</v>
      </c>
      <c r="AK9" s="98" t="s">
        <v>10</v>
      </c>
      <c r="AM9"/>
      <c r="AN9"/>
      <c r="AO9"/>
      <c r="AP9" s="34"/>
    </row>
    <row r="10" spans="1:42" s="33" customFormat="1" ht="12.75">
      <c r="A10" s="62" t="s">
        <v>356</v>
      </c>
      <c r="B10" s="60"/>
      <c r="C10" s="29"/>
      <c r="D10" s="29"/>
      <c r="E10" s="29"/>
      <c r="F10" s="29"/>
      <c r="G10" s="29"/>
      <c r="H10" s="30"/>
      <c r="I10" s="30"/>
      <c r="J10" s="30"/>
      <c r="K10" s="30"/>
      <c r="L10" s="30"/>
      <c r="M10" s="30"/>
      <c r="N10" s="30"/>
      <c r="O10" s="125"/>
      <c r="P10" s="30"/>
      <c r="Q10" s="30"/>
      <c r="R10" s="30"/>
      <c r="S10" s="123"/>
      <c r="T10" s="123"/>
      <c r="U10" s="136"/>
      <c r="V10" s="134"/>
      <c r="W10" s="134"/>
      <c r="X10" s="134"/>
      <c r="Y10" s="134"/>
      <c r="Z10" s="31"/>
      <c r="AA10" s="101"/>
      <c r="AB10" s="31"/>
      <c r="AC10" s="31"/>
      <c r="AD10" s="31"/>
      <c r="AE10" s="31"/>
      <c r="AF10" s="31"/>
      <c r="AG10" s="32"/>
      <c r="AH10" s="32"/>
      <c r="AI10" s="32"/>
      <c r="AJ10" s="93"/>
      <c r="AK10" s="56"/>
      <c r="AM10"/>
      <c r="AN10"/>
      <c r="AO10"/>
      <c r="AP10" s="34"/>
    </row>
    <row r="11" spans="1:41" ht="12.75">
      <c r="A11" s="63">
        <f>'Gas Wall Fan DHE'!A8</f>
        <v>0</v>
      </c>
      <c r="B11" s="26" t="str">
        <f>'Gas Wall Fan DHE'!B8&amp;" - "&amp;'Gas Wall Fan DHE'!C8</f>
        <v>74% AFUE - Standing Pilot (Baseline)</v>
      </c>
      <c r="C11" s="27">
        <v>55000</v>
      </c>
      <c r="D11" s="209" t="str">
        <f>IF(Controls=1,"NA",R_Q_out*Q_IN)</f>
        <v>NA</v>
      </c>
      <c r="E11" s="27">
        <f>((η_ss/100)-C_J*(L_J/100))*Q_IN</f>
        <v>43635.330578512396</v>
      </c>
      <c r="F11" s="209" t="str">
        <f>IF(Controls=1,"NA",IF(Controls=2,0.7,IF(Controls=3,0.5)))</f>
        <v>NA</v>
      </c>
      <c r="G11" s="196">
        <v>400</v>
      </c>
      <c r="H11" s="28">
        <v>74</v>
      </c>
      <c r="I11" s="28">
        <f>(AFUE*2950*η_ss*Q_IN)/(2950*η_ss*Q_IN-2.083*4600*Q_P*AFUE)</f>
        <v>75.66719406548496</v>
      </c>
      <c r="J11" s="28">
        <f>(AFUE+1.78*D_p+1.89*D_s+129*(Q_P/Q_IN)+2.8*L_J-1.81)/0.968</f>
        <v>79.33696468820436</v>
      </c>
      <c r="K11" s="28">
        <f>IF(Burner=1,1,IF(Burner=2,0.4,"ERROR"))</f>
        <v>1</v>
      </c>
      <c r="L11" s="28">
        <f>IF(Venting=1,1,"ERROR")</f>
        <v>1</v>
      </c>
      <c r="M11" s="28">
        <v>2.8</v>
      </c>
      <c r="N11" s="28">
        <f>IF(Product=3,1,0)</f>
        <v>0</v>
      </c>
      <c r="O11" s="198">
        <v>60</v>
      </c>
      <c r="P11" s="197">
        <v>12.6</v>
      </c>
      <c r="Q11" s="137">
        <v>0</v>
      </c>
      <c r="R11" s="137">
        <v>0</v>
      </c>
      <c r="S11" s="203">
        <v>0.6</v>
      </c>
      <c r="T11" s="208">
        <f>IF(Controls=1,1,IF(Controls=2,1.3,IF(Controls=3,IF(R_Q_out&gt;=0.7,1.4,IF(R_Q_out&lt;0.7,IF(R_Q_out&gt;0.5,1.7,2.2))))))</f>
        <v>1</v>
      </c>
      <c r="U11" s="199">
        <f>((Fan_Power+Ignition_Power+InducerFan_Power+Other_Power)/1000)*R_</f>
        <v>0.0726</v>
      </c>
      <c r="V11" s="135">
        <v>1</v>
      </c>
      <c r="W11" s="135">
        <v>1</v>
      </c>
      <c r="X11" s="135">
        <v>1</v>
      </c>
      <c r="Y11" s="135">
        <v>1</v>
      </c>
      <c r="Z11" s="138">
        <v>0.7067</v>
      </c>
      <c r="AA11" s="102">
        <v>1416</v>
      </c>
      <c r="AB11" s="137">
        <f>VLOOKUP(Q_OUT,DHR_Table,2)</f>
        <v>36.5</v>
      </c>
      <c r="AC11" s="137" t="str">
        <f>IF(R_Q_out="NA","NA",VLOOKUP(R_Q_out,X_Factor_Table,2))</f>
        <v>NA</v>
      </c>
      <c r="AD11" s="137" t="str">
        <f>IF(R_Q_out="NA","NA",VLOOKUP(R_Q_out,X_Factor_Table,3))</f>
        <v>NA</v>
      </c>
      <c r="AE11" s="79">
        <f>100000/(341300*PE+(Q_IN-Q_P)*η_u)</f>
        <v>0.024060398282847773</v>
      </c>
      <c r="AF11" s="79">
        <f>(2.938*Q_P*η_u*AE$9:AE$65536)/100000</f>
        <v>0.021395489373045293</v>
      </c>
      <c r="AG11" s="28">
        <f>avgHLH*(A_F*DHR*A-B)</f>
        <v>848.5120265297606</v>
      </c>
      <c r="AH11" s="28" t="str">
        <f>IF(Controls=1,"NA",X_1*((Q_IN-Q_P)*BOH_SS+(8760-4600)*Q_P)/(Q_IN))</f>
        <v>NA</v>
      </c>
      <c r="AI11" s="28" t="str">
        <f>IF(Controls=1,"NA",X_2*((Q_IN-Q_P)*BOH_SS+(8760-4600)*Q_P)/(Q_IN_r))</f>
        <v>NA</v>
      </c>
      <c r="AJ11" s="94">
        <f>(BOH_SS*(Q_IN-Q_P)+8760*Q_P)/1000000</f>
        <v>49.832756648524935</v>
      </c>
      <c r="AK11" s="89">
        <f>IF(Controls=1,BOH_SS*PE,(BOH_H+BOH_R)*PE)</f>
        <v>61.60197312606062</v>
      </c>
      <c r="AL11" s="88"/>
      <c r="AM11"/>
      <c r="AN11"/>
      <c r="AO11"/>
    </row>
    <row r="12" spans="1:41" ht="12.75">
      <c r="A12" s="63">
        <f>'Gas Wall Fan DHE'!A9</f>
        <v>1</v>
      </c>
      <c r="B12" s="26" t="str">
        <f>'Gas Wall Fan DHE'!B9&amp;" - "&amp;'Gas Wall Fan DHE'!C9</f>
        <v>75% AFUE  - Electronic Ignition, Two-Speed Blower</v>
      </c>
      <c r="C12" s="27">
        <v>55000</v>
      </c>
      <c r="D12" s="27" t="str">
        <f>IF(Controls=1,"NA",R_Q_out*Q_IN)</f>
        <v>NA</v>
      </c>
      <c r="E12" s="27">
        <f>((η_ss/100)-C_J*(L_J/100))*Q_IN</f>
        <v>43670.454545454544</v>
      </c>
      <c r="F12" s="209" t="str">
        <f>IF(Controls=1,"NA",IF(Controls=2,0.7,IF(Controls=3,0.5)))</f>
        <v>NA</v>
      </c>
      <c r="G12" s="27">
        <v>0</v>
      </c>
      <c r="H12" s="28">
        <v>75</v>
      </c>
      <c r="I12" s="28">
        <f>(AFUE*2950*η_ss*Q_IN)/(2950*η_ss*Q_IN-2.083*4600*Q_P*AFUE)</f>
        <v>75.00000000000001</v>
      </c>
      <c r="J12" s="28">
        <f>(AFUE+1.78*D_p+1.89*D_s+129*(Q_P/Q_IN)+2.8*L_J-1.81)/0.968</f>
        <v>79.40082644628099</v>
      </c>
      <c r="K12" s="28">
        <f>IF(Burner=1,1,IF(Burner=2,0.4,"ERROR"))</f>
        <v>1</v>
      </c>
      <c r="L12" s="28">
        <f>IF(Venting=1,1,"ERROR")</f>
        <v>1</v>
      </c>
      <c r="M12" s="28">
        <v>2.8</v>
      </c>
      <c r="N12" s="28">
        <f>IF(Product=3,1,0)</f>
        <v>0</v>
      </c>
      <c r="O12" s="126">
        <v>60</v>
      </c>
      <c r="P12" s="197">
        <v>16.2</v>
      </c>
      <c r="Q12" s="28">
        <v>0</v>
      </c>
      <c r="R12" s="28">
        <v>0</v>
      </c>
      <c r="S12" s="203">
        <v>1</v>
      </c>
      <c r="T12" s="124">
        <f>IF(Controls=1,1,IF(Controls=2,1.3,IF(Controls=3,IF(R_Q_out&gt;=0.7,1.4,IF(R_Q_out&lt;0.7,IF(R_Q_out&gt;0.5,1.7,2.2))))))</f>
        <v>1</v>
      </c>
      <c r="U12" s="199">
        <f>((Fan_Power+Ignition_Power+InducerFan_Power+Other_Power)/1000)*R_</f>
        <v>0.0762</v>
      </c>
      <c r="V12" s="135">
        <v>1</v>
      </c>
      <c r="W12" s="135">
        <v>1</v>
      </c>
      <c r="X12" s="135">
        <v>1</v>
      </c>
      <c r="Y12" s="135">
        <v>1</v>
      </c>
      <c r="Z12" s="138">
        <v>0.7067</v>
      </c>
      <c r="AA12" s="102">
        <v>1416</v>
      </c>
      <c r="AB12" s="137">
        <f>AB11</f>
        <v>36.5</v>
      </c>
      <c r="AC12" s="137" t="str">
        <f>IF(R_Q_out="NA","NA",VLOOKUP(R_Q_out,X_Factor_Table,2))</f>
        <v>NA</v>
      </c>
      <c r="AD12" s="137" t="str">
        <f>IF(R_Q_out="NA","NA",VLOOKUP(R_Q_out,X_Factor_Table,3))</f>
        <v>NA</v>
      </c>
      <c r="AE12" s="79">
        <f>100000/(341300*PE+(Q_IN-Q_P)*η_u)</f>
        <v>0.024090539609922988</v>
      </c>
      <c r="AF12" s="79">
        <f>(2.938*Q_P*η_u*AE$9:AE$65536)/100000</f>
        <v>0</v>
      </c>
      <c r="AG12" s="28">
        <f>avgHLH*(A_F*DHR*A-B)</f>
        <v>879.9089539491168</v>
      </c>
      <c r="AH12" s="28" t="str">
        <f>IF(Controls=1,"NA",X_1*((Q_IN-Q_P)*BOH_SS+(8760-4600)*Q_P)/(Q_IN))</f>
        <v>NA</v>
      </c>
      <c r="AI12" s="28" t="str">
        <f>IF(Controls=1,"NA",X_2*((Q_IN-Q_P)*BOH_SS+(8760-4600)*Q_P)/(Q_IN_r))</f>
        <v>NA</v>
      </c>
      <c r="AJ12" s="94">
        <f>(BOH_SS*(Q_IN-Q_P)+8760*Q_P)/1000000</f>
        <v>48.394992467201426</v>
      </c>
      <c r="AK12" s="89">
        <f>IF(Controls=1,BOH_SS*PE,(BOH_H+BOH_R)*PE)</f>
        <v>67.0490622909227</v>
      </c>
      <c r="AL12" s="88"/>
      <c r="AM12"/>
      <c r="AN12"/>
      <c r="AO12"/>
    </row>
    <row r="13" spans="1:41" ht="12.75">
      <c r="A13" s="63">
        <f>'Gas Wall Fan DHE'!A10</f>
        <v>2</v>
      </c>
      <c r="B13" s="26" t="str">
        <f>'Gas Wall Fan DHE'!B10&amp;" - "&amp;'Gas Wall Fan DHE'!C10</f>
        <v>76% AFUE  - Electronic Ignition, Improved HX</v>
      </c>
      <c r="C13" s="27">
        <v>55000</v>
      </c>
      <c r="D13" s="27" t="str">
        <f>IF(Controls=1,"NA",R_Q_out*Q_IN)</f>
        <v>NA</v>
      </c>
      <c r="E13" s="27">
        <f>((η_ss/100)-C_J*(L_J/100))*Q_IN</f>
        <v>44238.63636363637</v>
      </c>
      <c r="F13" s="209" t="str">
        <f>IF(Controls=1,"NA",IF(Controls=2,0.7,IF(Controls=3,0.5)))</f>
        <v>NA</v>
      </c>
      <c r="G13" s="27">
        <v>0</v>
      </c>
      <c r="H13" s="28">
        <v>76</v>
      </c>
      <c r="I13" s="28">
        <f>(AFUE*2950*η_ss*Q_IN)/(2950*η_ss*Q_IN-2.083*4600*Q_P*AFUE)</f>
        <v>76</v>
      </c>
      <c r="J13" s="28">
        <f>(AFUE+1.78*D_p+1.89*D_s+129*(Q_P/Q_IN)+2.8*L_J-1.81)/0.968</f>
        <v>80.43388429752066</v>
      </c>
      <c r="K13" s="28">
        <f>IF(Burner=1,1,IF(Burner=2,0.4,"ERROR"))</f>
        <v>1</v>
      </c>
      <c r="L13" s="28">
        <f>IF(Venting=1,1,"ERROR")</f>
        <v>1</v>
      </c>
      <c r="M13" s="28">
        <v>2.8</v>
      </c>
      <c r="N13" s="28">
        <f>IF(Product=3,1,0)</f>
        <v>0</v>
      </c>
      <c r="O13" s="126">
        <v>60</v>
      </c>
      <c r="P13" s="197">
        <v>16.2</v>
      </c>
      <c r="Q13" s="28">
        <v>0</v>
      </c>
      <c r="R13" s="28">
        <v>0</v>
      </c>
      <c r="S13" s="203">
        <v>1</v>
      </c>
      <c r="T13" s="208">
        <f>IF(Controls=1,1,IF(Controls=2,1.3,IF(Controls=3,IF(R_Q_out&gt;=0.7,1.4,IF(R_Q_out&lt;0.7,IF(R_Q_out&gt;0.5,1.7,2.2))))))</f>
        <v>1</v>
      </c>
      <c r="U13" s="199">
        <f>((Fan_Power+Ignition_Power+InducerFan_Power+Other_Power)/1000)*R_</f>
        <v>0.0762</v>
      </c>
      <c r="V13" s="135">
        <v>1</v>
      </c>
      <c r="W13" s="135">
        <v>1</v>
      </c>
      <c r="X13" s="135">
        <v>1</v>
      </c>
      <c r="Y13" s="135">
        <v>1</v>
      </c>
      <c r="Z13" s="138">
        <v>0.7067</v>
      </c>
      <c r="AA13" s="102">
        <v>1416</v>
      </c>
      <c r="AB13" s="137">
        <f>AB12</f>
        <v>36.5</v>
      </c>
      <c r="AC13" s="137" t="str">
        <f>IF(R_Q_out="NA","NA",VLOOKUP(R_Q_out,X_Factor_Table,2))</f>
        <v>NA</v>
      </c>
      <c r="AD13" s="137" t="str">
        <f>IF(R_Q_out="NA","NA",VLOOKUP(R_Q_out,X_Factor_Table,3))</f>
        <v>NA</v>
      </c>
      <c r="AE13" s="79">
        <f>100000/(341300*PE+(Q_IN-Q_P)*η_u)</f>
        <v>0.023775518817127236</v>
      </c>
      <c r="AF13" s="79">
        <f>(2.938*Q_P*η_u*AE$9:AE$65536)/100000</f>
        <v>0</v>
      </c>
      <c r="AG13" s="28">
        <f>avgHLH*(A_F*DHR*A-B)</f>
        <v>868.4027934085304</v>
      </c>
      <c r="AH13" s="28" t="str">
        <f>IF(Controls=1,"NA",X_1*((Q_IN-Q_P)*BOH_SS+(8760-4600)*Q_P)/(Q_IN))</f>
        <v>NA</v>
      </c>
      <c r="AI13" s="28" t="str">
        <f>IF(Controls=1,"NA",X_2*((Q_IN-Q_P)*BOH_SS+(8760-4600)*Q_P)/(Q_IN_r))</f>
        <v>NA</v>
      </c>
      <c r="AJ13" s="94">
        <f>(BOH_SS*(Q_IN-Q_P)+8760*Q_P)/1000000</f>
        <v>47.762153637469176</v>
      </c>
      <c r="AK13" s="89">
        <f>IF(Controls=1,BOH_SS*PE,(BOH_H+BOH_R)*PE)</f>
        <v>66.17229285773003</v>
      </c>
      <c r="AL13" s="88"/>
      <c r="AM13"/>
      <c r="AN13"/>
      <c r="AO13"/>
    </row>
    <row r="14" spans="1:41" ht="12.75">
      <c r="A14" s="63">
        <f>'Gas Wall Fan DHE'!A11</f>
        <v>3</v>
      </c>
      <c r="B14" s="26" t="str">
        <f>'Gas Wall Fan DHE'!B11&amp;" - "&amp;'Gas Wall Fan DHE'!C11</f>
        <v>77% AFUE - Electronic Ignition, Two-Speed Blower, Improved HX</v>
      </c>
      <c r="C14" s="27">
        <v>55000</v>
      </c>
      <c r="D14" s="27" t="str">
        <f>IF(Controls=1,"NA",R_Q_out*Q_IN)</f>
        <v>NA</v>
      </c>
      <c r="E14" s="27">
        <f>((η_ss/100)-C_J*(L_J/100))*Q_IN</f>
        <v>44806.818181818184</v>
      </c>
      <c r="F14" s="209" t="str">
        <f>IF(Controls=1,"NA",IF(Controls=2,0.7,IF(Controls=3,0.5)))</f>
        <v>NA</v>
      </c>
      <c r="G14" s="27">
        <v>0</v>
      </c>
      <c r="H14" s="28">
        <v>77</v>
      </c>
      <c r="I14" s="28">
        <f>(AFUE*2950*η_ss*Q_IN)/(2950*η_ss*Q_IN-2.083*4600*Q_P*AFUE)</f>
        <v>77</v>
      </c>
      <c r="J14" s="28">
        <f>(AFUE+1.78*D_p+1.89*D_s+129*(Q_P/Q_IN)+2.8*L_J-1.81)/0.968</f>
        <v>81.46694214876034</v>
      </c>
      <c r="K14" s="28">
        <f>IF(Burner=1,1,IF(Burner=2,0.4,"ERROR"))</f>
        <v>1</v>
      </c>
      <c r="L14" s="28">
        <f>IF(Venting=1,1,"ERROR")</f>
        <v>1</v>
      </c>
      <c r="M14" s="28">
        <v>2.8</v>
      </c>
      <c r="N14" s="28">
        <f>IF(Product=3,1,0)</f>
        <v>0</v>
      </c>
      <c r="O14" s="126">
        <v>60</v>
      </c>
      <c r="P14" s="28">
        <v>16.2</v>
      </c>
      <c r="Q14" s="28">
        <v>0</v>
      </c>
      <c r="R14" s="28">
        <v>0</v>
      </c>
      <c r="S14" s="124">
        <v>1</v>
      </c>
      <c r="T14" s="124">
        <f>IF(Controls=1,1,IF(Controls=2,1.3,IF(Controls=3,IF(R_Q_out&gt;=0.7,1.4,IF(R_Q_out&lt;0.7,IF(R_Q_out&gt;0.5,1.7,2.2))))))</f>
        <v>1</v>
      </c>
      <c r="U14" s="199">
        <f>((Fan_Power+Ignition_Power+InducerFan_Power+Other_Power)/1000)*R_</f>
        <v>0.0762</v>
      </c>
      <c r="V14" s="135">
        <v>1</v>
      </c>
      <c r="W14" s="135">
        <v>1</v>
      </c>
      <c r="X14" s="135">
        <v>1</v>
      </c>
      <c r="Y14" s="135">
        <v>1</v>
      </c>
      <c r="Z14" s="138">
        <v>0.7067</v>
      </c>
      <c r="AA14" s="102">
        <v>1416</v>
      </c>
      <c r="AB14" s="137">
        <f>AB13</f>
        <v>36.5</v>
      </c>
      <c r="AC14" s="137" t="str">
        <f>IF(R_Q_out="NA","NA",VLOOKUP(R_Q_out,X_Factor_Table,2))</f>
        <v>NA</v>
      </c>
      <c r="AD14" s="137" t="str">
        <f>IF(R_Q_out="NA","NA",VLOOKUP(R_Q_out,X_Factor_Table,3))</f>
        <v>NA</v>
      </c>
      <c r="AE14" s="79">
        <f>100000/(341300*PE+(Q_IN-Q_P)*η_u)</f>
        <v>0.02346863044155576</v>
      </c>
      <c r="AF14" s="79">
        <f>(2.938*Q_P*η_u*AE$9:AE$65536)/100000</f>
        <v>0</v>
      </c>
      <c r="AG14" s="28">
        <f>avgHLH*(A_F*DHR*A-B)</f>
        <v>857.1936700804248</v>
      </c>
      <c r="AH14" s="28" t="str">
        <f>IF(Controls=1,"NA",X_1*((Q_IN-Q_P)*BOH_SS+(8760-4600)*Q_P)/(Q_IN))</f>
        <v>NA</v>
      </c>
      <c r="AI14" s="28" t="str">
        <f>IF(Controls=1,"NA",X_2*((Q_IN-Q_P)*BOH_SS+(8760-4600)*Q_P)/(Q_IN_r))</f>
        <v>NA</v>
      </c>
      <c r="AJ14" s="94">
        <f>(BOH_SS*(Q_IN-Q_P)+8760*Q_P)/1000000</f>
        <v>47.14565185442336</v>
      </c>
      <c r="AK14" s="89">
        <f>IF(Controls=1,BOH_SS*PE,(BOH_H+BOH_R)*PE)</f>
        <v>65.31815766012838</v>
      </c>
      <c r="AL14" s="88"/>
      <c r="AM14"/>
      <c r="AN14"/>
      <c r="AO14"/>
    </row>
    <row r="15" spans="1:41" ht="12.75">
      <c r="A15" s="63">
        <f>'Gas Wall Fan DHE'!A12</f>
        <v>4</v>
      </c>
      <c r="B15" s="26" t="str">
        <f>'Gas Wall Fan DHE'!B12&amp;" - "&amp;'Gas Wall Fan DHE'!C12</f>
        <v>80% AFUE - Electronic Ignition, Induced Draft (Max-Tech)</v>
      </c>
      <c r="C15" s="27">
        <v>55000</v>
      </c>
      <c r="D15" s="27" t="str">
        <f>IF(Controls=1,"NA",R_Q_out*Q_IN)</f>
        <v>NA</v>
      </c>
      <c r="E15" s="27">
        <f>((η_ss/100)-C_J*(L_J/100))*Q_IN</f>
        <v>45904.545454545456</v>
      </c>
      <c r="F15" s="209" t="str">
        <f>IF(Controls=1,"NA",IF(Controls=2,0.7,IF(Controls=3,0.5)))</f>
        <v>NA</v>
      </c>
      <c r="G15" s="27">
        <v>0</v>
      </c>
      <c r="H15" s="28">
        <v>80</v>
      </c>
      <c r="I15" s="28">
        <f>(AFUE*2950*η_ss*Q_IN)/(2950*η_ss*Q_IN-2.083*4600*Q_P*AFUE)</f>
        <v>80</v>
      </c>
      <c r="J15" s="28">
        <f>(AFUE+1.78*D_p+1.89*D_s+129*(Q_P/Q_IN)+2.8*L_J-1.81)/0.968</f>
        <v>83.46280991735537</v>
      </c>
      <c r="K15" s="28">
        <f>IF(Burner=1,1,IF(Burner=2,0.4,"ERROR"))</f>
        <v>0.4</v>
      </c>
      <c r="L15" s="28">
        <f>IF(Venting=1,1,"ERROR")</f>
        <v>1</v>
      </c>
      <c r="M15" s="28">
        <v>2.8</v>
      </c>
      <c r="N15" s="28">
        <f>IF(Product=3,1,0)</f>
        <v>0</v>
      </c>
      <c r="O15" s="126">
        <v>60</v>
      </c>
      <c r="P15" s="28">
        <v>16.2</v>
      </c>
      <c r="Q15" s="197">
        <v>50</v>
      </c>
      <c r="R15" s="28">
        <v>0</v>
      </c>
      <c r="S15" s="124">
        <v>1</v>
      </c>
      <c r="T15" s="124">
        <f>IF(Controls=1,1,IF(Controls=2,1.3,IF(Controls=3,IF(R_Q_out&gt;=0.7,1.4,IF(R_Q_out&lt;0.7,IF(R_Q_out&gt;0.5,1.7,2.2))))))</f>
        <v>1</v>
      </c>
      <c r="U15" s="199">
        <f>((Fan_Power+Ignition_Power+InducerFan_Power+Other_Power)/1000)*R_</f>
        <v>0.1262</v>
      </c>
      <c r="V15" s="135">
        <v>1</v>
      </c>
      <c r="W15" s="135">
        <v>2</v>
      </c>
      <c r="X15" s="135">
        <v>1</v>
      </c>
      <c r="Y15" s="135">
        <v>1</v>
      </c>
      <c r="Z15" s="138">
        <v>0.7067</v>
      </c>
      <c r="AA15" s="102">
        <v>1416</v>
      </c>
      <c r="AB15" s="137">
        <f>AB14</f>
        <v>36.5</v>
      </c>
      <c r="AC15" s="137" t="str">
        <f>IF(R_Q_out="NA","NA",VLOOKUP(R_Q_out,X_Factor_Table,2))</f>
        <v>NA</v>
      </c>
      <c r="AD15" s="137" t="str">
        <f>IF(R_Q_out="NA","NA",VLOOKUP(R_Q_out,X_Factor_Table,3))</f>
        <v>NA</v>
      </c>
      <c r="AE15" s="79">
        <f>100000/(341300*PE+(Q_IN-Q_P)*η_u)</f>
        <v>0.022506949842267473</v>
      </c>
      <c r="AF15" s="79">
        <f>(2.938*Q_P*η_u*AE$9:AE$65536)/100000</f>
        <v>0</v>
      </c>
      <c r="AG15" s="28">
        <f>avgHLH*(A_F*DHR*A-B)</f>
        <v>822.0682065642663</v>
      </c>
      <c r="AH15" s="28" t="str">
        <f>IF(Controls=1,"NA",X_1*((Q_IN-Q_P)*BOH_SS+(8760-4600)*Q_P)/(Q_IN))</f>
        <v>NA</v>
      </c>
      <c r="AI15" s="28" t="str">
        <f>IF(Controls=1,"NA",X_2*((Q_IN-Q_P)*BOH_SS+(8760-4600)*Q_P)/(Q_IN_r))</f>
        <v>NA</v>
      </c>
      <c r="AJ15" s="94">
        <f>(BOH_SS*(Q_IN-Q_P)+8760*Q_P)/1000000</f>
        <v>45.213751361034646</v>
      </c>
      <c r="AK15" s="89">
        <f>IF(Controls=1,BOH_SS*PE,(BOH_H+BOH_R)*PE)</f>
        <v>103.74500766841042</v>
      </c>
      <c r="AL15" s="88"/>
      <c r="AM15"/>
      <c r="AN15"/>
      <c r="AO15"/>
    </row>
    <row r="16" spans="1:42" s="33" customFormat="1" ht="12.75">
      <c r="A16" s="147" t="s">
        <v>357</v>
      </c>
      <c r="B16" s="148"/>
      <c r="C16" s="149"/>
      <c r="D16" s="149"/>
      <c r="E16" s="149"/>
      <c r="F16" s="210"/>
      <c r="G16" s="149"/>
      <c r="H16" s="150"/>
      <c r="I16" s="150"/>
      <c r="J16" s="150"/>
      <c r="K16" s="150"/>
      <c r="L16" s="150"/>
      <c r="M16" s="150"/>
      <c r="N16" s="150"/>
      <c r="O16" s="151"/>
      <c r="P16" s="150"/>
      <c r="Q16" s="150"/>
      <c r="R16" s="150"/>
      <c r="S16" s="152"/>
      <c r="T16" s="152"/>
      <c r="U16" s="200"/>
      <c r="V16" s="153"/>
      <c r="W16" s="153"/>
      <c r="X16" s="153"/>
      <c r="Y16" s="153"/>
      <c r="Z16" s="155"/>
      <c r="AA16" s="154"/>
      <c r="AB16" s="155"/>
      <c r="AC16" s="155"/>
      <c r="AD16" s="155"/>
      <c r="AE16" s="155"/>
      <c r="AF16" s="155"/>
      <c r="AG16" s="156"/>
      <c r="AH16" s="156"/>
      <c r="AI16" s="156"/>
      <c r="AJ16" s="157"/>
      <c r="AK16" s="158"/>
      <c r="AM16"/>
      <c r="AN16"/>
      <c r="AO16"/>
      <c r="AP16" s="34"/>
    </row>
    <row r="17" spans="1:37" ht="12.75">
      <c r="A17" s="63">
        <f>'Gas Wall Gravity DHE'!A8</f>
        <v>0</v>
      </c>
      <c r="B17" s="26" t="str">
        <f>'Gas Wall Gravity DHE'!B8&amp;" - "&amp;'Gas Wall Gravity DHE'!C8</f>
        <v>0.64 - Standing Pilot (Baseline)</v>
      </c>
      <c r="C17" s="27">
        <v>35000</v>
      </c>
      <c r="D17" s="27" t="str">
        <f aca="true" t="shared" si="0" ref="D17:D22">IF(Controls=1,"NA",R_Q_out*Q_IN)</f>
        <v>NA</v>
      </c>
      <c r="E17" s="27">
        <f aca="true" t="shared" si="1" ref="E17:E22">((η_ss/100)-C_J*(L_J/100))*Q_IN</f>
        <v>24346.07438016529</v>
      </c>
      <c r="F17" s="209" t="str">
        <f aca="true" t="shared" si="2" ref="F17:F22">IF(Controls=1,"NA",IF(Controls=2,0.7,IF(Controls=3,0.5)))</f>
        <v>NA</v>
      </c>
      <c r="G17" s="27">
        <v>400</v>
      </c>
      <c r="H17" s="28">
        <v>64</v>
      </c>
      <c r="I17" s="28">
        <f aca="true" t="shared" si="3" ref="I17:I22">(AFUE*2950*η_ss*Q_IN)/(2950*η_ss*Q_IN-2.083*4600*Q_P*AFUE)</f>
        <v>66.26312218288238</v>
      </c>
      <c r="J17" s="28">
        <f aca="true" t="shared" si="4" ref="J17:J22">(AFUE+1.78*D_p+1.89*D_s+129*(Q_P/Q_IN)+2.8*L_J-1.81)/0.968</f>
        <v>69.56021251475796</v>
      </c>
      <c r="K17" s="28">
        <f aca="true" t="shared" si="5" ref="K17:K22">IF(Burner=1,1,IF(Burner=2,0.4,"ERROR"))</f>
        <v>1</v>
      </c>
      <c r="L17" s="28">
        <f aca="true" t="shared" si="6" ref="L17:L22">IF(Venting=1,1,"ERROR")</f>
        <v>1</v>
      </c>
      <c r="M17" s="28">
        <v>2.8</v>
      </c>
      <c r="N17" s="28">
        <f aca="true" t="shared" si="7" ref="N17:N22">IF(Product=3,1,0)</f>
        <v>0</v>
      </c>
      <c r="O17" s="126">
        <v>0</v>
      </c>
      <c r="P17" s="28">
        <v>0</v>
      </c>
      <c r="Q17" s="28">
        <v>0</v>
      </c>
      <c r="R17" s="28">
        <v>0</v>
      </c>
      <c r="S17" s="124">
        <v>0</v>
      </c>
      <c r="T17" s="124">
        <f aca="true" t="shared" si="8" ref="T17:T22">IF(Controls=1,1,IF(Controls=2,1.3,IF(Controls=3,IF(R_Q_out&gt;=0.7,1.4,IF(R_Q_out&lt;0.7,IF(R_Q_out&gt;0.5,1.7,2.2))))))</f>
        <v>1</v>
      </c>
      <c r="U17" s="199">
        <f aca="true" t="shared" si="9" ref="U17:U22">((Fan_Power+Ignition_Power+InducerFan_Power+Other_Power)/1000)*R_</f>
        <v>0</v>
      </c>
      <c r="V17" s="135">
        <v>2</v>
      </c>
      <c r="W17" s="135">
        <v>1</v>
      </c>
      <c r="X17" s="135">
        <v>1</v>
      </c>
      <c r="Y17" s="135">
        <v>1</v>
      </c>
      <c r="Z17" s="138">
        <v>0.7067</v>
      </c>
      <c r="AA17" s="102">
        <v>1416</v>
      </c>
      <c r="AB17" s="137">
        <f>VLOOKUP(Q_OUT,DHR_Table,2)</f>
        <v>20.5</v>
      </c>
      <c r="AC17" s="137" t="str">
        <f aca="true" t="shared" si="10" ref="AC17:AC22">IF(R_Q_out="NA","NA",VLOOKUP(R_Q_out,X_Factor_Table,2))</f>
        <v>NA</v>
      </c>
      <c r="AD17" s="137" t="str">
        <f aca="true" t="shared" si="11" ref="AD17:AD22">IF(R_Q_out="NA","NA",VLOOKUP(R_Q_out,X_Factor_Table,3))</f>
        <v>NA</v>
      </c>
      <c r="AE17" s="79">
        <f aca="true" t="shared" si="12" ref="AE17:AE22">100000/(341300*PE+(Q_IN-Q_P)*η_u)</f>
        <v>0.0436166198512034</v>
      </c>
      <c r="AF17" s="79">
        <f aca="true" t="shared" si="13" ref="AF17:AF22">(2.938*Q_P*η_u*AE$9:AE$65536)/100000</f>
        <v>0.03396531791907515</v>
      </c>
      <c r="AG17" s="28">
        <f aca="true" t="shared" si="14" ref="AG17:AG22">avgHLH*(A_F*DHR*A-B)</f>
        <v>846.660270270075</v>
      </c>
      <c r="AH17" s="28" t="str">
        <f aca="true" t="shared" si="15" ref="AH17:AH22">IF(Controls=1,"NA",X_1*((Q_IN-Q_P)*BOH_SS+(8760-4600)*Q_P)/(Q_IN))</f>
        <v>NA</v>
      </c>
      <c r="AI17" s="28" t="str">
        <f aca="true" t="shared" si="16" ref="AI17:AI22">IF(Controls=1,"NA",X_2*((Q_IN-Q_P)*BOH_SS+(8760-4600)*Q_P)/(Q_IN_r))</f>
        <v>NA</v>
      </c>
      <c r="AJ17" s="94">
        <f aca="true" t="shared" si="17" ref="AJ17:AJ22">(BOH_SS*(Q_IN-Q_P)+8760*Q_P)/1000000</f>
        <v>32.79844535134459</v>
      </c>
      <c r="AK17" s="89">
        <f aca="true" t="shared" si="18" ref="AK17:AK22">IF(Controls=1,BOH_SS*PE,(BOH_H+BOH_R)*PE)</f>
        <v>0</v>
      </c>
    </row>
    <row r="18" spans="1:37" ht="12.75">
      <c r="A18" s="63">
        <f>'Gas Wall Gravity DHE'!A9</f>
        <v>1</v>
      </c>
      <c r="B18" s="26" t="str">
        <f>'Gas Wall Gravity DHE'!B9&amp;" - "&amp;'Gas Wall Gravity DHE'!C9</f>
        <v>0.66 - Standing Pilot, Improved HX</v>
      </c>
      <c r="C18" s="27">
        <v>35000</v>
      </c>
      <c r="D18" s="27" t="str">
        <f t="shared" si="0"/>
        <v>NA</v>
      </c>
      <c r="E18" s="27">
        <f t="shared" si="1"/>
        <v>25069.21487603306</v>
      </c>
      <c r="F18" s="209" t="str">
        <f t="shared" si="2"/>
        <v>NA</v>
      </c>
      <c r="G18" s="27">
        <v>400</v>
      </c>
      <c r="H18" s="28">
        <v>66</v>
      </c>
      <c r="I18" s="28">
        <f t="shared" si="3"/>
        <v>68.33747629878482</v>
      </c>
      <c r="J18" s="28">
        <f t="shared" si="4"/>
        <v>71.62632821723732</v>
      </c>
      <c r="K18" s="28">
        <f t="shared" si="5"/>
        <v>1</v>
      </c>
      <c r="L18" s="28">
        <f t="shared" si="6"/>
        <v>1</v>
      </c>
      <c r="M18" s="28">
        <v>2.8</v>
      </c>
      <c r="N18" s="28">
        <f t="shared" si="7"/>
        <v>0</v>
      </c>
      <c r="O18" s="126">
        <v>0</v>
      </c>
      <c r="P18" s="28">
        <v>0</v>
      </c>
      <c r="Q18" s="28">
        <v>0</v>
      </c>
      <c r="R18" s="28">
        <v>0</v>
      </c>
      <c r="S18" s="124">
        <v>0</v>
      </c>
      <c r="T18" s="124">
        <f t="shared" si="8"/>
        <v>1</v>
      </c>
      <c r="U18" s="199">
        <f t="shared" si="9"/>
        <v>0</v>
      </c>
      <c r="V18" s="135">
        <v>2</v>
      </c>
      <c r="W18" s="135">
        <v>1</v>
      </c>
      <c r="X18" s="135">
        <v>1</v>
      </c>
      <c r="Y18" s="135">
        <v>1</v>
      </c>
      <c r="Z18" s="138">
        <v>0.7067</v>
      </c>
      <c r="AA18" s="102">
        <v>1416</v>
      </c>
      <c r="AB18" s="137">
        <f>AB17</f>
        <v>20.5</v>
      </c>
      <c r="AC18" s="137" t="str">
        <f t="shared" si="10"/>
        <v>NA</v>
      </c>
      <c r="AD18" s="137" t="str">
        <f t="shared" si="11"/>
        <v>NA</v>
      </c>
      <c r="AE18" s="79">
        <f t="shared" si="12"/>
        <v>0.04229265648863327</v>
      </c>
      <c r="AF18" s="79">
        <f t="shared" si="13"/>
        <v>0.033965317919075144</v>
      </c>
      <c r="AG18" s="28">
        <f t="shared" si="14"/>
        <v>819.5003698711207</v>
      </c>
      <c r="AH18" s="28" t="str">
        <f t="shared" si="15"/>
        <v>NA</v>
      </c>
      <c r="AI18" s="28" t="str">
        <f t="shared" si="16"/>
        <v>NA</v>
      </c>
      <c r="AJ18" s="121">
        <f t="shared" si="17"/>
        <v>31.858712797540775</v>
      </c>
      <c r="AK18" s="89">
        <f t="shared" si="18"/>
        <v>0</v>
      </c>
    </row>
    <row r="19" spans="1:37" ht="12.75">
      <c r="A19" s="63">
        <f>'Gas Wall Gravity DHE'!A10</f>
        <v>2</v>
      </c>
      <c r="B19" s="26" t="str">
        <f>'Gas Wall Gravity DHE'!B10&amp;" - "&amp;'Gas Wall Gravity DHE'!C10</f>
        <v>0.68 - Standing Pilot, Improved HX</v>
      </c>
      <c r="C19" s="27">
        <v>35000</v>
      </c>
      <c r="D19" s="27" t="str">
        <f t="shared" si="0"/>
        <v>NA</v>
      </c>
      <c r="E19" s="27">
        <f t="shared" si="1"/>
        <v>25792.35537190083</v>
      </c>
      <c r="F19" s="209" t="str">
        <f t="shared" si="2"/>
        <v>NA</v>
      </c>
      <c r="G19" s="27">
        <v>400</v>
      </c>
      <c r="H19" s="28">
        <v>68</v>
      </c>
      <c r="I19" s="28">
        <f t="shared" si="3"/>
        <v>70.41184106712707</v>
      </c>
      <c r="J19" s="28">
        <f t="shared" si="4"/>
        <v>73.69244391971665</v>
      </c>
      <c r="K19" s="28">
        <f t="shared" si="5"/>
        <v>1</v>
      </c>
      <c r="L19" s="28">
        <f t="shared" si="6"/>
        <v>1</v>
      </c>
      <c r="M19" s="28">
        <v>2.8</v>
      </c>
      <c r="N19" s="28">
        <f t="shared" si="7"/>
        <v>0</v>
      </c>
      <c r="O19" s="126">
        <v>0</v>
      </c>
      <c r="P19" s="28">
        <v>0</v>
      </c>
      <c r="Q19" s="28">
        <v>0</v>
      </c>
      <c r="R19" s="28">
        <v>0</v>
      </c>
      <c r="S19" s="124">
        <v>0</v>
      </c>
      <c r="T19" s="124">
        <f t="shared" si="8"/>
        <v>1</v>
      </c>
      <c r="U19" s="199">
        <f t="shared" si="9"/>
        <v>0</v>
      </c>
      <c r="V19" s="135">
        <v>2</v>
      </c>
      <c r="W19" s="135">
        <v>1</v>
      </c>
      <c r="X19" s="135">
        <v>1</v>
      </c>
      <c r="Y19" s="135">
        <v>1</v>
      </c>
      <c r="Z19" s="138">
        <v>0.7067</v>
      </c>
      <c r="AA19" s="102">
        <v>1416</v>
      </c>
      <c r="AB19" s="137">
        <f>AB17</f>
        <v>20.5</v>
      </c>
      <c r="AC19" s="137" t="str">
        <f t="shared" si="10"/>
        <v>NA</v>
      </c>
      <c r="AD19" s="137" t="str">
        <f t="shared" si="11"/>
        <v>NA</v>
      </c>
      <c r="AE19" s="79">
        <f t="shared" si="12"/>
        <v>0.04104669564951838</v>
      </c>
      <c r="AF19" s="79">
        <f t="shared" si="13"/>
        <v>0.033965317919075144</v>
      </c>
      <c r="AG19" s="28">
        <f t="shared" si="14"/>
        <v>793.9406200713486</v>
      </c>
      <c r="AH19" s="28" t="str">
        <f t="shared" si="15"/>
        <v>NA</v>
      </c>
      <c r="AI19" s="28" t="str">
        <f t="shared" si="16"/>
        <v>NA</v>
      </c>
      <c r="AJ19" s="121">
        <f t="shared" si="17"/>
        <v>30.97434545446866</v>
      </c>
      <c r="AK19" s="89">
        <f t="shared" si="18"/>
        <v>0</v>
      </c>
    </row>
    <row r="20" spans="1:37" ht="12.75">
      <c r="A20" s="63">
        <f>'Gas Wall Gravity DHE'!A11</f>
        <v>3</v>
      </c>
      <c r="B20" s="26" t="str">
        <f>'Gas Wall Gravity DHE'!B11&amp;" - "&amp;'Gas Wall Gravity DHE'!C11</f>
        <v>0.71 - Standing Pilot, Improved HX</v>
      </c>
      <c r="C20" s="27">
        <v>35000</v>
      </c>
      <c r="D20" s="27" t="str">
        <f t="shared" si="0"/>
        <v>NA</v>
      </c>
      <c r="E20" s="27">
        <f t="shared" si="1"/>
        <v>26877.066115702477</v>
      </c>
      <c r="F20" s="209" t="str">
        <f t="shared" si="2"/>
        <v>NA</v>
      </c>
      <c r="G20" s="27">
        <v>400</v>
      </c>
      <c r="H20" s="28">
        <v>71</v>
      </c>
      <c r="I20" s="28">
        <f t="shared" si="3"/>
        <v>73.52340631523246</v>
      </c>
      <c r="J20" s="28">
        <f t="shared" si="4"/>
        <v>76.79161747343565</v>
      </c>
      <c r="K20" s="28">
        <f t="shared" si="5"/>
        <v>1</v>
      </c>
      <c r="L20" s="28">
        <f t="shared" si="6"/>
        <v>1</v>
      </c>
      <c r="M20" s="28">
        <v>2.8</v>
      </c>
      <c r="N20" s="28">
        <f t="shared" si="7"/>
        <v>0</v>
      </c>
      <c r="O20" s="126">
        <v>0</v>
      </c>
      <c r="P20" s="28">
        <v>0</v>
      </c>
      <c r="Q20" s="28">
        <v>0</v>
      </c>
      <c r="R20" s="28">
        <v>0</v>
      </c>
      <c r="S20" s="124">
        <v>0</v>
      </c>
      <c r="T20" s="124">
        <f t="shared" si="8"/>
        <v>1</v>
      </c>
      <c r="U20" s="199">
        <f t="shared" si="9"/>
        <v>0</v>
      </c>
      <c r="V20" s="135">
        <v>2</v>
      </c>
      <c r="W20" s="135">
        <v>1</v>
      </c>
      <c r="X20" s="135">
        <v>1</v>
      </c>
      <c r="Y20" s="135">
        <v>1</v>
      </c>
      <c r="Z20" s="138">
        <v>0.7067</v>
      </c>
      <c r="AA20" s="102">
        <v>1416</v>
      </c>
      <c r="AB20" s="137">
        <f>AB17</f>
        <v>20.5</v>
      </c>
      <c r="AC20" s="137" t="str">
        <f t="shared" si="10"/>
        <v>NA</v>
      </c>
      <c r="AD20" s="137" t="str">
        <f t="shared" si="11"/>
        <v>NA</v>
      </c>
      <c r="AE20" s="79">
        <f t="shared" si="12"/>
        <v>0.03930956895567341</v>
      </c>
      <c r="AF20" s="79">
        <f t="shared" si="13"/>
        <v>0.033965317919075144</v>
      </c>
      <c r="AG20" s="28">
        <f t="shared" si="14"/>
        <v>758.3050509015145</v>
      </c>
      <c r="AH20" s="28" t="str">
        <f t="shared" si="15"/>
        <v>NA</v>
      </c>
      <c r="AI20" s="28" t="str">
        <f t="shared" si="16"/>
        <v>NA</v>
      </c>
      <c r="AJ20" s="121">
        <f t="shared" si="17"/>
        <v>29.741354761192405</v>
      </c>
      <c r="AK20" s="89">
        <f t="shared" si="18"/>
        <v>0</v>
      </c>
    </row>
    <row r="21" spans="1:37" ht="12.75">
      <c r="A21" s="63">
        <f>'Gas Wall Gravity DHE'!A12</f>
        <v>4</v>
      </c>
      <c r="B21" s="26" t="str">
        <f>'Gas Wall Gravity DHE'!B12&amp;" - "&amp;'Gas Wall Gravity DHE'!C12</f>
        <v>0.72 - Electronic Ignition</v>
      </c>
      <c r="C21" s="27">
        <v>35000</v>
      </c>
      <c r="D21" s="27" t="str">
        <f t="shared" si="0"/>
        <v>NA</v>
      </c>
      <c r="E21" s="27">
        <f t="shared" si="1"/>
        <v>26705.578512396696</v>
      </c>
      <c r="F21" s="209" t="str">
        <f t="shared" si="2"/>
        <v>NA</v>
      </c>
      <c r="G21" s="27">
        <v>0</v>
      </c>
      <c r="H21" s="28">
        <v>72</v>
      </c>
      <c r="I21" s="28">
        <f t="shared" si="3"/>
        <v>72</v>
      </c>
      <c r="J21" s="28">
        <f t="shared" si="4"/>
        <v>76.30165289256199</v>
      </c>
      <c r="K21" s="28">
        <f t="shared" si="5"/>
        <v>1</v>
      </c>
      <c r="L21" s="28">
        <f t="shared" si="6"/>
        <v>1</v>
      </c>
      <c r="M21" s="28">
        <v>2.8</v>
      </c>
      <c r="N21" s="28">
        <f t="shared" si="7"/>
        <v>0</v>
      </c>
      <c r="O21" s="126">
        <v>0</v>
      </c>
      <c r="P21" s="28">
        <v>16.2</v>
      </c>
      <c r="Q21" s="28">
        <v>0</v>
      </c>
      <c r="R21" s="28">
        <v>0</v>
      </c>
      <c r="S21" s="124">
        <v>0.6</v>
      </c>
      <c r="T21" s="124">
        <f t="shared" si="8"/>
        <v>1</v>
      </c>
      <c r="U21" s="199">
        <f t="shared" si="9"/>
        <v>0.0162</v>
      </c>
      <c r="V21" s="135">
        <v>2</v>
      </c>
      <c r="W21" s="135">
        <v>1</v>
      </c>
      <c r="X21" s="135">
        <v>1</v>
      </c>
      <c r="Y21" s="135">
        <v>1</v>
      </c>
      <c r="Z21" s="138">
        <v>0.7067</v>
      </c>
      <c r="AA21" s="102">
        <v>1416</v>
      </c>
      <c r="AB21" s="137">
        <f>AB18</f>
        <v>20.5</v>
      </c>
      <c r="AC21" s="137" t="str">
        <f t="shared" si="10"/>
        <v>NA</v>
      </c>
      <c r="AD21" s="137" t="str">
        <f t="shared" si="11"/>
        <v>NA</v>
      </c>
      <c r="AE21" s="79">
        <f t="shared" si="12"/>
        <v>0.0395956639675332</v>
      </c>
      <c r="AF21" s="79">
        <f t="shared" si="13"/>
        <v>0</v>
      </c>
      <c r="AG21" s="28">
        <f t="shared" si="14"/>
        <v>812.2689192101395</v>
      </c>
      <c r="AH21" s="28" t="str">
        <f t="shared" si="15"/>
        <v>NA</v>
      </c>
      <c r="AI21" s="28" t="str">
        <f t="shared" si="16"/>
        <v>NA</v>
      </c>
      <c r="AJ21" s="121">
        <f t="shared" si="17"/>
        <v>28.429412172354883</v>
      </c>
      <c r="AK21" s="89">
        <f t="shared" si="18"/>
        <v>13.15875649120426</v>
      </c>
    </row>
    <row r="22" spans="1:37" ht="12.75">
      <c r="A22" s="63">
        <f>'Gas Wall Gravity DHE'!A13</f>
        <v>5</v>
      </c>
      <c r="B22" s="26" t="str">
        <f>'Gas Wall Gravity DHE'!B13&amp;" - "&amp;'Gas Wall Gravity DHE'!C13</f>
        <v>0.75 - Induced Draft (Max-Tech)</v>
      </c>
      <c r="C22" s="27">
        <v>35000</v>
      </c>
      <c r="D22" s="27" t="str">
        <f t="shared" si="0"/>
        <v>NA</v>
      </c>
      <c r="E22" s="27">
        <f t="shared" si="1"/>
        <v>27404.13223140496</v>
      </c>
      <c r="F22" s="209" t="str">
        <f t="shared" si="2"/>
        <v>NA</v>
      </c>
      <c r="G22" s="27">
        <v>0</v>
      </c>
      <c r="H22" s="28">
        <v>75</v>
      </c>
      <c r="I22" s="28">
        <f t="shared" si="3"/>
        <v>74.99999999999999</v>
      </c>
      <c r="J22" s="28">
        <f t="shared" si="4"/>
        <v>78.29752066115702</v>
      </c>
      <c r="K22" s="28">
        <f t="shared" si="5"/>
        <v>0.4</v>
      </c>
      <c r="L22" s="28">
        <f t="shared" si="6"/>
        <v>1</v>
      </c>
      <c r="M22" s="28">
        <v>2.8</v>
      </c>
      <c r="N22" s="28">
        <f t="shared" si="7"/>
        <v>0</v>
      </c>
      <c r="O22" s="126">
        <v>0</v>
      </c>
      <c r="P22" s="28">
        <v>16.2</v>
      </c>
      <c r="Q22" s="28">
        <v>50</v>
      </c>
      <c r="R22" s="28">
        <v>0</v>
      </c>
      <c r="S22" s="124">
        <v>1</v>
      </c>
      <c r="T22" s="124">
        <f t="shared" si="8"/>
        <v>1</v>
      </c>
      <c r="U22" s="199">
        <f t="shared" si="9"/>
        <v>0.06620000000000001</v>
      </c>
      <c r="V22" s="135">
        <v>2</v>
      </c>
      <c r="W22" s="135">
        <v>2</v>
      </c>
      <c r="X22" s="135">
        <v>1</v>
      </c>
      <c r="Y22" s="135">
        <v>1</v>
      </c>
      <c r="Z22" s="138">
        <v>0.7067</v>
      </c>
      <c r="AA22" s="102">
        <v>1416</v>
      </c>
      <c r="AB22" s="137">
        <f>AB18</f>
        <v>20.5</v>
      </c>
      <c r="AC22" s="137" t="str">
        <f t="shared" si="10"/>
        <v>NA</v>
      </c>
      <c r="AD22" s="137" t="str">
        <f t="shared" si="11"/>
        <v>NA</v>
      </c>
      <c r="AE22" s="79">
        <f t="shared" si="12"/>
        <v>0.03777014063855394</v>
      </c>
      <c r="AF22" s="79">
        <f t="shared" si="13"/>
        <v>0</v>
      </c>
      <c r="AG22" s="28">
        <f t="shared" si="14"/>
        <v>774.8199737236155</v>
      </c>
      <c r="AH22" s="28" t="str">
        <f t="shared" si="15"/>
        <v>NA</v>
      </c>
      <c r="AI22" s="28" t="str">
        <f t="shared" si="16"/>
        <v>NA</v>
      </c>
      <c r="AJ22" s="121">
        <f t="shared" si="17"/>
        <v>27.118699080326543</v>
      </c>
      <c r="AK22" s="89">
        <f t="shared" si="18"/>
        <v>51.293082260503354</v>
      </c>
    </row>
    <row r="23" spans="1:42" s="33" customFormat="1" ht="12.75">
      <c r="A23" s="159" t="s">
        <v>358</v>
      </c>
      <c r="B23" s="160"/>
      <c r="C23" s="161"/>
      <c r="D23" s="161"/>
      <c r="E23" s="161"/>
      <c r="F23" s="211"/>
      <c r="G23" s="161"/>
      <c r="H23" s="162"/>
      <c r="I23" s="162"/>
      <c r="J23" s="162"/>
      <c r="K23" s="162"/>
      <c r="L23" s="162"/>
      <c r="M23" s="162"/>
      <c r="N23" s="162"/>
      <c r="O23" s="163"/>
      <c r="P23" s="162"/>
      <c r="Q23" s="162"/>
      <c r="R23" s="162"/>
      <c r="S23" s="164"/>
      <c r="T23" s="164"/>
      <c r="U23" s="201"/>
      <c r="V23" s="165"/>
      <c r="W23" s="165"/>
      <c r="X23" s="165"/>
      <c r="Y23" s="165"/>
      <c r="Z23" s="167"/>
      <c r="AA23" s="166"/>
      <c r="AB23" s="162"/>
      <c r="AC23" s="162"/>
      <c r="AD23" s="162"/>
      <c r="AE23" s="167"/>
      <c r="AF23" s="167"/>
      <c r="AG23" s="168"/>
      <c r="AH23" s="168"/>
      <c r="AI23" s="168"/>
      <c r="AJ23" s="169"/>
      <c r="AK23" s="170"/>
      <c r="AM23"/>
      <c r="AN23"/>
      <c r="AO23"/>
      <c r="AP23" s="34"/>
    </row>
    <row r="24" spans="1:37" ht="12.75">
      <c r="A24" s="63">
        <f>'Gas Floor DHE'!A8</f>
        <v>0</v>
      </c>
      <c r="B24" s="26" t="str">
        <f>'Gas Floor DHE'!B8&amp;" - "&amp;'Gas Floor DHE'!C8</f>
        <v>0.57 - Standing Pilot (Baseline)</v>
      </c>
      <c r="C24" s="196">
        <v>62000</v>
      </c>
      <c r="D24" s="196" t="str">
        <f aca="true" t="shared" si="19" ref="D24:D29">IF(Controls=1,"NA",R_Q_out*Q_IN)</f>
        <v>NA</v>
      </c>
      <c r="E24" s="27">
        <f aca="true" t="shared" si="20" ref="E24:E29">((η_ss/100)-C_J*(L_J/100))*Q_IN</f>
        <v>38356.6652892562</v>
      </c>
      <c r="F24" s="209" t="str">
        <f aca="true" t="shared" si="21" ref="F24:F29">IF(Controls=1,"NA",IF(Controls=2,0.7,IF(Controls=3,0.5)))</f>
        <v>NA</v>
      </c>
      <c r="G24" s="27">
        <v>450</v>
      </c>
      <c r="H24" s="28">
        <v>57</v>
      </c>
      <c r="I24" s="28">
        <f aca="true" t="shared" si="22" ref="I24:I29">(AFUE*2950*η_ss*Q_IN)/(2950*η_ss*Q_IN-2.083*4600*Q_P*AFUE)</f>
        <v>58.2096010340518</v>
      </c>
      <c r="J24" s="28">
        <f aca="true" t="shared" si="23" ref="J24:J29">(AFUE+1.78*D_p+1.89*D_s+129*(Q_P/Q_IN)+2.8*L_J-1.81)/0.968</f>
        <v>64.66558917621967</v>
      </c>
      <c r="K24" s="28">
        <f aca="true" t="shared" si="24" ref="K24:K29">IF(Burner=1,1,IF(Burner=2,0.4,"ERROR"))</f>
        <v>1</v>
      </c>
      <c r="L24" s="28">
        <f aca="true" t="shared" si="25" ref="L24:L29">IF(Venting=1,1,"ERROR")</f>
        <v>1</v>
      </c>
      <c r="M24" s="28">
        <v>2.8</v>
      </c>
      <c r="N24" s="137">
        <f aca="true" t="shared" si="26" ref="N24:N29">IF(Product=3,1,0)</f>
        <v>1</v>
      </c>
      <c r="O24" s="126">
        <v>0</v>
      </c>
      <c r="P24" s="28">
        <v>0</v>
      </c>
      <c r="Q24" s="28">
        <v>0</v>
      </c>
      <c r="R24" s="28">
        <v>0</v>
      </c>
      <c r="S24" s="124">
        <v>0</v>
      </c>
      <c r="T24" s="124">
        <f aca="true" t="shared" si="27" ref="T24:T29">IF(Controls=1,1,IF(Controls=2,1.3,IF(Controls=3,IF(R_Q_out&gt;=0.7,1.4,IF(R_Q_out&lt;0.7,IF(R_Q_out&gt;0.5,1.7,2.2))))))</f>
        <v>1</v>
      </c>
      <c r="U24" s="199">
        <f aca="true" t="shared" si="28" ref="U24:U29">((Fan_Power+Ignition_Power+InducerFan_Power+Other_Power)/1000)*R_</f>
        <v>0</v>
      </c>
      <c r="V24" s="135">
        <v>3</v>
      </c>
      <c r="W24" s="135">
        <v>1</v>
      </c>
      <c r="X24" s="135">
        <v>1</v>
      </c>
      <c r="Y24" s="135">
        <v>1</v>
      </c>
      <c r="Z24" s="138">
        <v>0.7067</v>
      </c>
      <c r="AA24" s="102">
        <v>1416</v>
      </c>
      <c r="AB24" s="137">
        <f>VLOOKUP(Q_OUT,DHR_Table,2)</f>
        <v>30</v>
      </c>
      <c r="AC24" s="137" t="str">
        <f aca="true" t="shared" si="29" ref="AC24:AC29">IF(R_Q_out="NA","NA",VLOOKUP(R_Q_out,X_Factor_Table,2))</f>
        <v>NA</v>
      </c>
      <c r="AD24" s="137" t="str">
        <f aca="true" t="shared" si="30" ref="AD24:AD29">IF(R_Q_out="NA","NA",VLOOKUP(R_Q_out,X_Factor_Table,3))</f>
        <v>NA</v>
      </c>
      <c r="AE24" s="79">
        <f aca="true" t="shared" si="31" ref="AE24:AE29">100000/(341300*PE+(Q_IN-Q_P)*η_u)</f>
        <v>0.02791112360773221</v>
      </c>
      <c r="AF24" s="79">
        <f aca="true" t="shared" si="32" ref="AF24:AF29">(2.938*Q_P*η_u*AE$9:AE$65536)/100000</f>
        <v>0.021480097481722176</v>
      </c>
      <c r="AG24" s="28">
        <f aca="true" t="shared" si="33" ref="AG24:AG29">avgHLH*(A_F*DHR*A-B)</f>
        <v>807.4933059221447</v>
      </c>
      <c r="AH24" s="28" t="str">
        <f aca="true" t="shared" si="34" ref="AH24:AH29">IF(Controls=1,"NA",X_1*((Q_IN-Q_P)*BOH_SS+(8760-4600)*Q_P)/(Q_IN))</f>
        <v>NA</v>
      </c>
      <c r="AI24" s="28" t="str">
        <f aca="true" t="shared" si="35" ref="AI24:AI29">IF(Controls=1,"NA",X_2*((Q_IN-Q_P)*BOH_SS+(8760-4600)*Q_P)/(Q_IN_r))</f>
        <v>NA</v>
      </c>
      <c r="AJ24" s="94">
        <f aca="true" t="shared" si="36" ref="AJ24:AJ29">(BOH_SS*(Q_IN-Q_P)+8760*Q_P)/1000000</f>
        <v>53.64321297950801</v>
      </c>
      <c r="AK24" s="89">
        <f aca="true" t="shared" si="37" ref="AK24:AK29">IF(Controls=1,BOH_SS*PE,(BOH_H+BOH_R)*PE)</f>
        <v>0</v>
      </c>
    </row>
    <row r="25" spans="1:37" ht="12.75">
      <c r="A25" s="63">
        <f>'Gas Floor DHE'!A9</f>
        <v>1</v>
      </c>
      <c r="B25" s="26" t="str">
        <f>'Gas Floor DHE'!B9&amp;" - "&amp;'Gas Floor DHE'!C9</f>
        <v>0.58 - Standing Pilot, Improved HX</v>
      </c>
      <c r="C25" s="196">
        <v>62000</v>
      </c>
      <c r="D25" s="196" t="str">
        <f t="shared" si="19"/>
        <v>NA</v>
      </c>
      <c r="E25" s="27">
        <f t="shared" si="20"/>
        <v>38997.16115702479</v>
      </c>
      <c r="F25" s="209" t="str">
        <f t="shared" si="21"/>
        <v>NA</v>
      </c>
      <c r="G25" s="27">
        <v>450</v>
      </c>
      <c r="H25" s="28">
        <v>58</v>
      </c>
      <c r="I25" s="28">
        <f t="shared" si="22"/>
        <v>59.23276264608035</v>
      </c>
      <c r="J25" s="28">
        <f t="shared" si="23"/>
        <v>65.69864702745934</v>
      </c>
      <c r="K25" s="28">
        <f t="shared" si="24"/>
        <v>1</v>
      </c>
      <c r="L25" s="28">
        <f t="shared" si="25"/>
        <v>1</v>
      </c>
      <c r="M25" s="28">
        <v>2.8</v>
      </c>
      <c r="N25" s="137">
        <f t="shared" si="26"/>
        <v>1</v>
      </c>
      <c r="O25" s="126">
        <v>0</v>
      </c>
      <c r="P25" s="28">
        <v>0</v>
      </c>
      <c r="Q25" s="28">
        <v>0</v>
      </c>
      <c r="R25" s="28">
        <v>0</v>
      </c>
      <c r="S25" s="124">
        <v>0</v>
      </c>
      <c r="T25" s="124">
        <f t="shared" si="27"/>
        <v>1</v>
      </c>
      <c r="U25" s="199">
        <f t="shared" si="28"/>
        <v>0</v>
      </c>
      <c r="V25" s="135">
        <v>3</v>
      </c>
      <c r="W25" s="135">
        <v>1</v>
      </c>
      <c r="X25" s="135">
        <v>1</v>
      </c>
      <c r="Y25" s="135">
        <v>1</v>
      </c>
      <c r="Z25" s="138">
        <v>0.7067</v>
      </c>
      <c r="AA25" s="102">
        <v>1416</v>
      </c>
      <c r="AB25" s="137">
        <f>AB24</f>
        <v>30</v>
      </c>
      <c r="AC25" s="137" t="str">
        <f t="shared" si="29"/>
        <v>NA</v>
      </c>
      <c r="AD25" s="137" t="str">
        <f t="shared" si="30"/>
        <v>NA</v>
      </c>
      <c r="AE25" s="79">
        <f t="shared" si="31"/>
        <v>0.027428998700024482</v>
      </c>
      <c r="AF25" s="79">
        <f t="shared" si="32"/>
        <v>0.021480097481722183</v>
      </c>
      <c r="AG25" s="28">
        <f t="shared" si="33"/>
        <v>793.0196192038155</v>
      </c>
      <c r="AH25" s="28" t="str">
        <f t="shared" si="34"/>
        <v>NA</v>
      </c>
      <c r="AI25" s="28" t="str">
        <f t="shared" si="35"/>
        <v>NA</v>
      </c>
      <c r="AJ25" s="121">
        <f t="shared" si="36"/>
        <v>52.75235756199484</v>
      </c>
      <c r="AK25" s="89">
        <f t="shared" si="37"/>
        <v>0</v>
      </c>
    </row>
    <row r="26" spans="1:37" ht="12.75">
      <c r="A26" s="63">
        <f>'Gas Floor DHE'!A10</f>
        <v>2</v>
      </c>
      <c r="B26" s="26" t="str">
        <f>'Gas Floor DHE'!B10&amp;" - "&amp;'Gas Floor DHE'!C10</f>
        <v>0.61 - Standing Pilot, Improved HX</v>
      </c>
      <c r="C26" s="196">
        <v>62000</v>
      </c>
      <c r="D26" s="196" t="str">
        <f t="shared" si="19"/>
        <v>NA</v>
      </c>
      <c r="E26" s="27">
        <f t="shared" si="20"/>
        <v>40918.64876033058</v>
      </c>
      <c r="F26" s="209" t="str">
        <f t="shared" si="21"/>
        <v>NA</v>
      </c>
      <c r="G26" s="27">
        <v>450</v>
      </c>
      <c r="H26" s="28">
        <v>61</v>
      </c>
      <c r="I26" s="28">
        <f t="shared" si="22"/>
        <v>62.30228194098992</v>
      </c>
      <c r="J26" s="28">
        <f t="shared" si="23"/>
        <v>68.79782058117836</v>
      </c>
      <c r="K26" s="28">
        <f t="shared" si="24"/>
        <v>1</v>
      </c>
      <c r="L26" s="28">
        <f t="shared" si="25"/>
        <v>1</v>
      </c>
      <c r="M26" s="28">
        <v>2.8</v>
      </c>
      <c r="N26" s="137">
        <f t="shared" si="26"/>
        <v>1</v>
      </c>
      <c r="O26" s="126">
        <v>0</v>
      </c>
      <c r="P26" s="28">
        <v>0</v>
      </c>
      <c r="Q26" s="28">
        <v>0</v>
      </c>
      <c r="R26" s="28">
        <v>0</v>
      </c>
      <c r="S26" s="124">
        <v>0</v>
      </c>
      <c r="T26" s="124">
        <f t="shared" si="27"/>
        <v>1</v>
      </c>
      <c r="U26" s="199">
        <f t="shared" si="28"/>
        <v>0</v>
      </c>
      <c r="V26" s="135">
        <v>3</v>
      </c>
      <c r="W26" s="135">
        <v>1</v>
      </c>
      <c r="X26" s="135">
        <v>1</v>
      </c>
      <c r="Y26" s="135">
        <v>1</v>
      </c>
      <c r="Z26" s="138">
        <v>0.7067</v>
      </c>
      <c r="AA26" s="102">
        <v>1416</v>
      </c>
      <c r="AB26" s="137">
        <f>AB24</f>
        <v>30</v>
      </c>
      <c r="AC26" s="137" t="str">
        <f t="shared" si="29"/>
        <v>NA</v>
      </c>
      <c r="AD26" s="137" t="str">
        <f t="shared" si="30"/>
        <v>NA</v>
      </c>
      <c r="AE26" s="79">
        <f t="shared" si="31"/>
        <v>0.026077622183358212</v>
      </c>
      <c r="AF26" s="79">
        <f t="shared" si="32"/>
        <v>0.021480097481722176</v>
      </c>
      <c r="AG26" s="28">
        <f t="shared" si="33"/>
        <v>752.4504637255599</v>
      </c>
      <c r="AH26" s="28" t="str">
        <f t="shared" si="34"/>
        <v>NA</v>
      </c>
      <c r="AI26" s="28" t="str">
        <f t="shared" si="35"/>
        <v>NA</v>
      </c>
      <c r="AJ26" s="121">
        <f t="shared" si="36"/>
        <v>50.25532604230821</v>
      </c>
      <c r="AK26" s="89">
        <f t="shared" si="37"/>
        <v>0</v>
      </c>
    </row>
    <row r="27" spans="1:37" ht="12.75">
      <c r="A27" s="63">
        <f>'Gas Floor DHE'!A11</f>
        <v>3</v>
      </c>
      <c r="B27" s="26" t="str">
        <f>'Gas Floor DHE'!B11&amp;" - "&amp;'Gas Floor DHE'!C11</f>
        <v>0.62 - Standing Pilot, Improved HX</v>
      </c>
      <c r="C27" s="196">
        <v>62000</v>
      </c>
      <c r="D27" s="196" t="str">
        <f t="shared" si="19"/>
        <v>NA</v>
      </c>
      <c r="E27" s="27">
        <f t="shared" si="20"/>
        <v>41559.14462809917</v>
      </c>
      <c r="F27" s="209" t="str">
        <f t="shared" si="21"/>
        <v>NA</v>
      </c>
      <c r="G27" s="27">
        <v>450</v>
      </c>
      <c r="H27" s="28">
        <v>62</v>
      </c>
      <c r="I27" s="28">
        <f t="shared" si="22"/>
        <v>63.325465677584084</v>
      </c>
      <c r="J27" s="28">
        <f t="shared" si="23"/>
        <v>69.83087843241802</v>
      </c>
      <c r="K27" s="28">
        <f t="shared" si="24"/>
        <v>1</v>
      </c>
      <c r="L27" s="28">
        <f t="shared" si="25"/>
        <v>1</v>
      </c>
      <c r="M27" s="28">
        <v>2.8</v>
      </c>
      <c r="N27" s="137">
        <f t="shared" si="26"/>
        <v>1</v>
      </c>
      <c r="O27" s="126">
        <v>0</v>
      </c>
      <c r="P27" s="28">
        <v>0</v>
      </c>
      <c r="Q27" s="28">
        <v>0</v>
      </c>
      <c r="R27" s="28">
        <v>0</v>
      </c>
      <c r="S27" s="124">
        <v>0</v>
      </c>
      <c r="T27" s="124">
        <f t="shared" si="27"/>
        <v>1</v>
      </c>
      <c r="U27" s="199">
        <f t="shared" si="28"/>
        <v>0</v>
      </c>
      <c r="V27" s="135">
        <v>3</v>
      </c>
      <c r="W27" s="135">
        <v>1</v>
      </c>
      <c r="X27" s="135">
        <v>1</v>
      </c>
      <c r="Y27" s="135">
        <v>1</v>
      </c>
      <c r="Z27" s="138">
        <v>0.7067</v>
      </c>
      <c r="AA27" s="102">
        <v>1416</v>
      </c>
      <c r="AB27" s="137">
        <f>AB24</f>
        <v>30</v>
      </c>
      <c r="AC27" s="137" t="str">
        <f t="shared" si="29"/>
        <v>NA</v>
      </c>
      <c r="AD27" s="137" t="str">
        <f t="shared" si="30"/>
        <v>NA</v>
      </c>
      <c r="AE27" s="79">
        <f t="shared" si="31"/>
        <v>0.02565627196316545</v>
      </c>
      <c r="AF27" s="79">
        <f t="shared" si="32"/>
        <v>0.021480097481722176</v>
      </c>
      <c r="AG27" s="28">
        <f t="shared" si="33"/>
        <v>739.8012705636376</v>
      </c>
      <c r="AH27" s="28" t="str">
        <f t="shared" si="34"/>
        <v>NA</v>
      </c>
      <c r="AI27" s="28" t="str">
        <f t="shared" si="35"/>
        <v>NA</v>
      </c>
      <c r="AJ27" s="121">
        <f t="shared" si="36"/>
        <v>49.47676820319189</v>
      </c>
      <c r="AK27" s="89">
        <f t="shared" si="37"/>
        <v>0</v>
      </c>
    </row>
    <row r="28" spans="1:37" ht="12.75">
      <c r="A28" s="63">
        <f>'Gas Floor DHE'!A12</f>
        <v>4</v>
      </c>
      <c r="B28" s="26" t="str">
        <f>'Gas Floor DHE'!B12&amp;" - "&amp;'Gas Floor DHE'!C12</f>
        <v>0.65 - Electronic Ignition, Improved HX</v>
      </c>
      <c r="C28" s="196">
        <v>62000</v>
      </c>
      <c r="D28" s="196" t="str">
        <f t="shared" si="19"/>
        <v>NA</v>
      </c>
      <c r="E28" s="27">
        <f t="shared" si="20"/>
        <v>42880.94214876033</v>
      </c>
      <c r="F28" s="209" t="str">
        <f t="shared" si="21"/>
        <v>NA</v>
      </c>
      <c r="G28" s="27">
        <v>0</v>
      </c>
      <c r="H28" s="28">
        <v>65</v>
      </c>
      <c r="I28" s="28">
        <f t="shared" si="22"/>
        <v>65</v>
      </c>
      <c r="J28" s="28">
        <f t="shared" si="23"/>
        <v>71.96280991735537</v>
      </c>
      <c r="K28" s="28">
        <f t="shared" si="24"/>
        <v>1</v>
      </c>
      <c r="L28" s="28">
        <f t="shared" si="25"/>
        <v>1</v>
      </c>
      <c r="M28" s="28">
        <v>2.8</v>
      </c>
      <c r="N28" s="137">
        <f t="shared" si="26"/>
        <v>1</v>
      </c>
      <c r="O28" s="126">
        <v>0</v>
      </c>
      <c r="P28" s="28">
        <v>16.2</v>
      </c>
      <c r="Q28" s="28">
        <v>0</v>
      </c>
      <c r="R28" s="28">
        <v>0</v>
      </c>
      <c r="S28" s="124">
        <v>0.6</v>
      </c>
      <c r="T28" s="124">
        <f t="shared" si="27"/>
        <v>1</v>
      </c>
      <c r="U28" s="199">
        <f t="shared" si="28"/>
        <v>0.0162</v>
      </c>
      <c r="V28" s="135">
        <v>3</v>
      </c>
      <c r="W28" s="135">
        <v>1</v>
      </c>
      <c r="X28" s="135">
        <v>1</v>
      </c>
      <c r="Y28" s="135">
        <v>1</v>
      </c>
      <c r="Z28" s="138">
        <v>0.7067</v>
      </c>
      <c r="AA28" s="102">
        <v>1416</v>
      </c>
      <c r="AB28" s="137">
        <f>AB25</f>
        <v>30</v>
      </c>
      <c r="AC28" s="137" t="str">
        <f t="shared" si="29"/>
        <v>NA</v>
      </c>
      <c r="AD28" s="137" t="str">
        <f t="shared" si="30"/>
        <v>NA</v>
      </c>
      <c r="AE28" s="79">
        <f t="shared" si="31"/>
        <v>0.024779898375951726</v>
      </c>
      <c r="AF28" s="79">
        <f t="shared" si="32"/>
        <v>0</v>
      </c>
      <c r="AG28" s="28">
        <f t="shared" si="33"/>
        <v>743.9078136634705</v>
      </c>
      <c r="AH28" s="28" t="str">
        <f t="shared" si="34"/>
        <v>NA</v>
      </c>
      <c r="AI28" s="28" t="str">
        <f t="shared" si="35"/>
        <v>NA</v>
      </c>
      <c r="AJ28" s="121">
        <f t="shared" si="36"/>
        <v>46.12228444713517</v>
      </c>
      <c r="AK28" s="89">
        <f t="shared" si="37"/>
        <v>12.051306581348221</v>
      </c>
    </row>
    <row r="29" spans="1:37" ht="12.75">
      <c r="A29" s="63">
        <f>'Gas Floor DHE'!A13</f>
        <v>5</v>
      </c>
      <c r="B29" s="26" t="str">
        <f>'Gas Floor DHE'!B13&amp;" - "&amp;'Gas Floor DHE'!C13</f>
        <v>0.78 - Induced Draft (Max-Tech)</v>
      </c>
      <c r="C29" s="196">
        <v>62000</v>
      </c>
      <c r="D29" s="196" t="str">
        <f t="shared" si="19"/>
        <v>NA</v>
      </c>
      <c r="E29" s="27">
        <f t="shared" si="20"/>
        <v>50523.3388429752</v>
      </c>
      <c r="F29" s="209" t="str">
        <f t="shared" si="21"/>
        <v>NA</v>
      </c>
      <c r="G29" s="27">
        <v>0</v>
      </c>
      <c r="H29" s="28">
        <v>78</v>
      </c>
      <c r="I29" s="28">
        <f t="shared" si="22"/>
        <v>78.00000000000001</v>
      </c>
      <c r="J29" s="28">
        <f t="shared" si="23"/>
        <v>84.2892561983471</v>
      </c>
      <c r="K29" s="28">
        <f t="shared" si="24"/>
        <v>0.4</v>
      </c>
      <c r="L29" s="28">
        <f t="shared" si="25"/>
        <v>1</v>
      </c>
      <c r="M29" s="28">
        <v>2.8</v>
      </c>
      <c r="N29" s="137">
        <f t="shared" si="26"/>
        <v>1</v>
      </c>
      <c r="O29" s="126">
        <v>60</v>
      </c>
      <c r="P29" s="28">
        <v>16.2</v>
      </c>
      <c r="Q29" s="28">
        <v>50</v>
      </c>
      <c r="R29" s="28">
        <v>0</v>
      </c>
      <c r="S29" s="124">
        <v>1</v>
      </c>
      <c r="T29" s="124">
        <f t="shared" si="27"/>
        <v>1</v>
      </c>
      <c r="U29" s="199">
        <f t="shared" si="28"/>
        <v>0.1262</v>
      </c>
      <c r="V29" s="135">
        <v>3</v>
      </c>
      <c r="W29" s="135">
        <v>2</v>
      </c>
      <c r="X29" s="135">
        <v>1</v>
      </c>
      <c r="Y29" s="135">
        <v>1</v>
      </c>
      <c r="Z29" s="138">
        <v>0.7067</v>
      </c>
      <c r="AA29" s="102">
        <v>1416</v>
      </c>
      <c r="AB29" s="137">
        <f>AB26</f>
        <v>30</v>
      </c>
      <c r="AC29" s="137" t="str">
        <f t="shared" si="29"/>
        <v>NA</v>
      </c>
      <c r="AD29" s="137" t="str">
        <f t="shared" si="30"/>
        <v>NA</v>
      </c>
      <c r="AE29" s="138">
        <f t="shared" si="31"/>
        <v>0.02049570056975137</v>
      </c>
      <c r="AF29" s="79">
        <f t="shared" si="32"/>
        <v>0</v>
      </c>
      <c r="AG29" s="28">
        <f t="shared" si="33"/>
        <v>615.2935564554871</v>
      </c>
      <c r="AH29" s="28" t="str">
        <f t="shared" si="34"/>
        <v>NA</v>
      </c>
      <c r="AI29" s="28" t="str">
        <f t="shared" si="35"/>
        <v>NA</v>
      </c>
      <c r="AJ29" s="121">
        <f t="shared" si="36"/>
        <v>38.1482005002402</v>
      </c>
      <c r="AK29" s="89">
        <f t="shared" si="37"/>
        <v>77.65004682468248</v>
      </c>
    </row>
    <row r="30" spans="1:42" s="33" customFormat="1" ht="12.75">
      <c r="A30" s="171" t="s">
        <v>359</v>
      </c>
      <c r="B30" s="172"/>
      <c r="C30" s="173"/>
      <c r="D30" s="173"/>
      <c r="E30" s="173"/>
      <c r="F30" s="212"/>
      <c r="G30" s="173"/>
      <c r="H30" s="174"/>
      <c r="I30" s="174"/>
      <c r="J30" s="174"/>
      <c r="K30" s="174"/>
      <c r="L30" s="174"/>
      <c r="M30" s="174"/>
      <c r="N30" s="174"/>
      <c r="O30" s="175"/>
      <c r="P30" s="174"/>
      <c r="Q30" s="174"/>
      <c r="R30" s="174"/>
      <c r="S30" s="176"/>
      <c r="T30" s="176"/>
      <c r="U30" s="202"/>
      <c r="V30" s="177"/>
      <c r="W30" s="177"/>
      <c r="X30" s="177"/>
      <c r="Y30" s="177"/>
      <c r="Z30" s="179"/>
      <c r="AA30" s="178"/>
      <c r="AB30" s="174"/>
      <c r="AC30" s="174"/>
      <c r="AD30" s="174"/>
      <c r="AE30" s="179"/>
      <c r="AF30" s="179"/>
      <c r="AG30" s="180"/>
      <c r="AH30" s="180"/>
      <c r="AI30" s="180"/>
      <c r="AJ30" s="181"/>
      <c r="AK30" s="182"/>
      <c r="AM30"/>
      <c r="AN30"/>
      <c r="AO30"/>
      <c r="AP30" s="34"/>
    </row>
    <row r="31" spans="1:39" ht="12.75">
      <c r="A31" s="63">
        <f>'Gas Room DHE'!A8</f>
        <v>0</v>
      </c>
      <c r="B31" s="26" t="str">
        <f>'Gas Room DHE'!B8&amp;" - "&amp;'Gas Room DHE'!C8</f>
        <v>0.64 - Standing Pilot (Baseline)</v>
      </c>
      <c r="C31" s="27">
        <v>35000</v>
      </c>
      <c r="D31" s="27" t="str">
        <f aca="true" t="shared" si="38" ref="D31:D38">IF(Controls=1,"NA",R_Q_out*Q_IN)</f>
        <v>NA</v>
      </c>
      <c r="E31" s="27">
        <f aca="true" t="shared" si="39" ref="E31:E38">((η_ss/100)-C_J*(L_J/100))*Q_IN</f>
        <v>24279.442148760332</v>
      </c>
      <c r="F31" s="209" t="str">
        <f aca="true" t="shared" si="40" ref="F31:F38">IF(Controls=1,"NA",IF(Controls=2,0.7,IF(Controls=3,0.5)))</f>
        <v>NA</v>
      </c>
      <c r="G31" s="27">
        <v>350</v>
      </c>
      <c r="H31" s="28">
        <v>64</v>
      </c>
      <c r="I31" s="28">
        <f aca="true" t="shared" si="41" ref="I31:I38">(AFUE*2950*η_ss*Q_IN)/(2950*η_ss*Q_IN-2.083*4600*Q_P*AFUE)</f>
        <v>65.97709524217079</v>
      </c>
      <c r="J31" s="28">
        <f aca="true" t="shared" si="42" ref="J31:J38">(AFUE+1.78*D_p+1.89*D_s+129*(Q_P/Q_IN)+2.8*L_J-1.81)/0.968</f>
        <v>69.3698347107438</v>
      </c>
      <c r="K31" s="28">
        <f aca="true" t="shared" si="43" ref="K31:K38">IF(Burner=1,1,IF(Burner=2,0.4,"ERROR"))</f>
        <v>1</v>
      </c>
      <c r="L31" s="28">
        <f aca="true" t="shared" si="44" ref="L31:L38">IF(Venting=1,1,"ERROR")</f>
        <v>1</v>
      </c>
      <c r="M31" s="28">
        <v>2.8</v>
      </c>
      <c r="N31" s="28">
        <f aca="true" t="shared" si="45" ref="N31:N38">IF(Product=3,1,0)</f>
        <v>0</v>
      </c>
      <c r="O31" s="126">
        <v>0</v>
      </c>
      <c r="P31" s="28">
        <v>0</v>
      </c>
      <c r="Q31" s="28">
        <v>0</v>
      </c>
      <c r="R31" s="28">
        <v>0</v>
      </c>
      <c r="S31" s="124">
        <v>0</v>
      </c>
      <c r="T31" s="124">
        <f aca="true" t="shared" si="46" ref="T31:T38">IF(Controls=1,1,IF(Controls=2,1.3,IF(Controls=3,IF(R_Q_out&gt;=0.7,1.4,IF(R_Q_out&lt;0.7,IF(R_Q_out&gt;0.5,1.7,2.2))))))</f>
        <v>1</v>
      </c>
      <c r="U31" s="199">
        <f aca="true" t="shared" si="47" ref="U31:U38">((Fan_Power+Ignition_Power+InducerFan_Power+Other_Power)/1000)*R_</f>
        <v>0</v>
      </c>
      <c r="V31" s="135">
        <v>4</v>
      </c>
      <c r="W31" s="135">
        <v>1</v>
      </c>
      <c r="X31" s="135">
        <v>1</v>
      </c>
      <c r="Y31" s="135">
        <v>1</v>
      </c>
      <c r="Z31" s="138">
        <v>0.7067</v>
      </c>
      <c r="AA31" s="102">
        <v>1416</v>
      </c>
      <c r="AB31" s="137">
        <f>VLOOKUP(Q_OUT,DHR_Table,2)</f>
        <v>20.5</v>
      </c>
      <c r="AC31" s="137" t="str">
        <f aca="true" t="shared" si="48" ref="AC31:AC38">IF(R_Q_out="NA","NA",VLOOKUP(R_Q_out,X_Factor_Table,2))</f>
        <v>NA</v>
      </c>
      <c r="AD31" s="137" t="str">
        <f aca="true" t="shared" si="49" ref="AD31:AD38">IF(R_Q_out="NA","NA",VLOOKUP(R_Q_out,X_Factor_Table,3))</f>
        <v>NA</v>
      </c>
      <c r="AE31" s="79">
        <f aca="true" t="shared" si="50" ref="AE31:AE38">100000/(341300*PE+(Q_IN-Q_P)*η_u)</f>
        <v>0.043742496928816446</v>
      </c>
      <c r="AF31" s="79">
        <f aca="true" t="shared" si="51" ref="AF31:AF38">(2.938*Q_P*η_u*AE$9:AE$65536)/100000</f>
        <v>0.029676767676767676</v>
      </c>
      <c r="AG31" s="28">
        <f aca="true" t="shared" si="52" ref="AG31:AG38">avgHLH*(A_F*DHR*A-B)</f>
        <v>855.3151108101686</v>
      </c>
      <c r="AH31" s="28" t="str">
        <f aca="true" t="shared" si="53" ref="AH31:AH38">IF(Controls=1,"NA",X_1*((Q_IN-Q_P)*BOH_SS+(8760-4600)*Q_P)/(Q_IN))</f>
        <v>NA</v>
      </c>
      <c r="AI31" s="28" t="str">
        <f aca="true" t="shared" si="54" ref="AI31:AI38">IF(Controls=1,"NA",X_2*((Q_IN-Q_P)*BOH_SS+(8760-4600)*Q_P)/(Q_IN_r))</f>
        <v>NA</v>
      </c>
      <c r="AJ31" s="94">
        <f aca="true" t="shared" si="55" ref="AJ31:AJ38">(BOH_SS*(Q_IN-Q_P)+8760*Q_P)/1000000</f>
        <v>32.70266858957234</v>
      </c>
      <c r="AK31" s="89">
        <f aca="true" t="shared" si="56" ref="AK31:AK38">IF(Controls=1,BOH_SS*PE,(BOH_H+BOH_R)*PE)</f>
        <v>0</v>
      </c>
      <c r="AM31"/>
    </row>
    <row r="32" spans="1:39" ht="12.75">
      <c r="A32" s="63">
        <f>'Gas Room DHE'!A9</f>
        <v>1</v>
      </c>
      <c r="B32" s="26" t="str">
        <f>'Gas Room DHE'!B9&amp;" - "&amp;'Gas Room DHE'!C9</f>
        <v>0.65 - Standing Pilot, Improved HX</v>
      </c>
      <c r="C32" s="27">
        <v>35000</v>
      </c>
      <c r="D32" s="27" t="str">
        <f t="shared" si="38"/>
        <v>NA</v>
      </c>
      <c r="E32" s="27">
        <f t="shared" si="39"/>
        <v>24641.012396694216</v>
      </c>
      <c r="F32" s="209" t="str">
        <f t="shared" si="40"/>
        <v>NA</v>
      </c>
      <c r="G32" s="27">
        <v>350</v>
      </c>
      <c r="H32" s="28">
        <v>65</v>
      </c>
      <c r="I32" s="28">
        <f t="shared" si="41"/>
        <v>67.00948238082819</v>
      </c>
      <c r="J32" s="28">
        <f t="shared" si="42"/>
        <v>70.40289256198348</v>
      </c>
      <c r="K32" s="28">
        <f t="shared" si="43"/>
        <v>1</v>
      </c>
      <c r="L32" s="28">
        <f t="shared" si="44"/>
        <v>1</v>
      </c>
      <c r="M32" s="28">
        <v>2.8</v>
      </c>
      <c r="N32" s="28">
        <f t="shared" si="45"/>
        <v>0</v>
      </c>
      <c r="O32" s="126">
        <v>0</v>
      </c>
      <c r="P32" s="28">
        <v>0</v>
      </c>
      <c r="Q32" s="28">
        <v>0</v>
      </c>
      <c r="R32" s="28">
        <v>0</v>
      </c>
      <c r="S32" s="124">
        <v>0</v>
      </c>
      <c r="T32" s="124">
        <f t="shared" si="46"/>
        <v>1</v>
      </c>
      <c r="U32" s="199">
        <f t="shared" si="47"/>
        <v>0</v>
      </c>
      <c r="V32" s="135">
        <v>4</v>
      </c>
      <c r="W32" s="135">
        <v>1</v>
      </c>
      <c r="X32" s="135">
        <v>1</v>
      </c>
      <c r="Y32" s="135">
        <v>1</v>
      </c>
      <c r="Z32" s="138">
        <v>0.7067</v>
      </c>
      <c r="AA32" s="102">
        <v>1416</v>
      </c>
      <c r="AB32" s="137">
        <f>AB31</f>
        <v>20.5</v>
      </c>
      <c r="AC32" s="137" t="str">
        <f t="shared" si="48"/>
        <v>NA</v>
      </c>
      <c r="AD32" s="137" t="str">
        <f t="shared" si="49"/>
        <v>NA</v>
      </c>
      <c r="AE32" s="79">
        <f t="shared" si="50"/>
        <v>0.04306857452802215</v>
      </c>
      <c r="AF32" s="79">
        <f t="shared" si="51"/>
        <v>0.029676767676767676</v>
      </c>
      <c r="AG32" s="28">
        <f t="shared" si="52"/>
        <v>841.4902076446722</v>
      </c>
      <c r="AH32" s="28" t="str">
        <f t="shared" si="53"/>
        <v>NA</v>
      </c>
      <c r="AI32" s="28" t="str">
        <f t="shared" si="54"/>
        <v>NA</v>
      </c>
      <c r="AJ32" s="121">
        <f t="shared" si="55"/>
        <v>32.22363569488789</v>
      </c>
      <c r="AK32" s="89">
        <f t="shared" si="56"/>
        <v>0</v>
      </c>
      <c r="AM32"/>
    </row>
    <row r="33" spans="1:39" ht="12.75">
      <c r="A33" s="63">
        <f>'Gas Room DHE'!A10</f>
        <v>2</v>
      </c>
      <c r="B33" s="26" t="str">
        <f>'Gas Room DHE'!B10&amp;" - "&amp;'Gas Room DHE'!C10</f>
        <v>0.66 - Standing Pilot, Improved HX</v>
      </c>
      <c r="C33" s="27">
        <v>35000</v>
      </c>
      <c r="D33" s="27" t="str">
        <f t="shared" si="38"/>
        <v>NA</v>
      </c>
      <c r="E33" s="27">
        <f t="shared" si="39"/>
        <v>25002.582644628103</v>
      </c>
      <c r="F33" s="209" t="str">
        <f t="shared" si="40"/>
        <v>NA</v>
      </c>
      <c r="G33" s="27">
        <v>350</v>
      </c>
      <c r="H33" s="28">
        <v>66</v>
      </c>
      <c r="I33" s="28">
        <f t="shared" si="41"/>
        <v>68.04187167979481</v>
      </c>
      <c r="J33" s="28">
        <f t="shared" si="42"/>
        <v>71.43595041322315</v>
      </c>
      <c r="K33" s="28">
        <f t="shared" si="43"/>
        <v>1</v>
      </c>
      <c r="L33" s="28">
        <f t="shared" si="44"/>
        <v>1</v>
      </c>
      <c r="M33" s="28">
        <v>2.8</v>
      </c>
      <c r="N33" s="28">
        <f t="shared" si="45"/>
        <v>0</v>
      </c>
      <c r="O33" s="126">
        <v>0</v>
      </c>
      <c r="P33" s="28">
        <v>0</v>
      </c>
      <c r="Q33" s="28">
        <v>0</v>
      </c>
      <c r="R33" s="28">
        <v>0</v>
      </c>
      <c r="S33" s="124">
        <v>0</v>
      </c>
      <c r="T33" s="124">
        <f t="shared" si="46"/>
        <v>1</v>
      </c>
      <c r="U33" s="199">
        <f t="shared" si="47"/>
        <v>0</v>
      </c>
      <c r="V33" s="135">
        <v>4</v>
      </c>
      <c r="W33" s="135">
        <v>1</v>
      </c>
      <c r="X33" s="135">
        <v>1</v>
      </c>
      <c r="Y33" s="135">
        <v>1</v>
      </c>
      <c r="Z33" s="138">
        <v>0.7067</v>
      </c>
      <c r="AA33" s="102">
        <v>1416</v>
      </c>
      <c r="AB33" s="137">
        <f>AB31</f>
        <v>20.5</v>
      </c>
      <c r="AC33" s="137" t="str">
        <f t="shared" si="48"/>
        <v>NA</v>
      </c>
      <c r="AD33" s="137" t="str">
        <f t="shared" si="49"/>
        <v>NA</v>
      </c>
      <c r="AE33" s="79">
        <f t="shared" si="50"/>
        <v>0.04241510138910378</v>
      </c>
      <c r="AF33" s="79">
        <f t="shared" si="51"/>
        <v>0.029676767676767676</v>
      </c>
      <c r="AG33" s="28">
        <f t="shared" si="52"/>
        <v>828.0848024286536</v>
      </c>
      <c r="AH33" s="28" t="str">
        <f t="shared" si="53"/>
        <v>NA</v>
      </c>
      <c r="AI33" s="28" t="str">
        <f t="shared" si="54"/>
        <v>NA</v>
      </c>
      <c r="AJ33" s="121">
        <f t="shared" si="55"/>
        <v>31.759138404152846</v>
      </c>
      <c r="AK33" s="89">
        <f t="shared" si="56"/>
        <v>0</v>
      </c>
      <c r="AM33"/>
    </row>
    <row r="34" spans="1:39" ht="12.75">
      <c r="A34" s="63">
        <f>'Gas Room DHE'!A11</f>
        <v>3</v>
      </c>
      <c r="B34" s="26" t="str">
        <f>'Gas Room DHE'!B11&amp;" - "&amp;'Gas Room DHE'!C11</f>
        <v>0.67 - Standing Pilot, Improved HX</v>
      </c>
      <c r="C34" s="27">
        <v>35000</v>
      </c>
      <c r="D34" s="27" t="str">
        <f t="shared" si="38"/>
        <v>NA</v>
      </c>
      <c r="E34" s="27">
        <f t="shared" si="39"/>
        <v>25364.152892561986</v>
      </c>
      <c r="F34" s="209" t="str">
        <f t="shared" si="40"/>
        <v>NA</v>
      </c>
      <c r="G34" s="27">
        <v>350</v>
      </c>
      <c r="H34" s="28">
        <v>67</v>
      </c>
      <c r="I34" s="28">
        <f t="shared" si="41"/>
        <v>69.07426304681846</v>
      </c>
      <c r="J34" s="28">
        <f t="shared" si="42"/>
        <v>72.46900826446281</v>
      </c>
      <c r="K34" s="28">
        <f t="shared" si="43"/>
        <v>1</v>
      </c>
      <c r="L34" s="28">
        <f t="shared" si="44"/>
        <v>1</v>
      </c>
      <c r="M34" s="28">
        <v>2.8</v>
      </c>
      <c r="N34" s="28">
        <f t="shared" si="45"/>
        <v>0</v>
      </c>
      <c r="O34" s="126">
        <v>0</v>
      </c>
      <c r="P34" s="28">
        <v>0</v>
      </c>
      <c r="Q34" s="28">
        <v>0</v>
      </c>
      <c r="R34" s="28">
        <v>0</v>
      </c>
      <c r="S34" s="124">
        <v>0</v>
      </c>
      <c r="T34" s="124">
        <f t="shared" si="46"/>
        <v>1</v>
      </c>
      <c r="U34" s="199">
        <f t="shared" si="47"/>
        <v>0</v>
      </c>
      <c r="V34" s="135">
        <v>4</v>
      </c>
      <c r="W34" s="135">
        <v>1</v>
      </c>
      <c r="X34" s="135">
        <v>1</v>
      </c>
      <c r="Y34" s="135">
        <v>1</v>
      </c>
      <c r="Z34" s="138">
        <v>0.7067</v>
      </c>
      <c r="AA34" s="102">
        <v>1416</v>
      </c>
      <c r="AB34" s="137">
        <f>AB31</f>
        <v>20.5</v>
      </c>
      <c r="AC34" s="137" t="str">
        <f t="shared" si="48"/>
        <v>NA</v>
      </c>
      <c r="AD34" s="137" t="str">
        <f t="shared" si="49"/>
        <v>NA</v>
      </c>
      <c r="AE34" s="79">
        <f t="shared" si="50"/>
        <v>0.041781160720408356</v>
      </c>
      <c r="AF34" s="79">
        <f t="shared" si="51"/>
        <v>0.029676767676767673</v>
      </c>
      <c r="AG34" s="28">
        <f t="shared" si="52"/>
        <v>815.0800880178331</v>
      </c>
      <c r="AH34" s="28" t="str">
        <f t="shared" si="53"/>
        <v>NA</v>
      </c>
      <c r="AI34" s="28" t="str">
        <f t="shared" si="54"/>
        <v>NA</v>
      </c>
      <c r="AJ34" s="121">
        <f t="shared" si="55"/>
        <v>31.308525049817916</v>
      </c>
      <c r="AK34" s="89">
        <f t="shared" si="56"/>
        <v>0</v>
      </c>
      <c r="AM34"/>
    </row>
    <row r="35" spans="1:39" ht="12.75">
      <c r="A35" s="63">
        <f>'Gas Room DHE'!A12</f>
        <v>4</v>
      </c>
      <c r="B35" s="26" t="str">
        <f>'Gas Room DHE'!B12&amp;" - "&amp;'Gas Room DHE'!C12</f>
        <v>0.68 - Standing Pilot, Improved HX</v>
      </c>
      <c r="C35" s="27">
        <v>35000</v>
      </c>
      <c r="D35" s="27" t="str">
        <f t="shared" si="38"/>
        <v>NA</v>
      </c>
      <c r="E35" s="27">
        <f t="shared" si="39"/>
        <v>25725.723140495873</v>
      </c>
      <c r="F35" s="209" t="str">
        <f t="shared" si="40"/>
        <v>NA</v>
      </c>
      <c r="G35" s="27">
        <v>350</v>
      </c>
      <c r="H35" s="28">
        <v>68</v>
      </c>
      <c r="I35" s="28">
        <f t="shared" si="41"/>
        <v>70.10665639482579</v>
      </c>
      <c r="J35" s="28">
        <f t="shared" si="42"/>
        <v>73.50206611570249</v>
      </c>
      <c r="K35" s="28">
        <f t="shared" si="43"/>
        <v>1</v>
      </c>
      <c r="L35" s="28">
        <f t="shared" si="44"/>
        <v>1</v>
      </c>
      <c r="M35" s="28">
        <v>2.8</v>
      </c>
      <c r="N35" s="28">
        <f t="shared" si="45"/>
        <v>0</v>
      </c>
      <c r="O35" s="126">
        <v>0</v>
      </c>
      <c r="P35" s="28">
        <v>0</v>
      </c>
      <c r="Q35" s="28">
        <v>0</v>
      </c>
      <c r="R35" s="28">
        <v>0</v>
      </c>
      <c r="S35" s="124">
        <v>0</v>
      </c>
      <c r="T35" s="124">
        <f t="shared" si="46"/>
        <v>1</v>
      </c>
      <c r="U35" s="199">
        <f t="shared" si="47"/>
        <v>0</v>
      </c>
      <c r="V35" s="135">
        <v>4</v>
      </c>
      <c r="W35" s="135">
        <v>1</v>
      </c>
      <c r="X35" s="135">
        <v>1</v>
      </c>
      <c r="Y35" s="135">
        <v>1</v>
      </c>
      <c r="Z35" s="138">
        <v>0.7067</v>
      </c>
      <c r="AA35" s="102">
        <v>1416</v>
      </c>
      <c r="AB35" s="137">
        <f>AB32</f>
        <v>20.5</v>
      </c>
      <c r="AC35" s="137" t="str">
        <f t="shared" si="48"/>
        <v>NA</v>
      </c>
      <c r="AD35" s="137" t="str">
        <f t="shared" si="49"/>
        <v>NA</v>
      </c>
      <c r="AE35" s="79">
        <f t="shared" si="50"/>
        <v>0.04116588972307467</v>
      </c>
      <c r="AF35" s="79">
        <f t="shared" si="51"/>
        <v>0.029676767676767676</v>
      </c>
      <c r="AG35" s="28">
        <f t="shared" si="52"/>
        <v>802.4583648807904</v>
      </c>
      <c r="AH35" s="28" t="str">
        <f t="shared" si="53"/>
        <v>NA</v>
      </c>
      <c r="AI35" s="28" t="str">
        <f t="shared" si="54"/>
        <v>NA</v>
      </c>
      <c r="AJ35" s="121">
        <f t="shared" si="55"/>
        <v>30.87118234311939</v>
      </c>
      <c r="AK35" s="89">
        <f t="shared" si="56"/>
        <v>0</v>
      </c>
      <c r="AM35"/>
    </row>
    <row r="36" spans="1:39" ht="12.75">
      <c r="A36" s="63">
        <f>'Gas Room DHE'!A13</f>
        <v>5</v>
      </c>
      <c r="B36" s="26" t="str">
        <f>'Gas Room DHE'!B13&amp;" - "&amp;'Gas Room DHE'!C13</f>
        <v>0.7 - Electronic Ignition</v>
      </c>
      <c r="C36" s="27">
        <v>35000</v>
      </c>
      <c r="D36" s="27" t="str">
        <f t="shared" si="38"/>
        <v>NA</v>
      </c>
      <c r="E36" s="27">
        <f t="shared" si="39"/>
        <v>25982.43801652893</v>
      </c>
      <c r="F36" s="209" t="str">
        <f t="shared" si="40"/>
        <v>NA</v>
      </c>
      <c r="G36" s="27">
        <v>0</v>
      </c>
      <c r="H36" s="28">
        <v>70</v>
      </c>
      <c r="I36" s="28">
        <f t="shared" si="41"/>
        <v>70</v>
      </c>
      <c r="J36" s="28">
        <f t="shared" si="42"/>
        <v>74.23553719008265</v>
      </c>
      <c r="K36" s="28">
        <f t="shared" si="43"/>
        <v>1</v>
      </c>
      <c r="L36" s="28">
        <f t="shared" si="44"/>
        <v>1</v>
      </c>
      <c r="M36" s="28">
        <v>2.8</v>
      </c>
      <c r="N36" s="28">
        <f t="shared" si="45"/>
        <v>0</v>
      </c>
      <c r="O36" s="126">
        <v>0</v>
      </c>
      <c r="P36" s="28">
        <v>12.6</v>
      </c>
      <c r="Q36" s="28">
        <v>0</v>
      </c>
      <c r="R36" s="28">
        <v>0</v>
      </c>
      <c r="S36" s="124">
        <v>0.6</v>
      </c>
      <c r="T36" s="124">
        <f t="shared" si="46"/>
        <v>1</v>
      </c>
      <c r="U36" s="199">
        <f t="shared" si="47"/>
        <v>0.0126</v>
      </c>
      <c r="V36" s="135">
        <v>4</v>
      </c>
      <c r="W36" s="135">
        <v>1</v>
      </c>
      <c r="X36" s="135">
        <v>1</v>
      </c>
      <c r="Y36" s="135">
        <v>1</v>
      </c>
      <c r="Z36" s="138">
        <v>0.7067</v>
      </c>
      <c r="AA36" s="102">
        <v>1416</v>
      </c>
      <c r="AB36" s="137">
        <f>AB33</f>
        <v>20.5</v>
      </c>
      <c r="AC36" s="137" t="str">
        <f t="shared" si="48"/>
        <v>NA</v>
      </c>
      <c r="AD36" s="137" t="str">
        <f t="shared" si="49"/>
        <v>NA</v>
      </c>
      <c r="AE36" s="79">
        <f t="shared" si="50"/>
        <v>0.04074480891373207</v>
      </c>
      <c r="AF36" s="79">
        <f t="shared" si="51"/>
        <v>0</v>
      </c>
      <c r="AG36" s="28">
        <f t="shared" si="52"/>
        <v>835.8425793015605</v>
      </c>
      <c r="AH36" s="28" t="str">
        <f t="shared" si="53"/>
        <v>NA</v>
      </c>
      <c r="AI36" s="28" t="str">
        <f t="shared" si="54"/>
        <v>NA</v>
      </c>
      <c r="AJ36" s="121">
        <f t="shared" si="55"/>
        <v>29.254490275554616</v>
      </c>
      <c r="AK36" s="89">
        <f t="shared" si="56"/>
        <v>10.531616499199663</v>
      </c>
      <c r="AM36"/>
    </row>
    <row r="37" spans="1:39" ht="12.75">
      <c r="A37" s="63">
        <f>'Gas Room DHE'!A14</f>
        <v>6</v>
      </c>
      <c r="B37" s="26" t="str">
        <f>'Gas Room DHE'!B14&amp;" - "&amp;'Gas Room DHE'!C14</f>
        <v>0.78 - Induced Draft</v>
      </c>
      <c r="C37" s="27">
        <v>35000</v>
      </c>
      <c r="D37" s="27" t="str">
        <f t="shared" si="38"/>
        <v>NA</v>
      </c>
      <c r="E37" s="27">
        <f t="shared" si="39"/>
        <v>28488.84297520661</v>
      </c>
      <c r="F37" s="209" t="str">
        <f t="shared" si="40"/>
        <v>NA</v>
      </c>
      <c r="G37" s="27">
        <v>0</v>
      </c>
      <c r="H37" s="28">
        <v>78</v>
      </c>
      <c r="I37" s="28">
        <f t="shared" si="41"/>
        <v>78</v>
      </c>
      <c r="J37" s="28">
        <f t="shared" si="42"/>
        <v>81.39669421487604</v>
      </c>
      <c r="K37" s="28">
        <f t="shared" si="43"/>
        <v>0.4</v>
      </c>
      <c r="L37" s="28">
        <f t="shared" si="44"/>
        <v>1</v>
      </c>
      <c r="M37" s="28">
        <v>2.8</v>
      </c>
      <c r="N37" s="28">
        <f t="shared" si="45"/>
        <v>0</v>
      </c>
      <c r="O37" s="126">
        <v>60</v>
      </c>
      <c r="P37" s="28">
        <v>16.2</v>
      </c>
      <c r="Q37" s="28">
        <v>50</v>
      </c>
      <c r="R37" s="28">
        <v>0</v>
      </c>
      <c r="S37" s="124">
        <v>1</v>
      </c>
      <c r="T37" s="124">
        <f t="shared" si="46"/>
        <v>1</v>
      </c>
      <c r="U37" s="199">
        <f t="shared" si="47"/>
        <v>0.1262</v>
      </c>
      <c r="V37" s="135">
        <v>4</v>
      </c>
      <c r="W37" s="135">
        <v>2</v>
      </c>
      <c r="X37" s="135">
        <v>1</v>
      </c>
      <c r="Y37" s="135">
        <v>1</v>
      </c>
      <c r="Z37" s="138">
        <v>0.7067</v>
      </c>
      <c r="AA37" s="102">
        <v>1416</v>
      </c>
      <c r="AB37" s="137">
        <f>AB34</f>
        <v>20.5</v>
      </c>
      <c r="AC37" s="137" t="str">
        <f t="shared" si="48"/>
        <v>NA</v>
      </c>
      <c r="AD37" s="137" t="str">
        <f t="shared" si="49"/>
        <v>NA</v>
      </c>
      <c r="AE37" s="79">
        <f t="shared" si="50"/>
        <v>0.03606108959173603</v>
      </c>
      <c r="AF37" s="79">
        <f t="shared" si="51"/>
        <v>0</v>
      </c>
      <c r="AG37" s="28">
        <f t="shared" si="52"/>
        <v>739.7603508363212</v>
      </c>
      <c r="AH37" s="28" t="str">
        <f t="shared" si="53"/>
        <v>NA</v>
      </c>
      <c r="AI37" s="28" t="str">
        <f t="shared" si="54"/>
        <v>NA</v>
      </c>
      <c r="AJ37" s="121">
        <f t="shared" si="55"/>
        <v>25.891612279271243</v>
      </c>
      <c r="AK37" s="89">
        <f t="shared" si="56"/>
        <v>93.35775627554374</v>
      </c>
      <c r="AM37"/>
    </row>
    <row r="38" spans="1:39" ht="12.75">
      <c r="A38" s="63">
        <f>'Gas Room DHE'!A15</f>
        <v>7</v>
      </c>
      <c r="B38" s="354" t="str">
        <f>'Gas Room DHE'!B15&amp;" - "&amp;'Gas Room DHE'!C15</f>
        <v>0.93 - Condensing (Max-Tech)</v>
      </c>
      <c r="C38" s="27">
        <v>35000</v>
      </c>
      <c r="D38" s="27" t="str">
        <f t="shared" si="38"/>
        <v>NA</v>
      </c>
      <c r="E38" s="27">
        <f t="shared" si="39"/>
        <v>33912.396694214876</v>
      </c>
      <c r="F38" s="209" t="str">
        <f t="shared" si="40"/>
        <v>NA</v>
      </c>
      <c r="G38" s="27">
        <v>0</v>
      </c>
      <c r="H38" s="28">
        <v>93</v>
      </c>
      <c r="I38" s="28">
        <f t="shared" si="41"/>
        <v>93</v>
      </c>
      <c r="J38" s="28">
        <f t="shared" si="42"/>
        <v>96.89256198347108</v>
      </c>
      <c r="K38" s="28">
        <f t="shared" si="43"/>
        <v>0.4</v>
      </c>
      <c r="L38" s="28">
        <f t="shared" si="44"/>
        <v>1</v>
      </c>
      <c r="M38" s="28">
        <v>2.8</v>
      </c>
      <c r="N38" s="28">
        <f t="shared" si="45"/>
        <v>0</v>
      </c>
      <c r="O38" s="126">
        <v>60</v>
      </c>
      <c r="P38" s="28">
        <v>16.2</v>
      </c>
      <c r="Q38" s="28">
        <v>50</v>
      </c>
      <c r="R38" s="28">
        <v>0</v>
      </c>
      <c r="S38" s="124">
        <v>1</v>
      </c>
      <c r="T38" s="124">
        <f t="shared" si="46"/>
        <v>1</v>
      </c>
      <c r="U38" s="199">
        <f t="shared" si="47"/>
        <v>0.1262</v>
      </c>
      <c r="V38" s="135">
        <v>4</v>
      </c>
      <c r="W38" s="135">
        <v>2</v>
      </c>
      <c r="X38" s="135">
        <v>1</v>
      </c>
      <c r="Y38" s="135">
        <v>1</v>
      </c>
      <c r="Z38" s="138">
        <v>0.7067</v>
      </c>
      <c r="AA38" s="102">
        <v>1416</v>
      </c>
      <c r="AB38" s="137">
        <f>AB36</f>
        <v>20.5</v>
      </c>
      <c r="AC38" s="137" t="str">
        <f t="shared" si="48"/>
        <v>NA</v>
      </c>
      <c r="AD38" s="137" t="str">
        <f t="shared" si="49"/>
        <v>NA</v>
      </c>
      <c r="AE38" s="79">
        <f t="shared" si="50"/>
        <v>0.030320744416967044</v>
      </c>
      <c r="AF38" s="79">
        <f t="shared" si="51"/>
        <v>0</v>
      </c>
      <c r="AG38" s="28">
        <f t="shared" si="52"/>
        <v>622.0024070668728</v>
      </c>
      <c r="AH38" s="28" t="str">
        <f t="shared" si="53"/>
        <v>NA</v>
      </c>
      <c r="AI38" s="28" t="str">
        <f t="shared" si="54"/>
        <v>NA</v>
      </c>
      <c r="AJ38" s="121">
        <f t="shared" si="55"/>
        <v>21.77008424734055</v>
      </c>
      <c r="AK38" s="89">
        <f t="shared" si="56"/>
        <v>78.49670377183935</v>
      </c>
      <c r="AM38"/>
    </row>
    <row r="39" ht="12.75">
      <c r="AM39"/>
    </row>
    <row r="41" spans="8:11" ht="12.75">
      <c r="H41" s="21"/>
      <c r="I41" s="21"/>
      <c r="J41" s="21"/>
      <c r="K41" s="21"/>
    </row>
    <row r="42" spans="8:11" ht="12.75">
      <c r="H42" s="21"/>
      <c r="I42" s="21"/>
      <c r="J42" s="21"/>
      <c r="K42" s="21"/>
    </row>
    <row r="43" spans="8:11" ht="12.75">
      <c r="H43" s="21"/>
      <c r="I43" s="21"/>
      <c r="J43" s="21"/>
      <c r="K43" s="21"/>
    </row>
    <row r="44" spans="8:11" ht="12.75">
      <c r="H44" s="21"/>
      <c r="I44" s="21"/>
      <c r="J44" s="21"/>
      <c r="K44" s="21"/>
    </row>
    <row r="45" spans="8:11" ht="12.75">
      <c r="H45" s="21"/>
      <c r="I45" s="21"/>
      <c r="J45" s="21"/>
      <c r="K45" s="21"/>
    </row>
    <row r="46" spans="8:11" ht="12.75">
      <c r="H46" s="21"/>
      <c r="I46" s="21"/>
      <c r="J46" s="21"/>
      <c r="K46" s="21"/>
    </row>
    <row r="47" spans="8:11" ht="12.75">
      <c r="H47" s="21"/>
      <c r="I47" s="21"/>
      <c r="J47" s="21"/>
      <c r="K47" s="21"/>
    </row>
  </sheetData>
  <sheetProtection/>
  <printOptions/>
  <pageMargins left="0.25" right="0.25" top="1" bottom="1" header="0.5" footer="0.5"/>
  <pageSetup fitToHeight="1" fitToWidth="1" horizontalDpi="300" verticalDpi="300" orientation="landscape" scale="34" r:id="rId3"/>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1">
      <selection activeCell="A1" sqref="A1"/>
    </sheetView>
  </sheetViews>
  <sheetFormatPr defaultColWidth="9.140625" defaultRowHeight="12.75"/>
  <cols>
    <col min="1" max="1" width="17.57421875" style="0" customWidth="1"/>
    <col min="2" max="2" width="21.8515625" style="0" customWidth="1"/>
    <col min="3" max="3" width="11.421875" style="0" customWidth="1"/>
  </cols>
  <sheetData>
    <row r="1" ht="12.75">
      <c r="A1" s="8" t="s">
        <v>81</v>
      </c>
    </row>
    <row r="2" ht="12.75">
      <c r="A2" s="8" t="s">
        <v>82</v>
      </c>
    </row>
    <row r="3" spans="1:2" ht="12.75">
      <c r="A3" s="3" t="s">
        <v>83</v>
      </c>
      <c r="B3" s="20"/>
    </row>
    <row r="5" spans="1:2" ht="12.75">
      <c r="A5" s="106" t="s">
        <v>84</v>
      </c>
      <c r="B5" s="106" t="s">
        <v>85</v>
      </c>
    </row>
    <row r="6" spans="1:12" ht="13.5" thickBot="1">
      <c r="A6" s="107" t="s">
        <v>9</v>
      </c>
      <c r="B6" s="107" t="s">
        <v>86</v>
      </c>
      <c r="F6" s="108"/>
      <c r="G6" s="108"/>
      <c r="H6" s="108"/>
      <c r="I6" s="108"/>
      <c r="J6" s="108"/>
      <c r="K6" s="108"/>
      <c r="L6" s="108"/>
    </row>
    <row r="7" spans="1:12" ht="12.75">
      <c r="A7" s="109">
        <v>5000</v>
      </c>
      <c r="B7" s="110">
        <v>5</v>
      </c>
      <c r="G7" s="108"/>
      <c r="H7" s="108"/>
      <c r="I7" s="108"/>
      <c r="J7" s="108"/>
      <c r="K7" s="108"/>
      <c r="L7" s="108"/>
    </row>
    <row r="8" spans="1:12" ht="12.75">
      <c r="A8" s="111">
        <v>7500</v>
      </c>
      <c r="B8" s="112">
        <v>7.5</v>
      </c>
      <c r="G8" s="108"/>
      <c r="H8" s="108"/>
      <c r="I8" s="108"/>
      <c r="J8" s="108"/>
      <c r="K8" s="108"/>
      <c r="L8" s="108"/>
    </row>
    <row r="9" spans="1:12" ht="12.75">
      <c r="A9" s="111">
        <v>10500</v>
      </c>
      <c r="B9" s="112">
        <v>10</v>
      </c>
      <c r="G9" s="108"/>
      <c r="H9" s="108"/>
      <c r="I9" s="108"/>
      <c r="J9" s="108"/>
      <c r="K9" s="108"/>
      <c r="L9" s="108"/>
    </row>
    <row r="10" spans="1:12" ht="12.75">
      <c r="A10" s="111">
        <v>13500</v>
      </c>
      <c r="B10" s="112">
        <v>12.5</v>
      </c>
      <c r="G10" s="108"/>
      <c r="H10" s="108"/>
      <c r="I10" s="108"/>
      <c r="J10" s="108"/>
      <c r="K10" s="108"/>
      <c r="L10" s="108"/>
    </row>
    <row r="11" spans="1:2" ht="12.75">
      <c r="A11" s="111">
        <v>16500</v>
      </c>
      <c r="B11" s="112">
        <v>15</v>
      </c>
    </row>
    <row r="12" spans="1:2" ht="12.75">
      <c r="A12" s="111">
        <v>19500</v>
      </c>
      <c r="B12" s="112">
        <v>17.5</v>
      </c>
    </row>
    <row r="13" spans="1:2" ht="12.75">
      <c r="A13" s="111">
        <v>22500</v>
      </c>
      <c r="B13" s="112">
        <v>20.5</v>
      </c>
    </row>
    <row r="14" spans="1:2" ht="12.75">
      <c r="A14" s="111">
        <v>26500</v>
      </c>
      <c r="B14" s="112">
        <v>23.56</v>
      </c>
    </row>
    <row r="15" spans="1:2" ht="12.75">
      <c r="A15" s="111">
        <v>30500</v>
      </c>
      <c r="B15" s="112">
        <v>26.5</v>
      </c>
    </row>
    <row r="16" spans="1:2" ht="12.75">
      <c r="A16" s="111">
        <v>34500</v>
      </c>
      <c r="B16" s="112">
        <v>30</v>
      </c>
    </row>
    <row r="17" spans="1:2" ht="12.75">
      <c r="A17" s="111">
        <v>38500</v>
      </c>
      <c r="B17" s="112">
        <v>33.5</v>
      </c>
    </row>
    <row r="18" spans="1:2" ht="12.75">
      <c r="A18" s="111">
        <v>42500</v>
      </c>
      <c r="B18" s="112">
        <v>36.5</v>
      </c>
    </row>
    <row r="19" spans="1:2" ht="12.75">
      <c r="A19" s="111">
        <v>46500</v>
      </c>
      <c r="B19" s="112">
        <v>40</v>
      </c>
    </row>
    <row r="20" spans="1:2" ht="12.75">
      <c r="A20" s="111">
        <v>51500</v>
      </c>
      <c r="B20" s="112">
        <v>44</v>
      </c>
    </row>
    <row r="21" spans="1:2" ht="12.75">
      <c r="A21" s="111">
        <v>56500</v>
      </c>
      <c r="B21" s="112">
        <v>48</v>
      </c>
    </row>
    <row r="22" spans="1:2" ht="12.75">
      <c r="A22" s="111">
        <v>61600</v>
      </c>
      <c r="B22" s="112">
        <v>52</v>
      </c>
    </row>
    <row r="23" spans="1:2" ht="12.75">
      <c r="A23" s="111">
        <v>66500</v>
      </c>
      <c r="B23" s="112">
        <v>56</v>
      </c>
    </row>
    <row r="24" spans="1:2" ht="13.5" thickBot="1">
      <c r="A24" s="113">
        <v>71500</v>
      </c>
      <c r="B24" s="114">
        <v>60</v>
      </c>
    </row>
    <row r="26" ht="12.75">
      <c r="A26" s="8" t="s">
        <v>87</v>
      </c>
    </row>
    <row r="27" spans="1:4" ht="14.25">
      <c r="A27" s="115" t="s">
        <v>88</v>
      </c>
      <c r="B27" s="116"/>
      <c r="C27" s="116"/>
      <c r="D27" s="116"/>
    </row>
    <row r="28" spans="1:4" ht="13.5" thickBot="1">
      <c r="A28" s="3" t="s">
        <v>139</v>
      </c>
      <c r="B28" s="116"/>
      <c r="C28" s="116"/>
      <c r="D28" s="116"/>
    </row>
    <row r="29" spans="1:4" ht="15" thickBot="1">
      <c r="A29" s="117" t="s">
        <v>136</v>
      </c>
      <c r="B29" s="118" t="s">
        <v>137</v>
      </c>
      <c r="C29" s="215" t="s">
        <v>138</v>
      </c>
      <c r="D29" s="116"/>
    </row>
    <row r="30" spans="1:4" ht="12.75">
      <c r="A30" s="213">
        <v>0.2</v>
      </c>
      <c r="B30" s="119">
        <v>0.12</v>
      </c>
      <c r="C30" s="216">
        <f aca="true" t="shared" si="0" ref="C30:C45">1-B30</f>
        <v>0.88</v>
      </c>
      <c r="D30" s="116"/>
    </row>
    <row r="31" spans="1:4" ht="12.75">
      <c r="A31" s="213">
        <v>0.25</v>
      </c>
      <c r="B31" s="119">
        <v>0.16</v>
      </c>
      <c r="C31" s="216">
        <f t="shared" si="0"/>
        <v>0.84</v>
      </c>
      <c r="D31" s="116"/>
    </row>
    <row r="32" spans="1:4" ht="12.75">
      <c r="A32" s="213">
        <v>0.3</v>
      </c>
      <c r="B32" s="119">
        <v>0.2</v>
      </c>
      <c r="C32" s="216">
        <f t="shared" si="0"/>
        <v>0.8</v>
      </c>
      <c r="D32" s="116"/>
    </row>
    <row r="33" spans="1:4" ht="12.75">
      <c r="A33" s="213">
        <v>0.35</v>
      </c>
      <c r="B33" s="119">
        <v>0.3</v>
      </c>
      <c r="C33" s="216">
        <f t="shared" si="0"/>
        <v>0.7</v>
      </c>
      <c r="D33" s="116"/>
    </row>
    <row r="34" spans="1:4" ht="12.75">
      <c r="A34" s="213">
        <v>0.4</v>
      </c>
      <c r="B34" s="119">
        <v>0.36</v>
      </c>
      <c r="C34" s="216">
        <f t="shared" si="0"/>
        <v>0.64</v>
      </c>
      <c r="D34" s="116"/>
    </row>
    <row r="35" spans="1:4" ht="12.75">
      <c r="A35" s="213">
        <v>0.45</v>
      </c>
      <c r="B35" s="119">
        <v>0.43</v>
      </c>
      <c r="C35" s="216">
        <f t="shared" si="0"/>
        <v>0.5700000000000001</v>
      </c>
      <c r="D35" s="116"/>
    </row>
    <row r="36" spans="1:4" ht="12.75">
      <c r="A36" s="213">
        <v>0.5</v>
      </c>
      <c r="B36" s="119">
        <v>0.52</v>
      </c>
      <c r="C36" s="216">
        <f t="shared" si="0"/>
        <v>0.48</v>
      </c>
      <c r="D36" s="116"/>
    </row>
    <row r="37" spans="1:4" ht="12.75">
      <c r="A37" s="213">
        <v>0.55</v>
      </c>
      <c r="B37" s="119">
        <v>0.6</v>
      </c>
      <c r="C37" s="216">
        <f t="shared" si="0"/>
        <v>0.4</v>
      </c>
      <c r="D37" s="116"/>
    </row>
    <row r="38" spans="1:4" ht="12.75">
      <c r="A38" s="213">
        <v>0.6</v>
      </c>
      <c r="B38" s="119">
        <v>0.7</v>
      </c>
      <c r="C38" s="216">
        <f t="shared" si="0"/>
        <v>0.30000000000000004</v>
      </c>
      <c r="D38" s="116"/>
    </row>
    <row r="39" spans="1:4" ht="12.75">
      <c r="A39" s="213">
        <v>0.65</v>
      </c>
      <c r="B39" s="119">
        <v>0.76</v>
      </c>
      <c r="C39" s="216">
        <f t="shared" si="0"/>
        <v>0.24</v>
      </c>
      <c r="D39" s="116"/>
    </row>
    <row r="40" spans="1:4" ht="12.75">
      <c r="A40" s="213">
        <v>0.7</v>
      </c>
      <c r="B40" s="119">
        <v>0.84</v>
      </c>
      <c r="C40" s="216">
        <f t="shared" si="0"/>
        <v>0.16000000000000003</v>
      </c>
      <c r="D40" s="116"/>
    </row>
    <row r="41" spans="1:4" ht="12.75">
      <c r="A41" s="213">
        <v>0.75</v>
      </c>
      <c r="B41" s="119">
        <v>0.88</v>
      </c>
      <c r="C41" s="216">
        <f t="shared" si="0"/>
        <v>0.12</v>
      </c>
      <c r="D41" s="116"/>
    </row>
    <row r="42" spans="1:4" ht="12.75">
      <c r="A42" s="213">
        <v>0.8</v>
      </c>
      <c r="B42" s="119">
        <v>0.94</v>
      </c>
      <c r="C42" s="216">
        <f t="shared" si="0"/>
        <v>0.06000000000000005</v>
      </c>
      <c r="D42" s="116"/>
    </row>
    <row r="43" spans="1:4" ht="12.75">
      <c r="A43" s="213">
        <v>0.85</v>
      </c>
      <c r="B43" s="119">
        <v>0.96</v>
      </c>
      <c r="C43" s="216">
        <f t="shared" si="0"/>
        <v>0.040000000000000036</v>
      </c>
      <c r="D43" s="116"/>
    </row>
    <row r="44" spans="1:4" ht="12.75">
      <c r="A44" s="213">
        <v>0.9</v>
      </c>
      <c r="B44" s="119">
        <v>0.98</v>
      </c>
      <c r="C44" s="216">
        <f t="shared" si="0"/>
        <v>0.020000000000000018</v>
      </c>
      <c r="D44" s="116"/>
    </row>
    <row r="45" spans="1:4" ht="13.5" thickBot="1">
      <c r="A45" s="214">
        <v>0.949999999999999</v>
      </c>
      <c r="B45" s="120">
        <v>0.99</v>
      </c>
      <c r="C45" s="217">
        <f t="shared" si="0"/>
        <v>0.010000000000000009</v>
      </c>
      <c r="D45" s="116"/>
    </row>
    <row r="46" ht="12.75">
      <c r="D46" s="116"/>
    </row>
    <row r="47" ht="12.75">
      <c r="D47" s="116"/>
    </row>
    <row r="48" ht="12.75">
      <c r="D48" s="116"/>
    </row>
    <row r="49" ht="12.75">
      <c r="D49" s="116"/>
    </row>
    <row r="50" ht="12.75">
      <c r="D50" s="116"/>
    </row>
    <row r="51" ht="12.75">
      <c r="D51" s="116"/>
    </row>
    <row r="52" ht="12.75">
      <c r="D52" s="116"/>
    </row>
    <row r="53" ht="12.75">
      <c r="D53" s="116"/>
    </row>
    <row r="54" ht="12.75">
      <c r="D54" s="116"/>
    </row>
    <row r="55" ht="12.75">
      <c r="D55" s="116"/>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
    </sheetView>
  </sheetViews>
  <sheetFormatPr defaultColWidth="9.140625" defaultRowHeight="12.75"/>
  <cols>
    <col min="1" max="1" width="8.57421875" style="80" customWidth="1"/>
    <col min="2" max="2" width="5.00390625" style="0" customWidth="1"/>
    <col min="3" max="3" width="79.00390625" style="0" customWidth="1"/>
    <col min="4" max="4" width="81.57421875" style="0" customWidth="1"/>
  </cols>
  <sheetData>
    <row r="1" spans="1:2" s="64" customFormat="1" ht="12.75">
      <c r="A1" s="92" t="s">
        <v>364</v>
      </c>
      <c r="B1" s="92"/>
    </row>
    <row r="2" spans="3:4" ht="12.75">
      <c r="C2" s="8"/>
      <c r="D2" s="8"/>
    </row>
    <row r="3" spans="1:3" ht="12.75">
      <c r="A3" s="84" t="s">
        <v>60</v>
      </c>
      <c r="B3" s="83" t="s">
        <v>7</v>
      </c>
      <c r="C3" s="86" t="s">
        <v>61</v>
      </c>
    </row>
    <row r="4" spans="1:3" ht="12.75">
      <c r="A4" s="84"/>
      <c r="B4" s="83"/>
      <c r="C4" s="82"/>
    </row>
    <row r="5" spans="1:4" ht="12.75">
      <c r="A5" s="85" t="s">
        <v>62</v>
      </c>
      <c r="B5" s="83" t="s">
        <v>7</v>
      </c>
      <c r="C5" t="s">
        <v>63</v>
      </c>
      <c r="D5" t="s">
        <v>117</v>
      </c>
    </row>
    <row r="6" spans="1:2" ht="12.75">
      <c r="A6" s="81"/>
      <c r="B6" s="80"/>
    </row>
    <row r="7" spans="1:3" ht="12.75">
      <c r="A7" s="84" t="s">
        <v>64</v>
      </c>
      <c r="B7" s="83" t="s">
        <v>7</v>
      </c>
      <c r="C7" t="s">
        <v>65</v>
      </c>
    </row>
    <row r="8" ht="12.75">
      <c r="B8" s="80"/>
    </row>
    <row r="9" spans="1:3" ht="12.75">
      <c r="A9" s="84" t="s">
        <v>36</v>
      </c>
      <c r="B9" s="83" t="s">
        <v>7</v>
      </c>
      <c r="C9" t="s">
        <v>66</v>
      </c>
    </row>
    <row r="10" ht="12.75">
      <c r="B10" s="80"/>
    </row>
    <row r="11" spans="1:3" ht="12.75">
      <c r="A11" s="84" t="s">
        <v>67</v>
      </c>
      <c r="B11" s="83" t="s">
        <v>7</v>
      </c>
      <c r="C11" t="s">
        <v>68</v>
      </c>
    </row>
    <row r="12" spans="1:2" ht="12.75">
      <c r="A12" s="84"/>
      <c r="B12" s="80"/>
    </row>
    <row r="13" spans="1:3" ht="12.75">
      <c r="A13" s="84" t="s">
        <v>69</v>
      </c>
      <c r="B13" s="83" t="s">
        <v>7</v>
      </c>
      <c r="C13" t="s">
        <v>70</v>
      </c>
    </row>
    <row r="14" ht="12.75">
      <c r="B14" s="80"/>
    </row>
    <row r="15" spans="1:3" ht="12.75">
      <c r="A15" s="84" t="s">
        <v>71</v>
      </c>
      <c r="B15" s="83" t="s">
        <v>7</v>
      </c>
      <c r="C15" t="s">
        <v>72</v>
      </c>
    </row>
    <row r="16" ht="12.75"/>
    <row r="17" spans="1:3" ht="12.75">
      <c r="A17" s="84" t="s">
        <v>73</v>
      </c>
      <c r="B17" s="83" t="s">
        <v>7</v>
      </c>
      <c r="C17" t="s">
        <v>74</v>
      </c>
    </row>
    <row r="18" ht="12.75">
      <c r="B18" s="80"/>
    </row>
    <row r="19" spans="1:3" ht="12.75">
      <c r="A19" s="85" t="s">
        <v>75</v>
      </c>
      <c r="B19" s="83" t="s">
        <v>7</v>
      </c>
      <c r="C19" t="s">
        <v>76</v>
      </c>
    </row>
    <row r="20" ht="12.75">
      <c r="B20" s="80"/>
    </row>
    <row r="21" spans="1:3" ht="12.75">
      <c r="A21" s="84" t="s">
        <v>77</v>
      </c>
      <c r="B21" s="83" t="s">
        <v>7</v>
      </c>
      <c r="C21" t="s">
        <v>78</v>
      </c>
    </row>
    <row r="22" ht="12.75">
      <c r="B22" s="80"/>
    </row>
    <row r="23" spans="1:3" ht="12.75">
      <c r="A23" s="84" t="s">
        <v>79</v>
      </c>
      <c r="B23" s="83" t="s">
        <v>7</v>
      </c>
      <c r="C23" t="s">
        <v>80</v>
      </c>
    </row>
    <row r="24" ht="12.75">
      <c r="B24" s="80"/>
    </row>
    <row r="25" ht="12.75">
      <c r="B25" s="80"/>
    </row>
    <row r="26" spans="1:2" s="64" customFormat="1" ht="12.75">
      <c r="A26" s="92" t="s">
        <v>4</v>
      </c>
      <c r="B26" s="92"/>
    </row>
    <row r="27" ht="12.75">
      <c r="B27" s="80"/>
    </row>
    <row r="28" spans="1:3" ht="15.75">
      <c r="A28" s="84" t="s">
        <v>16</v>
      </c>
      <c r="B28" s="83" t="s">
        <v>7</v>
      </c>
      <c r="C28" t="s">
        <v>57</v>
      </c>
    </row>
    <row r="29" spans="1:3" ht="15.75">
      <c r="A29" s="84" t="s">
        <v>17</v>
      </c>
      <c r="B29" s="83" t="s">
        <v>7</v>
      </c>
      <c r="C29" t="s">
        <v>58</v>
      </c>
    </row>
    <row r="30" spans="1:3" ht="12.75">
      <c r="A30" s="84" t="s">
        <v>36</v>
      </c>
      <c r="B30" s="83" t="s">
        <v>7</v>
      </c>
      <c r="C30" t="s">
        <v>3</v>
      </c>
    </row>
    <row r="31" spans="1:3" ht="12.75">
      <c r="A31" s="84" t="s">
        <v>5</v>
      </c>
      <c r="B31" s="83" t="s">
        <v>7</v>
      </c>
      <c r="C31" t="s">
        <v>366</v>
      </c>
    </row>
    <row r="32" spans="1:3" ht="15.75">
      <c r="A32" s="84" t="s">
        <v>6</v>
      </c>
      <c r="B32" s="83" t="s">
        <v>7</v>
      </c>
      <c r="C32" t="s">
        <v>59</v>
      </c>
    </row>
    <row r="33" ht="12.75">
      <c r="B33" s="80"/>
    </row>
    <row r="34" ht="12.75"/>
    <row r="35" ht="12.75"/>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Heating Equipment Engineering Spreadsheet</dc:title>
  <dc:subject>This spreadsheet provides the tools and analysis used in the direct heating equipment rulemaking. </dc:subject>
  <dc:creator/>
  <cp:keywords/>
  <dc:description>12/8/2006 version</dc:description>
  <cp:lastModifiedBy>Devin Egan </cp:lastModifiedBy>
  <cp:lastPrinted>2005-06-29T18:13:37Z</cp:lastPrinted>
  <dcterms:created xsi:type="dcterms:W3CDTF">1998-03-31T19:46:04Z</dcterms:created>
  <dcterms:modified xsi:type="dcterms:W3CDTF">2009-01-09T21:25:51Z</dcterms:modified>
  <cp:category/>
  <cp:version/>
  <cp:contentType/>
  <cp:contentStatus/>
</cp:coreProperties>
</file>