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65521" yWindow="65521" windowWidth="6120" windowHeight="5955" firstSheet="1" activeTab="1"/>
  </bookViews>
  <sheets>
    <sheet name="Version control" sheetId="1" state="hidden" r:id="rId1"/>
    <sheet name="Cover" sheetId="2" r:id="rId2"/>
    <sheet name="Standard Inputs" sheetId="3" state="hidden" r:id="rId3"/>
    <sheet name="INPUT" sheetId="4" r:id="rId4"/>
    <sheet name="User Input" sheetId="5" r:id="rId5"/>
    <sheet name="OUTPUT" sheetId="6" r:id="rId6"/>
    <sheet name="Control" sheetId="7" r:id="rId7"/>
    <sheet name="Price Tables" sheetId="8" r:id="rId8"/>
    <sheet name="Capital Assumptions" sheetId="9" r:id="rId9"/>
    <sheet name="Indirect Assumptions" sheetId="10" state="hidden" r:id="rId10"/>
    <sheet name="O&amp;M Assumptions" sheetId="11" r:id="rId11"/>
  </sheets>
  <externalReferences>
    <externalReference r:id="rId14"/>
  </externalReferences>
  <definedNames>
    <definedName name="addon_cost">'OUTPUT'!$C$48</definedName>
    <definedName name="af_units">'Control'!$D$36</definedName>
    <definedName name="af_units_input">'INPUT'!$D$27</definedName>
    <definedName name="Arsenic">'Control'!$C$6:$C$9</definedName>
    <definedName name="average_annual_production">'Control'!$D$42</definedName>
    <definedName name="average_flow">'INPUT'!$C$27</definedName>
    <definedName name="average_flow_production">'Control'!$D$43</definedName>
    <definedName name="Barium">'Control'!$F$6:$F$9</definedName>
    <definedName name="BldgWBS" localSheetId="1">'[1]OUTPUT'!$A$187,'[1]OUTPUT'!$A$202</definedName>
    <definedName name="BldgWBS">'OUTPUT'!$A$15,'OUTPUT'!$A$12,'OUTPUT'!$A$19</definedName>
    <definedName name="Cadmium">'Control'!$G$6:$G$9</definedName>
    <definedName name="cci_table">'Price Tables'!$B$230:$D$242</definedName>
    <definedName name="Chromium">'Control'!$H$6:$H$9</definedName>
    <definedName name="clerical_labor">'Capital Assumptions'!$A$15:$P$18</definedName>
    <definedName name="clerical_labor_om">'O&amp;M Assumptions'!$A$14:$P$15</definedName>
    <definedName name="clerical_rate">'Price Tables'!$D$222</definedName>
    <definedName name="complexity">'Indirect Assumptions'!$C$3</definedName>
    <definedName name="complexity_rng">'Capital Assumptions'!$A$44:$P$44</definedName>
    <definedName name="component_level">'Control'!$D$31</definedName>
    <definedName name="component_level_I">'INPUT'!$C$101</definedName>
    <definedName name="contam">'Control'!$D$29</definedName>
    <definedName name="contam_stand">'INPUT'!$C$8</definedName>
    <definedName name="contam_user">'User Input'!$C$4</definedName>
    <definedName name="contaminant">'INPUT'!$C$8</definedName>
    <definedName name="contaminant_list">'Control'!$B$5:$N$5</definedName>
    <definedName name="Copper">'Control'!$I$6:$I$9</definedName>
    <definedName name="coverWarning">'Cover'!$B$10:$B$13</definedName>
    <definedName name="cul_indir_add_table" localSheetId="1">'[1]OUTPUT'!$B$222:$C$223,'[1]OUTPUT'!$B$225:$C$225,'[1]OUTPUT'!$B$230:$C$230,'[1]OUTPUT'!$B$232:$C$235,'[1]OUTPUT'!$B$239:$C$239</definedName>
    <definedName name="cul_indir_add_table">'OUTPUT'!$B$52:$C$56</definedName>
    <definedName name="cul_indir_mult_table" localSheetId="1">'[1]OUTPUT'!$B$229:$C$229,'[1]OUTPUT'!$B$231:$C$231,'[1]OUTPUT'!$B$236:$C$238,'[1]OUTPUT'!$B$240:$C$243</definedName>
    <definedName name="cul_indir_mult_table">'OUTPUT'!$B$59:$C$59</definedName>
    <definedName name="cul_indir_overall_mult">'OUTPUT'!$B$57:$D$57</definedName>
    <definedName name="cul_om_table">'OUTPUT'!$B$64:$AF$89</definedName>
    <definedName name="current_cci">'Price Tables'!$B$228</definedName>
    <definedName name="current_eci">'Price Tables'!$G$228</definedName>
    <definedName name="current_year">'Price Tables'!$B$227</definedName>
    <definedName name="daily_use">'Capital Assumptions'!#REF!</definedName>
    <definedName name="design_flow">'INPUT'!$C$26</definedName>
    <definedName name="df_units">'Control'!$D$35</definedName>
    <definedName name="df_units_input">'INPUT'!$D$26</definedName>
    <definedName name="direct_cost">'OUTPUT'!$C$46</definedName>
    <definedName name="discount_period">'Capital Assumptions'!$D$41</definedName>
    <definedName name="discount_rate">'Capital Assumptions'!$D$40</definedName>
    <definedName name="eci_table">'Price Tables'!$G$236:$I$241</definedName>
    <definedName name="ed_material">'Capital Assumptions'!$A$19:$P$23</definedName>
    <definedName name="ed_material_om">'O&amp;M Assumptions'!$A$16:$P$17</definedName>
    <definedName name="Fluoride">'Control'!$J$6:$J$9</definedName>
    <definedName name="hh_select">'Control'!$D$34</definedName>
    <definedName name="hh_size">'Capital Assumptions'!$D$3</definedName>
    <definedName name="hh_stand">'INPUT'!$C$31</definedName>
    <definedName name="indirect_cost">'Capital Assumptions'!$A$33:$P$37</definedName>
    <definedName name="indirect_cost_add">'OUTPUT'!$C$58</definedName>
    <definedName name="indirect_cost_mult">'OUTPUT'!$D$130</definedName>
    <definedName name="initial_sample">'Capital Assumptions'!$A$26:$P$29</definedName>
    <definedName name="input_checks">'OUTPUT'!$N$1:$R$1</definedName>
    <definedName name="install_hours">'Capital Assumptions'!$A$6:$P$8</definedName>
    <definedName name="install_rate">'Price Tables'!$D$220</definedName>
    <definedName name="lab_analysis">'O&amp;M Assumptions'!$A$20:$P$23</definedName>
    <definedName name="lab_analysis_cost">'Price Tables'!$B$190:$F$203</definedName>
    <definedName name="Lead">'Control'!$K$6:$K$9</definedName>
    <definedName name="maint_frequency">'O&amp;M Assumptions'!$D$6:$P$6</definedName>
    <definedName name="maint_scheduling">'O&amp;M Assumptions'!$D$9:$P$9</definedName>
    <definedName name="maint_time">'O&amp;M Assumptions'!$D$5:$P$5</definedName>
    <definedName name="Mercury">'Control'!$L$6:$L$9</definedName>
    <definedName name="name_list">'Control'!$C$13:$G$25</definedName>
    <definedName name="Nitrate">'Control'!$E$6:$E$9</definedName>
    <definedName name="nitrate_select">'Control'!$D$40</definedName>
    <definedName name="OM_cost">'OUTPUT'!$J$91</definedName>
    <definedName name="output_db">'OUTPUT'!$A$10:$V$41</definedName>
    <definedName name="output_dp">'OUTPUT'!$A$1:$AF$61</definedName>
    <definedName name="poe_ads_equipment">'Price Tables'!$B$96:$F$102</definedName>
    <definedName name="poe_ads_parts">'Price Tables'!$B$104:$F$104</definedName>
    <definedName name="poe_ads_replace">'O&amp;M Assumptions'!$A$70:$C$73</definedName>
    <definedName name="poe_aer_equipment">'Price Tables'!$B$132:$F$138</definedName>
    <definedName name="poe_aer_parts">'Price Tables'!$B$140:$F$141</definedName>
    <definedName name="poe_aer_replace">'O&amp;M Assumptions'!$A$88:$C$91</definedName>
    <definedName name="poe_ax_equipment">'Price Tables'!$B$108:$F$114</definedName>
    <definedName name="poe_ax_parts">'Price Tables'!$B$116:$F$116</definedName>
    <definedName name="poe_ax_replace">'O&amp;M Assumptions'!$A$76:$C$78</definedName>
    <definedName name="poe_cx_equipment">'Price Tables'!$B$120:$F$126</definedName>
    <definedName name="poe_cx_parts">'Price Tables'!$B$128:$F$128</definedName>
    <definedName name="poe_cx_replace">'O&amp;M Assumptions'!$A$82:$C$85</definedName>
    <definedName name="poe_gac_bw_equipment">'Price Tables'!$B$145:$F$151</definedName>
    <definedName name="poe_gac_bw_parts">'Price Tables'!$B$153:$F$154</definedName>
    <definedName name="poe_gac_bw_replace">'O&amp;M Assumptions'!$A$94:$C$97</definedName>
    <definedName name="poe_gac_equipment">'Price Tables'!$B$158:$F$164</definedName>
    <definedName name="poe_gac_parts">'Price Tables'!$B$166:$F$167</definedName>
    <definedName name="poe_gac_replace">'O&amp;M Assumptions'!$A$100:$C$103</definedName>
    <definedName name="poe_uv_equipment">'Price Tables'!$B$171:$F$177</definedName>
    <definedName name="poe_uv_parts">'Price Tables'!$B$179:$F$180</definedName>
    <definedName name="poe_uv_replace">'O&amp;M Assumptions'!$A$106:$C$107</definedName>
    <definedName name="pou_ads_nsf53_equipment">'Price Tables'!$B$20:$F$26</definedName>
    <definedName name="pou_ads_nsf53_parts">'Price Tables'!$B$28:$F$28</definedName>
    <definedName name="pou_ads_nsf53_replace">'O&amp;M Assumptions'!$A$36:$C$39</definedName>
    <definedName name="pou_ax_equipment">'Price Tables'!$B$32:$F$38</definedName>
    <definedName name="pou_ax_parts">'Price Tables'!$B$40:$F$40</definedName>
    <definedName name="pou_ax_replace">'O&amp;M Assumptions'!$A$42:$C$45</definedName>
    <definedName name="pou_cx_equipment">'Price Tables'!$B$44:$F$50</definedName>
    <definedName name="pou_cx_parts">'Price Tables'!$B$52:$F$52</definedName>
    <definedName name="pou_cx_replace">'O&amp;M Assumptions'!$A$48:$C$51</definedName>
    <definedName name="pou_gac_equipment">'Price Tables'!$B$56:$F$62</definedName>
    <definedName name="pou_gac_parts">'Price Tables'!$B$64:$F$64</definedName>
    <definedName name="pou_gac_replace">'O&amp;M Assumptions'!$A$54:$C$57</definedName>
    <definedName name="pou_install_time">'Capital Assumptions'!$D$6</definedName>
    <definedName name="pou_ro_equipment">'Price Tables'!$B$68:$F$74</definedName>
    <definedName name="pou_ro_parts">'Price Tables'!$B$76:$F$79</definedName>
    <definedName name="pou_ro_replace">'O&amp;M Assumptions'!$A$60:$C$63</definedName>
    <definedName name="pou_rorental_equipment">'Price Tables'!$B$8:$F$14</definedName>
    <definedName name="pou_rorental_parts">'Price Tables'!$B$16:$F$16</definedName>
    <definedName name="pou_rorental_replace">'O&amp;M Assumptions'!$A$30:$C$33</definedName>
    <definedName name="pou_uv_equipment">'Price Tables'!$B$83:$F$89</definedName>
    <definedName name="pou_uv_install_time">'Capital Assumptions'!$D$8</definedName>
    <definedName name="pou_uv_parts">'Price Tables'!$B$91:$F$92</definedName>
    <definedName name="pou_uv_replace">'O&amp;M Assumptions'!$A$66:$C$67</definedName>
    <definedName name="_xlnm.Print_Area" localSheetId="5">'OUTPUT'!$A$8:$J$61</definedName>
    <definedName name="printed_material_cost">'Price Tables'!$B$183:$F$187</definedName>
    <definedName name="Radium">'Control'!$B$6:$B$9</definedName>
    <definedName name="S_press">'[1]Critical Design Assumptions'!#REF!</definedName>
    <definedName name="select_range">'Control'!$A$13:$G$24</definedName>
    <definedName name="shipping_other">'Price Tables'!$B$213:$F$217</definedName>
    <definedName name="shipping_rads">'Price Tables'!$B$206:$F$210</definedName>
    <definedName name="SOCs">'Control'!$D$6:$D$9</definedName>
    <definedName name="source_select">'INPUT'!$C$28</definedName>
    <definedName name="std_design_params">'Standard Inputs'!$A$4:$I$10</definedName>
    <definedName name="system_assign">'Control'!$B$13:$C$24</definedName>
    <definedName name="system_chart">'Control'!$A$13:$E$24</definedName>
    <definedName name="system_cost">'OUTPUT'!$C$61</definedName>
    <definedName name="System_Type">'Control'!$B$13:$B$24</definedName>
    <definedName name="tech_labor">'Capital Assumptions'!$A$11:$P$14</definedName>
    <definedName name="tech_labor_om">'O&amp;M Assumptions'!$A$12:$P$13</definedName>
    <definedName name="tech_list">'Control'!$B$13:$B$24</definedName>
    <definedName name="tech_rate">'Price Tables'!$D$221</definedName>
    <definedName name="treat">'INPUT'!$C$11</definedName>
    <definedName name="treat_select">'Control'!$D$30</definedName>
    <definedName name="user">'Control'!$D$28</definedName>
    <definedName name="user_ad_cost">'User Input'!$C$52</definedName>
    <definedName name="user_ads">'User Input'!$C$51</definedName>
    <definedName name="user_analysis">'User Input'!$C$61</definedName>
    <definedName name="user_cler_rate">'User Input'!$C$30</definedName>
    <definedName name="user_cont">'User Input'!$C$72</definedName>
    <definedName name="user_design">'User Input'!$C$13</definedName>
    <definedName name="user_dev_cler">'User Input'!$C$43</definedName>
    <definedName name="user_dev_nit">'User Input'!$C$38</definedName>
    <definedName name="user_dev_tech">'User Input'!$C$37</definedName>
    <definedName name="user_eng">'User Input'!$C$71</definedName>
    <definedName name="user_equipment">'Control'!$D$46:$H$46</definedName>
    <definedName name="user_flow">'User Input'!$C$14</definedName>
    <definedName name="user_flyer_cost">'User Input'!$C$50</definedName>
    <definedName name="user_flyers">'User Input'!$C$49</definedName>
    <definedName name="user_handout">'User Input'!$C$54</definedName>
    <definedName name="user_hh_sampled">'User Input'!$C$62</definedName>
    <definedName name="user_I">'INPUT'!$C$5</definedName>
    <definedName name="user_info_cler">'User Input'!$C$88</definedName>
    <definedName name="user_install">'User Input'!$C$31</definedName>
    <definedName name="user_install_rate">'User Input'!$C$28</definedName>
    <definedName name="user_install_sched">'User Input'!$C$32</definedName>
    <definedName name="user_lab_cost">'User Input'!$C$63</definedName>
    <definedName name="user_legal">'User Input'!$C$70</definedName>
    <definedName name="user_mailers">'User Input'!$C$55</definedName>
    <definedName name="user_maint">'User Input'!$C$76</definedName>
    <definedName name="user_maint_sched">'User Input'!$C$80</definedName>
    <definedName name="user_meet_cler">'User Input'!$C$45</definedName>
    <definedName name="user_meet_tech">'User Input'!$C$39</definedName>
    <definedName name="user_nitr_cler">'User Input'!$C$44</definedName>
    <definedName name="user_nitr_flyers">'User Input'!$C$53</definedName>
    <definedName name="user_nitr_updates_cler">'User Input'!$C$89</definedName>
    <definedName name="user_nitr_updates_tech">'User Input'!$C$85</definedName>
    <definedName name="user_om_analysis">'User Input'!$C$98</definedName>
    <definedName name="user_om_billing">'User Input'!$C$93</definedName>
    <definedName name="user_om_flyer">'User Input'!$C$92</definedName>
    <definedName name="user_om_samp">'User Input'!$C$96</definedName>
    <definedName name="user_om_sched">'User Input'!$C$97</definedName>
    <definedName name="user_om_shipping">'User Input'!$C$99</definedName>
    <definedName name="user_parts">'O&amp;M Assumptions'!$B$117:$D$120</definedName>
    <definedName name="user_permitting">'User Input'!$C$68</definedName>
    <definedName name="user_pilot">'User Input'!$C$69</definedName>
    <definedName name="user_pop">'User Input'!$C$16</definedName>
    <definedName name="user_post_cler">'User Input'!$C$46</definedName>
    <definedName name="user_post_tech">'User Input'!$C$40</definedName>
    <definedName name="user_print_cost">'User Input'!$C$56</definedName>
    <definedName name="user_repl_freq">'User Input'!$C$77</definedName>
    <definedName name="user_repl1">'User Input'!$C$105</definedName>
    <definedName name="user_repl1_freq">'User Input'!$C$106</definedName>
    <definedName name="user_repl2">'User Input'!$C$109</definedName>
    <definedName name="user_repl2_freq">'User Input'!$C$110</definedName>
    <definedName name="user_repl3">'User Input'!$C$113</definedName>
    <definedName name="user_repl3_freq">'User Input'!$C$114</definedName>
    <definedName name="user_repl4">'User Input'!$C$117</definedName>
    <definedName name="user_repl4_freq">'User Input'!$C$118</definedName>
    <definedName name="user_replace">'O&amp;M Assumptions'!$A$106:$B$109</definedName>
    <definedName name="user_samp_sched">'User Input'!$C$60</definedName>
    <definedName name="user_samp_time">'User Input'!$C$59</definedName>
    <definedName name="user_shipping">'User Input'!$C$65</definedName>
    <definedName name="user_source_select">'User Input'!$C$15</definedName>
    <definedName name="user_tc_cost">'User Input'!$C$64</definedName>
    <definedName name="user_tech_rate">'User Input'!$C$29</definedName>
    <definedName name="user_treat">'User Input'!$C$7</definedName>
    <definedName name="user_treat_select">'Control'!$D$32</definedName>
    <definedName name="user_unit_cost">'User Input'!$C$24</definedName>
    <definedName name="user_updates_tech">'User Input'!$C$84</definedName>
    <definedName name="user_uv_cost">'User Input'!$C$25</definedName>
    <definedName name="user_uv_equipment">'Control'!$D$47:$H$47</definedName>
    <definedName name="user_uv_freq">'User Input'!$C$79</definedName>
    <definedName name="user_uv_install">'User Input'!$C$33</definedName>
    <definedName name="user_uv_lamp">'User Input'!$C$120</definedName>
    <definedName name="user_uv_lamp_freq">'User Input'!$C$121</definedName>
    <definedName name="user_uv_maint">'User Input'!$C$78</definedName>
    <definedName name="user_uv_parts">'O&amp;M Assumptions'!$B$121:$D$122</definedName>
    <definedName name="user_uv_replace">'O&amp;M Assumptions'!$B$121:$D$122</definedName>
    <definedName name="user_uv_sleeve">'User Input'!$C$123</definedName>
    <definedName name="user_uv_sleeve_freq">'User Input'!$C$122</definedName>
    <definedName name="uv">'Control'!$D$39</definedName>
    <definedName name="UV_maint_frequency">'O&amp;M Assumptions'!$D$8:$P$8</definedName>
    <definedName name="UV_maint_time">'O&amp;M Assumptions'!$D$7:$P$7</definedName>
    <definedName name="uv_select">'INPUT'!$C$29</definedName>
    <definedName name="uv_user_select">'User Input'!$C$8</definedName>
    <definedName name="VOCs">'Control'!$D$6:$D$9</definedName>
  </definedNames>
  <calcPr fullCalcOnLoad="1"/>
</workbook>
</file>

<file path=xl/comments6.xml><?xml version="1.0" encoding="utf-8"?>
<comments xmlns="http://schemas.openxmlformats.org/spreadsheetml/2006/main">
  <authors>
    <author>fettert</author>
  </authors>
  <commentList>
    <comment ref="D130" authorId="0">
      <text>
        <r>
          <rPr>
            <b/>
            <sz val="8"/>
            <rFont val="Tahoma"/>
            <family val="0"/>
          </rPr>
          <t>move range name after development</t>
        </r>
      </text>
    </comment>
  </commentList>
</comments>
</file>

<file path=xl/comments7.xml><?xml version="1.0" encoding="utf-8"?>
<comments xmlns="http://schemas.openxmlformats.org/spreadsheetml/2006/main">
  <authors>
    <author>GUTTRIDGE</author>
  </authors>
  <commentList>
    <comment ref="D42" authorId="0">
      <text>
        <r>
          <rPr>
            <b/>
            <sz val="8"/>
            <rFont val="Tahoma"/>
            <family val="0"/>
          </rPr>
          <t>GUTTRIDGE:</t>
        </r>
        <r>
          <rPr>
            <sz val="8"/>
            <rFont val="Tahoma"/>
            <family val="0"/>
          </rPr>
          <t xml:space="preserve">
Annual production is based upon the following production assumptions:
System size 25-500: 
83,000 gallons per connection per year
System size 501-3,300:
85,000 gallons per connection per year
System size 3,301-10,000: 89,000 gallons per connection per 
</t>
        </r>
      </text>
    </comment>
  </commentList>
</comments>
</file>

<file path=xl/comments9.xml><?xml version="1.0" encoding="utf-8"?>
<comments xmlns="http://schemas.openxmlformats.org/spreadsheetml/2006/main">
  <authors>
    <author>raglands</author>
  </authors>
  <commentList>
    <comment ref="A26" authorId="0">
      <text>
        <r>
          <rPr>
            <b/>
            <sz val="8"/>
            <rFont val="Tahoma"/>
            <family val="0"/>
          </rPr>
          <t>raglands:</t>
        </r>
        <r>
          <rPr>
            <sz val="8"/>
            <rFont val="Tahoma"/>
            <family val="0"/>
          </rPr>
          <t xml:space="preserve">
Reduce to 15 minutes per Regunathan Q10 comment recommendation to overlap installation visit with sampling visit.</t>
        </r>
      </text>
    </comment>
    <comment ref="A27" authorId="0">
      <text>
        <r>
          <rPr>
            <b/>
            <sz val="8"/>
            <rFont val="Tahoma"/>
            <family val="0"/>
          </rPr>
          <t>raglands:</t>
        </r>
        <r>
          <rPr>
            <sz val="8"/>
            <rFont val="Tahoma"/>
            <family val="0"/>
          </rPr>
          <t xml:space="preserve">
Delete per Regunathan Q10 recommendation to overlap installation visit with sampling visit.</t>
        </r>
      </text>
    </comment>
  </commentList>
</comments>
</file>

<file path=xl/sharedStrings.xml><?xml version="1.0" encoding="utf-8"?>
<sst xmlns="http://schemas.openxmlformats.org/spreadsheetml/2006/main" count="2972" uniqueCount="711">
  <si>
    <t>Post-meeting stakeholder communication</t>
  </si>
  <si>
    <t>Develop nitrate health impact information for stakeholders</t>
  </si>
  <si>
    <t>Prepare educational materials for distribution</t>
  </si>
  <si>
    <t>Prepare nitrate health impact information for distribution</t>
  </si>
  <si>
    <t>Prepare post-meeting materials for distribution</t>
  </si>
  <si>
    <t>Print flyers announcing public meetings</t>
  </si>
  <si>
    <t>Buy ads to announce public meetings</t>
  </si>
  <si>
    <t>Print nitrate health impact flyers</t>
  </si>
  <si>
    <t>Print handouts for meetings</t>
  </si>
  <si>
    <t>Print inserts for billing mailers</t>
  </si>
  <si>
    <t>First Year Water Quality Sampling</t>
  </si>
  <si>
    <t>Time to take sample during first year</t>
  </si>
  <si>
    <t>Time to schedule sample event at household</t>
  </si>
  <si>
    <t>Cost to obtain operating permit</t>
  </si>
  <si>
    <t>Cost to conduct pilot test</t>
  </si>
  <si>
    <t>Cost for legal activities (e.g., ordinance changes)</t>
  </si>
  <si>
    <t>Cost for engineering activities (e.g., device selection)</t>
  </si>
  <si>
    <t>Contingency cost (unknown factors)</t>
  </si>
  <si>
    <t>Technical Labor to Support On-Going Education Program Activities</t>
  </si>
  <si>
    <t>Clerical Labor to Support On-Going Education Program Activities</t>
  </si>
  <si>
    <t>Communication Materials to Support On-Going Education Program Activities</t>
  </si>
  <si>
    <t>Develop updates to technical information</t>
  </si>
  <si>
    <t>Develop updates for nitrate health effects</t>
  </si>
  <si>
    <t>Prepare information updates for distribution</t>
  </si>
  <si>
    <t>Prepare nitrate information updates for distribution</t>
  </si>
  <si>
    <t>To replace default values with user-defined data, enter part names, costs, and replacement frequencies below.</t>
  </si>
  <si>
    <t>indicate whether treatment includes UV disinfection.</t>
  </si>
  <si>
    <t>visits/household/year</t>
  </si>
  <si>
    <t>POU RO Rental</t>
  </si>
  <si>
    <t>pou_rorental_equipment</t>
  </si>
  <si>
    <t>pou_rorental_parts</t>
  </si>
  <si>
    <t>pou_rorental_replace</t>
  </si>
  <si>
    <t>Annual Rental Cost</t>
  </si>
  <si>
    <t>Annualization Rate</t>
  </si>
  <si>
    <t>Discount period</t>
  </si>
  <si>
    <t>Discount rate used to annualize capital over discount period</t>
  </si>
  <si>
    <t>percent</t>
  </si>
  <si>
    <t>years</t>
  </si>
  <si>
    <t>discount_rate</t>
  </si>
  <si>
    <t>discount_period</t>
  </si>
  <si>
    <t>Shannon added RO rental cost, $/kgal, cleaned range names to break link</t>
  </si>
  <si>
    <t>average_annual_production</t>
  </si>
  <si>
    <t>kgal/year</t>
  </si>
  <si>
    <t>POU RO Rental Equipment</t>
  </si>
  <si>
    <t>POU RO Rental Annual O&amp;M Expense</t>
  </si>
  <si>
    <t>nitrate_select</t>
  </si>
  <si>
    <t>samples/household/year</t>
  </si>
  <si>
    <t>times/household/yr</t>
  </si>
  <si>
    <t>Rob tweaked the format on "Input Select"</t>
  </si>
  <si>
    <t>Rob changed filename to POU_POE to be compatible with cu-life</t>
  </si>
  <si>
    <t>Fluoride</t>
  </si>
  <si>
    <t>Rob capitalized input and output sheet names, which might be necessary for cu-life compatibility</t>
  </si>
  <si>
    <t>This will preserve the range names used in the input sheet and validity checks.</t>
  </si>
  <si>
    <t>Rob changed formatting on input sheet, and commented out Design7 and Design8 macros</t>
  </si>
  <si>
    <t>Rob added validity checks in input sheet</t>
  </si>
  <si>
    <t>Rob changed "flouride" to "fluoride" in contaminant_list and on sheet "price tables for cl", and renamed the range</t>
  </si>
  <si>
    <t>Valid inputs:</t>
  </si>
  <si>
    <t>Rob added validity checks in output sheet</t>
  </si>
  <si>
    <t>Add nice error messages in validation dropdowns on INPUT</t>
  </si>
  <si>
    <t>Figure out why it's not stopping us from entering junk in contam_stand</t>
  </si>
  <si>
    <t>Service Population (number of households)</t>
  </si>
  <si>
    <t>Rob changed the formatting on the number of households on input sheet to show it's a calculated value, not a user input</t>
  </si>
  <si>
    <t>Public Education</t>
  </si>
  <si>
    <t>Printed Material</t>
  </si>
  <si>
    <t>Small (&lt;1 mgd)</t>
  </si>
  <si>
    <t>Low</t>
  </si>
  <si>
    <t>Typical</t>
  </si>
  <si>
    <t>High</t>
  </si>
  <si>
    <t>Rob put in priority lookup columns on output sheet, for culife; also tweaked names of some line items (e.g., "printed materials" not "printed materials costs")</t>
  </si>
  <si>
    <t>Medium (1-10 mgd)</t>
  </si>
  <si>
    <t>Large (&gt;10 mgd)</t>
  </si>
  <si>
    <t>(note - the pri lookup cols include for med and lg systems. Don't know if cul needs these, but used MSBA as a go-by; that model has all the columns even though it maxes out at 1 mgd.)</t>
  </si>
  <si>
    <t>Add-On Costs</t>
  </si>
  <si>
    <t>should unit costs for labor be rounded to the nearest dollar?</t>
  </si>
  <si>
    <t>City Index</t>
  </si>
  <si>
    <t>Guidance on Estimating Cost</t>
  </si>
  <si>
    <t>Rob added cul_indir_mult_table, which is the nx2 set of line items of indirect cost %ages for indirect costs that are calculated as a % of direct costs</t>
  </si>
  <si>
    <t>Rob added cul_indir_overall_mult, which is the 1x2 range that contains "city index" and the value of the index</t>
  </si>
  <si>
    <t>Rob added indirect_cost_mult, which is the single cell that contains the sum of percentages in cul_indir_mult_table</t>
  </si>
  <si>
    <t>Design flow units</t>
  </si>
  <si>
    <t>Average flow units</t>
  </si>
  <si>
    <t>df_units</t>
  </si>
  <si>
    <t>af_units</t>
  </si>
  <si>
    <t>1=million gallons per day; 2=gallons per minute</t>
  </si>
  <si>
    <t>Design flow</t>
  </si>
  <si>
    <t>Average Flow</t>
  </si>
  <si>
    <t>af_units_input</t>
  </si>
  <si>
    <t>df_units_input</t>
  </si>
  <si>
    <t>User Defined Point-of-Use or Point-of-Entry System</t>
  </si>
  <si>
    <t>Rob added addon_cost, which is the single cell containing the sum of add-on costs (but not indirect costs that aren't calculated as a % of direct costs)</t>
  </si>
  <si>
    <t>Assumptions for calculating indirect and add-on costs</t>
  </si>
  <si>
    <t>Technology complexity factor</t>
  </si>
  <si>
    <t>complexity</t>
  </si>
  <si>
    <t>Technology-specific factor.  See Appendices for details.  Low complexity = 0.5; Average complexity = 1.0; High complexity = 1.5; Very high complexity = 2.0.</t>
  </si>
  <si>
    <t>Complexity</t>
  </si>
  <si>
    <t>used to calculate contingency</t>
  </si>
  <si>
    <t>Complexity Factor</t>
  </si>
  <si>
    <t>complexity_rng</t>
  </si>
  <si>
    <t>Rob added Indirect Assumptions sheet and added complexity range to capital assumptions, and added technology complexity factor. Culife may use this. May be able to delete…</t>
  </si>
  <si>
    <t>Optional input (blue cells)</t>
  </si>
  <si>
    <t>Component level</t>
  </si>
  <si>
    <t>Optional Inputs</t>
  </si>
  <si>
    <t>Rob added component_level for cul compatibility</t>
  </si>
  <si>
    <t>23.1</t>
  </si>
  <si>
    <t>23.1.1</t>
  </si>
  <si>
    <t>23.1.2</t>
  </si>
  <si>
    <t>To unprotect a sheet (e.g., to add contaminants or treatment options or use the formula auditing toolbar), select Tools, Protection, and Unprotect Sheet. Leave the password space blank and click on OK.</t>
  </si>
  <si>
    <t>Vendor 1</t>
  </si>
  <si>
    <t/>
  </si>
  <si>
    <t>Vendor 2</t>
  </si>
  <si>
    <t>Vendor 3</t>
  </si>
  <si>
    <t>Vendor 4</t>
  </si>
  <si>
    <t>Vendor 5</t>
  </si>
  <si>
    <t>Vendor 6</t>
  </si>
  <si>
    <t>23.1.3</t>
  </si>
  <si>
    <t>23.1.4</t>
  </si>
  <si>
    <t>23.2.1</t>
  </si>
  <si>
    <t>23.2.1.1</t>
  </si>
  <si>
    <t>23.2.1.2</t>
  </si>
  <si>
    <t>23.2.1.3</t>
  </si>
  <si>
    <t>23.2.1.4</t>
  </si>
  <si>
    <t>23.2.2</t>
  </si>
  <si>
    <t>23.2.2.1</t>
  </si>
  <si>
    <t>23.2.2.2</t>
  </si>
  <si>
    <t>23.2.2.3</t>
  </si>
  <si>
    <t>23.2.2.4</t>
  </si>
  <si>
    <t>23.2.3</t>
  </si>
  <si>
    <t>23.2.3.1</t>
  </si>
  <si>
    <t>23.2.3.2</t>
  </si>
  <si>
    <t>23.2.3.3</t>
  </si>
  <si>
    <t>23.2.3.4</t>
  </si>
  <si>
    <t>23.2.3.5</t>
  </si>
  <si>
    <t>23.3.1</t>
  </si>
  <si>
    <t>23.3.2</t>
  </si>
  <si>
    <t>23.3.3</t>
  </si>
  <si>
    <t>23.3.4</t>
  </si>
  <si>
    <t>23.0</t>
  </si>
  <si>
    <t>23.2</t>
  </si>
  <si>
    <t>Adjusted Cost, including installation and transportation</t>
  </si>
  <si>
    <t>Installation multiplier</t>
  </si>
  <si>
    <t>Rob changed the formulas in "to go in cl" so we're not using avg6 and realp, which are (a) not transparent and (b) slowing things down (or just not working) with culife.</t>
  </si>
  <si>
    <t>Rob put the inflation info in a separate sheet</t>
  </si>
  <si>
    <t>Rob added output_db named range for cul compatibility. Note the range needs to extend (at least) one row below the actual end of the output info… not sure why, but there we are.</t>
  </si>
  <si>
    <t>Rob expanded the ranges in "to go in cl" to include UL columns when the UL is N/A; this is consistent with remainder of cl (e.g., AX resins)</t>
  </si>
  <si>
    <t>unit/household</t>
  </si>
  <si>
    <t>23.3</t>
  </si>
  <si>
    <t>Rob changed the output sheet so that zero units are purchased if RO rental is the treatment</t>
  </si>
  <si>
    <t xml:space="preserve">Rob added range BldgWBS for cul compatibility - indirect costs use this UL. Currently it's on UV equip purchase since this is the only component that has a UL in all tech's (if RO rental, then pou purchase has UL of 10 but quantity of zero). </t>
  </si>
  <si>
    <t>If take out UV equip purchase for POU RO rental units, then re-point BldgWBS to something that is used (and has a UL) for RO rental. Tho I guess indirect costs would be zero if there's no equip, so maybe doesn't matter.</t>
  </si>
  <si>
    <t>Rob added cul_om_table, the normally nx7, but in this case nx11, range that contains the O&amp;M cost labels, unit costs, etc.</t>
  </si>
  <si>
    <t>Rob did minor QA revisions on some inputs in the "to go in cl" sheet - see email to Shannon 2/20 for more info</t>
  </si>
  <si>
    <t>Rob changed the output sheet so that public ed and initial yr monitoring costs are treated like add-on costs; this solves the problem of culife applying the indirect cost multiplier to these costs. I also changed the set of entries for 2/17/06 that relate to the definitions of indirect and add-on cost ranges to reflect changes associated with these new add-on line items.</t>
  </si>
  <si>
    <t>Rob deleted the Use column in the K cost area of OUTPUT. If there's no comp select macro, cu-life does not expect a use column here. However, it needs it for O&amp;M - we should fix this.</t>
  </si>
  <si>
    <t>To Do - from Rob's QA and work</t>
  </si>
  <si>
    <t>Fix the inconsistency between the Use? column in O&amp;M (needed for cul) and direct cost items (must be omitted for cul).</t>
  </si>
  <si>
    <t>Total Direct Costs</t>
  </si>
  <si>
    <t>Rob redefined indirect_cost_mult to be a zero cell</t>
  </si>
  <si>
    <t>Rob redefined addon_cost to a zero cell</t>
  </si>
  <si>
    <t>Rob redefined indirect_cost_add; it now contains the indirect costs calculated as a % of costs for treatment equipment, but avoids adding any multiplication of an indirect multiplier by pub ed or sampling costs</t>
  </si>
  <si>
    <t>Rob removed the conditional formatting in OUTPUT in the direct cost items, since the Use column now contains text</t>
  </si>
  <si>
    <t>Rob removed conditional formatting in remainder of OUTPUT sheet</t>
  </si>
  <si>
    <t>Amount ($)</t>
  </si>
  <si>
    <t>Direct Costs</t>
  </si>
  <si>
    <t>Amount (%)</t>
  </si>
  <si>
    <t>Rob redefined cul_indir_add_table (and reorganized the indirect cost display to be compatible with cul)</t>
  </si>
  <si>
    <t>Total Indirect Costs</t>
  </si>
  <si>
    <t>Rob added indirect_cost_add, which is the sum of cul_indir_add_table minus addon_cost.</t>
  </si>
  <si>
    <t>Rob added cul_indir_add_table, which is the nx2 union of: set of line items for add-on costs, set of line items for indirect costs that aren't calculated as a % of direct costs (currently, the latter is an empty set). Note, Cu-life does not accept a range that is discontinuous over columns; the 2 columns must be next to each other.</t>
  </si>
  <si>
    <t>Rob changed cul_indir_mult_table to be a blank nx2 range (placeholder, zero value).</t>
  </si>
  <si>
    <t>Placeholder</t>
  </si>
  <si>
    <t>Selected User mode</t>
  </si>
  <si>
    <t>Households for user input sheet</t>
  </si>
  <si>
    <t>Step 1:</t>
  </si>
  <si>
    <t>Step 2:</t>
  </si>
  <si>
    <t>Step 3:</t>
  </si>
  <si>
    <t>Choose a contaminant</t>
  </si>
  <si>
    <t>Step 4:</t>
  </si>
  <si>
    <t>Step 5:</t>
  </si>
  <si>
    <r>
      <t xml:space="preserve">Choose a method for entering system size. Then enter the required information in the </t>
    </r>
    <r>
      <rPr>
        <b/>
        <sz val="10"/>
        <color indexed="51"/>
        <rFont val="Arial"/>
        <family val="2"/>
      </rPr>
      <t>gold cell(s)</t>
    </r>
    <r>
      <rPr>
        <sz val="10"/>
        <rFont val="Arial"/>
        <family val="2"/>
      </rPr>
      <t>.</t>
    </r>
  </si>
  <si>
    <t>a. Select method for system size input</t>
  </si>
  <si>
    <t>b. Enter average daily system flow in gallons per day, and</t>
  </si>
  <si>
    <t xml:space="preserve">     select a water source.</t>
  </si>
  <si>
    <t>b. Enter number of household connections</t>
  </si>
  <si>
    <t>Step 6:</t>
  </si>
  <si>
    <t>Enter Cost Assumptions</t>
  </si>
  <si>
    <t>Unit cost of UV system</t>
  </si>
  <si>
    <t>Status:</t>
  </si>
  <si>
    <t>no</t>
  </si>
  <si>
    <t>gallons per day</t>
  </si>
  <si>
    <t>For information:</t>
  </si>
  <si>
    <t>Select one of the six standard designs at right</t>
  </si>
  <si>
    <t>Results summary (see OUTPUT sheet for details)</t>
  </si>
  <si>
    <t>(Optional for standard designs)</t>
  </si>
  <si>
    <r>
      <t xml:space="preserve">Enter or change values in the </t>
    </r>
    <r>
      <rPr>
        <b/>
        <sz val="10"/>
        <color indexed="51"/>
        <rFont val="Arial"/>
        <family val="2"/>
      </rPr>
      <t>gold</t>
    </r>
    <r>
      <rPr>
        <sz val="10"/>
        <rFont val="Arial"/>
        <family val="2"/>
      </rPr>
      <t xml:space="preserve"> cells</t>
    </r>
  </si>
  <si>
    <t>Choose Units:</t>
  </si>
  <si>
    <t>Mark added user_I variable</t>
  </si>
  <si>
    <t>Mark updated standard design table</t>
  </si>
  <si>
    <t xml:space="preserve">UV </t>
  </si>
  <si>
    <t>Standard system?</t>
  </si>
  <si>
    <t>user_I</t>
  </si>
  <si>
    <t>Jon allowed standard designs to change fields on Input Select sheet</t>
  </si>
  <si>
    <t>Mark updated range of BldgWBS</t>
  </si>
  <si>
    <t>component_I</t>
  </si>
  <si>
    <t>Selected Component Level</t>
  </si>
  <si>
    <t>&lt;-- pick one (note - no difference as of 3/9/06 version)</t>
  </si>
  <si>
    <t>mid cost</t>
  </si>
  <si>
    <t>component_level</t>
  </si>
  <si>
    <t>Mark eliminated Input select sheet, added system select option as step one on input sheet</t>
  </si>
  <si>
    <t>Mark added additional conditional formatting to input sheet</t>
  </si>
  <si>
    <t>Mark changed component selection optional input to drop-down box, renamed it component_level_I, moved component_level to control sheet</t>
  </si>
  <si>
    <t>Mark updated indirect output costs to use either % or fixed costs for user-defined systems</t>
  </si>
  <si>
    <t>Mark added added price data for Culligan POU RO and POU GAC equipment</t>
  </si>
  <si>
    <t>Mark added price data for POU RO rental from Cornerstone</t>
  </si>
  <si>
    <t xml:space="preserve">Shannon changed population equations </t>
  </si>
  <si>
    <t>Shannon changed total shipping charges</t>
  </si>
  <si>
    <t>Shannon edited conditional statements that referred to new text values on Input and User Input</t>
  </si>
  <si>
    <t>Shannon reformatted input sheets to follow new adsorb format and added option for $-value indirect costs on User Input sheet</t>
  </si>
  <si>
    <t>Shannon changed CX O&amp;M title to match price database</t>
  </si>
  <si>
    <t>Shannon edited the validation conditions on User Input</t>
  </si>
  <si>
    <t>23.3.5</t>
  </si>
  <si>
    <t>Total Coliform</t>
  </si>
  <si>
    <t>Shannon added total coliform analysis to O&amp;M output and costs to analysis price matrix</t>
  </si>
  <si>
    <t>23.1.5</t>
  </si>
  <si>
    <t>Scheduling Time</t>
  </si>
  <si>
    <t>Name of Replacement Part 3</t>
  </si>
  <si>
    <t>Name of Replacement Part 4</t>
  </si>
  <si>
    <t>Name of Replacement Part 2</t>
  </si>
  <si>
    <t>System Description</t>
  </si>
  <si>
    <t>POU/POE installation scheduling time</t>
  </si>
  <si>
    <t>Shannon added user_install_sched and scheduling values/outputs</t>
  </si>
  <si>
    <t>Shannon added cost summary to User Input, cleaned up conditional formatting, moved component_level range to row 100</t>
  </si>
  <si>
    <t>Comprises mean hourly wage of $21.73 for electricians (SOC 47-2111) http://www.bls.gov/oes/current/oes_47Co.htm and benefits multiplier of 1.48 based on the statistic that wages and salaries accounted for 67.6% of total compensation for all Construction and Extraction Occupation Workers in 2004, Q4 (BLS, 2006)</t>
  </si>
  <si>
    <t>Number of sampling events per household during the first year</t>
  </si>
  <si>
    <t>Percent of households sampled during the first year</t>
  </si>
  <si>
    <t>Apply percentage to installed equipment only (not public education or initial sampling costs)</t>
  </si>
  <si>
    <r>
      <t xml:space="preserve">Items in </t>
    </r>
    <r>
      <rPr>
        <b/>
        <i/>
        <sz val="10"/>
        <color indexed="22"/>
        <rFont val="Arial"/>
        <family val="2"/>
      </rPr>
      <t>light gray italics</t>
    </r>
    <r>
      <rPr>
        <sz val="10"/>
        <rFont val="Arial"/>
        <family val="0"/>
      </rPr>
      <t xml:space="preserve"> are not applicable given the contaminant and treatment selections.</t>
    </r>
  </si>
  <si>
    <r>
      <t xml:space="preserve">To replace the default value for any variable, enter a value (using correct units) in the blank </t>
    </r>
    <r>
      <rPr>
        <b/>
        <sz val="10"/>
        <color indexed="40"/>
        <rFont val="Arial"/>
        <family val="2"/>
      </rPr>
      <t>blue cell</t>
    </r>
    <r>
      <rPr>
        <sz val="10"/>
        <rFont val="Arial"/>
        <family val="2"/>
      </rPr>
      <t xml:space="preserve">. </t>
    </r>
  </si>
  <si>
    <t>Households from selected mode (rounded)</t>
  </si>
  <si>
    <t>Analysis samples</t>
  </si>
  <si>
    <t>Analysis share</t>
  </si>
  <si>
    <t>Employment Cost Index, average for Q1 to Q4, 2004 (the ECI does not publish an annual average, so the estimate is the average of data from Q1-Q4)</t>
  </si>
  <si>
    <t>Comprises mean hourly wage of $21.40 for plumbers (SOC 47-2152) http://www.bls.gov/oes/current/oes_47Co.htm and benefits multiplier of 1.48 based on the statistic that wages and salaries accounted for 67.6% of total compensation for all Construction and Extraction Occupation Workers in 2004, Q4 (BLS, 2006)</t>
  </si>
  <si>
    <t>install_rate</t>
  </si>
  <si>
    <t>Average Hourly cost for Installation</t>
  </si>
  <si>
    <t>Wage rate for system technical and maintenance labor</t>
  </si>
  <si>
    <t>Wage rate for installation specialist (plumber/electrician)</t>
  </si>
  <si>
    <t>current_cpi</t>
  </si>
  <si>
    <t>cpi_table</t>
  </si>
  <si>
    <t>CPI</t>
  </si>
  <si>
    <t>tech_rate</t>
  </si>
  <si>
    <t>clerical_rate</t>
  </si>
  <si>
    <t>Inflation Tables</t>
  </si>
  <si>
    <t>***************************************</t>
  </si>
  <si>
    <t>column not used</t>
  </si>
  <si>
    <t>% households/year</t>
  </si>
  <si>
    <t>for</t>
  </si>
  <si>
    <t>Please note the following:</t>
  </si>
  <si>
    <t>Point-of-Use and Point-of-Entry Devices</t>
  </si>
  <si>
    <t>Start</t>
  </si>
  <si>
    <t>Please make sure macros are allowed to run (go to Tools &gt; Macro &gt; Security, and choose Medium or Low on the Security Level tab). If your macro security is set to Medium, please choose to enable macros when you open the workbook.</t>
  </si>
  <si>
    <t>below in Step 6.</t>
  </si>
  <si>
    <t>Inputs</t>
  </si>
  <si>
    <r>
      <t xml:space="preserve">Initial Year Monitoring </t>
    </r>
    <r>
      <rPr>
        <b/>
        <vertAlign val="superscript"/>
        <sz val="10"/>
        <color indexed="9"/>
        <rFont val="Arial"/>
        <family val="2"/>
      </rPr>
      <t>1</t>
    </r>
  </si>
  <si>
    <t>Note 1. The initial year monitoring cost estimates take into account the annual monitoring cost estimates that will overlap during the first year by netting out the O&amp;M cost.</t>
  </si>
  <si>
    <t>Average Annual Cost per Household</t>
  </si>
  <si>
    <t>Table 1. Treatment Technologies Certified to Remove a Contaminant</t>
  </si>
  <si>
    <t>Table 2. Range Name Control Table</t>
  </si>
  <si>
    <t>Technology Number</t>
  </si>
  <si>
    <t>Set equal to financing rate.</t>
  </si>
  <si>
    <t>Set equal to expected life of equipment or financing period.</t>
  </si>
  <si>
    <t>Instructions: Do not revise information in gray cells.</t>
  </si>
  <si>
    <t>Additional cost added to Total Capital Costs (Indirect Cost multipliers not applied).</t>
  </si>
  <si>
    <t>Treatment Location</t>
  </si>
  <si>
    <t>Air Filter</t>
  </si>
  <si>
    <t>POE UV Replacement Schedule</t>
  </si>
  <si>
    <t>poe_uv_replace</t>
  </si>
  <si>
    <t>$/lb</t>
  </si>
  <si>
    <t>Analysis (total coliform)</t>
  </si>
  <si>
    <t>Instructions: Do not revise information in gray cells. Enter price data in yellow cells only. Copy formulas as needed.</t>
  </si>
  <si>
    <t>surface water</t>
  </si>
  <si>
    <t>EPA Standard System</t>
  </si>
  <si>
    <t>Average Unit Cost ($/kgal, based on average production equivalent for centralized treatment)</t>
  </si>
  <si>
    <t>Laboratory analysis fee (total coliform)</t>
  </si>
  <si>
    <t>Laboratory analysis fee (target contaminant)</t>
  </si>
  <si>
    <t>$/flyer</t>
  </si>
  <si>
    <t>$/meeting announcement</t>
  </si>
  <si>
    <t>Cost per flyer for printing</t>
  </si>
  <si>
    <t>Cost per meeting ad</t>
  </si>
  <si>
    <t>$/page</t>
  </si>
  <si>
    <t>Cost to print handouts and mailers</t>
  </si>
  <si>
    <t>To User-Defined System Input Page</t>
  </si>
  <si>
    <t xml:space="preserve">To add certified technologies for a contaminant, insert into this table a row between the last row with data in it and the yellow row, and copy a POU or POE technology name from Table 2. </t>
  </si>
  <si>
    <t>To add new contaminants, insert into this table a column after the last column with data in it and before the yellow column. Then, highlight the list of treatment technologies and insert a range name using the contaminant's name.</t>
  </si>
  <si>
    <t>people/household</t>
  </si>
  <si>
    <r>
      <t xml:space="preserve">To start running the model, click on the </t>
    </r>
    <r>
      <rPr>
        <b/>
        <sz val="10"/>
        <rFont val="Arial"/>
        <family val="2"/>
      </rPr>
      <t>Start</t>
    </r>
    <r>
      <rPr>
        <sz val="10"/>
        <rFont val="Arial"/>
        <family val="2"/>
      </rPr>
      <t xml:space="preserve"> link below to go to the INPUT sheet and begin with Step 1.</t>
    </r>
  </si>
  <si>
    <t>Basis for wage rate and benefits multiplier described in EPA (2003). The base wage is $15.40 (2000$), the benefits multiplier is 1.3 (for systems serving 25-100), and the escalation factor from 2000 to 2003 is 10.9%.</t>
  </si>
  <si>
    <t>Basis for wage rate and benefits multiplier described in EPA (2003).  The base wage is $10.61 (2000$), the benefits multiplier is 1.3 (for systems serving 25-100), and the escalation factor from 2000 to 2003 is 10.9%.</t>
  </si>
  <si>
    <t>Basis for wage rate and benefits multiplier described in EPA (2003). The base wage is $15.40 (2000$), the benefits multiplier is 1.4 (for systems serving 101-500), and the escalation factor from 2000 to 2003 is 10.9%.</t>
  </si>
  <si>
    <t>Basis for wage rate and benefits multiplier described in EPA (2003).  The base wage is $10.61 (2000$), the benefits multiplier is 1.4 (for systems serving 101-500), and the escalation factor from 2000 to 2003 is 10.9%.</t>
  </si>
  <si>
    <t>Basis for wage rate and benefits multiplier described in EPA (2003). The base wage is $15.40 (2000$), the benefits multiplier is 1.5 (for systems serving 501-1000), and the escalation factor from 2000 to 2003 is 10.9%.</t>
  </si>
  <si>
    <t>Basis for wage rate and benefits multiplier described in EPA (2003).  The base wage is $10.61 (2000$), the benefits multiplier is 1.5 (for systems serving 501-1000), and the escalation factor from 2000 to 2003 is 10.9%.</t>
  </si>
  <si>
    <t>Sample shipping cost (bulk)</t>
  </si>
  <si>
    <t>$/sample</t>
  </si>
  <si>
    <t>$/bulk shipment</t>
  </si>
  <si>
    <t>Shannon added install wage rate, cleaned wage rate price table and links, added user_analysis_cost and user_shipping to User Input sheet, fixed indirect K links</t>
  </si>
  <si>
    <t xml:space="preserve">Enter 1 </t>
  </si>
  <si>
    <t>Contaminant</t>
  </si>
  <si>
    <t>RO Membrane</t>
  </si>
  <si>
    <t>UV Quartz Sleeve</t>
  </si>
  <si>
    <t>N/A</t>
  </si>
  <si>
    <t>Arsenic</t>
  </si>
  <si>
    <t>VOCs</t>
  </si>
  <si>
    <t>Nitrate</t>
  </si>
  <si>
    <t>SOCs</t>
  </si>
  <si>
    <t>Uranium</t>
  </si>
  <si>
    <t>Critical Design Assumptions for O&amp;M</t>
  </si>
  <si>
    <t>UV maintenance</t>
  </si>
  <si>
    <t>hrs/sample</t>
  </si>
  <si>
    <t>hrs</t>
  </si>
  <si>
    <t>Copper</t>
  </si>
  <si>
    <t>POE Adsorptive Media</t>
  </si>
  <si>
    <t>POU Adsorptive Media NSF53</t>
  </si>
  <si>
    <t>POU Anion Exchange</t>
  </si>
  <si>
    <t>POE Anion Exchange</t>
  </si>
  <si>
    <t>POE Aeration</t>
  </si>
  <si>
    <t>POU Cation Exchange</t>
  </si>
  <si>
    <t>POU GAC</t>
  </si>
  <si>
    <t>POU Reverse Osmosis</t>
  </si>
  <si>
    <t>Critical Design Assumptions</t>
  </si>
  <si>
    <t>Households Served</t>
  </si>
  <si>
    <t>Treatment Technology</t>
  </si>
  <si>
    <t>POE Cation Exchange</t>
  </si>
  <si>
    <t>POE GAC with Auto-Backwash</t>
  </si>
  <si>
    <t>POE GAC w/out Auto-Backwash</t>
  </si>
  <si>
    <t>hh_select</t>
  </si>
  <si>
    <t>uv_select</t>
  </si>
  <si>
    <t>UV Treatment</t>
  </si>
  <si>
    <t>Clerical Labor</t>
  </si>
  <si>
    <t>NA</t>
  </si>
  <si>
    <t>Radium</t>
  </si>
  <si>
    <t>mgd</t>
  </si>
  <si>
    <t>average_flow_production</t>
  </si>
  <si>
    <t>applied to base capital cost only</t>
  </si>
  <si>
    <t>Capital Costs</t>
  </si>
  <si>
    <t>Design</t>
  </si>
  <si>
    <t>Size used in estimate</t>
  </si>
  <si>
    <t>Unit Cost</t>
  </si>
  <si>
    <t>Total Cost</t>
  </si>
  <si>
    <t>Useful Life</t>
  </si>
  <si>
    <t>WBS #</t>
  </si>
  <si>
    <t>Item</t>
  </si>
  <si>
    <t>Quantity</t>
  </si>
  <si>
    <t>Use?</t>
  </si>
  <si>
    <t>households</t>
  </si>
  <si>
    <t>treat_select</t>
  </si>
  <si>
    <t>POU/POE Treatment</t>
  </si>
  <si>
    <t>Avg. Unit Cost</t>
  </si>
  <si>
    <t>Useful Life (large)</t>
  </si>
  <si>
    <t>Useful Life (small)</t>
  </si>
  <si>
    <t>Original Vendor Quote</t>
  </si>
  <si>
    <t>Quote+Inst</t>
  </si>
  <si>
    <t>Quote+Inst+Trans</t>
  </si>
  <si>
    <t>Year of Original Quote</t>
  </si>
  <si>
    <t>Sources</t>
  </si>
  <si>
    <t>Installation Multiplier</t>
  </si>
  <si>
    <t>Unit cost</t>
  </si>
  <si>
    <t>Unit cost + Inst</t>
  </si>
  <si>
    <t>Unit cost+Inst+Trans</t>
  </si>
  <si>
    <t>Source</t>
  </si>
  <si>
    <t>Year</t>
  </si>
  <si>
    <t>POU Equipment</t>
  </si>
  <si>
    <t>Number Households</t>
  </si>
  <si>
    <t>pou_ads_nsf53_equipment</t>
  </si>
  <si>
    <t>pou_ax_equipment</t>
  </si>
  <si>
    <t>pou_cx_equipment</t>
  </si>
  <si>
    <t>pou_gac_equipment</t>
  </si>
  <si>
    <t>pou_ro_equipment</t>
  </si>
  <si>
    <t>poe_ads_equipment</t>
  </si>
  <si>
    <t>poe_ax_equipment</t>
  </si>
  <si>
    <t>poe_cx_equipment</t>
  </si>
  <si>
    <t>poe_gac_bw_equipment</t>
  </si>
  <si>
    <t>Units</t>
  </si>
  <si>
    <t>Equipment Installation</t>
  </si>
  <si>
    <t>hrs/household</t>
  </si>
  <si>
    <t>UV Installation</t>
  </si>
  <si>
    <t>UV Purchase</t>
  </si>
  <si>
    <t>hours/household</t>
  </si>
  <si>
    <t>POU/POE Unit Purchase</t>
  </si>
  <si>
    <t>POU/POE Installation</t>
  </si>
  <si>
    <t>install_hours</t>
  </si>
  <si>
    <t>Nitrate flyers</t>
  </si>
  <si>
    <t>flyers</t>
  </si>
  <si>
    <t>Meeting flyers</t>
  </si>
  <si>
    <t>Meeting ads</t>
  </si>
  <si>
    <t>Meeting handouts</t>
  </si>
  <si>
    <t>Billing mailers</t>
  </si>
  <si>
    <t>ads</t>
  </si>
  <si>
    <t>pages/household</t>
  </si>
  <si>
    <t>Permitting</t>
  </si>
  <si>
    <t>Pilot Testing</t>
  </si>
  <si>
    <t>Indirect Capital Cost Multipliers</t>
  </si>
  <si>
    <t>Legal</t>
  </si>
  <si>
    <t>Engineering</t>
  </si>
  <si>
    <t>Contingency</t>
  </si>
  <si>
    <t>Public Education Program</t>
  </si>
  <si>
    <t>tech_labor</t>
  </si>
  <si>
    <t>Technical Labor</t>
  </si>
  <si>
    <t>Develop materials</t>
  </si>
  <si>
    <t>Nitrate health effects</t>
  </si>
  <si>
    <t>Meetings</t>
  </si>
  <si>
    <t>Post-meeting</t>
  </si>
  <si>
    <t>clerical_labor</t>
  </si>
  <si>
    <t>ed_material</t>
  </si>
  <si>
    <t>hours</t>
  </si>
  <si>
    <t>POU Adsorptive Media NSF53 Equipment</t>
  </si>
  <si>
    <t>POU Anion Exchange Equipment</t>
  </si>
  <si>
    <t>POU Cation Exchange Equipment</t>
  </si>
  <si>
    <t>POU Granular Activated Carbon Equipment</t>
  </si>
  <si>
    <t>POU Reverse Osmosis Equipment</t>
  </si>
  <si>
    <t>Equipment price range</t>
  </si>
  <si>
    <t>POE Adsorptive Equipment</t>
  </si>
  <si>
    <t>POE Anion Exchange Equipment</t>
  </si>
  <si>
    <t>POE Cation Exchange Equipment</t>
  </si>
  <si>
    <t>poe_aer_equipment</t>
  </si>
  <si>
    <t>POE Aeration Equipment</t>
  </si>
  <si>
    <t>poe_gac_equipment</t>
  </si>
  <si>
    <t>POU Ultraviolet Equipment</t>
  </si>
  <si>
    <t>pou_uv_equipment</t>
  </si>
  <si>
    <t>POE Ultraviolet Equipment</t>
  </si>
  <si>
    <t>poe_uv_equipment</t>
  </si>
  <si>
    <t>Point-of-Use or Point-of-Entry System Design and Costs</t>
  </si>
  <si>
    <t>Water Source</t>
  </si>
  <si>
    <t>GW</t>
  </si>
  <si>
    <t>source_select</t>
  </si>
  <si>
    <t>design_flow</t>
  </si>
  <si>
    <t>Design #</t>
  </si>
  <si>
    <t>SW</t>
  </si>
  <si>
    <t>Include UV Disinfection</t>
  </si>
  <si>
    <t>MGD</t>
  </si>
  <si>
    <t>Public Education Costs</t>
  </si>
  <si>
    <t>Installed Treatment Equipment</t>
  </si>
  <si>
    <t>Indirect Costs</t>
  </si>
  <si>
    <t>Total Capital Costs</t>
  </si>
  <si>
    <t>Operating and Maintenance Costs</t>
  </si>
  <si>
    <t>Labor</t>
  </si>
  <si>
    <t>Materials</t>
  </si>
  <si>
    <t>Total O&amp;M costs</t>
  </si>
  <si>
    <t>Laboratory Analysis</t>
  </si>
  <si>
    <t>tech_labor_om</t>
  </si>
  <si>
    <t>POU/POE maintenance</t>
  </si>
  <si>
    <t>hrs/visit</t>
  </si>
  <si>
    <t>Information updates</t>
  </si>
  <si>
    <t>Nitrate information updates</t>
  </si>
  <si>
    <t>clerical_labor_om</t>
  </si>
  <si>
    <t>ed_material_om</t>
  </si>
  <si>
    <t>Equipment Maintenance</t>
  </si>
  <si>
    <t>Laboratory Analyses</t>
  </si>
  <si>
    <t>Sampling time</t>
  </si>
  <si>
    <t>% hh/yr</t>
  </si>
  <si>
    <t>Sampling scheduling time</t>
  </si>
  <si>
    <t>Scheduling time</t>
  </si>
  <si>
    <t>Total Capital Costs (Rounded)</t>
  </si>
  <si>
    <t>visits/hh/yr</t>
  </si>
  <si>
    <t>POU/POE replacement frequency</t>
  </si>
  <si>
    <t>UV maintenance frequency</t>
  </si>
  <si>
    <t>Component</t>
  </si>
  <si>
    <t>Replacement Frequency</t>
  </si>
  <si>
    <t>units/year</t>
  </si>
  <si>
    <t>Sediment Pre-Filter</t>
  </si>
  <si>
    <t>Pre-GAC Filter Cartridge</t>
  </si>
  <si>
    <t>Post-GAC Filter Cartridge</t>
  </si>
  <si>
    <t>UV Lamp</t>
  </si>
  <si>
    <t>POU UV Replacement Schedule</t>
  </si>
  <si>
    <t>pou_ads_nsf53_replace</t>
  </si>
  <si>
    <t>pou_ax_replace</t>
  </si>
  <si>
    <t>pou_cx_replace</t>
  </si>
  <si>
    <t>pou_gac_replace</t>
  </si>
  <si>
    <t>pou_ro_replace</t>
  </si>
  <si>
    <t>poe_ads_replace</t>
  </si>
  <si>
    <t>poe_ax_replace</t>
  </si>
  <si>
    <t>poe_cx_replace</t>
  </si>
  <si>
    <t>POE_aer_replace</t>
  </si>
  <si>
    <t>poe_gac_bw_replace</t>
  </si>
  <si>
    <t>poe_gac_replace</t>
  </si>
  <si>
    <t>Replacement frequency range</t>
  </si>
  <si>
    <t>pou_ads_nsf53_parts</t>
  </si>
  <si>
    <t>pou_ax_parts</t>
  </si>
  <si>
    <t>pou_cx_parts</t>
  </si>
  <si>
    <t>pou_gac_parts</t>
  </si>
  <si>
    <t>pou_ro_parts</t>
  </si>
  <si>
    <t>poe_ads_parts</t>
  </si>
  <si>
    <t>poe_ax_parts</t>
  </si>
  <si>
    <t>poe_cx_parts</t>
  </si>
  <si>
    <t>poe_gac_bw_parts</t>
  </si>
  <si>
    <t>poe_gac_parts</t>
  </si>
  <si>
    <t>Parts price range</t>
  </si>
  <si>
    <t>POU Reverse Osmosis Replacement Parts</t>
  </si>
  <si>
    <t>pou_uv_replace</t>
  </si>
  <si>
    <t>pou_uv_parts</t>
  </si>
  <si>
    <t>POU Ultraviolet Replacement Parts</t>
  </si>
  <si>
    <t>Equipment Replacement Schedule</t>
  </si>
  <si>
    <t>POU RO Equipment</t>
  </si>
  <si>
    <t>Media Cartridge</t>
  </si>
  <si>
    <t>POU Adsorptive Media Replacement Parts</t>
  </si>
  <si>
    <t>POU Adsorptive Media NSF53 Replacement Parts</t>
  </si>
  <si>
    <t>POU Anion Exchange Replacement Parts</t>
  </si>
  <si>
    <t>POU Cation Exchange Replacement Parts</t>
  </si>
  <si>
    <t>POU Granular Activated Carbon Replacement Parts</t>
  </si>
  <si>
    <t>poe_aer_parts</t>
  </si>
  <si>
    <t>poe_aer_replace</t>
  </si>
  <si>
    <t>maint_time</t>
  </si>
  <si>
    <t>maint_frequency</t>
  </si>
  <si>
    <t>UV_maint_time</t>
  </si>
  <si>
    <t>UV_maint_frequency</t>
  </si>
  <si>
    <t>maint_scheduling</t>
  </si>
  <si>
    <t>UV Maintenance</t>
  </si>
  <si>
    <t>POU/POE Maintenance</t>
  </si>
  <si>
    <t>Shannon revised model and data layout</t>
  </si>
  <si>
    <t>Mark developed model layout and enter draft data from POU/POE documentation</t>
  </si>
  <si>
    <t>TO DO:</t>
  </si>
  <si>
    <t>Maintenance Scheduling</t>
  </si>
  <si>
    <t>Design Flow (system peak flow)</t>
  </si>
  <si>
    <t>POE Anion Exchange Replacement Parts</t>
  </si>
  <si>
    <t>POE Cation Exchange Replacement Parts</t>
  </si>
  <si>
    <t>POU Aeration Replacement Parts</t>
  </si>
  <si>
    <t>POE Granular Activated Carbon w/ Backwash Equipment</t>
  </si>
  <si>
    <t>POE Granular Activated Carbon w/ Backwash Replacement Parts</t>
  </si>
  <si>
    <t>POE Granular Activated Carbon Equipment</t>
  </si>
  <si>
    <t>POE Granular Activated Carbon Replacement Parts</t>
  </si>
  <si>
    <t>poe_uv_parts</t>
  </si>
  <si>
    <t>POE Ultraviolet Replacement Parts</t>
  </si>
  <si>
    <t>pounds/year</t>
  </si>
  <si>
    <t>Sodium Chloride</t>
  </si>
  <si>
    <t>Printed Educational Materials</t>
  </si>
  <si>
    <t>printed_material_cost</t>
  </si>
  <si>
    <t>($/flyer)</t>
  </si>
  <si>
    <t>($/ad)</t>
  </si>
  <si>
    <t>($/page)</t>
  </si>
  <si>
    <t>Analysis</t>
  </si>
  <si>
    <t>Shipping</t>
  </si>
  <si>
    <t>lab_analysis_cost</t>
  </si>
  <si>
    <t>Laboratory Analysis Costs</t>
  </si>
  <si>
    <t>initial_sample</t>
  </si>
  <si>
    <t>Sample Shipping for Radionuclides</t>
  </si>
  <si>
    <t>Sample Shipping for Other Analytes</t>
  </si>
  <si>
    <t>shipping_rads</t>
  </si>
  <si>
    <t>shipping_other</t>
  </si>
  <si>
    <t>USPS cost U.S. EPA, 2005</t>
  </si>
  <si>
    <t>Mark set up Standard Input buttons</t>
  </si>
  <si>
    <t>Mark changed quantities in shipping_rads and shipping_other  tables to generate correct shipping price</t>
  </si>
  <si>
    <t>average_flow</t>
  </si>
  <si>
    <t>Average System Flow</t>
  </si>
  <si>
    <t>Mark updated technologies used for each contaminant and eliminated Uranium</t>
  </si>
  <si>
    <t>Mark added average flow to input page and changed layout</t>
  </si>
  <si>
    <t>Nitrate awareness flyers</t>
  </si>
  <si>
    <t>user</t>
  </si>
  <si>
    <t>user_design</t>
  </si>
  <si>
    <t>user_pop</t>
  </si>
  <si>
    <t>user_flow</t>
  </si>
  <si>
    <t>user_unit_cost</t>
  </si>
  <si>
    <t>user_install</t>
  </si>
  <si>
    <t>user_uv_install</t>
  </si>
  <si>
    <t>user_dev_tech</t>
  </si>
  <si>
    <t>user_meet_tech</t>
  </si>
  <si>
    <t>user_dev_cler</t>
  </si>
  <si>
    <t>user_post_tech</t>
  </si>
  <si>
    <t>user_nitr_cler</t>
  </si>
  <si>
    <t>user_meet_cler</t>
  </si>
  <si>
    <t>user_post_cler</t>
  </si>
  <si>
    <t>user_flyers</t>
  </si>
  <si>
    <t>user_nitr_flyers</t>
  </si>
  <si>
    <t>user_ads</t>
  </si>
  <si>
    <t>user_handout</t>
  </si>
  <si>
    <t>user_mailers</t>
  </si>
  <si>
    <t>user_samp_time</t>
  </si>
  <si>
    <t>user_samp_sched</t>
  </si>
  <si>
    <t>user_analysis</t>
  </si>
  <si>
    <t>user_permitting</t>
  </si>
  <si>
    <t>user_pilot</t>
  </si>
  <si>
    <t>user_maint</t>
  </si>
  <si>
    <t>user_repl_freq</t>
  </si>
  <si>
    <t>user_uv_maint</t>
  </si>
  <si>
    <t>user_uv_freq</t>
  </si>
  <si>
    <t>user_maint_sched</t>
  </si>
  <si>
    <t>user_treat_select</t>
  </si>
  <si>
    <t>user_tech_rate</t>
  </si>
  <si>
    <t>user_cler_rate</t>
  </si>
  <si>
    <t>User-Defined System</t>
  </si>
  <si>
    <t>User Define</t>
  </si>
  <si>
    <t>user_equipment</t>
  </si>
  <si>
    <t>user_source_select</t>
  </si>
  <si>
    <t>lab_analysis</t>
  </si>
  <si>
    <t>Initial Year Monitoring Costs</t>
  </si>
  <si>
    <t>O&amp;M Cost Assumptions</t>
  </si>
  <si>
    <t>Replacement UV Lamp</t>
  </si>
  <si>
    <t>Replacement UV Quartz Sleeve</t>
  </si>
  <si>
    <t>user_uv_lamp</t>
  </si>
  <si>
    <t>user_uv_sleeve</t>
  </si>
  <si>
    <t>times/yr</t>
  </si>
  <si>
    <t>user_uv_cost</t>
  </si>
  <si>
    <t>user_dev_nit</t>
  </si>
  <si>
    <t>user_legal</t>
  </si>
  <si>
    <t>user_eng</t>
  </si>
  <si>
    <t>user_cont</t>
  </si>
  <si>
    <t>user_updates_tech</t>
  </si>
  <si>
    <t>user_nitr_updates_tech</t>
  </si>
  <si>
    <t>user_info_cler</t>
  </si>
  <si>
    <t>user_nitr_updates_cler</t>
  </si>
  <si>
    <t>user_om_flyer</t>
  </si>
  <si>
    <t>user_om_billing</t>
  </si>
  <si>
    <t>user_om_samp</t>
  </si>
  <si>
    <t>user_om_sched</t>
  </si>
  <si>
    <t>user_om_analysis</t>
  </si>
  <si>
    <t>user_om_shipping</t>
  </si>
  <si>
    <t>user_uv_lamp_freq</t>
  </si>
  <si>
    <t>user_uv_sleeve_freq</t>
  </si>
  <si>
    <t>Min Number Households</t>
  </si>
  <si>
    <t>Max Number Households</t>
  </si>
  <si>
    <t>Unit Cost of Replacement Part 1</t>
  </si>
  <si>
    <t>Unit Cost of Replacement Part 2</t>
  </si>
  <si>
    <t>Unit Cost of Replacement Part 3</t>
  </si>
  <si>
    <t>Unit Cost of Replacement Part 4</t>
  </si>
  <si>
    <t>user_repl1</t>
  </si>
  <si>
    <t>user_repl1_freq</t>
  </si>
  <si>
    <t>user_repl2</t>
  </si>
  <si>
    <t>user_repl2_freq</t>
  </si>
  <si>
    <t>user_repl3</t>
  </si>
  <si>
    <t>user_repl3_freq</t>
  </si>
  <si>
    <t>user_repl4</t>
  </si>
  <si>
    <t>user_repl4_freq</t>
  </si>
  <si>
    <t>Parts Replacement</t>
  </si>
  <si>
    <t>Mark added user-defined system option</t>
  </si>
  <si>
    <t>Mark updated O&amp;M equations to include user-defined inputs</t>
  </si>
  <si>
    <t>Selected Contaminant</t>
  </si>
  <si>
    <t>hh_stand</t>
  </si>
  <si>
    <t>user_UV</t>
  </si>
  <si>
    <t>Mark updated range names on 0&amp;M equations</t>
  </si>
  <si>
    <t>Mark updated some equation in Output O&amp;M costs</t>
  </si>
  <si>
    <t>Mark moved hh_select and treat_select to lists page</t>
  </si>
  <si>
    <t>Mark added user-defined unit and replacement costs to capital and O&amp;M assumptions pages</t>
  </si>
  <si>
    <t>Capital Cost Assumptions</t>
  </si>
  <si>
    <t>Clerical Labor to Support Educational Program</t>
  </si>
  <si>
    <t>Technical Labor to Support Educational Program</t>
  </si>
  <si>
    <t>Communication Materials for Educational Program</t>
  </si>
  <si>
    <t>Frequency</t>
  </si>
  <si>
    <t>uv</t>
  </si>
  <si>
    <t>Table 3: compensation, not seasonally adjusted, private industry, public utilities; June 1989 = 100. Download historical document from: http://www.bls.gov/web/eci.supp.toc.htm</t>
  </si>
  <si>
    <t>ECI</t>
  </si>
  <si>
    <t>multiplier</t>
  </si>
  <si>
    <t>Multiplier</t>
  </si>
  <si>
    <t>Average Household Size</t>
  </si>
  <si>
    <t>hh_size</t>
  </si>
  <si>
    <t>contam</t>
  </si>
  <si>
    <t>Control Section (selects range values based on design approach)</t>
  </si>
  <si>
    <t>Selected Treatment Column</t>
  </si>
  <si>
    <t>If User Defined, Default Column</t>
  </si>
  <si>
    <t>Indirect Cost Multipliers</t>
  </si>
  <si>
    <t>indirect_cost</t>
  </si>
  <si>
    <t>26-30 Jan</t>
  </si>
  <si>
    <t>Shannon revised Input sheet format, added links to default values, centralized variable control, linked UV cost and accounting,</t>
  </si>
  <si>
    <t>user_uv_equipment</t>
  </si>
  <si>
    <t>Default Values</t>
  </si>
  <si>
    <t>samples/household</t>
  </si>
  <si>
    <t>% households sampled</t>
  </si>
  <si>
    <t>$/hour</t>
  </si>
  <si>
    <t>$/unit</t>
  </si>
  <si>
    <t>total hours</t>
  </si>
  <si>
    <t>hours/sample</t>
  </si>
  <si>
    <t>% households</t>
  </si>
  <si>
    <t>hours/visit</t>
  </si>
  <si>
    <t>visits/household/yr</t>
  </si>
  <si>
    <t>% installed equipment cost</t>
  </si>
  <si>
    <t>households/year</t>
  </si>
  <si>
    <t>hours/year</t>
  </si>
  <si>
    <t>household visits/year</t>
  </si>
  <si>
    <t>$/part</t>
  </si>
  <si>
    <t>Name of Replacement Part 1</t>
  </si>
  <si>
    <t>units/household</t>
  </si>
  <si>
    <t>sample/hh</t>
  </si>
  <si>
    <t>flyers/year</t>
  </si>
  <si>
    <t>Mark updated SOC and VOC treatment options for POE GAC to include backwash option, Output now generating correct results</t>
  </si>
  <si>
    <t>Mark imported vendor price data</t>
  </si>
  <si>
    <t>Installation</t>
  </si>
  <si>
    <t>Mark constrained treatment options on user-defined systems</t>
  </si>
  <si>
    <t>Cadmium</t>
  </si>
  <si>
    <t>Barium</t>
  </si>
  <si>
    <t>Chromium</t>
  </si>
  <si>
    <t>Lead</t>
  </si>
  <si>
    <t>Mercury</t>
  </si>
  <si>
    <t>Equipment Purchase</t>
  </si>
  <si>
    <t>Unit cost of POE/POU device without installation</t>
  </si>
  <si>
    <t>Wage rate for scheduling and administrative labor</t>
  </si>
  <si>
    <t>POU/POE installation time</t>
  </si>
  <si>
    <t>UV installation time</t>
  </si>
  <si>
    <t>Develop technical content for educational materials</t>
  </si>
  <si>
    <t>Prepare for and attend public meetings</t>
  </si>
  <si>
    <r>
      <t xml:space="preserve">Select a </t>
    </r>
    <r>
      <rPr>
        <b/>
        <sz val="10"/>
        <rFont val="Arial"/>
        <family val="2"/>
      </rPr>
      <t>User-Defined System</t>
    </r>
    <r>
      <rPr>
        <sz val="10"/>
        <rFont val="Arial"/>
        <family val="0"/>
      </rPr>
      <t xml:space="preserve"> to estimate costs for a single system using site-specific information in addition to the default assumptions and prices, as needed. The </t>
    </r>
    <r>
      <rPr>
        <b/>
        <sz val="10"/>
        <rFont val="Arial"/>
        <family val="2"/>
      </rPr>
      <t>EPA Standard System</t>
    </r>
    <r>
      <rPr>
        <sz val="10"/>
        <rFont val="Arial"/>
        <family val="0"/>
      </rPr>
      <t xml:space="preserve"> option will generate costs for the six standard designs shown in Step 4.</t>
    </r>
  </si>
  <si>
    <t>household connections</t>
  </si>
  <si>
    <t>Choose a treatment option</t>
  </si>
  <si>
    <t>Choose a treatment option, and</t>
  </si>
  <si>
    <t>Note: The model limits contaminants to those with health-based NSF/ANSI standards.</t>
  </si>
  <si>
    <t>Note: The model limits treatment devices to those having third-party certifications that they meet the applicable NSF/ANSI standards (e.g., through NSF, UL, or WQA).</t>
  </si>
  <si>
    <t>&lt;-GW or SW</t>
  </si>
  <si>
    <t>&lt;-yes or no</t>
  </si>
  <si>
    <t>Cost Estimating Tool</t>
  </si>
  <si>
    <t>Final Version, December 19, 2006</t>
  </si>
  <si>
    <t>This model is intended for use as a cost modeling tool. It is not intended as a substitute for professional engineering services or vendor bids.</t>
  </si>
  <si>
    <t xml:space="preserve">Vendor names have been removed from this public version of the model to avoid the appearance of product endorsement. Mention of a product price does not constitute a product endorsement by EPA. </t>
  </si>
  <si>
    <t>current_year</t>
  </si>
  <si>
    <t>end - Insert additional index years and  values above this row and update current_year value to change index base year.</t>
  </si>
  <si>
    <t>Price Tables for devices certified to meet NSF/ANSI health standards. Some technologies do not have certified devices and, therefore, no price data. They have been included to create placeholders for future data entry.</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</si>
</sst>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
    <numFmt numFmtId="166" formatCode="#,##0.000_);\(#,##0.000\)"/>
    <numFmt numFmtId="167" formatCode="#,##0.0000_);\(#,##0.0000\)"/>
    <numFmt numFmtId="168" formatCode="&quot;$&quot;#,##0.00"/>
    <numFmt numFmtId="169" formatCode="#,##0.0"/>
    <numFmt numFmtId="170" formatCode="00000"/>
    <numFmt numFmtId="171" formatCode="&quot;$&quot;#,##0"/>
    <numFmt numFmtId="172" formatCode="_(* #,##0_);_(* \(#,##0\);_(* &quot;-&quot;??_);_(@_)"/>
    <numFmt numFmtId="173" formatCode="_(&quot;$&quot;* #,##0_);_(&quot;$&quot;* \(#,##0\);_(&quot;$&quot;* &quot;-&quot;??_);_(@_)"/>
    <numFmt numFmtId="174" formatCode="0.0000"/>
    <numFmt numFmtId="175" formatCode="_(&quot;$&quot;* #,##0.0_);_(&quot;$&quot;* \(#,##0.0\);_(&quot;$&quot;* &quot;-&quot;??_);_(@_)"/>
    <numFmt numFmtId="176" formatCode="_(* #,##0.0_);_(* \(#,##0.0\);_(* &quot;-&quot;??_);_(@_)"/>
    <numFmt numFmtId="177" formatCode="0.00000"/>
    <numFmt numFmtId="178" formatCode="0.000"/>
    <numFmt numFmtId="179" formatCode="0.0"/>
    <numFmt numFmtId="180" formatCode="0.0000000"/>
    <numFmt numFmtId="181" formatCode="0.000000"/>
    <numFmt numFmtId="182" formatCode="_(* #,##0.000_);_(* \(#,##0.000\);_(* &quot;-&quot;??_);_(@_)"/>
    <numFmt numFmtId="183" formatCode="_(* #,##0.0000_);_(* \(#,##0.0000\);_(* &quot;-&quot;??_);_(@_)"/>
    <numFmt numFmtId="184" formatCode="0.00000000"/>
    <numFmt numFmtId="185" formatCode="&quot;$&quot;#,##0.0"/>
    <numFmt numFmtId="186" formatCode="&quot;$&quot;#,##0.000"/>
    <numFmt numFmtId="187" formatCode="&quot;$&quot;#,##0.0_);[Red]\(&quot;$&quot;#,##0.0\)"/>
    <numFmt numFmtId="188" formatCode="_(* #,##0.0_);_(* \(#,##0.0\);_(* &quot;-&quot;?_);_(@_)"/>
    <numFmt numFmtId="189" formatCode="_(* #,##0.0000_);_(* \(#,##0.0000\);_(* &quot;-&quot;????_);_(@_)"/>
    <numFmt numFmtId="190" formatCode="_(* #,##0.000_);_(* \(#,##0.000\);_(* &quot;-&quot;???_);_(@_)"/>
    <numFmt numFmtId="191" formatCode="0.00E+00;\ᕸ"/>
    <numFmt numFmtId="192" formatCode="_(* #,##0.00000_);_(* \(#,##0.00000\);_(* &quot;-&quot;??_);_(@_)"/>
    <numFmt numFmtId="193" formatCode="_(&quot;$&quot;* #,##0.000_);_(&quot;$&quot;* \(#,##0.000\);_(&quot;$&quot;* &quot;-&quot;??_);_(@_)"/>
    <numFmt numFmtId="194" formatCode="0.000E+00"/>
    <numFmt numFmtId="195" formatCode="0.0000E+00"/>
    <numFmt numFmtId="196" formatCode="0.0E+00"/>
    <numFmt numFmtId="197" formatCode="0E+00"/>
    <numFmt numFmtId="198" formatCode="_(* #,##0.000000_);_(* \(#,##0.000000\);_(* &quot;-&quot;??_);_(@_)"/>
    <numFmt numFmtId="199" formatCode="mmm\-yyyy"/>
    <numFmt numFmtId="200" formatCode="_(* #,##0.0_);_(* \(#,##0.0\);_(* &quot;-&quot;_);_(@_)"/>
    <numFmt numFmtId="201" formatCode="_(* #,##0.00_);_(* \(#,##0.00\);_(* &quot;-&quot;_);_(@_)"/>
    <numFmt numFmtId="202" formatCode="0.0000000000%"/>
    <numFmt numFmtId="203" formatCode="0.00_);\(0.00\)"/>
    <numFmt numFmtId="204" formatCode="&quot;Yes&quot;;&quot;Yes&quot;;&quot;No&quot;"/>
    <numFmt numFmtId="205" formatCode="&quot;True&quot;;&quot;True&quot;;&quot;False&quot;"/>
    <numFmt numFmtId="206" formatCode="&quot;On&quot;;&quot;On&quot;;&quot;Off&quot;"/>
    <numFmt numFmtId="207" formatCode="#,##0.000"/>
    <numFmt numFmtId="208" formatCode="#,##0.0000"/>
    <numFmt numFmtId="209" formatCode="#,##0.00000"/>
    <numFmt numFmtId="210" formatCode="_(&quot;$&quot;* #,##0.0000_);_(&quot;$&quot;* \(#,##0.0000\);_(&quot;$&quot;* &quot;-&quot;??_);_(@_)"/>
    <numFmt numFmtId="211" formatCode="[$-409]dddd\,\ mmmm\ dd\,\ yyyy"/>
    <numFmt numFmtId="212" formatCode="_(&quot;$&quot;* #,##0.0_);_(&quot;$&quot;* \(#,##0.0\);_(&quot;$&quot;* &quot;-&quot;_);_(@_)"/>
    <numFmt numFmtId="213" formatCode="_(&quot;$&quot;* #,##0.00_);_(&quot;$&quot;* \(#,##0.00\);_(&quot;$&quot;* &quot;-&quot;_);_(@_)"/>
  </numFmts>
  <fonts count="44">
    <font>
      <sz val="10"/>
      <name val="Arial"/>
      <family val="0"/>
    </font>
    <font>
      <sz val="8"/>
      <name val="Arial"/>
      <family val="2"/>
    </font>
    <font>
      <b/>
      <sz val="8"/>
      <name val="Arial"/>
      <family val="2"/>
    </font>
    <font>
      <u val="single"/>
      <sz val="10"/>
      <name val="Arial"/>
      <family val="2"/>
    </font>
    <font>
      <b/>
      <sz val="10"/>
      <name val="Arial"/>
      <family val="2"/>
    </font>
    <font>
      <i/>
      <sz val="10"/>
      <name val="Arial"/>
      <family val="2"/>
    </font>
    <font>
      <sz val="10"/>
      <color indexed="8"/>
      <name val="Arial"/>
      <family val="2"/>
    </font>
    <font>
      <i/>
      <sz val="10"/>
      <color indexed="8"/>
      <name val="Arial"/>
      <family val="2"/>
    </font>
    <font>
      <b/>
      <sz val="10"/>
      <color indexed="8"/>
      <name val="Arial"/>
      <family val="2"/>
    </font>
    <font>
      <b/>
      <i/>
      <sz val="10"/>
      <color indexed="8"/>
      <name val="Arial"/>
      <family val="2"/>
    </font>
    <font>
      <b/>
      <sz val="10"/>
      <color indexed="10"/>
      <name val="Arial"/>
      <family val="2"/>
    </font>
    <font>
      <sz val="10"/>
      <color indexed="10"/>
      <name val="Arial"/>
      <family val="2"/>
    </font>
    <font>
      <sz val="10"/>
      <color indexed="9"/>
      <name val="Arial"/>
      <family val="2"/>
    </font>
    <font>
      <b/>
      <sz val="10"/>
      <color indexed="9"/>
      <name val="Arial"/>
      <family val="2"/>
    </font>
    <font>
      <sz val="9"/>
      <color indexed="9"/>
      <name val="Arial"/>
      <family val="2"/>
    </font>
    <font>
      <b/>
      <sz val="9"/>
      <name val="Arial"/>
      <family val="2"/>
    </font>
    <font>
      <sz val="9"/>
      <name val="Arial"/>
      <family val="2"/>
    </font>
    <font>
      <u val="single"/>
      <sz val="10"/>
      <color indexed="36"/>
      <name val="Arial"/>
      <family val="0"/>
    </font>
    <font>
      <u val="single"/>
      <sz val="10"/>
      <color indexed="12"/>
      <name val="Arial"/>
      <family val="0"/>
    </font>
    <font>
      <b/>
      <u val="single"/>
      <sz val="10"/>
      <name val="Arial"/>
      <family val="2"/>
    </font>
    <font>
      <i/>
      <sz val="10"/>
      <color indexed="10"/>
      <name val="Arial"/>
      <family val="2"/>
    </font>
    <font>
      <b/>
      <sz val="11"/>
      <color indexed="10"/>
      <name val="Arial"/>
      <family val="2"/>
    </font>
    <font>
      <b/>
      <sz val="8"/>
      <name val="Tahoma"/>
      <family val="0"/>
    </font>
    <font>
      <sz val="10"/>
      <color indexed="40"/>
      <name val="Arial"/>
      <family val="2"/>
    </font>
    <font>
      <b/>
      <i/>
      <sz val="10"/>
      <name val="Arial"/>
      <family val="2"/>
    </font>
    <font>
      <b/>
      <u val="single"/>
      <sz val="11"/>
      <name val="Arial"/>
      <family val="2"/>
    </font>
    <font>
      <b/>
      <u val="single"/>
      <sz val="14"/>
      <name val="Arial"/>
      <family val="2"/>
    </font>
    <font>
      <sz val="10"/>
      <color indexed="22"/>
      <name val="Arial"/>
      <family val="2"/>
    </font>
    <font>
      <b/>
      <sz val="14"/>
      <name val="Arial"/>
      <family val="2"/>
    </font>
    <font>
      <b/>
      <sz val="8"/>
      <color indexed="17"/>
      <name val="Arial"/>
      <family val="2"/>
    </font>
    <font>
      <i/>
      <sz val="8"/>
      <name val="Arial"/>
      <family val="2"/>
    </font>
    <font>
      <b/>
      <sz val="10"/>
      <color indexed="17"/>
      <name val="Arial"/>
      <family val="2"/>
    </font>
    <font>
      <b/>
      <sz val="9"/>
      <color indexed="9"/>
      <name val="Arial"/>
      <family val="2"/>
    </font>
    <font>
      <sz val="10"/>
      <color indexed="17"/>
      <name val="Arial"/>
      <family val="2"/>
    </font>
    <font>
      <b/>
      <sz val="10"/>
      <color indexed="51"/>
      <name val="Arial"/>
      <family val="2"/>
    </font>
    <font>
      <b/>
      <sz val="10"/>
      <color indexed="40"/>
      <name val="Arial"/>
      <family val="2"/>
    </font>
    <font>
      <b/>
      <sz val="10"/>
      <color indexed="57"/>
      <name val="Arial"/>
      <family val="2"/>
    </font>
    <font>
      <sz val="10"/>
      <color indexed="57"/>
      <name val="Arial"/>
      <family val="2"/>
    </font>
    <font>
      <u val="single"/>
      <sz val="10"/>
      <color indexed="9"/>
      <name val="Arial"/>
      <family val="2"/>
    </font>
    <font>
      <b/>
      <i/>
      <sz val="10"/>
      <color indexed="22"/>
      <name val="Arial"/>
      <family val="2"/>
    </font>
    <font>
      <b/>
      <u val="single"/>
      <sz val="10"/>
      <color indexed="57"/>
      <name val="Arial"/>
      <family val="2"/>
    </font>
    <font>
      <sz val="12"/>
      <name val="Arial"/>
      <family val="2"/>
    </font>
    <font>
      <sz val="8"/>
      <name val="Tahoma"/>
      <family val="0"/>
    </font>
    <font>
      <b/>
      <vertAlign val="superscript"/>
      <sz val="10"/>
      <color indexed="9"/>
      <name val="Arial"/>
      <family val="2"/>
    </font>
  </fonts>
  <fills count="13">
    <fill>
      <patternFill/>
    </fill>
    <fill>
      <patternFill patternType="gray125"/>
    </fill>
    <fill>
      <patternFill patternType="solid">
        <fgColor indexed="9"/>
        <bgColor indexed="64"/>
      </patternFill>
    </fill>
    <fill>
      <patternFill patternType="solid">
        <fgColor indexed="48"/>
        <bgColor indexed="64"/>
      </patternFill>
    </fill>
    <fill>
      <patternFill patternType="solid">
        <fgColor indexed="63"/>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55"/>
        <bgColor indexed="64"/>
      </patternFill>
    </fill>
    <fill>
      <patternFill patternType="solid">
        <fgColor indexed="11"/>
        <bgColor indexed="64"/>
      </patternFill>
    </fill>
    <fill>
      <patternFill patternType="solid">
        <fgColor indexed="51"/>
        <bgColor indexed="64"/>
      </patternFill>
    </fill>
    <fill>
      <patternFill patternType="solid">
        <fgColor indexed="40"/>
        <bgColor indexed="64"/>
      </patternFill>
    </fill>
    <fill>
      <patternFill patternType="solid">
        <fgColor indexed="13"/>
        <bgColor indexed="64"/>
      </patternFill>
    </fill>
  </fills>
  <borders count="42">
    <border>
      <left/>
      <right/>
      <top/>
      <bottom/>
      <diagonal/>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color indexed="22"/>
      </top>
      <bottom>
        <color indexed="63"/>
      </bottom>
    </border>
    <border>
      <left>
        <color indexed="63"/>
      </left>
      <right style="thin"/>
      <top style="thin">
        <color indexed="22"/>
      </top>
      <bottom>
        <color indexed="63"/>
      </bottom>
    </border>
    <border>
      <left>
        <color indexed="63"/>
      </left>
      <right style="thin"/>
      <top>
        <color indexed="63"/>
      </top>
      <bottom style="thin">
        <color indexed="22"/>
      </bottom>
    </border>
    <border>
      <left style="thin"/>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22"/>
      </right>
      <top>
        <color indexed="63"/>
      </top>
      <bottom>
        <color indexed="63"/>
      </bottom>
    </border>
    <border>
      <left>
        <color indexed="63"/>
      </left>
      <right style="thin">
        <color indexed="22"/>
      </right>
      <top>
        <color indexed="63"/>
      </top>
      <bottom style="thin">
        <color indexed="22"/>
      </bottom>
    </border>
    <border>
      <left style="medium"/>
      <right style="medium"/>
      <top>
        <color indexed="63"/>
      </top>
      <bottom>
        <color indexed="63"/>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medium"/>
      <right style="medium"/>
      <top>
        <color indexed="63"/>
      </top>
      <bottom style="thick"/>
    </border>
    <border>
      <left style="thin">
        <color indexed="22"/>
      </left>
      <right style="thin"/>
      <top>
        <color indexed="63"/>
      </top>
      <bottom style="thin">
        <color indexed="22"/>
      </bottom>
    </border>
    <border>
      <left style="thin">
        <color indexed="22"/>
      </left>
      <right style="thin"/>
      <top style="thin"/>
      <bottom style="thin">
        <color indexed="22"/>
      </bottom>
    </border>
    <border>
      <left style="thin"/>
      <right>
        <color indexed="63"/>
      </right>
      <top style="thin"/>
      <bottom style="thin"/>
    </border>
    <border>
      <left>
        <color indexed="63"/>
      </left>
      <right style="thin"/>
      <top style="thin"/>
      <bottom style="thin"/>
    </border>
    <border>
      <left>
        <color indexed="63"/>
      </left>
      <right style="thin">
        <color indexed="22"/>
      </right>
      <top style="thin">
        <color indexed="22"/>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542">
    <xf numFmtId="0" fontId="0" fillId="0" borderId="0" xfId="0" applyAlignment="1">
      <alignment/>
    </xf>
    <xf numFmtId="0" fontId="1" fillId="0" borderId="0" xfId="0" applyFont="1" applyFill="1" applyBorder="1" applyAlignment="1">
      <alignment/>
    </xf>
    <xf numFmtId="0" fontId="0" fillId="0" borderId="0" xfId="0" applyBorder="1" applyAlignment="1">
      <alignment/>
    </xf>
    <xf numFmtId="0" fontId="1" fillId="0" borderId="0" xfId="0" applyFont="1" applyBorder="1" applyAlignment="1">
      <alignment horizontal="left" vertical="top"/>
    </xf>
    <xf numFmtId="0" fontId="4" fillId="0" borderId="0" xfId="0" applyFont="1" applyAlignment="1">
      <alignment/>
    </xf>
    <xf numFmtId="0" fontId="5"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left"/>
    </xf>
    <xf numFmtId="164" fontId="6" fillId="0" borderId="0" xfId="0" applyNumberFormat="1" applyFont="1" applyFill="1" applyBorder="1" applyAlignment="1">
      <alignment horizontal="left"/>
    </xf>
    <xf numFmtId="0" fontId="0" fillId="0" borderId="0" xfId="0" applyFont="1" applyAlignment="1">
      <alignment/>
    </xf>
    <xf numFmtId="0" fontId="0" fillId="0" borderId="0" xfId="0" applyFont="1" applyFill="1" applyBorder="1" applyAlignment="1">
      <alignment/>
    </xf>
    <xf numFmtId="39" fontId="0" fillId="0" borderId="0" xfId="0" applyNumberFormat="1" applyFont="1" applyFill="1" applyBorder="1" applyAlignment="1">
      <alignmen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0" fontId="0" fillId="0" borderId="0" xfId="0" applyFont="1" applyFill="1" applyBorder="1" applyAlignment="1">
      <alignment horizontal="center"/>
    </xf>
    <xf numFmtId="0" fontId="9" fillId="0" borderId="0" xfId="0" applyFont="1" applyFill="1" applyBorder="1" applyAlignment="1">
      <alignment horizontal="left"/>
    </xf>
    <xf numFmtId="0" fontId="6" fillId="0" borderId="0" xfId="0" applyFont="1" applyFill="1" applyBorder="1" applyAlignment="1">
      <alignment horizontal="left"/>
    </xf>
    <xf numFmtId="3" fontId="6" fillId="0" borderId="0" xfId="0" applyNumberFormat="1" applyFont="1" applyFill="1" applyBorder="1" applyAlignment="1">
      <alignment horizontal="left"/>
    </xf>
    <xf numFmtId="164" fontId="6" fillId="0" borderId="0" xfId="0" applyNumberFormat="1" applyFont="1" applyFill="1" applyBorder="1" applyAlignment="1">
      <alignment horizontal="right"/>
    </xf>
    <xf numFmtId="0" fontId="5" fillId="0" borderId="0" xfId="0" applyFont="1" applyFill="1" applyBorder="1" applyAlignment="1">
      <alignment/>
    </xf>
    <xf numFmtId="0" fontId="1" fillId="0" borderId="0" xfId="0" applyFont="1" applyFill="1" applyBorder="1" applyAlignment="1">
      <alignment horizontal="center"/>
    </xf>
    <xf numFmtId="0" fontId="0" fillId="0" borderId="0" xfId="0" applyFill="1" applyBorder="1" applyAlignment="1">
      <alignment/>
    </xf>
    <xf numFmtId="0" fontId="0" fillId="0" borderId="1" xfId="0" applyFont="1" applyFill="1" applyBorder="1" applyAlignment="1">
      <alignment horizontal="center"/>
    </xf>
    <xf numFmtId="0" fontId="0" fillId="0" borderId="0" xfId="0"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ill="1" applyBorder="1" applyAlignment="1">
      <alignment/>
    </xf>
    <xf numFmtId="6" fontId="1" fillId="0" borderId="0" xfId="0" applyNumberFormat="1" applyFont="1" applyFill="1" applyBorder="1" applyAlignment="1">
      <alignment horizontal="center"/>
    </xf>
    <xf numFmtId="0" fontId="2" fillId="0" borderId="0" xfId="0" applyFont="1" applyFill="1" applyBorder="1" applyAlignment="1">
      <alignment vertical="center" wrapText="1"/>
    </xf>
    <xf numFmtId="172" fontId="0" fillId="0" borderId="0" xfId="15" applyNumberFormat="1" applyFont="1" applyAlignment="1">
      <alignment horizontal="right"/>
    </xf>
    <xf numFmtId="173" fontId="0" fillId="0" borderId="0" xfId="17" applyNumberFormat="1" applyAlignment="1" applyProtection="1">
      <alignment/>
      <protection hidden="1"/>
    </xf>
    <xf numFmtId="44" fontId="0" fillId="0" borderId="0" xfId="17" applyNumberFormat="1" applyAlignment="1" applyProtection="1">
      <alignment/>
      <protection hidden="1"/>
    </xf>
    <xf numFmtId="0" fontId="0" fillId="0" borderId="0" xfId="0" applyAlignment="1">
      <alignment horizontal="center"/>
    </xf>
    <xf numFmtId="0" fontId="0" fillId="0" borderId="0" xfId="0" applyFont="1" applyFill="1" applyBorder="1" applyAlignment="1">
      <alignment horizontal="center" wrapText="1"/>
    </xf>
    <xf numFmtId="0" fontId="3" fillId="0" borderId="0" xfId="0" applyFont="1" applyFill="1" applyBorder="1" applyAlignment="1">
      <alignment horizontal="center"/>
    </xf>
    <xf numFmtId="0" fontId="0" fillId="3" borderId="0" xfId="0" applyFont="1" applyFill="1" applyAlignment="1">
      <alignment/>
    </xf>
    <xf numFmtId="0" fontId="0" fillId="0" borderId="0" xfId="0" applyFill="1" applyAlignment="1">
      <alignment/>
    </xf>
    <xf numFmtId="0" fontId="5" fillId="0" borderId="0" xfId="0" applyFont="1" applyAlignment="1">
      <alignment/>
    </xf>
    <xf numFmtId="0" fontId="12" fillId="4" borderId="0" xfId="0" applyFont="1" applyFill="1" applyAlignment="1" quotePrefix="1">
      <alignment/>
    </xf>
    <xf numFmtId="0" fontId="13" fillId="4" borderId="0" xfId="0" applyFont="1" applyFill="1" applyAlignment="1">
      <alignment/>
    </xf>
    <xf numFmtId="0" fontId="12" fillId="4" borderId="0" xfId="0" applyFont="1" applyFill="1" applyAlignment="1">
      <alignment/>
    </xf>
    <xf numFmtId="0" fontId="14" fillId="4" borderId="0" xfId="0" applyFont="1" applyFill="1" applyAlignment="1">
      <alignment/>
    </xf>
    <xf numFmtId="0" fontId="4" fillId="3" borderId="0" xfId="0" applyFont="1" applyFill="1" applyAlignment="1">
      <alignment/>
    </xf>
    <xf numFmtId="0" fontId="0" fillId="0" borderId="0" xfId="0" applyFont="1" applyFill="1" applyAlignment="1">
      <alignment/>
    </xf>
    <xf numFmtId="0" fontId="4" fillId="0" borderId="0" xfId="0" applyFont="1" applyAlignment="1">
      <alignment/>
    </xf>
    <xf numFmtId="0" fontId="0" fillId="0" borderId="0" xfId="0" applyNumberFormat="1" applyAlignment="1">
      <alignment/>
    </xf>
    <xf numFmtId="0" fontId="0" fillId="3" borderId="0" xfId="0" applyFill="1" applyAlignment="1">
      <alignment/>
    </xf>
    <xf numFmtId="0" fontId="0" fillId="3" borderId="0" xfId="0" applyFont="1" applyFill="1" applyAlignment="1">
      <alignment/>
    </xf>
    <xf numFmtId="1" fontId="0" fillId="0" borderId="0" xfId="0" applyNumberFormat="1" applyAlignment="1">
      <alignment/>
    </xf>
    <xf numFmtId="0" fontId="0" fillId="0" borderId="0" xfId="0" applyFont="1" applyAlignment="1">
      <alignment/>
    </xf>
    <xf numFmtId="0" fontId="0" fillId="0" borderId="0" xfId="0" applyAlignment="1">
      <alignment/>
    </xf>
    <xf numFmtId="0" fontId="0" fillId="0" borderId="0" xfId="0" applyFont="1" applyAlignment="1">
      <alignment horizontal="center"/>
    </xf>
    <xf numFmtId="0" fontId="0" fillId="0" borderId="0" xfId="0" applyFont="1" applyAlignment="1">
      <alignment horizontal="left"/>
    </xf>
    <xf numFmtId="172" fontId="0" fillId="5" borderId="0" xfId="15" applyNumberFormat="1" applyFill="1" applyAlignment="1">
      <alignment/>
    </xf>
    <xf numFmtId="0" fontId="0" fillId="0" borderId="0" xfId="0" applyAlignment="1">
      <alignment horizontal="center" vertical="center"/>
    </xf>
    <xf numFmtId="172" fontId="4" fillId="0" borderId="0" xfId="15" applyNumberFormat="1" applyFont="1" applyFill="1" applyAlignment="1">
      <alignment horizontal="center"/>
    </xf>
    <xf numFmtId="3" fontId="4" fillId="0" borderId="0" xfId="0" applyNumberFormat="1" applyFont="1" applyFill="1" applyAlignment="1">
      <alignment horizontal="center"/>
    </xf>
    <xf numFmtId="174" fontId="0" fillId="0" borderId="0" xfId="0" applyNumberFormat="1" applyAlignment="1">
      <alignment/>
    </xf>
    <xf numFmtId="3" fontId="0" fillId="6" borderId="0" xfId="0" applyNumberFormat="1" applyFont="1" applyFill="1" applyAlignment="1">
      <alignment horizontal="center"/>
    </xf>
    <xf numFmtId="3" fontId="0" fillId="7" borderId="0" xfId="0" applyNumberFormat="1" applyFont="1" applyFill="1" applyAlignment="1">
      <alignment horizontal="center"/>
    </xf>
    <xf numFmtId="0" fontId="0" fillId="0" borderId="0" xfId="0" applyFont="1" applyAlignment="1">
      <alignment/>
    </xf>
    <xf numFmtId="0" fontId="5" fillId="0" borderId="2" xfId="0" applyFont="1" applyFill="1" applyBorder="1" applyAlignment="1">
      <alignment/>
    </xf>
    <xf numFmtId="0" fontId="5" fillId="0" borderId="4" xfId="0" applyFont="1" applyFill="1" applyBorder="1" applyAlignment="1">
      <alignment/>
    </xf>
    <xf numFmtId="0" fontId="5" fillId="0" borderId="5" xfId="0" applyFont="1" applyFill="1" applyBorder="1" applyAlignment="1">
      <alignment/>
    </xf>
    <xf numFmtId="0" fontId="0" fillId="8" borderId="0" xfId="0" applyFill="1" applyAlignment="1">
      <alignment/>
    </xf>
    <xf numFmtId="0" fontId="5" fillId="0" borderId="0" xfId="0" applyFont="1" applyFill="1" applyBorder="1" applyAlignment="1">
      <alignment/>
    </xf>
    <xf numFmtId="0" fontId="5" fillId="0" borderId="0" xfId="0" applyFont="1" applyBorder="1" applyAlignment="1">
      <alignment/>
    </xf>
    <xf numFmtId="1" fontId="0" fillId="0" borderId="0" xfId="0" applyNumberFormat="1" applyFill="1" applyAlignment="1">
      <alignment/>
    </xf>
    <xf numFmtId="172" fontId="0" fillId="0" borderId="0" xfId="15" applyNumberFormat="1" applyFill="1" applyAlignment="1">
      <alignment/>
    </xf>
    <xf numFmtId="3" fontId="0" fillId="0" borderId="0" xfId="0" applyNumberFormat="1" applyFont="1" applyFill="1" applyAlignment="1">
      <alignment horizontal="center"/>
    </xf>
    <xf numFmtId="0" fontId="0" fillId="0" borderId="0" xfId="0" applyNumberFormat="1" applyFill="1" applyAlignment="1">
      <alignment/>
    </xf>
    <xf numFmtId="0" fontId="0" fillId="0" borderId="0" xfId="0" applyFill="1" applyAlignment="1">
      <alignment horizontal="center" vertical="center"/>
    </xf>
    <xf numFmtId="0" fontId="0" fillId="0" borderId="0" xfId="0" applyFont="1" applyFill="1" applyAlignment="1">
      <alignment horizontal="left"/>
    </xf>
    <xf numFmtId="172" fontId="0" fillId="0" borderId="0" xfId="15" applyNumberFormat="1" applyAlignment="1">
      <alignment/>
    </xf>
    <xf numFmtId="0" fontId="4" fillId="3" borderId="0" xfId="0" applyFont="1" applyFill="1" applyBorder="1" applyAlignment="1">
      <alignment/>
    </xf>
    <xf numFmtId="173" fontId="0" fillId="0" borderId="0" xfId="17" applyNumberFormat="1" applyFont="1" applyAlignment="1" applyProtection="1">
      <alignment/>
      <protection hidden="1"/>
    </xf>
    <xf numFmtId="0" fontId="0" fillId="0" borderId="0" xfId="0" applyFill="1" applyBorder="1" applyAlignment="1">
      <alignment/>
    </xf>
    <xf numFmtId="0" fontId="4" fillId="0" borderId="0" xfId="0" applyFont="1" applyFill="1" applyAlignment="1">
      <alignment/>
    </xf>
    <xf numFmtId="0" fontId="0" fillId="0" borderId="0" xfId="0" applyBorder="1" applyAlignment="1">
      <alignment horizontal="center" wrapText="1"/>
    </xf>
    <xf numFmtId="0" fontId="0" fillId="0" borderId="0" xfId="0" applyBorder="1" applyAlignment="1">
      <alignment wrapText="1"/>
    </xf>
    <xf numFmtId="0" fontId="0" fillId="0" borderId="6" xfId="0" applyBorder="1" applyAlignment="1">
      <alignment horizontal="center" wrapText="1"/>
    </xf>
    <xf numFmtId="0" fontId="0" fillId="0" borderId="6" xfId="0" applyBorder="1" applyAlignment="1">
      <alignment wrapText="1"/>
    </xf>
    <xf numFmtId="0" fontId="0" fillId="0" borderId="0" xfId="0" applyAlignment="1">
      <alignment wrapText="1"/>
    </xf>
    <xf numFmtId="0" fontId="4" fillId="0" borderId="0" xfId="0" applyFont="1" applyAlignment="1" applyProtection="1">
      <alignment/>
      <protection hidden="1"/>
    </xf>
    <xf numFmtId="0" fontId="0" fillId="0" borderId="0" xfId="0" applyFont="1" applyAlignment="1" applyProtection="1">
      <alignment/>
      <protection hidden="1"/>
    </xf>
    <xf numFmtId="0" fontId="0" fillId="0" borderId="0" xfId="0" applyAlignment="1" applyProtection="1">
      <alignment/>
      <protection hidden="1"/>
    </xf>
    <xf numFmtId="0" fontId="16" fillId="0" borderId="0" xfId="0" applyFont="1" applyAlignment="1" applyProtection="1">
      <alignment/>
      <protection hidden="1"/>
    </xf>
    <xf numFmtId="0" fontId="4" fillId="0" borderId="0" xfId="0" applyFont="1" applyAlignment="1" applyProtection="1">
      <alignment horizontal="center"/>
      <protection hidden="1"/>
    </xf>
    <xf numFmtId="0" fontId="4" fillId="3" borderId="0" xfId="0" applyFont="1" applyFill="1" applyAlignment="1" applyProtection="1" quotePrefix="1">
      <alignment/>
      <protection hidden="1"/>
    </xf>
    <xf numFmtId="0" fontId="0" fillId="8" borderId="0" xfId="0" applyFill="1" applyAlignment="1" applyProtection="1">
      <alignment/>
      <protection hidden="1"/>
    </xf>
    <xf numFmtId="173" fontId="0" fillId="0" borderId="0" xfId="0" applyNumberFormat="1" applyAlignment="1" applyProtection="1">
      <alignment/>
      <protection hidden="1"/>
    </xf>
    <xf numFmtId="0" fontId="4" fillId="3" borderId="0" xfId="0" applyFont="1" applyFill="1" applyAlignment="1" applyProtection="1">
      <alignment/>
      <protection hidden="1"/>
    </xf>
    <xf numFmtId="0" fontId="15" fillId="3" borderId="0" xfId="0" applyFont="1" applyFill="1" applyAlignment="1" applyProtection="1">
      <alignment/>
      <protection hidden="1"/>
    </xf>
    <xf numFmtId="173" fontId="0" fillId="0" borderId="0" xfId="0" applyNumberFormat="1" applyAlignment="1" applyProtection="1">
      <alignment/>
      <protection locked="0"/>
    </xf>
    <xf numFmtId="0" fontId="0" fillId="0" borderId="0" xfId="0" applyFill="1" applyAlignment="1" applyProtection="1">
      <alignment/>
      <protection hidden="1"/>
    </xf>
    <xf numFmtId="172" fontId="0" fillId="0" borderId="0" xfId="15" applyNumberFormat="1" applyFill="1" applyAlignment="1" applyProtection="1">
      <alignment/>
      <protection hidden="1"/>
    </xf>
    <xf numFmtId="0" fontId="16" fillId="0" borderId="0" xfId="0" applyFont="1" applyFill="1" applyAlignment="1" applyProtection="1">
      <alignment/>
      <protection hidden="1"/>
    </xf>
    <xf numFmtId="44" fontId="0" fillId="0" borderId="0" xfId="17" applyFill="1" applyAlignment="1" applyProtection="1">
      <alignment/>
      <protection hidden="1"/>
    </xf>
    <xf numFmtId="0" fontId="4" fillId="0" borderId="0" xfId="0" applyFont="1" applyFill="1" applyAlignment="1" applyProtection="1" quotePrefix="1">
      <alignment/>
      <protection hidden="1"/>
    </xf>
    <xf numFmtId="165" fontId="0" fillId="0" borderId="0" xfId="0" applyNumberFormat="1" applyAlignment="1">
      <alignment/>
    </xf>
    <xf numFmtId="0" fontId="6" fillId="0" borderId="0" xfId="0" applyFont="1" applyFill="1" applyBorder="1" applyAlignment="1">
      <alignment horizontal="right"/>
    </xf>
    <xf numFmtId="0" fontId="4" fillId="0" borderId="0" xfId="0" applyFont="1" applyAlignment="1" applyProtection="1">
      <alignment horizontal="centerContinuous"/>
      <protection hidden="1"/>
    </xf>
    <xf numFmtId="0" fontId="0" fillId="0" borderId="0" xfId="0" applyFont="1" applyBorder="1" applyAlignment="1">
      <alignment/>
    </xf>
    <xf numFmtId="0" fontId="4" fillId="0" borderId="0" xfId="0" applyFont="1" applyFill="1" applyBorder="1" applyAlignment="1">
      <alignment/>
    </xf>
    <xf numFmtId="16" fontId="0" fillId="0" borderId="0" xfId="0" applyNumberFormat="1" applyAlignment="1">
      <alignment/>
    </xf>
    <xf numFmtId="0" fontId="11" fillId="0" borderId="0" xfId="0" applyFont="1" applyBorder="1" applyAlignment="1">
      <alignment/>
    </xf>
    <xf numFmtId="0" fontId="11" fillId="0" borderId="0" xfId="0" applyFont="1" applyAlignment="1">
      <alignment/>
    </xf>
    <xf numFmtId="164" fontId="0" fillId="0" borderId="0" xfId="0" applyNumberFormat="1" applyFont="1" applyFill="1" applyBorder="1" applyAlignment="1">
      <alignment horizontal="right"/>
    </xf>
    <xf numFmtId="37" fontId="0" fillId="0" borderId="0" xfId="0" applyNumberFormat="1" applyFont="1" applyFill="1" applyBorder="1" applyAlignment="1">
      <alignment horizontal="right"/>
    </xf>
    <xf numFmtId="43" fontId="0" fillId="5" borderId="0" xfId="15" applyNumberFormat="1" applyFill="1" applyAlignment="1">
      <alignment/>
    </xf>
    <xf numFmtId="43" fontId="0" fillId="6" borderId="0" xfId="0" applyNumberFormat="1" applyFont="1" applyFill="1" applyAlignment="1">
      <alignment horizontal="center"/>
    </xf>
    <xf numFmtId="43" fontId="0" fillId="7" borderId="0" xfId="0" applyNumberFormat="1" applyFont="1" applyFill="1" applyAlignment="1">
      <alignment horizontal="center"/>
    </xf>
    <xf numFmtId="2" fontId="0" fillId="0" borderId="0" xfId="0" applyNumberFormat="1" applyAlignment="1">
      <alignment/>
    </xf>
    <xf numFmtId="173" fontId="0" fillId="0" borderId="0" xfId="17" applyNumberFormat="1" applyFill="1" applyAlignment="1" applyProtection="1">
      <alignment/>
      <protection hidden="1"/>
    </xf>
    <xf numFmtId="0" fontId="0" fillId="0" borderId="0" xfId="0" applyFill="1" applyAlignment="1">
      <alignment horizontal="center"/>
    </xf>
    <xf numFmtId="0" fontId="1" fillId="0" borderId="0" xfId="0" applyFont="1" applyFill="1" applyBorder="1" applyAlignment="1">
      <alignment horizontal="left" vertical="top"/>
    </xf>
    <xf numFmtId="43" fontId="0" fillId="0" borderId="0" xfId="0" applyNumberFormat="1" applyFont="1" applyFill="1" applyAlignment="1">
      <alignment horizontal="center"/>
    </xf>
    <xf numFmtId="43" fontId="0" fillId="0" borderId="0" xfId="15" applyNumberFormat="1" applyFill="1" applyAlignment="1">
      <alignment/>
    </xf>
    <xf numFmtId="0" fontId="2" fillId="0" borderId="0" xfId="0" applyFont="1" applyFill="1" applyBorder="1" applyAlignment="1">
      <alignment horizontal="center" vertical="center"/>
    </xf>
    <xf numFmtId="14" fontId="0" fillId="0" borderId="0" xfId="0" applyNumberFormat="1" applyAlignment="1">
      <alignment/>
    </xf>
    <xf numFmtId="0" fontId="0" fillId="0" borderId="7" xfId="0" applyFont="1" applyFill="1" applyBorder="1" applyAlignment="1">
      <alignment horizontal="center"/>
    </xf>
    <xf numFmtId="0" fontId="0" fillId="0" borderId="3" xfId="0" applyFont="1" applyFill="1" applyBorder="1" applyAlignment="1">
      <alignment/>
    </xf>
    <xf numFmtId="0" fontId="0" fillId="0" borderId="0" xfId="0" applyAlignment="1">
      <alignment horizontal="left"/>
    </xf>
    <xf numFmtId="0" fontId="0" fillId="0" borderId="2" xfId="0" applyFont="1" applyFill="1" applyBorder="1" applyAlignment="1">
      <alignment horizontal="center" vertical="center"/>
    </xf>
    <xf numFmtId="0" fontId="0" fillId="0" borderId="0" xfId="0" applyFont="1" applyBorder="1" applyAlignment="1">
      <alignment horizontal="center"/>
    </xf>
    <xf numFmtId="0" fontId="0" fillId="2" borderId="0" xfId="0" applyFont="1" applyFill="1" applyBorder="1" applyAlignment="1">
      <alignment/>
    </xf>
    <xf numFmtId="0" fontId="0" fillId="0" borderId="8" xfId="0" applyFont="1" applyFill="1" applyBorder="1" applyAlignment="1">
      <alignment horizontal="center" vertical="center"/>
    </xf>
    <xf numFmtId="0" fontId="0" fillId="0" borderId="1" xfId="0" applyFont="1" applyFill="1" applyBorder="1" applyAlignment="1">
      <alignment horizontal="left"/>
    </xf>
    <xf numFmtId="0" fontId="5" fillId="0" borderId="7" xfId="0" applyFont="1" applyFill="1" applyBorder="1" applyAlignment="1">
      <alignment/>
    </xf>
    <xf numFmtId="0" fontId="0" fillId="0" borderId="3" xfId="0" applyFont="1" applyFill="1" applyBorder="1" applyAlignment="1">
      <alignment horizontal="left"/>
    </xf>
    <xf numFmtId="0" fontId="0" fillId="0" borderId="9" xfId="0" applyFont="1" applyFill="1" applyBorder="1" applyAlignment="1">
      <alignment horizontal="left"/>
    </xf>
    <xf numFmtId="0" fontId="0" fillId="0" borderId="10" xfId="0" applyFont="1" applyFill="1" applyBorder="1" applyAlignment="1">
      <alignment horizontal="center"/>
    </xf>
    <xf numFmtId="0" fontId="0" fillId="0" borderId="10" xfId="0" applyFont="1" applyFill="1" applyBorder="1" applyAlignment="1">
      <alignment/>
    </xf>
    <xf numFmtId="0" fontId="5" fillId="0" borderId="10" xfId="0" applyFont="1" applyFill="1" applyBorder="1" applyAlignment="1">
      <alignment/>
    </xf>
    <xf numFmtId="42" fontId="0" fillId="0" borderId="0" xfId="17" applyNumberFormat="1" applyAlignment="1" applyProtection="1">
      <alignment/>
      <protection hidden="1"/>
    </xf>
    <xf numFmtId="1" fontId="0" fillId="0" borderId="0" xfId="0" applyNumberFormat="1" applyAlignment="1">
      <alignment horizontal="left"/>
    </xf>
    <xf numFmtId="0" fontId="0" fillId="0" borderId="11" xfId="0"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6" fillId="0" borderId="12" xfId="0" applyFont="1" applyFill="1" applyBorder="1" applyAlignment="1">
      <alignment horizontal="right"/>
    </xf>
    <xf numFmtId="0" fontId="6" fillId="0" borderId="6" xfId="0" applyFont="1" applyFill="1" applyBorder="1" applyAlignment="1">
      <alignment horizontal="right"/>
    </xf>
    <xf numFmtId="165" fontId="0" fillId="0" borderId="0" xfId="21" applyNumberFormat="1" applyAlignment="1">
      <alignment/>
    </xf>
    <xf numFmtId="173" fontId="0" fillId="0" borderId="0" xfId="17" applyNumberFormat="1" applyFont="1" applyAlignment="1" applyProtection="1">
      <alignment/>
      <protection hidden="1"/>
    </xf>
    <xf numFmtId="179" fontId="0" fillId="0" borderId="0" xfId="0" applyNumberFormat="1" applyAlignment="1">
      <alignment/>
    </xf>
    <xf numFmtId="2" fontId="0" fillId="0" borderId="0" xfId="0" applyNumberFormat="1" applyFill="1" applyBorder="1" applyAlignment="1">
      <alignment/>
    </xf>
    <xf numFmtId="0" fontId="4" fillId="0" borderId="0" xfId="0" applyFont="1" applyBorder="1" applyAlignment="1">
      <alignment/>
    </xf>
    <xf numFmtId="44" fontId="0" fillId="0" borderId="0" xfId="17" applyNumberFormat="1" applyFill="1" applyAlignment="1" applyProtection="1">
      <alignment/>
      <protection hidden="1"/>
    </xf>
    <xf numFmtId="2" fontId="0" fillId="0" borderId="0" xfId="15" applyNumberFormat="1" applyAlignment="1" applyProtection="1">
      <alignment/>
      <protection hidden="1"/>
    </xf>
    <xf numFmtId="43" fontId="0" fillId="0" borderId="0" xfId="15" applyNumberFormat="1" applyFill="1" applyBorder="1" applyAlignment="1">
      <alignment/>
    </xf>
    <xf numFmtId="43" fontId="0" fillId="0" borderId="0" xfId="0" applyNumberFormat="1" applyFont="1" applyFill="1" applyBorder="1" applyAlignment="1">
      <alignment horizontal="center"/>
    </xf>
    <xf numFmtId="0" fontId="0" fillId="0" borderId="0" xfId="0" applyNumberFormat="1" applyFill="1" applyBorder="1" applyAlignment="1">
      <alignment/>
    </xf>
    <xf numFmtId="0" fontId="0" fillId="0" borderId="0" xfId="0" applyFill="1" applyBorder="1" applyAlignment="1">
      <alignment horizontal="center" vertical="center"/>
    </xf>
    <xf numFmtId="0" fontId="0" fillId="0" borderId="0" xfId="0" applyFont="1" applyFill="1" applyBorder="1" applyAlignment="1">
      <alignment/>
    </xf>
    <xf numFmtId="172" fontId="0" fillId="5" borderId="0" xfId="15" applyNumberFormat="1" applyFont="1" applyFill="1" applyAlignment="1">
      <alignment horizontal="center"/>
    </xf>
    <xf numFmtId="0" fontId="0" fillId="5" borderId="0" xfId="0" applyFill="1" applyAlignment="1">
      <alignment/>
    </xf>
    <xf numFmtId="0" fontId="23" fillId="0" borderId="0" xfId="0" applyFont="1" applyFill="1" applyBorder="1" applyAlignment="1">
      <alignment/>
    </xf>
    <xf numFmtId="9" fontId="0" fillId="0" borderId="0" xfId="0" applyNumberFormat="1" applyFont="1" applyFill="1" applyBorder="1" applyAlignment="1">
      <alignment/>
    </xf>
    <xf numFmtId="173" fontId="0" fillId="0" borderId="0" xfId="17" applyNumberFormat="1" applyAlignment="1">
      <alignment/>
    </xf>
    <xf numFmtId="1" fontId="0" fillId="5" borderId="0" xfId="0" applyNumberFormat="1" applyFill="1" applyAlignment="1">
      <alignment/>
    </xf>
    <xf numFmtId="172" fontId="0" fillId="0" borderId="0" xfId="0" applyNumberFormat="1" applyAlignment="1">
      <alignment/>
    </xf>
    <xf numFmtId="173" fontId="0" fillId="0" borderId="0" xfId="17" applyNumberFormat="1" applyAlignment="1" applyProtection="1">
      <alignment/>
      <protection locked="0"/>
    </xf>
    <xf numFmtId="176" fontId="0" fillId="0" borderId="0" xfId="15" applyNumberFormat="1" applyFont="1" applyAlignment="1">
      <alignment horizontal="right"/>
    </xf>
    <xf numFmtId="0" fontId="31" fillId="0" borderId="0" xfId="0" applyFont="1" applyAlignment="1">
      <alignment/>
    </xf>
    <xf numFmtId="0" fontId="1" fillId="0" borderId="0" xfId="0" applyFont="1" applyAlignment="1">
      <alignment/>
    </xf>
    <xf numFmtId="0" fontId="3" fillId="0" borderId="0" xfId="0" applyFont="1" applyAlignment="1">
      <alignment/>
    </xf>
    <xf numFmtId="0" fontId="5" fillId="0" borderId="0" xfId="0" applyFont="1" applyBorder="1" applyAlignment="1">
      <alignment horizontal="center" wrapText="1"/>
    </xf>
    <xf numFmtId="0" fontId="13" fillId="3" borderId="0" xfId="0" applyFont="1" applyFill="1" applyAlignment="1" quotePrefix="1">
      <alignment/>
    </xf>
    <xf numFmtId="0" fontId="13" fillId="3" borderId="0" xfId="0" applyFont="1" applyFill="1" applyAlignment="1">
      <alignment/>
    </xf>
    <xf numFmtId="0" fontId="32" fillId="3" borderId="0" xfId="0" applyFont="1" applyFill="1" applyAlignment="1">
      <alignment/>
    </xf>
    <xf numFmtId="0" fontId="12" fillId="8" borderId="0" xfId="0" applyFont="1" applyFill="1" applyAlignment="1">
      <alignment/>
    </xf>
    <xf numFmtId="172" fontId="12" fillId="8" borderId="0" xfId="15" applyNumberFormat="1" applyFont="1" applyFill="1" applyAlignment="1">
      <alignment horizontal="right"/>
    </xf>
    <xf numFmtId="44" fontId="12" fillId="8" borderId="0" xfId="17" applyNumberFormat="1" applyFont="1" applyFill="1" applyAlignment="1" applyProtection="1">
      <alignment/>
      <protection hidden="1"/>
    </xf>
    <xf numFmtId="173" fontId="12" fillId="8" borderId="0" xfId="17" applyNumberFormat="1" applyFont="1" applyFill="1" applyAlignment="1" applyProtection="1">
      <alignment/>
      <protection hidden="1"/>
    </xf>
    <xf numFmtId="0" fontId="13" fillId="8" borderId="0" xfId="0" applyFont="1" applyFill="1" applyAlignment="1">
      <alignment/>
    </xf>
    <xf numFmtId="3" fontId="0" fillId="9" borderId="0" xfId="0" applyNumberFormat="1" applyFont="1" applyFill="1" applyAlignment="1">
      <alignment horizontal="center"/>
    </xf>
    <xf numFmtId="3" fontId="0" fillId="0" borderId="0" xfId="0" applyNumberFormat="1" applyAlignment="1">
      <alignment/>
    </xf>
    <xf numFmtId="4" fontId="0" fillId="9" borderId="0" xfId="0" applyNumberFormat="1" applyFont="1" applyFill="1" applyAlignment="1">
      <alignment horizontal="center"/>
    </xf>
    <xf numFmtId="172" fontId="0" fillId="0" borderId="0" xfId="15" applyNumberFormat="1" applyFont="1" applyAlignment="1">
      <alignment horizontal="center"/>
    </xf>
    <xf numFmtId="0" fontId="33" fillId="0" borderId="0" xfId="0" applyFont="1" applyAlignment="1">
      <alignment/>
    </xf>
    <xf numFmtId="0" fontId="26" fillId="2" borderId="0" xfId="0" applyFont="1" applyFill="1" applyBorder="1" applyAlignment="1">
      <alignment/>
    </xf>
    <xf numFmtId="0" fontId="19" fillId="2" borderId="0" xfId="0" applyFont="1" applyFill="1" applyBorder="1" applyAlignment="1">
      <alignment/>
    </xf>
    <xf numFmtId="0" fontId="19" fillId="2" borderId="0" xfId="0" applyFont="1" applyFill="1" applyBorder="1" applyAlignment="1">
      <alignment vertical="center"/>
    </xf>
    <xf numFmtId="0" fontId="0" fillId="2" borderId="0" xfId="0" applyFont="1" applyFill="1" applyBorder="1" applyAlignment="1">
      <alignment vertical="center"/>
    </xf>
    <xf numFmtId="0" fontId="4" fillId="2" borderId="0" xfId="0" applyFont="1" applyFill="1" applyBorder="1" applyAlignment="1">
      <alignment vertical="center"/>
    </xf>
    <xf numFmtId="0" fontId="27" fillId="2" borderId="0" xfId="0" applyFont="1" applyFill="1" applyBorder="1" applyAlignment="1">
      <alignment/>
    </xf>
    <xf numFmtId="0" fontId="0" fillId="2" borderId="0" xfId="0" applyFill="1" applyBorder="1" applyAlignment="1" applyProtection="1">
      <alignment/>
      <protection locked="0"/>
    </xf>
    <xf numFmtId="0" fontId="19" fillId="2" borderId="0" xfId="0" applyFont="1" applyFill="1" applyBorder="1" applyAlignment="1" applyProtection="1">
      <alignment/>
      <protection locked="0"/>
    </xf>
    <xf numFmtId="0" fontId="0" fillId="2" borderId="0" xfId="0" applyFont="1" applyFill="1" applyBorder="1" applyAlignment="1" applyProtection="1">
      <alignment/>
      <protection locked="0"/>
    </xf>
    <xf numFmtId="0" fontId="0" fillId="2" borderId="0" xfId="0" applyFont="1" applyFill="1" applyBorder="1" applyAlignment="1">
      <alignment/>
    </xf>
    <xf numFmtId="0" fontId="25" fillId="2" borderId="0" xfId="0" applyFont="1" applyFill="1" applyBorder="1" applyAlignment="1">
      <alignment/>
    </xf>
    <xf numFmtId="0" fontId="36" fillId="2" borderId="0" xfId="0" applyFont="1" applyFill="1" applyAlignment="1">
      <alignment horizontal="right"/>
    </xf>
    <xf numFmtId="0" fontId="10" fillId="2" borderId="0" xfId="0" applyFont="1" applyFill="1" applyAlignment="1">
      <alignment/>
    </xf>
    <xf numFmtId="0" fontId="0" fillId="2" borderId="0" xfId="0" applyFill="1" applyBorder="1" applyAlignment="1" applyProtection="1">
      <alignment horizontal="left"/>
      <protection locked="0"/>
    </xf>
    <xf numFmtId="0" fontId="0" fillId="10" borderId="0" xfId="0" applyFill="1" applyBorder="1" applyAlignment="1" applyProtection="1">
      <alignment horizontal="right"/>
      <protection locked="0"/>
    </xf>
    <xf numFmtId="0" fontId="0" fillId="2" borderId="0" xfId="0" applyFill="1" applyBorder="1" applyAlignment="1">
      <alignment horizontal="left"/>
    </xf>
    <xf numFmtId="0" fontId="12" fillId="2" borderId="0" xfId="0" applyFont="1" applyFill="1" applyBorder="1" applyAlignment="1">
      <alignment/>
    </xf>
    <xf numFmtId="3" fontId="12" fillId="2" borderId="0" xfId="15" applyNumberFormat="1" applyFont="1" applyFill="1" applyBorder="1" applyAlignment="1" applyProtection="1">
      <alignment horizontal="right"/>
      <protection locked="0"/>
    </xf>
    <xf numFmtId="0" fontId="13" fillId="2" borderId="0" xfId="0" applyFont="1" applyFill="1" applyBorder="1" applyAlignment="1">
      <alignment/>
    </xf>
    <xf numFmtId="1" fontId="12" fillId="2" borderId="0" xfId="0" applyNumberFormat="1" applyFont="1" applyFill="1" applyBorder="1" applyAlignment="1">
      <alignment/>
    </xf>
    <xf numFmtId="0" fontId="27" fillId="2" borderId="0" xfId="0" applyFont="1" applyFill="1" applyBorder="1" applyAlignment="1">
      <alignment horizontal="left"/>
    </xf>
    <xf numFmtId="0" fontId="10" fillId="2" borderId="0" xfId="0" applyFont="1" applyFill="1" applyBorder="1" applyAlignment="1">
      <alignment/>
    </xf>
    <xf numFmtId="0" fontId="25" fillId="2" borderId="0" xfId="0" applyFont="1" applyFill="1" applyBorder="1" applyAlignment="1">
      <alignment horizontal="center"/>
    </xf>
    <xf numFmtId="0" fontId="23" fillId="2" borderId="0" xfId="0" applyFont="1" applyFill="1" applyBorder="1" applyAlignment="1">
      <alignment/>
    </xf>
    <xf numFmtId="0" fontId="0" fillId="2" borderId="0" xfId="0" applyFont="1" applyFill="1" applyBorder="1" applyAlignment="1">
      <alignment horizontal="center"/>
    </xf>
    <xf numFmtId="0" fontId="28" fillId="2" borderId="0" xfId="0" applyFont="1" applyFill="1" applyAlignment="1">
      <alignment/>
    </xf>
    <xf numFmtId="0" fontId="0" fillId="2" borderId="0" xfId="0" applyFill="1" applyAlignment="1">
      <alignment/>
    </xf>
    <xf numFmtId="0" fontId="0" fillId="2" borderId="3" xfId="0" applyFont="1" applyFill="1" applyBorder="1" applyAlignment="1">
      <alignment vertical="center"/>
    </xf>
    <xf numFmtId="0" fontId="19" fillId="2" borderId="0" xfId="0" applyFont="1" applyFill="1" applyBorder="1" applyAlignment="1">
      <alignment vertical="center" wrapText="1"/>
    </xf>
    <xf numFmtId="0" fontId="0" fillId="2" borderId="0" xfId="0" applyFont="1" applyFill="1" applyBorder="1" applyAlignment="1">
      <alignment vertical="center" wrapText="1"/>
    </xf>
    <xf numFmtId="0" fontId="4" fillId="2" borderId="0" xfId="0" applyFont="1" applyFill="1" applyBorder="1" applyAlignment="1">
      <alignment vertical="center" wrapText="1"/>
    </xf>
    <xf numFmtId="0" fontId="0" fillId="2" borderId="0" xfId="0" applyFill="1" applyBorder="1" applyAlignment="1">
      <alignment/>
    </xf>
    <xf numFmtId="0" fontId="19" fillId="2" borderId="0" xfId="0" applyFont="1" applyFill="1" applyBorder="1" applyAlignment="1">
      <alignment/>
    </xf>
    <xf numFmtId="0" fontId="30" fillId="2" borderId="0" xfId="0" applyFont="1" applyFill="1" applyBorder="1" applyAlignment="1">
      <alignment/>
    </xf>
    <xf numFmtId="0" fontId="0" fillId="2" borderId="15" xfId="0" applyFill="1" applyBorder="1" applyAlignment="1">
      <alignment/>
    </xf>
    <xf numFmtId="0" fontId="0" fillId="2" borderId="16" xfId="0" applyFill="1" applyBorder="1" applyAlignment="1">
      <alignment/>
    </xf>
    <xf numFmtId="0" fontId="0" fillId="2" borderId="17" xfId="0" applyFill="1" applyBorder="1" applyAlignment="1">
      <alignment/>
    </xf>
    <xf numFmtId="0" fontId="0" fillId="2" borderId="18" xfId="0" applyFill="1" applyBorder="1" applyAlignment="1">
      <alignment/>
    </xf>
    <xf numFmtId="0" fontId="0" fillId="2" borderId="17" xfId="0" applyFont="1" applyFill="1" applyBorder="1" applyAlignment="1">
      <alignment/>
    </xf>
    <xf numFmtId="0" fontId="31" fillId="2" borderId="13" xfId="0" applyFont="1" applyFill="1" applyBorder="1" applyAlignment="1">
      <alignment horizontal="right"/>
    </xf>
    <xf numFmtId="0" fontId="37" fillId="2" borderId="14" xfId="0" applyFont="1" applyFill="1" applyBorder="1" applyAlignment="1">
      <alignment horizontal="right"/>
    </xf>
    <xf numFmtId="0" fontId="0" fillId="2" borderId="6" xfId="0" applyFont="1" applyFill="1" applyBorder="1" applyAlignment="1">
      <alignment/>
    </xf>
    <xf numFmtId="0" fontId="29" fillId="2" borderId="0" xfId="0" applyFont="1" applyFill="1" applyBorder="1" applyAlignment="1">
      <alignment/>
    </xf>
    <xf numFmtId="0" fontId="19" fillId="2" borderId="0" xfId="0" applyFont="1" applyFill="1" applyAlignment="1">
      <alignment/>
    </xf>
    <xf numFmtId="0" fontId="1" fillId="2" borderId="0" xfId="0" applyFont="1" applyFill="1" applyAlignment="1" applyProtection="1">
      <alignment/>
      <protection hidden="1" locked="0"/>
    </xf>
    <xf numFmtId="0" fontId="0" fillId="2" borderId="7" xfId="0" applyFill="1" applyBorder="1" applyAlignment="1">
      <alignment/>
    </xf>
    <xf numFmtId="0" fontId="0" fillId="2" borderId="3" xfId="0" applyFill="1" applyBorder="1" applyAlignment="1">
      <alignment/>
    </xf>
    <xf numFmtId="0" fontId="0" fillId="2" borderId="0" xfId="0" applyFont="1" applyFill="1" applyAlignment="1">
      <alignment/>
    </xf>
    <xf numFmtId="0" fontId="6" fillId="2" borderId="0" xfId="0" applyFont="1" applyFill="1" applyBorder="1" applyAlignment="1">
      <alignment horizontal="left"/>
    </xf>
    <xf numFmtId="164" fontId="6" fillId="2" borderId="0" xfId="0" applyNumberFormat="1" applyFont="1" applyFill="1" applyBorder="1" applyAlignment="1">
      <alignment horizontal="left"/>
    </xf>
    <xf numFmtId="0" fontId="5" fillId="2" borderId="0" xfId="0" applyFont="1" applyFill="1" applyBorder="1" applyAlignment="1">
      <alignment horizontal="left"/>
    </xf>
    <xf numFmtId="0" fontId="25" fillId="2" borderId="3" xfId="0" applyFont="1" applyFill="1" applyBorder="1" applyAlignment="1">
      <alignment/>
    </xf>
    <xf numFmtId="0" fontId="4" fillId="2" borderId="0" xfId="0" applyFont="1" applyFill="1" applyAlignment="1">
      <alignment/>
    </xf>
    <xf numFmtId="0" fontId="4" fillId="0" borderId="19" xfId="0" applyFont="1" applyFill="1" applyBorder="1" applyAlignment="1">
      <alignment horizontal="left" vertical="center"/>
    </xf>
    <xf numFmtId="0" fontId="23" fillId="0" borderId="12" xfId="0" applyFont="1" applyFill="1" applyBorder="1" applyAlignment="1">
      <alignment/>
    </xf>
    <xf numFmtId="0" fontId="0" fillId="0" borderId="12" xfId="0" applyFill="1" applyBorder="1" applyAlignment="1">
      <alignment/>
    </xf>
    <xf numFmtId="0" fontId="0" fillId="0" borderId="12" xfId="0" applyFill="1" applyBorder="1" applyAlignment="1">
      <alignment/>
    </xf>
    <xf numFmtId="0" fontId="0" fillId="0" borderId="13" xfId="0" applyFill="1" applyBorder="1" applyAlignment="1">
      <alignment/>
    </xf>
    <xf numFmtId="44" fontId="0" fillId="0" borderId="20" xfId="0" applyNumberFormat="1" applyFill="1" applyBorder="1" applyAlignment="1">
      <alignment/>
    </xf>
    <xf numFmtId="0" fontId="0" fillId="0" borderId="14" xfId="0" applyFill="1" applyBorder="1" applyAlignment="1">
      <alignment/>
    </xf>
    <xf numFmtId="0" fontId="23" fillId="0" borderId="6" xfId="0" applyFont="1" applyFill="1" applyBorder="1" applyAlignment="1">
      <alignment/>
    </xf>
    <xf numFmtId="0" fontId="0" fillId="0" borderId="6" xfId="0" applyFill="1" applyBorder="1" applyAlignment="1">
      <alignment/>
    </xf>
    <xf numFmtId="43" fontId="0" fillId="0" borderId="21" xfId="15" applyNumberFormat="1" applyFill="1" applyBorder="1" applyAlignment="1">
      <alignment/>
    </xf>
    <xf numFmtId="0" fontId="24" fillId="0" borderId="13" xfId="0" applyFont="1" applyBorder="1" applyAlignment="1">
      <alignment horizontal="left"/>
    </xf>
    <xf numFmtId="0" fontId="0" fillId="0" borderId="20" xfId="0" applyFill="1" applyBorder="1" applyAlignment="1">
      <alignment/>
    </xf>
    <xf numFmtId="0" fontId="6" fillId="0" borderId="13" xfId="0" applyFont="1" applyFill="1" applyBorder="1" applyAlignment="1">
      <alignment horizontal="left"/>
    </xf>
    <xf numFmtId="2" fontId="0" fillId="0" borderId="20" xfId="0" applyNumberFormat="1" applyFill="1" applyBorder="1" applyAlignment="1">
      <alignment/>
    </xf>
    <xf numFmtId="2" fontId="6" fillId="0" borderId="20" xfId="0" applyNumberFormat="1" applyFont="1" applyFill="1" applyBorder="1" applyAlignment="1">
      <alignment horizontal="right"/>
    </xf>
    <xf numFmtId="0" fontId="9" fillId="0" borderId="13" xfId="0" applyFont="1" applyFill="1" applyBorder="1" applyAlignment="1">
      <alignment horizontal="left"/>
    </xf>
    <xf numFmtId="37" fontId="0" fillId="0" borderId="20" xfId="0" applyNumberFormat="1" applyFill="1" applyBorder="1" applyAlignment="1">
      <alignment/>
    </xf>
    <xf numFmtId="0" fontId="6" fillId="0" borderId="20" xfId="0" applyFont="1" applyFill="1" applyBorder="1" applyAlignment="1">
      <alignment horizontal="right"/>
    </xf>
    <xf numFmtId="0" fontId="6" fillId="0" borderId="14" xfId="0" applyFont="1" applyFill="1" applyBorder="1" applyAlignment="1">
      <alignment horizontal="left"/>
    </xf>
    <xf numFmtId="0" fontId="0" fillId="0" borderId="6" xfId="0" applyFont="1" applyFill="1" applyBorder="1" applyAlignment="1">
      <alignment horizontal="left"/>
    </xf>
    <xf numFmtId="37" fontId="0" fillId="0" borderId="21" xfId="0" applyNumberFormat="1" applyFill="1" applyBorder="1" applyAlignment="1">
      <alignment/>
    </xf>
    <xf numFmtId="0" fontId="6" fillId="2" borderId="13" xfId="0" applyFont="1" applyFill="1" applyBorder="1" applyAlignment="1">
      <alignment horizontal="left"/>
    </xf>
    <xf numFmtId="2" fontId="0" fillId="2" borderId="20" xfId="0" applyNumberFormat="1" applyFill="1" applyBorder="1" applyAlignment="1">
      <alignment/>
    </xf>
    <xf numFmtId="0" fontId="0" fillId="0" borderId="22" xfId="0" applyFont="1" applyFill="1" applyBorder="1" applyAlignment="1">
      <alignment horizontal="left"/>
    </xf>
    <xf numFmtId="2" fontId="0" fillId="0" borderId="23" xfId="0" applyNumberFormat="1" applyFill="1" applyBorder="1" applyAlignment="1">
      <alignment/>
    </xf>
    <xf numFmtId="2" fontId="0" fillId="2" borderId="24" xfId="0" applyNumberFormat="1" applyFill="1" applyBorder="1" applyAlignment="1">
      <alignment/>
    </xf>
    <xf numFmtId="0" fontId="4" fillId="2" borderId="19" xfId="0" applyFont="1" applyFill="1" applyBorder="1" applyAlignment="1">
      <alignment horizontal="left"/>
    </xf>
    <xf numFmtId="0" fontId="0" fillId="2" borderId="12" xfId="0" applyFill="1" applyBorder="1" applyAlignment="1">
      <alignment/>
    </xf>
    <xf numFmtId="164" fontId="6" fillId="2" borderId="12" xfId="0" applyNumberFormat="1" applyFont="1" applyFill="1" applyBorder="1" applyAlignment="1">
      <alignment horizontal="left"/>
    </xf>
    <xf numFmtId="0" fontId="6" fillId="0" borderId="25" xfId="0" applyFont="1" applyFill="1" applyBorder="1" applyAlignment="1">
      <alignment horizontal="left"/>
    </xf>
    <xf numFmtId="0" fontId="23" fillId="0" borderId="26" xfId="0" applyFont="1" applyFill="1" applyBorder="1" applyAlignment="1">
      <alignment/>
    </xf>
    <xf numFmtId="0" fontId="0" fillId="0" borderId="26" xfId="0" applyFont="1" applyFill="1" applyBorder="1" applyAlignment="1">
      <alignment horizontal="left"/>
    </xf>
    <xf numFmtId="2" fontId="0" fillId="0" borderId="24" xfId="0" applyNumberFormat="1" applyFill="1" applyBorder="1" applyAlignment="1">
      <alignment/>
    </xf>
    <xf numFmtId="0" fontId="0" fillId="2" borderId="20" xfId="0" applyFill="1" applyBorder="1" applyAlignment="1">
      <alignment/>
    </xf>
    <xf numFmtId="1" fontId="0" fillId="0" borderId="23" xfId="0" applyNumberFormat="1" applyFill="1" applyBorder="1" applyAlignment="1">
      <alignment/>
    </xf>
    <xf numFmtId="0" fontId="4" fillId="0" borderId="19" xfId="0" applyFont="1" applyFill="1" applyBorder="1" applyAlignment="1">
      <alignment horizontal="left"/>
    </xf>
    <xf numFmtId="0" fontId="0" fillId="0" borderId="12" xfId="0" applyBorder="1" applyAlignment="1">
      <alignment/>
    </xf>
    <xf numFmtId="172" fontId="0" fillId="0" borderId="20" xfId="15" applyNumberFormat="1" applyFill="1" applyBorder="1" applyAlignment="1">
      <alignment/>
    </xf>
    <xf numFmtId="0" fontId="0" fillId="0" borderId="6" xfId="0" applyBorder="1" applyAlignment="1">
      <alignment/>
    </xf>
    <xf numFmtId="9" fontId="0" fillId="0" borderId="21" xfId="21" applyFill="1" applyBorder="1" applyAlignment="1">
      <alignment/>
    </xf>
    <xf numFmtId="0" fontId="4" fillId="0" borderId="19" xfId="0" applyFont="1" applyFill="1" applyBorder="1" applyAlignment="1">
      <alignment/>
    </xf>
    <xf numFmtId="9" fontId="0" fillId="0" borderId="20" xfId="21" applyFill="1" applyBorder="1" applyAlignment="1">
      <alignment/>
    </xf>
    <xf numFmtId="0" fontId="0" fillId="0" borderId="6" xfId="0" applyFont="1" applyBorder="1" applyAlignment="1">
      <alignment/>
    </xf>
    <xf numFmtId="0" fontId="23" fillId="2" borderId="6" xfId="0" applyFont="1" applyFill="1" applyBorder="1" applyAlignment="1">
      <alignment/>
    </xf>
    <xf numFmtId="44" fontId="0" fillId="0" borderId="20" xfId="17" applyFill="1" applyBorder="1" applyAlignment="1">
      <alignment/>
    </xf>
    <xf numFmtId="0" fontId="4" fillId="0" borderId="19" xfId="0" applyFont="1" applyFill="1" applyBorder="1" applyAlignment="1">
      <alignment/>
    </xf>
    <xf numFmtId="44" fontId="0" fillId="0" borderId="21" xfId="17" applyFill="1" applyBorder="1" applyAlignment="1">
      <alignment/>
    </xf>
    <xf numFmtId="0" fontId="0" fillId="0" borderId="25" xfId="0" applyFill="1" applyBorder="1" applyAlignment="1">
      <alignment/>
    </xf>
    <xf numFmtId="0" fontId="0" fillId="0" borderId="26" xfId="0" applyFill="1" applyBorder="1" applyAlignment="1">
      <alignment/>
    </xf>
    <xf numFmtId="44" fontId="0" fillId="0" borderId="24" xfId="17" applyFill="1" applyBorder="1" applyAlignment="1">
      <alignment/>
    </xf>
    <xf numFmtId="0" fontId="0" fillId="0" borderId="25" xfId="0" applyFont="1" applyFill="1" applyBorder="1" applyAlignment="1">
      <alignment/>
    </xf>
    <xf numFmtId="0" fontId="0" fillId="0" borderId="26" xfId="0" applyFont="1" applyBorder="1" applyAlignment="1">
      <alignment/>
    </xf>
    <xf numFmtId="39" fontId="0" fillId="0" borderId="24" xfId="0" applyNumberFormat="1" applyFill="1" applyBorder="1" applyAlignment="1">
      <alignment/>
    </xf>
    <xf numFmtId="43" fontId="0" fillId="0" borderId="20" xfId="15" applyNumberFormat="1" applyBorder="1" applyAlignment="1" applyProtection="1">
      <alignment/>
      <protection hidden="1"/>
    </xf>
    <xf numFmtId="43" fontId="0" fillId="0" borderId="20" xfId="15" applyNumberFormat="1" applyFill="1" applyBorder="1" applyAlignment="1">
      <alignment/>
    </xf>
    <xf numFmtId="43" fontId="0" fillId="0" borderId="21" xfId="15" applyNumberFormat="1" applyBorder="1" applyAlignment="1" applyProtection="1">
      <alignment/>
      <protection hidden="1"/>
    </xf>
    <xf numFmtId="0" fontId="0" fillId="0" borderId="12" xfId="0" applyFont="1" applyBorder="1" applyAlignment="1">
      <alignment/>
    </xf>
    <xf numFmtId="0" fontId="24" fillId="0" borderId="13" xfId="0" applyFont="1" applyFill="1" applyBorder="1" applyAlignment="1">
      <alignment horizontal="left"/>
    </xf>
    <xf numFmtId="2" fontId="0" fillId="0" borderId="20" xfId="0" applyNumberFormat="1" applyBorder="1" applyAlignment="1">
      <alignment/>
    </xf>
    <xf numFmtId="203" fontId="0" fillId="0" borderId="20" xfId="15" applyNumberFormat="1" applyFill="1" applyBorder="1" applyAlignment="1">
      <alignment horizontal="right"/>
    </xf>
    <xf numFmtId="0" fontId="21" fillId="0" borderId="13" xfId="0" applyFont="1" applyFill="1" applyBorder="1" applyAlignment="1">
      <alignment/>
    </xf>
    <xf numFmtId="0" fontId="0" fillId="0" borderId="13" xfId="0" applyFont="1" applyFill="1" applyBorder="1" applyAlignment="1">
      <alignment/>
    </xf>
    <xf numFmtId="41" fontId="0" fillId="0" borderId="20" xfId="0" applyNumberFormat="1" applyFill="1" applyBorder="1" applyAlignment="1">
      <alignment/>
    </xf>
    <xf numFmtId="3" fontId="8" fillId="0" borderId="12" xfId="0" applyNumberFormat="1" applyFont="1" applyFill="1" applyBorder="1" applyAlignment="1">
      <alignment horizontal="left"/>
    </xf>
    <xf numFmtId="0" fontId="4" fillId="0" borderId="27" xfId="0" applyFont="1" applyFill="1" applyBorder="1" applyAlignment="1">
      <alignment horizontal="center"/>
    </xf>
    <xf numFmtId="0" fontId="5" fillId="0" borderId="0" xfId="0" applyFont="1" applyFill="1" applyBorder="1" applyAlignment="1">
      <alignment horizontal="center" wrapText="1"/>
    </xf>
    <xf numFmtId="0" fontId="0" fillId="2" borderId="0" xfId="0" applyFill="1" applyAlignment="1">
      <alignment horizontal="right" vertical="center"/>
    </xf>
    <xf numFmtId="0" fontId="4" fillId="0" borderId="0" xfId="0" applyFont="1" applyFill="1" applyBorder="1" applyAlignment="1">
      <alignment horizontal="center" vertical="center" wrapText="1"/>
    </xf>
    <xf numFmtId="0" fontId="19" fillId="2" borderId="0" xfId="0" applyFont="1" applyFill="1" applyAlignment="1">
      <alignment horizontal="right" vertical="center"/>
    </xf>
    <xf numFmtId="0" fontId="12" fillId="2" borderId="0" xfId="0" applyFont="1" applyFill="1" applyBorder="1" applyAlignment="1">
      <alignment horizontal="center" vertical="center" wrapText="1"/>
    </xf>
    <xf numFmtId="0" fontId="0" fillId="2" borderId="0" xfId="0" applyFill="1" applyAlignment="1">
      <alignment vertical="justify"/>
    </xf>
    <xf numFmtId="0" fontId="4" fillId="11" borderId="18" xfId="0" applyFont="1" applyFill="1" applyBorder="1" applyAlignment="1">
      <alignment horizontal="right"/>
    </xf>
    <xf numFmtId="165" fontId="0" fillId="0" borderId="0" xfId="21" applyNumberFormat="1" applyAlignment="1">
      <alignment horizontal="right"/>
    </xf>
    <xf numFmtId="2" fontId="0" fillId="2" borderId="0" xfId="0" applyNumberFormat="1" applyFill="1" applyBorder="1" applyAlignment="1">
      <alignment/>
    </xf>
    <xf numFmtId="0" fontId="0" fillId="2" borderId="0" xfId="0" applyFont="1" applyFill="1" applyBorder="1" applyAlignment="1">
      <alignment horizontal="left"/>
    </xf>
    <xf numFmtId="173" fontId="12" fillId="0" borderId="0" xfId="17" applyNumberFormat="1" applyFont="1" applyAlignment="1" applyProtection="1">
      <alignment/>
      <protection locked="0"/>
    </xf>
    <xf numFmtId="0" fontId="0" fillId="2" borderId="13" xfId="0" applyFont="1" applyFill="1" applyBorder="1" applyAlignment="1">
      <alignment horizontal="left"/>
    </xf>
    <xf numFmtId="0" fontId="0" fillId="2" borderId="14" xfId="0" applyFont="1" applyFill="1" applyBorder="1" applyAlignment="1">
      <alignment horizontal="left"/>
    </xf>
    <xf numFmtId="0" fontId="0" fillId="2" borderId="6" xfId="0" applyFill="1" applyBorder="1" applyAlignment="1">
      <alignment/>
    </xf>
    <xf numFmtId="0" fontId="0" fillId="2" borderId="21" xfId="0" applyFill="1" applyBorder="1" applyAlignment="1">
      <alignment/>
    </xf>
    <xf numFmtId="0" fontId="12" fillId="0" borderId="0" xfId="0" applyFont="1" applyAlignment="1">
      <alignment/>
    </xf>
    <xf numFmtId="172" fontId="12" fillId="0" borderId="0" xfId="15" applyNumberFormat="1" applyFont="1" applyAlignment="1">
      <alignment horizontal="right"/>
    </xf>
    <xf numFmtId="0" fontId="0" fillId="2" borderId="28" xfId="0" applyFill="1" applyBorder="1" applyAlignment="1">
      <alignment/>
    </xf>
    <xf numFmtId="0" fontId="0" fillId="2" borderId="29" xfId="0" applyFill="1" applyBorder="1" applyAlignment="1">
      <alignment/>
    </xf>
    <xf numFmtId="0" fontId="0" fillId="2" borderId="30" xfId="0" applyFill="1" applyBorder="1" applyAlignment="1">
      <alignment/>
    </xf>
    <xf numFmtId="0" fontId="31" fillId="2" borderId="0" xfId="0" applyFont="1" applyFill="1" applyBorder="1" applyAlignment="1">
      <alignment horizontal="left"/>
    </xf>
    <xf numFmtId="0" fontId="12" fillId="0" borderId="0" xfId="0" applyFont="1" applyFill="1" applyAlignment="1">
      <alignment/>
    </xf>
    <xf numFmtId="0" fontId="12" fillId="2" borderId="0" xfId="0" applyFont="1" applyFill="1" applyAlignment="1">
      <alignment/>
    </xf>
    <xf numFmtId="0" fontId="12" fillId="2" borderId="0" xfId="0" applyFont="1" applyFill="1" applyAlignment="1">
      <alignment horizontal="centerContinuous"/>
    </xf>
    <xf numFmtId="0" fontId="12" fillId="2" borderId="0" xfId="0" applyFont="1" applyFill="1" applyAlignment="1">
      <alignment horizontal="center"/>
    </xf>
    <xf numFmtId="0" fontId="13" fillId="2" borderId="0" xfId="0" applyFont="1" applyFill="1" applyAlignment="1">
      <alignment/>
    </xf>
    <xf numFmtId="0" fontId="38" fillId="2" borderId="0" xfId="0" applyFont="1" applyFill="1" applyAlignment="1">
      <alignment/>
    </xf>
    <xf numFmtId="0" fontId="13" fillId="2" borderId="0" xfId="0" applyFont="1" applyFill="1" applyAlignment="1">
      <alignment horizontal="center"/>
    </xf>
    <xf numFmtId="0" fontId="13" fillId="2" borderId="0" xfId="0" applyFont="1" applyFill="1" applyAlignment="1" applyProtection="1" quotePrefix="1">
      <alignment/>
      <protection hidden="1"/>
    </xf>
    <xf numFmtId="0" fontId="12" fillId="2" borderId="0" xfId="0" applyFont="1" applyFill="1" applyAlignment="1" applyProtection="1">
      <alignment/>
      <protection hidden="1"/>
    </xf>
    <xf numFmtId="0" fontId="12" fillId="2" borderId="0" xfId="0" applyFont="1" applyFill="1" applyAlignment="1" applyProtection="1">
      <alignment/>
      <protection hidden="1" locked="0"/>
    </xf>
    <xf numFmtId="172" fontId="0" fillId="2" borderId="0" xfId="15" applyNumberFormat="1" applyFont="1" applyFill="1" applyAlignment="1">
      <alignment horizontal="right"/>
    </xf>
    <xf numFmtId="1" fontId="0" fillId="2" borderId="0" xfId="15" applyNumberFormat="1" applyFont="1" applyFill="1" applyAlignment="1">
      <alignment horizontal="left"/>
    </xf>
    <xf numFmtId="0" fontId="0" fillId="2" borderId="0" xfId="15" applyNumberFormat="1" applyFont="1" applyFill="1" applyAlignment="1">
      <alignment horizontal="left"/>
    </xf>
    <xf numFmtId="0" fontId="0" fillId="2" borderId="0" xfId="15" applyNumberFormat="1" applyFont="1" applyFill="1" applyAlignment="1">
      <alignment horizontal="right"/>
    </xf>
    <xf numFmtId="0" fontId="4" fillId="0" borderId="22" xfId="0" applyFont="1" applyBorder="1" applyAlignment="1">
      <alignment/>
    </xf>
    <xf numFmtId="0" fontId="0" fillId="0" borderId="22" xfId="0" applyFont="1" applyBorder="1" applyAlignment="1">
      <alignment/>
    </xf>
    <xf numFmtId="0" fontId="12" fillId="4" borderId="31" xfId="0" applyFont="1" applyFill="1" applyBorder="1" applyAlignment="1">
      <alignment/>
    </xf>
    <xf numFmtId="0" fontId="13" fillId="3" borderId="31" xfId="0" applyFont="1" applyFill="1" applyBorder="1" applyAlignment="1">
      <alignment/>
    </xf>
    <xf numFmtId="172" fontId="0" fillId="0" borderId="31" xfId="15" applyNumberFormat="1" applyFont="1" applyBorder="1" applyAlignment="1" applyProtection="1">
      <alignment/>
      <protection hidden="1"/>
    </xf>
    <xf numFmtId="172" fontId="0" fillId="0" borderId="31" xfId="15" applyNumberFormat="1" applyBorder="1" applyAlignment="1">
      <alignment/>
    </xf>
    <xf numFmtId="172" fontId="0" fillId="0" borderId="31" xfId="15" applyNumberFormat="1" applyFont="1" applyBorder="1" applyAlignment="1" applyProtection="1">
      <alignment/>
      <protection hidden="1"/>
    </xf>
    <xf numFmtId="173" fontId="12" fillId="8" borderId="31" xfId="0" applyNumberFormat="1" applyFont="1" applyFill="1" applyBorder="1" applyAlignment="1">
      <alignment/>
    </xf>
    <xf numFmtId="172" fontId="0" fillId="0" borderId="31" xfId="15" applyNumberFormat="1" applyFont="1" applyBorder="1" applyAlignment="1">
      <alignment horizontal="right"/>
    </xf>
    <xf numFmtId="172" fontId="0" fillId="0" borderId="31" xfId="15" applyNumberFormat="1" applyBorder="1" applyAlignment="1">
      <alignment horizontal="right"/>
    </xf>
    <xf numFmtId="44" fontId="0" fillId="0" borderId="31" xfId="17" applyNumberFormat="1" applyBorder="1" applyAlignment="1" applyProtection="1">
      <alignment horizontal="right"/>
      <protection hidden="1"/>
    </xf>
    <xf numFmtId="42" fontId="0" fillId="0" borderId="31" xfId="17" applyNumberFormat="1" applyBorder="1" applyAlignment="1" applyProtection="1">
      <alignment horizontal="right"/>
      <protection hidden="1"/>
    </xf>
    <xf numFmtId="173" fontId="0" fillId="0" borderId="31" xfId="0" applyNumberFormat="1" applyBorder="1" applyAlignment="1">
      <alignment/>
    </xf>
    <xf numFmtId="0" fontId="0" fillId="0" borderId="31" xfId="0" applyBorder="1" applyAlignment="1">
      <alignment/>
    </xf>
    <xf numFmtId="0" fontId="4" fillId="3" borderId="31" xfId="0" applyFont="1" applyFill="1" applyBorder="1" applyAlignment="1" applyProtection="1" quotePrefix="1">
      <alignment/>
      <protection hidden="1"/>
    </xf>
    <xf numFmtId="0" fontId="0" fillId="8" borderId="31" xfId="0" applyFill="1" applyBorder="1" applyAlignment="1" applyProtection="1">
      <alignment/>
      <protection hidden="1"/>
    </xf>
    <xf numFmtId="0" fontId="0" fillId="8" borderId="31" xfId="0" applyFill="1" applyBorder="1" applyAlignment="1">
      <alignment/>
    </xf>
    <xf numFmtId="0" fontId="0" fillId="0" borderId="31" xfId="0" applyFill="1" applyBorder="1" applyAlignment="1">
      <alignment/>
    </xf>
    <xf numFmtId="0" fontId="0" fillId="0" borderId="26" xfId="0" applyBorder="1" applyAlignment="1">
      <alignment/>
    </xf>
    <xf numFmtId="172" fontId="0" fillId="0" borderId="26" xfId="15" applyNumberFormat="1" applyFont="1" applyBorder="1" applyAlignment="1">
      <alignment horizontal="right"/>
    </xf>
    <xf numFmtId="44" fontId="0" fillId="0" borderId="26" xfId="17" applyBorder="1" applyAlignment="1">
      <alignment/>
    </xf>
    <xf numFmtId="0" fontId="0" fillId="0" borderId="32" xfId="0" applyBorder="1" applyAlignment="1">
      <alignment/>
    </xf>
    <xf numFmtId="172" fontId="0" fillId="0" borderId="0" xfId="15" applyNumberFormat="1" applyFont="1" applyAlignment="1">
      <alignment/>
    </xf>
    <xf numFmtId="165" fontId="0" fillId="0" borderId="0" xfId="0" applyNumberFormat="1" applyFont="1" applyAlignment="1">
      <alignment/>
    </xf>
    <xf numFmtId="43" fontId="0" fillId="0" borderId="21" xfId="17" applyNumberFormat="1" applyFill="1" applyBorder="1" applyAlignment="1">
      <alignment/>
    </xf>
    <xf numFmtId="0" fontId="0" fillId="2" borderId="0" xfId="0" applyFill="1" applyBorder="1" applyAlignment="1" applyProtection="1">
      <alignment wrapText="1"/>
      <protection locked="0"/>
    </xf>
    <xf numFmtId="0" fontId="0" fillId="2" borderId="0" xfId="0" applyFill="1" applyAlignment="1">
      <alignment wrapText="1"/>
    </xf>
    <xf numFmtId="0" fontId="10" fillId="0" borderId="0" xfId="0" applyFont="1" applyFill="1" applyAlignment="1">
      <alignment/>
    </xf>
    <xf numFmtId="9" fontId="0" fillId="0" borderId="21" xfId="21" applyFill="1" applyBorder="1" applyAlignment="1">
      <alignment horizontal="right"/>
    </xf>
    <xf numFmtId="0" fontId="5" fillId="0" borderId="0" xfId="0" applyFont="1" applyFill="1" applyAlignment="1">
      <alignment/>
    </xf>
    <xf numFmtId="5" fontId="1" fillId="0" borderId="0" xfId="0" applyNumberFormat="1" applyFont="1" applyFill="1" applyBorder="1" applyAlignment="1">
      <alignment horizontal="center"/>
    </xf>
    <xf numFmtId="0" fontId="1" fillId="0" borderId="0" xfId="0" applyFont="1" applyFill="1" applyBorder="1" applyAlignment="1">
      <alignment horizontal="center" shrinkToFit="1"/>
    </xf>
    <xf numFmtId="7" fontId="1" fillId="0" borderId="0" xfId="0" applyNumberFormat="1" applyFont="1" applyFill="1" applyBorder="1" applyAlignment="1">
      <alignment horizontal="center"/>
    </xf>
    <xf numFmtId="8" fontId="0" fillId="0" borderId="0" xfId="0" applyNumberFormat="1" applyFill="1" applyBorder="1" applyAlignment="1">
      <alignment/>
    </xf>
    <xf numFmtId="0" fontId="0" fillId="6" borderId="0" xfId="0" applyFill="1" applyAlignment="1">
      <alignment/>
    </xf>
    <xf numFmtId="0" fontId="12" fillId="6" borderId="0" xfId="0" applyFont="1" applyFill="1" applyAlignment="1">
      <alignment/>
    </xf>
    <xf numFmtId="0" fontId="13" fillId="6" borderId="0" xfId="0" applyFont="1" applyFill="1" applyAlignment="1">
      <alignment/>
    </xf>
    <xf numFmtId="44" fontId="0" fillId="6" borderId="0" xfId="0" applyNumberFormat="1" applyFill="1" applyAlignment="1">
      <alignment/>
    </xf>
    <xf numFmtId="0" fontId="0" fillId="6" borderId="0" xfId="0" applyFill="1" applyAlignment="1" applyProtection="1">
      <alignment/>
      <protection hidden="1" locked="0"/>
    </xf>
    <xf numFmtId="0" fontId="0" fillId="6" borderId="0" xfId="0" applyFont="1" applyFill="1" applyBorder="1" applyAlignment="1">
      <alignment horizontal="left"/>
    </xf>
    <xf numFmtId="0" fontId="0" fillId="6" borderId="0" xfId="0" applyFill="1" applyAlignment="1" applyProtection="1">
      <alignment/>
      <protection hidden="1"/>
    </xf>
    <xf numFmtId="0" fontId="4" fillId="6" borderId="0" xfId="0" applyFont="1" applyFill="1" applyAlignment="1" applyProtection="1" quotePrefix="1">
      <alignment/>
      <protection hidden="1"/>
    </xf>
    <xf numFmtId="0" fontId="0" fillId="6" borderId="26" xfId="0" applyFill="1" applyBorder="1" applyAlignment="1">
      <alignment/>
    </xf>
    <xf numFmtId="44" fontId="0" fillId="0" borderId="21" xfId="17" applyNumberFormat="1" applyFill="1" applyBorder="1" applyAlignment="1">
      <alignment/>
    </xf>
    <xf numFmtId="0" fontId="0" fillId="0" borderId="8" xfId="0" applyBorder="1" applyAlignment="1">
      <alignment/>
    </xf>
    <xf numFmtId="0" fontId="41" fillId="0" borderId="33" xfId="0" applyFont="1" applyBorder="1" applyAlignment="1">
      <alignment horizontal="center"/>
    </xf>
    <xf numFmtId="0" fontId="0" fillId="6" borderId="33" xfId="0" applyFill="1" applyBorder="1" applyAlignment="1">
      <alignment/>
    </xf>
    <xf numFmtId="0" fontId="0" fillId="0" borderId="33" xfId="0" applyFont="1" applyBorder="1" applyAlignment="1">
      <alignment/>
    </xf>
    <xf numFmtId="0" fontId="0" fillId="0" borderId="33" xfId="0" applyFont="1" applyBorder="1" applyAlignment="1">
      <alignment wrapText="1"/>
    </xf>
    <xf numFmtId="0" fontId="18" fillId="0" borderId="0" xfId="20" applyAlignment="1">
      <alignment horizontal="center"/>
    </xf>
    <xf numFmtId="44" fontId="0" fillId="0" borderId="26" xfId="0" applyNumberFormat="1" applyBorder="1" applyAlignment="1">
      <alignment/>
    </xf>
    <xf numFmtId="0" fontId="36" fillId="0" borderId="0" xfId="0" applyFont="1" applyFill="1" applyBorder="1" applyAlignment="1">
      <alignment horizontal="left"/>
    </xf>
    <xf numFmtId="0" fontId="0" fillId="6" borderId="0" xfId="0" applyFont="1" applyFill="1" applyBorder="1" applyAlignment="1">
      <alignment/>
    </xf>
    <xf numFmtId="0" fontId="5" fillId="6" borderId="0" xfId="0" applyFont="1" applyFill="1" applyBorder="1" applyAlignment="1">
      <alignment horizontal="left"/>
    </xf>
    <xf numFmtId="0" fontId="0" fillId="6" borderId="0" xfId="0" applyFont="1" applyFill="1" applyBorder="1" applyAlignment="1">
      <alignment horizontal="center" wrapText="1"/>
    </xf>
    <xf numFmtId="39" fontId="11" fillId="6" borderId="0" xfId="0" applyNumberFormat="1" applyFont="1" applyFill="1" applyBorder="1" applyAlignment="1">
      <alignment/>
    </xf>
    <xf numFmtId="5" fontId="11" fillId="6" borderId="0" xfId="0" applyNumberFormat="1" applyFont="1" applyFill="1" applyBorder="1" applyAlignment="1">
      <alignment/>
    </xf>
    <xf numFmtId="0" fontId="10" fillId="6" borderId="0" xfId="0" applyFont="1" applyFill="1" applyBorder="1" applyAlignment="1">
      <alignment horizontal="center"/>
    </xf>
    <xf numFmtId="164" fontId="11" fillId="6" borderId="0" xfId="0" applyNumberFormat="1" applyFont="1" applyFill="1" applyBorder="1" applyAlignment="1">
      <alignment horizontal="right"/>
    </xf>
    <xf numFmtId="37" fontId="11" fillId="6" borderId="0" xfId="0" applyNumberFormat="1" applyFont="1" applyFill="1" applyBorder="1" applyAlignment="1">
      <alignment horizontal="right"/>
    </xf>
    <xf numFmtId="0" fontId="20" fillId="6" borderId="0" xfId="0" applyNumberFormat="1" applyFont="1" applyFill="1" applyBorder="1" applyAlignment="1">
      <alignment horizontal="right"/>
    </xf>
    <xf numFmtId="0" fontId="11" fillId="6" borderId="0" xfId="0" applyFont="1" applyFill="1" applyAlignment="1">
      <alignment/>
    </xf>
    <xf numFmtId="172" fontId="11" fillId="6" borderId="0" xfId="15" applyNumberFormat="1" applyFont="1" applyFill="1" applyAlignment="1">
      <alignment/>
    </xf>
    <xf numFmtId="9" fontId="11" fillId="6" borderId="0" xfId="21" applyFont="1" applyFill="1" applyAlignment="1">
      <alignment/>
    </xf>
    <xf numFmtId="165" fontId="11" fillId="6" borderId="0" xfId="0" applyNumberFormat="1" applyFont="1" applyFill="1" applyAlignment="1">
      <alignment/>
    </xf>
    <xf numFmtId="43" fontId="11" fillId="6" borderId="0" xfId="15" applyFont="1" applyFill="1" applyBorder="1" applyAlignment="1">
      <alignment horizontal="right"/>
    </xf>
    <xf numFmtId="0" fontId="0" fillId="6" borderId="0" xfId="0" applyFill="1" applyAlignment="1">
      <alignment/>
    </xf>
    <xf numFmtId="0" fontId="3" fillId="6" borderId="0" xfId="0" applyFont="1" applyFill="1" applyBorder="1" applyAlignment="1">
      <alignment horizontal="left" vertical="center"/>
    </xf>
    <xf numFmtId="0" fontId="0" fillId="6" borderId="0" xfId="0" applyFont="1" applyFill="1" applyAlignment="1">
      <alignment/>
    </xf>
    <xf numFmtId="0" fontId="3" fillId="6" borderId="0" xfId="0" applyFont="1" applyFill="1" applyAlignment="1">
      <alignment horizontal="left"/>
    </xf>
    <xf numFmtId="0" fontId="5" fillId="6" borderId="0" xfId="0" applyFont="1" applyFill="1" applyBorder="1" applyAlignment="1">
      <alignment/>
    </xf>
    <xf numFmtId="0" fontId="24" fillId="6" borderId="0" xfId="0" applyFont="1" applyFill="1" applyBorder="1" applyAlignment="1">
      <alignment horizontal="left"/>
    </xf>
    <xf numFmtId="164" fontId="0" fillId="6" borderId="0" xfId="0" applyNumberFormat="1" applyFont="1" applyFill="1" applyBorder="1" applyAlignment="1">
      <alignment horizontal="left"/>
    </xf>
    <xf numFmtId="3" fontId="0" fillId="6" borderId="0" xfId="0" applyNumberFormat="1" applyFont="1" applyFill="1" applyBorder="1" applyAlignment="1">
      <alignment horizontal="left"/>
    </xf>
    <xf numFmtId="0" fontId="19" fillId="6" borderId="0" xfId="0" applyFont="1" applyFill="1" applyBorder="1" applyAlignment="1">
      <alignment horizontal="left"/>
    </xf>
    <xf numFmtId="0" fontId="0" fillId="6" borderId="0" xfId="0" applyFont="1" applyFill="1" applyAlignment="1">
      <alignment/>
    </xf>
    <xf numFmtId="0" fontId="6" fillId="6" borderId="0" xfId="0" applyFont="1" applyFill="1" applyBorder="1" applyAlignment="1">
      <alignment horizontal="left"/>
    </xf>
    <xf numFmtId="0" fontId="7" fillId="6" borderId="0" xfId="0" applyFont="1" applyFill="1" applyBorder="1" applyAlignment="1">
      <alignment horizontal="left"/>
    </xf>
    <xf numFmtId="3" fontId="6" fillId="6" borderId="0" xfId="0" applyNumberFormat="1" applyFont="1" applyFill="1" applyBorder="1" applyAlignment="1">
      <alignment horizontal="left"/>
    </xf>
    <xf numFmtId="0" fontId="19" fillId="6" borderId="0" xfId="0" applyFont="1" applyFill="1" applyBorder="1" applyAlignment="1">
      <alignment wrapText="1"/>
    </xf>
    <xf numFmtId="0" fontId="5" fillId="6" borderId="0" xfId="0" applyFont="1" applyFill="1" applyBorder="1" applyAlignment="1">
      <alignment wrapText="1"/>
    </xf>
    <xf numFmtId="0" fontId="19" fillId="6" borderId="0" xfId="0" applyFont="1" applyFill="1" applyBorder="1" applyAlignment="1">
      <alignment/>
    </xf>
    <xf numFmtId="5" fontId="0" fillId="6" borderId="0" xfId="0" applyNumberFormat="1" applyFont="1" applyFill="1" applyBorder="1" applyAlignment="1">
      <alignment/>
    </xf>
    <xf numFmtId="0" fontId="4" fillId="6" borderId="0" xfId="0" applyFont="1" applyFill="1" applyBorder="1" applyAlignment="1">
      <alignment horizontal="center"/>
    </xf>
    <xf numFmtId="0" fontId="5" fillId="6" borderId="0" xfId="0" applyNumberFormat="1" applyFont="1" applyFill="1" applyBorder="1" applyAlignment="1">
      <alignment horizontal="right"/>
    </xf>
    <xf numFmtId="0" fontId="0" fillId="6" borderId="0" xfId="0" applyNumberFormat="1" applyFont="1" applyFill="1" applyAlignment="1">
      <alignment/>
    </xf>
    <xf numFmtId="165" fontId="0" fillId="6" borderId="0" xfId="0" applyNumberFormat="1" applyFont="1" applyFill="1" applyAlignment="1">
      <alignment/>
    </xf>
    <xf numFmtId="165" fontId="0" fillId="6" borderId="0" xfId="0" applyNumberFormat="1" applyFill="1" applyAlignment="1">
      <alignment/>
    </xf>
    <xf numFmtId="37" fontId="6" fillId="6" borderId="0" xfId="0" applyNumberFormat="1" applyFont="1" applyFill="1" applyBorder="1" applyAlignment="1">
      <alignment horizontal="right"/>
    </xf>
    <xf numFmtId="39" fontId="0" fillId="6" borderId="0" xfId="0" applyNumberFormat="1" applyFont="1" applyFill="1" applyBorder="1" applyAlignment="1">
      <alignment horizontal="right"/>
    </xf>
    <xf numFmtId="0" fontId="5" fillId="0" borderId="12" xfId="0" applyFont="1" applyFill="1" applyBorder="1" applyAlignment="1">
      <alignment/>
    </xf>
    <xf numFmtId="4" fontId="0" fillId="6" borderId="0" xfId="0" applyNumberFormat="1" applyFont="1" applyFill="1" applyAlignment="1">
      <alignment horizontal="center"/>
    </xf>
    <xf numFmtId="4" fontId="0" fillId="7" borderId="0" xfId="0" applyNumberFormat="1" applyFont="1" applyFill="1" applyAlignment="1">
      <alignment horizontal="center"/>
    </xf>
    <xf numFmtId="179" fontId="0" fillId="0" borderId="0" xfId="0" applyNumberFormat="1" applyFill="1" applyAlignment="1" applyProtection="1">
      <alignment/>
      <protection hidden="1"/>
    </xf>
    <xf numFmtId="1" fontId="0" fillId="0" borderId="0" xfId="0" applyNumberFormat="1" applyFill="1" applyAlignment="1" applyProtection="1">
      <alignment/>
      <protection hidden="1"/>
    </xf>
    <xf numFmtId="44" fontId="0" fillId="0" borderId="0" xfId="17" applyNumberFormat="1" applyFont="1" applyAlignment="1" applyProtection="1">
      <alignment/>
      <protection hidden="1"/>
    </xf>
    <xf numFmtId="0" fontId="6" fillId="0" borderId="6" xfId="0" applyFont="1" applyFill="1" applyBorder="1" applyAlignment="1">
      <alignment horizontal="left"/>
    </xf>
    <xf numFmtId="44" fontId="0" fillId="0" borderId="21" xfId="0" applyNumberFormat="1" applyFill="1" applyBorder="1" applyAlignment="1">
      <alignment/>
    </xf>
    <xf numFmtId="213" fontId="0" fillId="0" borderId="0" xfId="17" applyNumberFormat="1" applyAlignment="1" applyProtection="1">
      <alignment/>
      <protection hidden="1"/>
    </xf>
    <xf numFmtId="0" fontId="0" fillId="11" borderId="0" xfId="0" applyFill="1" applyBorder="1" applyAlignment="1" applyProtection="1">
      <alignment/>
      <protection locked="0"/>
    </xf>
    <xf numFmtId="0" fontId="12" fillId="2" borderId="0" xfId="0" applyFont="1" applyFill="1" applyBorder="1" applyAlignment="1" applyProtection="1">
      <alignment horizontal="right"/>
      <protection locked="0"/>
    </xf>
    <xf numFmtId="0" fontId="0" fillId="11" borderId="6" xfId="0" applyFill="1" applyBorder="1" applyAlignment="1" applyProtection="1">
      <alignment/>
      <protection locked="0"/>
    </xf>
    <xf numFmtId="0" fontId="0" fillId="11" borderId="26" xfId="0" applyFill="1" applyBorder="1" applyAlignment="1" applyProtection="1">
      <alignment/>
      <protection locked="0"/>
    </xf>
    <xf numFmtId="9" fontId="0" fillId="11" borderId="0" xfId="21" applyFill="1" applyBorder="1" applyAlignment="1" applyProtection="1">
      <alignment/>
      <protection locked="0"/>
    </xf>
    <xf numFmtId="43" fontId="0" fillId="11" borderId="0" xfId="15" applyFill="1" applyBorder="1" applyAlignment="1" applyProtection="1">
      <alignment/>
      <protection locked="0"/>
    </xf>
    <xf numFmtId="43" fontId="0" fillId="11" borderId="6" xfId="15" applyFill="1" applyBorder="1" applyAlignment="1" applyProtection="1">
      <alignment/>
      <protection locked="0"/>
    </xf>
    <xf numFmtId="0" fontId="0" fillId="11" borderId="0" xfId="0" applyFont="1" applyFill="1" applyBorder="1" applyAlignment="1" applyProtection="1">
      <alignment/>
      <protection locked="0"/>
    </xf>
    <xf numFmtId="0" fontId="0" fillId="11" borderId="6" xfId="0" applyFont="1" applyFill="1" applyBorder="1" applyAlignment="1" applyProtection="1">
      <alignment/>
      <protection locked="0"/>
    </xf>
    <xf numFmtId="172" fontId="0" fillId="11" borderId="0" xfId="15" applyNumberFormat="1" applyFill="1" applyBorder="1" applyAlignment="1" applyProtection="1">
      <alignment/>
      <protection locked="0"/>
    </xf>
    <xf numFmtId="9" fontId="0" fillId="11" borderId="6" xfId="21" applyFill="1" applyBorder="1" applyAlignment="1" applyProtection="1">
      <alignment/>
      <protection locked="0"/>
    </xf>
    <xf numFmtId="0" fontId="0" fillId="0" borderId="0" xfId="0" applyFill="1" applyBorder="1" applyAlignment="1" applyProtection="1">
      <alignment/>
      <protection locked="0"/>
    </xf>
    <xf numFmtId="0" fontId="4" fillId="10" borderId="11" xfId="0" applyFont="1" applyFill="1" applyBorder="1" applyAlignment="1" applyProtection="1">
      <alignment horizontal="center" vertical="center" wrapText="1"/>
      <protection locked="0"/>
    </xf>
    <xf numFmtId="0" fontId="0" fillId="2" borderId="0" xfId="0" applyFill="1" applyBorder="1" applyAlignment="1" applyProtection="1">
      <alignment horizontal="center"/>
      <protection locked="0"/>
    </xf>
    <xf numFmtId="0" fontId="0" fillId="2" borderId="19" xfId="0" applyFill="1" applyBorder="1" applyAlignment="1" applyProtection="1">
      <alignment horizontal="center"/>
      <protection locked="0"/>
    </xf>
    <xf numFmtId="0" fontId="0" fillId="2" borderId="27"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0" xfId="0" applyFont="1" applyFill="1" applyBorder="1" applyAlignment="1" applyProtection="1">
      <alignment vertical="center" wrapText="1"/>
      <protection locked="0"/>
    </xf>
    <xf numFmtId="0" fontId="30" fillId="2" borderId="0" xfId="0" applyFont="1" applyFill="1" applyBorder="1" applyAlignment="1" applyProtection="1">
      <alignment/>
      <protection locked="0"/>
    </xf>
    <xf numFmtId="0" fontId="0" fillId="2" borderId="0" xfId="0" applyFill="1" applyBorder="1" applyAlignment="1" applyProtection="1">
      <alignment/>
      <protection locked="0"/>
    </xf>
    <xf numFmtId="178" fontId="4" fillId="10" borderId="18" xfId="0" applyNumberFormat="1" applyFont="1" applyFill="1" applyBorder="1" applyAlignment="1" applyProtection="1">
      <alignment/>
      <protection locked="0"/>
    </xf>
    <xf numFmtId="0" fontId="4" fillId="10" borderId="18" xfId="0" applyFont="1" applyFill="1" applyBorder="1" applyAlignment="1" applyProtection="1">
      <alignment horizontal="right"/>
      <protection locked="0"/>
    </xf>
    <xf numFmtId="0" fontId="1" fillId="2" borderId="34" xfId="0" applyFont="1" applyFill="1" applyBorder="1" applyAlignment="1" applyProtection="1">
      <alignment/>
      <protection locked="0"/>
    </xf>
    <xf numFmtId="0" fontId="1" fillId="0" borderId="35" xfId="0" applyFont="1" applyFill="1" applyBorder="1" applyAlignment="1" applyProtection="1">
      <alignment/>
      <protection locked="0"/>
    </xf>
    <xf numFmtId="0" fontId="4" fillId="2" borderId="0" xfId="0" applyFont="1" applyFill="1" applyBorder="1" applyAlignment="1" applyProtection="1">
      <alignment horizontal="right"/>
      <protection locked="0"/>
    </xf>
    <xf numFmtId="0" fontId="2" fillId="2" borderId="20" xfId="0" applyFont="1" applyFill="1" applyBorder="1" applyAlignment="1" applyProtection="1">
      <alignment/>
      <protection locked="0"/>
    </xf>
    <xf numFmtId="1" fontId="37" fillId="2" borderId="6" xfId="0" applyNumberFormat="1" applyFont="1" applyFill="1" applyBorder="1" applyAlignment="1" applyProtection="1">
      <alignment horizontal="right"/>
      <protection locked="0"/>
    </xf>
    <xf numFmtId="0" fontId="29" fillId="2" borderId="21" xfId="0" applyFont="1" applyFill="1" applyBorder="1" applyAlignment="1" applyProtection="1">
      <alignment/>
      <protection locked="0"/>
    </xf>
    <xf numFmtId="0" fontId="0" fillId="0" borderId="0" xfId="0" applyNumberFormat="1" applyFont="1" applyAlignment="1">
      <alignment horizontal="left"/>
    </xf>
    <xf numFmtId="2" fontId="0" fillId="5" borderId="0" xfId="0" applyNumberFormat="1" applyFill="1" applyAlignment="1">
      <alignment/>
    </xf>
    <xf numFmtId="179" fontId="6" fillId="0" borderId="6" xfId="0" applyNumberFormat="1" applyFont="1" applyFill="1" applyBorder="1" applyAlignment="1">
      <alignment horizontal="right"/>
    </xf>
    <xf numFmtId="0" fontId="0" fillId="0" borderId="0" xfId="0" applyNumberFormat="1" applyFont="1" applyFill="1" applyAlignment="1">
      <alignment horizontal="left"/>
    </xf>
    <xf numFmtId="0" fontId="0" fillId="12" borderId="2" xfId="0" applyFont="1" applyFill="1" applyBorder="1" applyAlignment="1">
      <alignment horizontal="center"/>
    </xf>
    <xf numFmtId="0" fontId="0" fillId="12" borderId="4" xfId="0" applyFont="1" applyFill="1" applyBorder="1" applyAlignment="1">
      <alignment/>
    </xf>
    <xf numFmtId="0" fontId="0" fillId="12" borderId="4" xfId="0" applyFill="1" applyBorder="1" applyAlignment="1">
      <alignment/>
    </xf>
    <xf numFmtId="0" fontId="0" fillId="12" borderId="5" xfId="0" applyFill="1" applyBorder="1" applyAlignment="1">
      <alignment/>
    </xf>
    <xf numFmtId="0" fontId="0" fillId="12" borderId="9" xfId="0" applyFill="1" applyBorder="1" applyAlignment="1">
      <alignment/>
    </xf>
    <xf numFmtId="0" fontId="0" fillId="12" borderId="10" xfId="0" applyFill="1" applyBorder="1" applyAlignment="1">
      <alignment/>
    </xf>
    <xf numFmtId="0" fontId="0" fillId="0" borderId="36" xfId="0" applyFont="1" applyBorder="1" applyAlignment="1">
      <alignment wrapText="1"/>
    </xf>
    <xf numFmtId="0" fontId="0" fillId="0" borderId="0" xfId="0" applyNumberFormat="1" applyFont="1" applyFill="1" applyBorder="1" applyAlignment="1">
      <alignment horizontal="right"/>
    </xf>
    <xf numFmtId="0" fontId="6" fillId="0" borderId="0" xfId="0" applyNumberFormat="1" applyFont="1" applyFill="1" applyBorder="1" applyAlignment="1">
      <alignment horizontal="right"/>
    </xf>
    <xf numFmtId="39" fontId="0" fillId="6" borderId="0" xfId="0" applyNumberFormat="1" applyFont="1" applyFill="1" applyBorder="1" applyAlignment="1">
      <alignment/>
    </xf>
    <xf numFmtId="0" fontId="19" fillId="6" borderId="0" xfId="0" applyFont="1" applyFill="1" applyBorder="1" applyAlignment="1">
      <alignment horizontal="left" vertical="center"/>
    </xf>
    <xf numFmtId="164" fontId="6" fillId="6" borderId="0" xfId="0" applyNumberFormat="1" applyFont="1" applyFill="1" applyBorder="1" applyAlignment="1">
      <alignment horizontal="left"/>
    </xf>
    <xf numFmtId="0" fontId="4" fillId="6" borderId="0" xfId="0" applyFont="1" applyFill="1" applyAlignment="1">
      <alignment/>
    </xf>
    <xf numFmtId="0" fontId="0" fillId="6" borderId="0" xfId="0" applyFont="1" applyFill="1" applyBorder="1" applyAlignment="1">
      <alignment/>
    </xf>
    <xf numFmtId="0" fontId="0" fillId="6" borderId="0" xfId="0" applyFont="1" applyFill="1" applyBorder="1" applyAlignment="1">
      <alignment horizontal="right"/>
    </xf>
    <xf numFmtId="0" fontId="1" fillId="6" borderId="0" xfId="0" applyFont="1" applyFill="1" applyBorder="1" applyAlignment="1">
      <alignment horizontal="center"/>
    </xf>
    <xf numFmtId="9" fontId="1" fillId="6" borderId="0" xfId="0" applyNumberFormat="1" applyFont="1" applyFill="1" applyBorder="1" applyAlignment="1">
      <alignment horizontal="center"/>
    </xf>
    <xf numFmtId="0" fontId="9" fillId="6" borderId="0" xfId="0" applyFont="1" applyFill="1" applyBorder="1" applyAlignment="1">
      <alignment horizontal="left"/>
    </xf>
    <xf numFmtId="0" fontId="4" fillId="6" borderId="0" xfId="0" applyFont="1" applyFill="1" applyBorder="1" applyAlignment="1">
      <alignment/>
    </xf>
    <xf numFmtId="0" fontId="8" fillId="6" borderId="0" xfId="0" applyFont="1" applyFill="1" applyBorder="1" applyAlignment="1">
      <alignment horizontal="centerContinuous"/>
    </xf>
    <xf numFmtId="0" fontId="4" fillId="6" borderId="0" xfId="0" applyFont="1" applyFill="1" applyBorder="1" applyAlignment="1">
      <alignment horizontal="left"/>
    </xf>
    <xf numFmtId="0" fontId="0" fillId="6" borderId="0" xfId="0" applyNumberFormat="1" applyFill="1" applyAlignment="1">
      <alignment/>
    </xf>
    <xf numFmtId="0" fontId="0" fillId="6" borderId="19" xfId="0" applyFill="1" applyBorder="1" applyAlignment="1">
      <alignment/>
    </xf>
    <xf numFmtId="0" fontId="0" fillId="6" borderId="27" xfId="0" applyFont="1" applyFill="1" applyBorder="1" applyAlignment="1">
      <alignment/>
    </xf>
    <xf numFmtId="0" fontId="0" fillId="6" borderId="13" xfId="0" applyFill="1" applyBorder="1" applyAlignment="1">
      <alignment/>
    </xf>
    <xf numFmtId="0" fontId="0" fillId="6" borderId="20" xfId="0" applyFont="1" applyFill="1" applyBorder="1" applyAlignment="1">
      <alignment/>
    </xf>
    <xf numFmtId="0" fontId="0" fillId="6" borderId="14" xfId="0" applyFont="1" applyFill="1" applyBorder="1" applyAlignment="1">
      <alignment/>
    </xf>
    <xf numFmtId="0" fontId="0" fillId="6" borderId="21" xfId="0" applyFont="1" applyFill="1" applyBorder="1" applyAlignment="1">
      <alignment/>
    </xf>
    <xf numFmtId="0" fontId="11" fillId="6" borderId="0" xfId="0" applyFont="1" applyFill="1" applyBorder="1" applyAlignment="1">
      <alignment/>
    </xf>
    <xf numFmtId="0" fontId="0" fillId="6" borderId="19" xfId="0" applyFont="1" applyFill="1" applyBorder="1" applyAlignment="1">
      <alignment/>
    </xf>
    <xf numFmtId="0" fontId="0" fillId="6" borderId="13" xfId="0" applyFont="1" applyFill="1" applyBorder="1" applyAlignment="1">
      <alignment/>
    </xf>
    <xf numFmtId="0" fontId="6" fillId="6" borderId="0" xfId="0" applyFont="1" applyFill="1" applyBorder="1" applyAlignment="1">
      <alignment horizontal="right"/>
    </xf>
    <xf numFmtId="0" fontId="0" fillId="6" borderId="0" xfId="0" applyFill="1" applyBorder="1" applyAlignment="1">
      <alignment/>
    </xf>
    <xf numFmtId="0" fontId="11" fillId="6" borderId="0" xfId="0" applyFont="1" applyFill="1" applyBorder="1" applyAlignment="1">
      <alignment/>
    </xf>
    <xf numFmtId="0" fontId="0" fillId="6" borderId="19" xfId="0" applyFont="1" applyFill="1" applyBorder="1" applyAlignment="1">
      <alignment horizontal="left"/>
    </xf>
    <xf numFmtId="0" fontId="4" fillId="6" borderId="0" xfId="0" applyFont="1" applyFill="1" applyBorder="1" applyAlignment="1">
      <alignment/>
    </xf>
    <xf numFmtId="0" fontId="0" fillId="0" borderId="12" xfId="0" applyFont="1" applyFill="1" applyBorder="1" applyAlignment="1">
      <alignment/>
    </xf>
    <xf numFmtId="0" fontId="0" fillId="0" borderId="6" xfId="0" applyFont="1" applyFill="1" applyBorder="1" applyAlignment="1">
      <alignment/>
    </xf>
    <xf numFmtId="3" fontId="0" fillId="6" borderId="0" xfId="0" applyNumberFormat="1" applyFill="1" applyAlignment="1">
      <alignment/>
    </xf>
    <xf numFmtId="4" fontId="0" fillId="6" borderId="0" xfId="0" applyNumberFormat="1" applyFill="1" applyAlignment="1">
      <alignment/>
    </xf>
    <xf numFmtId="43" fontId="0" fillId="0" borderId="31" xfId="0" applyNumberFormat="1" applyBorder="1" applyAlignment="1">
      <alignment/>
    </xf>
    <xf numFmtId="178" fontId="1" fillId="10" borderId="37" xfId="0" applyNumberFormat="1" applyFont="1" applyFill="1" applyBorder="1" applyAlignment="1" applyProtection="1">
      <alignment horizontal="left"/>
      <protection locked="0"/>
    </xf>
    <xf numFmtId="178" fontId="1" fillId="10" borderId="38" xfId="0" applyNumberFormat="1" applyFont="1" applyFill="1" applyBorder="1" applyAlignment="1" applyProtection="1">
      <alignment horizontal="left"/>
      <protection locked="0"/>
    </xf>
    <xf numFmtId="178" fontId="4" fillId="10" borderId="16" xfId="0" applyNumberFormat="1" applyFont="1" applyFill="1" applyBorder="1" applyAlignment="1" applyProtection="1">
      <alignment/>
      <protection locked="0"/>
    </xf>
    <xf numFmtId="172" fontId="0" fillId="5" borderId="0" xfId="15" applyNumberFormat="1" applyFont="1" applyFill="1" applyAlignment="1">
      <alignment/>
    </xf>
    <xf numFmtId="178" fontId="0" fillId="2" borderId="0" xfId="15" applyNumberFormat="1" applyFont="1" applyFill="1" applyAlignment="1">
      <alignment/>
    </xf>
    <xf numFmtId="0" fontId="0" fillId="2" borderId="0" xfId="0" applyFill="1" applyBorder="1" applyAlignment="1">
      <alignment wrapText="1"/>
    </xf>
    <xf numFmtId="0" fontId="36" fillId="2" borderId="0" xfId="0" applyFont="1" applyFill="1" applyAlignment="1">
      <alignment horizontal="right" vertical="top"/>
    </xf>
    <xf numFmtId="0" fontId="10" fillId="2" borderId="0" xfId="0" applyFont="1" applyFill="1" applyAlignment="1">
      <alignment vertical="top"/>
    </xf>
    <xf numFmtId="0" fontId="0" fillId="2" borderId="0" xfId="0" applyFont="1" applyFill="1" applyBorder="1" applyAlignment="1">
      <alignment wrapText="1"/>
    </xf>
    <xf numFmtId="0" fontId="37" fillId="2" borderId="13" xfId="0" applyFont="1" applyFill="1" applyBorder="1" applyAlignment="1" applyProtection="1">
      <alignment horizontal="left"/>
      <protection locked="0"/>
    </xf>
    <xf numFmtId="0" fontId="12" fillId="0" borderId="0" xfId="20" applyFont="1" applyFill="1" applyBorder="1" applyAlignment="1" applyProtection="1">
      <alignment horizontal="center" vertical="center" wrapText="1"/>
      <protection locked="0"/>
    </xf>
    <xf numFmtId="0" fontId="10" fillId="2" borderId="19"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1" fillId="2" borderId="14" xfId="0" applyFont="1" applyFill="1" applyBorder="1" applyAlignment="1" applyProtection="1">
      <alignment wrapText="1"/>
      <protection locked="0"/>
    </xf>
    <xf numFmtId="0" fontId="11" fillId="2" borderId="21" xfId="0" applyFont="1" applyFill="1" applyBorder="1" applyAlignment="1" applyProtection="1">
      <alignment wrapText="1"/>
      <protection locked="0"/>
    </xf>
    <xf numFmtId="0" fontId="0" fillId="0" borderId="0" xfId="0" applyAlignment="1">
      <alignment vertical="justify"/>
    </xf>
    <xf numFmtId="0" fontId="0" fillId="0" borderId="0" xfId="0" applyAlignment="1">
      <alignment/>
    </xf>
    <xf numFmtId="0" fontId="0" fillId="10" borderId="39" xfId="0" applyFill="1" applyBorder="1" applyAlignment="1" applyProtection="1">
      <alignment horizontal="center"/>
      <protection locked="0"/>
    </xf>
    <xf numFmtId="0" fontId="0" fillId="10" borderId="40" xfId="0" applyFill="1" applyBorder="1" applyAlignment="1" applyProtection="1">
      <alignment horizontal="center"/>
      <protection locked="0"/>
    </xf>
    <xf numFmtId="0" fontId="4" fillId="2" borderId="13" xfId="0" applyFont="1" applyFill="1" applyBorder="1" applyAlignment="1">
      <alignment horizontal="right" vertical="center" wrapText="1"/>
    </xf>
    <xf numFmtId="0" fontId="0" fillId="10" borderId="0" xfId="0" applyFill="1" applyBorder="1" applyAlignment="1" applyProtection="1">
      <alignment horizontal="left"/>
      <protection locked="0"/>
    </xf>
    <xf numFmtId="0" fontId="40" fillId="2" borderId="19" xfId="20" applyFont="1" applyFill="1" applyBorder="1" applyAlignment="1">
      <alignment horizontal="left" wrapText="1"/>
    </xf>
    <xf numFmtId="0" fontId="0" fillId="0" borderId="12" xfId="0" applyBorder="1" applyAlignment="1">
      <alignment wrapText="1"/>
    </xf>
    <xf numFmtId="0" fontId="0" fillId="0" borderId="27" xfId="0" applyBorder="1" applyAlignment="1">
      <alignment wrapText="1"/>
    </xf>
    <xf numFmtId="0" fontId="4" fillId="0" borderId="0" xfId="0" applyFont="1" applyAlignment="1">
      <alignment horizontal="center"/>
    </xf>
    <xf numFmtId="0" fontId="4" fillId="0" borderId="41" xfId="0" applyFont="1" applyBorder="1" applyAlignment="1">
      <alignment horizontal="center"/>
    </xf>
    <xf numFmtId="0" fontId="4" fillId="0" borderId="31" xfId="0" applyFont="1" applyBorder="1" applyAlignment="1">
      <alignment/>
    </xf>
    <xf numFmtId="0" fontId="5" fillId="0" borderId="0" xfId="0" applyFont="1" applyBorder="1" applyAlignment="1">
      <alignment horizontal="center"/>
    </xf>
    <xf numFmtId="0" fontId="4" fillId="0" borderId="22" xfId="0" applyFont="1" applyBorder="1" applyAlignment="1">
      <alignment horizontal="center"/>
    </xf>
    <xf numFmtId="0" fontId="4" fillId="6" borderId="22" xfId="0" applyFont="1" applyFill="1" applyBorder="1" applyAlignment="1">
      <alignment horizontal="center" wrapText="1"/>
    </xf>
    <xf numFmtId="0" fontId="4" fillId="6" borderId="22" xfId="0" applyFont="1" applyFill="1" applyBorder="1" applyAlignment="1">
      <alignment wrapText="1"/>
    </xf>
    <xf numFmtId="0" fontId="4" fillId="6" borderId="0" xfId="0" applyFont="1" applyFill="1" applyBorder="1" applyAlignment="1">
      <alignment wrapText="1"/>
    </xf>
    <xf numFmtId="0" fontId="4" fillId="0" borderId="0" xfId="0" applyFont="1" applyBorder="1" applyAlignment="1">
      <alignment/>
    </xf>
    <xf numFmtId="0" fontId="0" fillId="5" borderId="0"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2">
    <dxf>
      <fill>
        <patternFill>
          <bgColor rgb="FFC0C0C0"/>
        </patternFill>
      </fill>
      <border/>
    </dxf>
    <dxf>
      <font>
        <color rgb="FFC0C0C0"/>
      </font>
      <fill>
        <patternFill>
          <bgColor rgb="FFC0C0C0"/>
        </patternFill>
      </fill>
      <border/>
    </dxf>
    <dxf>
      <font>
        <color rgb="FFFFFFFF"/>
      </font>
      <border/>
    </dxf>
    <dxf>
      <font>
        <b/>
        <i val="0"/>
        <color auto="1"/>
      </font>
      <fill>
        <patternFill>
          <bgColor rgb="FFC0C0C0"/>
        </patternFill>
      </fill>
      <border/>
    </dxf>
    <dxf>
      <font>
        <b/>
        <i val="0"/>
        <color rgb="FF339966"/>
      </font>
      <fill>
        <patternFill>
          <bgColor rgb="FFFFFFFF"/>
        </patternFill>
      </fill>
      <border/>
    </dxf>
    <dxf>
      <font>
        <color rgb="FF3366FF"/>
      </font>
      <border/>
    </dxf>
    <dxf>
      <font>
        <b/>
        <i val="0"/>
        <color rgb="FF000000"/>
      </font>
      <fill>
        <patternFill>
          <bgColor rgb="FFFFCC00"/>
        </patternFill>
      </fill>
      <border>
        <left style="thin">
          <color rgb="FF000000"/>
        </left>
        <right style="thin">
          <color rgb="FF000000"/>
        </right>
        <top style="thin"/>
        <bottom style="thin">
          <color rgb="FF000000"/>
        </bottom>
      </border>
    </dxf>
    <dxf>
      <font>
        <color rgb="FFFFFFFF"/>
      </font>
      <fill>
        <patternFill patternType="none">
          <bgColor indexed="65"/>
        </patternFill>
      </fill>
      <border/>
    </dxf>
    <dxf>
      <font>
        <color auto="1"/>
      </font>
      <fill>
        <patternFill>
          <bgColor rgb="FFFFFFFF"/>
        </patternFill>
      </fill>
      <border/>
    </dxf>
    <dxf>
      <font>
        <color auto="1"/>
      </font>
      <border/>
    </dxf>
    <dxf>
      <font>
        <b val="0"/>
        <i/>
        <color rgb="FFC0C0C0"/>
      </font>
      <fill>
        <patternFill patternType="none">
          <bgColor indexed="65"/>
        </patternFill>
      </fill>
      <border/>
    </dxf>
    <dxf>
      <font>
        <color auto="1"/>
      </font>
      <fill>
        <patternFill patternType="none">
          <bgColor indexed="65"/>
        </patternFill>
      </fill>
      <border/>
    </dxf>
    <dxf>
      <font>
        <b val="0"/>
        <i/>
        <color rgb="FFC0C0C0"/>
      </font>
      <fill>
        <patternFill patternType="solid">
          <bgColor rgb="FFFFFFFF"/>
        </patternFill>
      </fill>
      <border/>
    </dxf>
    <dxf>
      <font>
        <color auto="1"/>
      </font>
      <fill>
        <patternFill>
          <bgColor rgb="FFFFCC00"/>
        </patternFill>
      </fill>
      <border/>
    </dxf>
    <dxf>
      <font>
        <color rgb="FF339966"/>
      </font>
      <fill>
        <patternFill patternType="solid">
          <bgColor rgb="FFFFFFFF"/>
        </patternFill>
      </fill>
      <border/>
    </dxf>
    <dxf>
      <font>
        <color rgb="FF339966"/>
      </font>
      <border/>
    </dxf>
    <dxf>
      <font>
        <color rgb="FF339966"/>
      </font>
      <fill>
        <patternFill>
          <bgColor rgb="FFC0C0C0"/>
        </patternFill>
      </fill>
      <border/>
    </dxf>
    <dxf>
      <font>
        <color auto="1"/>
      </font>
      <fill>
        <patternFill patternType="solid">
          <bgColor rgb="FFFFFFFF"/>
        </patternFill>
      </fill>
      <border/>
    </dxf>
    <dxf>
      <font>
        <b val="0"/>
        <i/>
      </font>
      <border/>
    </dxf>
    <dxf>
      <fill>
        <patternFill>
          <bgColor rgb="FFCCFFCC"/>
        </patternFill>
      </fill>
      <border/>
    </dxf>
    <dxf>
      <fill>
        <patternFill>
          <bgColor rgb="FFFFFF99"/>
        </patternFill>
      </fill>
      <border/>
    </dxf>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11</xdr:row>
      <xdr:rowOff>114300</xdr:rowOff>
    </xdr:from>
    <xdr:to>
      <xdr:col>1</xdr:col>
      <xdr:colOff>1076325</xdr:colOff>
      <xdr:row>13</xdr:row>
      <xdr:rowOff>85725</xdr:rowOff>
    </xdr:to>
    <xdr:pic>
      <xdr:nvPicPr>
        <xdr:cNvPr id="1" name="cmdFactoryDefaults"/>
        <xdr:cNvPicPr preferRelativeResize="1">
          <a:picLocks noChangeAspect="1"/>
        </xdr:cNvPicPr>
      </xdr:nvPicPr>
      <xdr:blipFill>
        <a:blip r:embed="rId1"/>
        <a:stretch>
          <a:fillRect/>
        </a:stretch>
      </xdr:blipFill>
      <xdr:spPr>
        <a:xfrm>
          <a:off x="266700" y="2695575"/>
          <a:ext cx="1438275" cy="2952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aglands\My%20Documents\DW-WBS\Models\POU\adsorb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version control"/>
      <sheetName val="flows and costs"/>
      <sheetName val="Standard Inputs"/>
      <sheetName val="AutoSize"/>
      <sheetName val="INPUT"/>
      <sheetName val="OUTPUT"/>
      <sheetName val="Adsorptive Media Assumptions"/>
      <sheetName val="Critical Design Assumptions"/>
      <sheetName val="O&amp;M Assumptions"/>
      <sheetName val="Indirect Assumptions"/>
      <sheetName val="Vessel Design"/>
      <sheetName val="Backwash"/>
      <sheetName val="Regen and pH adj"/>
      <sheetName val="Pumps Pipe Structure"/>
      <sheetName val="Instrumentation and Control"/>
      <sheetName val="Residuals Management"/>
      <sheetName val="O&amp;M"/>
      <sheetName val="Indirect"/>
      <sheetName val="Cost Equations"/>
    </sheetNames>
    <sheetDataSet>
      <sheetData sheetId="6">
        <row r="187">
          <cell r="A187" t="str">
            <v>1.11.1.1</v>
          </cell>
        </row>
        <row r="202">
          <cell r="A202" t="str">
            <v>1.11.2.1</v>
          </cell>
        </row>
        <row r="222">
          <cell r="B222" t="str">
            <v>Permits</v>
          </cell>
          <cell r="C222" t="e">
            <v>#VALUE!</v>
          </cell>
        </row>
        <row r="223">
          <cell r="B223" t="str">
            <v>Pilot Study</v>
          </cell>
          <cell r="C223" t="e">
            <v>#N/A</v>
          </cell>
        </row>
        <row r="225">
          <cell r="B225" t="str">
            <v>Land Cost</v>
          </cell>
          <cell r="C225" t="e">
            <v>#N/A</v>
          </cell>
        </row>
        <row r="229">
          <cell r="B229" t="str">
            <v>Mobilization and Demobilization</v>
          </cell>
          <cell r="C229">
            <v>0.05</v>
          </cell>
        </row>
        <row r="230">
          <cell r="B230" t="str">
            <v>Architectural Fees for Treatment Building</v>
          </cell>
          <cell r="C230" t="e">
            <v>#N/A</v>
          </cell>
        </row>
        <row r="231">
          <cell r="B231" t="str">
            <v>Installation, Transportatation, and O&amp;P</v>
          </cell>
          <cell r="C231">
            <v>0</v>
          </cell>
        </row>
        <row r="232">
          <cell r="B232" t="str">
            <v>Site Work</v>
          </cell>
          <cell r="C232" t="e">
            <v>#N/A</v>
          </cell>
        </row>
        <row r="233">
          <cell r="B233" t="str">
            <v>Yard Piping</v>
          </cell>
          <cell r="C233" t="e">
            <v>#N/A</v>
          </cell>
        </row>
        <row r="234">
          <cell r="B234" t="str">
            <v>Geotechnical</v>
          </cell>
          <cell r="C234" t="e">
            <v>#N/A</v>
          </cell>
        </row>
        <row r="235">
          <cell r="B235" t="str">
            <v>Standby Power</v>
          </cell>
          <cell r="C235" t="e">
            <v>#N/A</v>
          </cell>
        </row>
        <row r="236">
          <cell r="B236" t="str">
            <v>Electrical (including yard wiring)</v>
          </cell>
          <cell r="C236">
            <v>0.02</v>
          </cell>
        </row>
        <row r="237">
          <cell r="B237" t="str">
            <v>Instrumentation and Control</v>
          </cell>
          <cell r="C237">
            <v>0</v>
          </cell>
        </row>
        <row r="238">
          <cell r="B238" t="str">
            <v>Contingency</v>
          </cell>
          <cell r="C238" t="e">
            <v>#N/A</v>
          </cell>
        </row>
        <row r="239">
          <cell r="B239" t="str">
            <v>Process Engineering</v>
          </cell>
          <cell r="C239" t="e">
            <v>#N/A</v>
          </cell>
        </row>
        <row r="240">
          <cell r="B240" t="str">
            <v>Miscellaneous Allowance</v>
          </cell>
          <cell r="C240">
            <v>0.05</v>
          </cell>
        </row>
        <row r="241">
          <cell r="B241" t="str">
            <v>Legal, Fiscal, and Administrative</v>
          </cell>
          <cell r="C241">
            <v>0.02</v>
          </cell>
        </row>
        <row r="242">
          <cell r="B242" t="str">
            <v>Sales Tax</v>
          </cell>
          <cell r="C242">
            <v>0</v>
          </cell>
        </row>
        <row r="243">
          <cell r="B243" t="str">
            <v>Financing during Construction</v>
          </cell>
          <cell r="C243">
            <v>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7"/>
  <dimension ref="A2:B81"/>
  <sheetViews>
    <sheetView zoomScale="80" zoomScaleNormal="80" workbookViewId="0" topLeftCell="A57">
      <selection activeCell="A73" sqref="A73"/>
    </sheetView>
  </sheetViews>
  <sheetFormatPr defaultColWidth="9.140625" defaultRowHeight="12.75"/>
  <sheetData>
    <row r="2" spans="1:2" ht="12.75">
      <c r="A2" s="104">
        <v>38701</v>
      </c>
      <c r="B2" t="s">
        <v>518</v>
      </c>
    </row>
    <row r="3" spans="1:2" ht="12.75">
      <c r="A3" s="104">
        <v>38355</v>
      </c>
      <c r="B3" t="s">
        <v>517</v>
      </c>
    </row>
    <row r="4" spans="1:2" ht="12.75">
      <c r="A4" s="104">
        <v>38723</v>
      </c>
      <c r="B4" t="s">
        <v>548</v>
      </c>
    </row>
    <row r="5" spans="1:2" ht="12.75">
      <c r="A5" s="104">
        <v>38723</v>
      </c>
      <c r="B5" t="s">
        <v>549</v>
      </c>
    </row>
    <row r="6" spans="1:2" ht="12.75">
      <c r="A6" s="104">
        <v>38728</v>
      </c>
      <c r="B6" t="s">
        <v>552</v>
      </c>
    </row>
    <row r="7" spans="1:2" ht="12.75">
      <c r="A7" s="104">
        <v>38728</v>
      </c>
      <c r="B7" t="s">
        <v>553</v>
      </c>
    </row>
    <row r="8" spans="1:2" ht="12.75">
      <c r="A8" s="104">
        <v>38733</v>
      </c>
      <c r="B8" s="119" t="s">
        <v>631</v>
      </c>
    </row>
    <row r="9" spans="1:2" ht="12.75">
      <c r="A9" s="104">
        <v>38736</v>
      </c>
      <c r="B9" s="119" t="s">
        <v>638</v>
      </c>
    </row>
    <row r="10" spans="1:2" ht="12.75">
      <c r="A10" s="104">
        <v>38736</v>
      </c>
      <c r="B10" t="s">
        <v>632</v>
      </c>
    </row>
    <row r="11" spans="1:2" ht="12.75">
      <c r="A11" s="104">
        <v>38736</v>
      </c>
      <c r="B11" t="s">
        <v>639</v>
      </c>
    </row>
    <row r="12" spans="1:2" ht="12.75">
      <c r="A12" s="104">
        <v>38740</v>
      </c>
      <c r="B12" t="s">
        <v>636</v>
      </c>
    </row>
    <row r="13" spans="1:2" ht="12.75">
      <c r="A13" s="104">
        <v>38740</v>
      </c>
      <c r="B13" t="s">
        <v>637</v>
      </c>
    </row>
    <row r="14" spans="1:2" ht="12.75">
      <c r="A14" t="s">
        <v>658</v>
      </c>
      <c r="B14" t="s">
        <v>659</v>
      </c>
    </row>
    <row r="15" spans="1:2" ht="12.75">
      <c r="A15" s="104">
        <v>38747</v>
      </c>
      <c r="B15" t="s">
        <v>680</v>
      </c>
    </row>
    <row r="16" spans="1:2" ht="12.75">
      <c r="A16" s="104">
        <v>38747</v>
      </c>
      <c r="B16" t="s">
        <v>681</v>
      </c>
    </row>
    <row r="17" spans="1:2" ht="12.75">
      <c r="A17" s="104">
        <v>38747</v>
      </c>
      <c r="B17" t="s">
        <v>683</v>
      </c>
    </row>
    <row r="18" spans="1:2" ht="12.75">
      <c r="A18" s="104">
        <v>38748</v>
      </c>
      <c r="B18" t="s">
        <v>40</v>
      </c>
    </row>
    <row r="19" spans="1:2" ht="12.75">
      <c r="A19" s="104">
        <v>38757</v>
      </c>
      <c r="B19" t="s">
        <v>48</v>
      </c>
    </row>
    <row r="20" spans="1:2" ht="12.75">
      <c r="A20" s="104">
        <v>38763</v>
      </c>
      <c r="B20" t="s">
        <v>49</v>
      </c>
    </row>
    <row r="21" spans="1:2" ht="12.75">
      <c r="A21" s="104">
        <v>38763</v>
      </c>
      <c r="B21" t="s">
        <v>55</v>
      </c>
    </row>
    <row r="22" spans="1:2" ht="12.75">
      <c r="A22" s="104">
        <v>38763</v>
      </c>
      <c r="B22" t="s">
        <v>51</v>
      </c>
    </row>
    <row r="23" spans="1:2" ht="12.75">
      <c r="A23" s="104">
        <v>38763</v>
      </c>
      <c r="B23" t="s">
        <v>53</v>
      </c>
    </row>
    <row r="24" spans="1:2" ht="12.75">
      <c r="A24" s="104">
        <v>38763</v>
      </c>
      <c r="B24" t="s">
        <v>54</v>
      </c>
    </row>
    <row r="25" spans="1:2" ht="12.75">
      <c r="A25" s="104">
        <v>38765</v>
      </c>
      <c r="B25" t="s">
        <v>57</v>
      </c>
    </row>
    <row r="26" spans="1:2" ht="12.75">
      <c r="A26" s="104">
        <v>38765</v>
      </c>
      <c r="B26" t="s">
        <v>61</v>
      </c>
    </row>
    <row r="27" spans="1:2" ht="12.75">
      <c r="A27" s="104">
        <v>38765</v>
      </c>
      <c r="B27" t="s">
        <v>68</v>
      </c>
    </row>
    <row r="28" spans="1:2" ht="12.75">
      <c r="A28" s="104"/>
      <c r="B28" t="s">
        <v>71</v>
      </c>
    </row>
    <row r="29" spans="1:2" ht="12.75">
      <c r="A29" s="104">
        <v>38765</v>
      </c>
      <c r="B29" t="s">
        <v>76</v>
      </c>
    </row>
    <row r="30" spans="1:2" ht="12.75">
      <c r="A30" s="104">
        <v>38765</v>
      </c>
      <c r="B30" t="s">
        <v>77</v>
      </c>
    </row>
    <row r="31" spans="1:2" ht="12.75">
      <c r="A31" s="104">
        <v>38765</v>
      </c>
      <c r="B31" t="s">
        <v>78</v>
      </c>
    </row>
    <row r="32" spans="1:2" ht="12.75">
      <c r="A32" s="104">
        <v>38765</v>
      </c>
      <c r="B32" t="s">
        <v>89</v>
      </c>
    </row>
    <row r="33" spans="1:2" ht="12.75">
      <c r="A33" s="104">
        <v>38765</v>
      </c>
      <c r="B33" s="43" t="s">
        <v>167</v>
      </c>
    </row>
    <row r="34" spans="1:2" ht="12.75">
      <c r="A34" s="104">
        <v>38765</v>
      </c>
      <c r="B34" t="s">
        <v>166</v>
      </c>
    </row>
    <row r="35" spans="1:2" ht="12.75">
      <c r="A35" s="104">
        <v>38765</v>
      </c>
      <c r="B35" s="106" t="s">
        <v>98</v>
      </c>
    </row>
    <row r="36" spans="1:2" ht="12.75">
      <c r="A36" s="104">
        <v>38765</v>
      </c>
      <c r="B36" s="9" t="s">
        <v>149</v>
      </c>
    </row>
    <row r="37" spans="1:2" ht="12.75">
      <c r="A37" s="104">
        <v>38768</v>
      </c>
      <c r="B37" s="9" t="s">
        <v>102</v>
      </c>
    </row>
    <row r="38" spans="1:2" ht="12.75">
      <c r="A38" s="104">
        <v>38768</v>
      </c>
      <c r="B38" s="9" t="s">
        <v>142</v>
      </c>
    </row>
    <row r="39" spans="1:2" ht="12.75">
      <c r="A39" s="104">
        <v>38768</v>
      </c>
      <c r="B39" s="9" t="s">
        <v>140</v>
      </c>
    </row>
    <row r="40" spans="1:2" ht="12.75">
      <c r="A40" s="104">
        <v>38768</v>
      </c>
      <c r="B40" s="9" t="s">
        <v>141</v>
      </c>
    </row>
    <row r="41" spans="1:2" ht="12.75">
      <c r="A41" s="104">
        <v>38768</v>
      </c>
      <c r="B41" s="9" t="s">
        <v>150</v>
      </c>
    </row>
    <row r="42" spans="1:2" ht="12.75">
      <c r="A42" s="104">
        <v>38769</v>
      </c>
      <c r="B42" s="9" t="s">
        <v>143</v>
      </c>
    </row>
    <row r="43" spans="1:2" ht="12.75">
      <c r="A43" s="104">
        <v>38769</v>
      </c>
      <c r="B43" s="9" t="s">
        <v>146</v>
      </c>
    </row>
    <row r="44" spans="1:2" ht="12.75">
      <c r="A44" s="104">
        <v>38769</v>
      </c>
      <c r="B44" s="9" t="s">
        <v>147</v>
      </c>
    </row>
    <row r="45" spans="1:2" ht="12.75">
      <c r="A45" s="104">
        <v>38769</v>
      </c>
      <c r="B45" s="9" t="s">
        <v>151</v>
      </c>
    </row>
    <row r="46" spans="1:2" ht="12.75">
      <c r="A46" s="104">
        <v>38769</v>
      </c>
      <c r="B46" s="9" t="s">
        <v>152</v>
      </c>
    </row>
    <row r="47" spans="1:2" ht="12.75">
      <c r="A47" s="104">
        <v>38769</v>
      </c>
      <c r="B47" s="9" t="s">
        <v>159</v>
      </c>
    </row>
    <row r="48" spans="1:2" ht="12.75">
      <c r="A48" s="104">
        <v>38771</v>
      </c>
      <c r="B48" s="9" t="s">
        <v>168</v>
      </c>
    </row>
    <row r="49" spans="1:2" ht="12.75">
      <c r="A49" s="104">
        <v>38771</v>
      </c>
      <c r="B49" s="9" t="s">
        <v>156</v>
      </c>
    </row>
    <row r="50" spans="1:2" ht="12.75">
      <c r="A50" s="104">
        <v>38771</v>
      </c>
      <c r="B50" s="9" t="s">
        <v>157</v>
      </c>
    </row>
    <row r="51" spans="1:2" ht="12.75">
      <c r="A51" s="104">
        <v>38771</v>
      </c>
      <c r="B51" s="9" t="s">
        <v>164</v>
      </c>
    </row>
    <row r="52" spans="1:2" ht="12.75">
      <c r="A52" s="104">
        <v>38771</v>
      </c>
      <c r="B52" s="9" t="s">
        <v>158</v>
      </c>
    </row>
    <row r="53" spans="1:2" ht="12.75">
      <c r="A53" s="104">
        <v>38771</v>
      </c>
      <c r="B53" s="9" t="s">
        <v>160</v>
      </c>
    </row>
    <row r="54" spans="1:2" ht="12.75">
      <c r="A54" s="104">
        <v>38779</v>
      </c>
      <c r="B54" s="9" t="s">
        <v>216</v>
      </c>
    </row>
    <row r="55" spans="1:2" ht="12.75">
      <c r="A55" s="104">
        <v>38782</v>
      </c>
      <c r="B55" s="9" t="s">
        <v>195</v>
      </c>
    </row>
    <row r="56" spans="1:2" ht="12.75">
      <c r="A56" s="104">
        <v>38782</v>
      </c>
      <c r="B56" s="9" t="s">
        <v>196</v>
      </c>
    </row>
    <row r="57" spans="1:2" ht="12.75">
      <c r="A57" s="104">
        <v>38784</v>
      </c>
      <c r="B57" s="9" t="s">
        <v>200</v>
      </c>
    </row>
    <row r="58" spans="1:2" ht="12.75">
      <c r="A58" s="104">
        <v>38784</v>
      </c>
      <c r="B58" s="9" t="s">
        <v>201</v>
      </c>
    </row>
    <row r="59" spans="1:2" ht="12.75">
      <c r="A59" s="104">
        <v>38785</v>
      </c>
      <c r="B59" s="9" t="s">
        <v>207</v>
      </c>
    </row>
    <row r="60" spans="1:2" ht="12.75">
      <c r="A60" s="104">
        <v>38785</v>
      </c>
      <c r="B60" s="9" t="s">
        <v>208</v>
      </c>
    </row>
    <row r="61" spans="1:2" ht="12.75">
      <c r="A61" s="104">
        <v>38785</v>
      </c>
      <c r="B61" s="9" t="s">
        <v>209</v>
      </c>
    </row>
    <row r="62" spans="1:2" ht="12.75">
      <c r="A62" s="104">
        <v>38785</v>
      </c>
      <c r="B62" s="9" t="s">
        <v>210</v>
      </c>
    </row>
    <row r="63" spans="1:2" ht="12.75">
      <c r="A63" s="104">
        <v>38785</v>
      </c>
      <c r="B63" s="9" t="s">
        <v>211</v>
      </c>
    </row>
    <row r="64" spans="1:2" ht="12.75">
      <c r="A64" s="104">
        <v>38785</v>
      </c>
      <c r="B64" s="9" t="s">
        <v>212</v>
      </c>
    </row>
    <row r="65" spans="1:2" ht="12.75">
      <c r="A65" s="104">
        <v>38788</v>
      </c>
      <c r="B65" s="9" t="s">
        <v>213</v>
      </c>
    </row>
    <row r="66" spans="1:2" ht="12.75">
      <c r="A66" s="104">
        <v>38788</v>
      </c>
      <c r="B66" s="9" t="s">
        <v>214</v>
      </c>
    </row>
    <row r="67" spans="1:2" ht="12.75">
      <c r="A67" s="104">
        <v>38788</v>
      </c>
      <c r="B67" s="9" t="s">
        <v>215</v>
      </c>
    </row>
    <row r="68" spans="1:2" ht="12.75">
      <c r="A68" s="104">
        <v>38789</v>
      </c>
      <c r="B68" s="9" t="s">
        <v>217</v>
      </c>
    </row>
    <row r="69" spans="1:2" ht="12.75">
      <c r="A69" s="104">
        <v>38789</v>
      </c>
      <c r="B69" s="9" t="s">
        <v>218</v>
      </c>
    </row>
    <row r="70" spans="1:2" ht="12.75">
      <c r="A70" s="104">
        <v>38789</v>
      </c>
      <c r="B70" s="9" t="s">
        <v>230</v>
      </c>
    </row>
    <row r="71" spans="1:2" ht="12.75">
      <c r="A71" s="104">
        <v>38789</v>
      </c>
      <c r="B71" s="9" t="s">
        <v>221</v>
      </c>
    </row>
    <row r="72" spans="1:2" ht="12.75">
      <c r="A72" s="104">
        <v>38790</v>
      </c>
      <c r="B72" s="9" t="s">
        <v>229</v>
      </c>
    </row>
    <row r="73" spans="1:2" ht="12.75">
      <c r="A73" s="104">
        <v>38815</v>
      </c>
      <c r="B73" s="9" t="s">
        <v>304</v>
      </c>
    </row>
    <row r="74" ht="12.75">
      <c r="A74" t="s">
        <v>519</v>
      </c>
    </row>
    <row r="76" ht="12.75">
      <c r="A76" t="s">
        <v>153</v>
      </c>
    </row>
    <row r="77" ht="12.75">
      <c r="A77" t="s">
        <v>58</v>
      </c>
    </row>
    <row r="78" ht="12.75">
      <c r="A78" t="s">
        <v>59</v>
      </c>
    </row>
    <row r="79" ht="12.75">
      <c r="A79" t="s">
        <v>73</v>
      </c>
    </row>
    <row r="80" ht="12.75">
      <c r="A80" t="s">
        <v>148</v>
      </c>
    </row>
    <row r="81" ht="12.75">
      <c r="A81" t="s">
        <v>154</v>
      </c>
    </row>
  </sheetData>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0"/>
  <dimension ref="A1:E3"/>
  <sheetViews>
    <sheetView zoomScale="80" zoomScaleNormal="80" workbookViewId="0" topLeftCell="A1">
      <selection activeCell="E3" sqref="E3"/>
    </sheetView>
  </sheetViews>
  <sheetFormatPr defaultColWidth="9.140625" defaultRowHeight="12.75"/>
  <cols>
    <col min="1" max="1" width="60.28125" style="0" customWidth="1"/>
    <col min="2" max="2" width="16.7109375" style="0" customWidth="1"/>
    <col min="4" max="4" width="20.7109375" style="0" customWidth="1"/>
  </cols>
  <sheetData>
    <row r="1" spans="1:5" ht="12.75">
      <c r="A1" s="4" t="s">
        <v>90</v>
      </c>
      <c r="D1" s="164"/>
      <c r="E1" s="163"/>
    </row>
    <row r="2" spans="1:5" ht="12.75">
      <c r="A2" s="165" t="s">
        <v>403</v>
      </c>
      <c r="D2" s="164"/>
      <c r="E2" s="163"/>
    </row>
    <row r="3" spans="1:5" ht="12.75">
      <c r="A3" t="s">
        <v>91</v>
      </c>
      <c r="B3" s="37" t="s">
        <v>92</v>
      </c>
      <c r="C3" s="144">
        <f>VLOOKUP(B3,complexity_rng,treat_select+3,FALSE)</f>
        <v>1</v>
      </c>
      <c r="D3" s="164"/>
      <c r="E3" s="163" t="s">
        <v>93</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6">
    <pageSetUpPr fitToPage="1"/>
  </sheetPr>
  <dimension ref="A1:Q136"/>
  <sheetViews>
    <sheetView workbookViewId="0" topLeftCell="A1">
      <selection activeCell="A1" sqref="A1"/>
    </sheetView>
  </sheetViews>
  <sheetFormatPr defaultColWidth="9.140625" defaultRowHeight="12.75"/>
  <cols>
    <col min="1" max="1" width="34.140625" style="0" customWidth="1"/>
    <col min="2" max="2" width="25.421875" style="0" customWidth="1"/>
    <col min="3" max="3" width="12.00390625" style="0" customWidth="1"/>
    <col min="4" max="4" width="11.421875" style="0" customWidth="1"/>
    <col min="5" max="5" width="10.421875" style="0" customWidth="1"/>
    <col min="6" max="6" width="10.00390625" style="0" customWidth="1"/>
    <col min="7" max="7" width="10.28125" style="0" customWidth="1"/>
    <col min="11" max="11" width="10.28125" style="0" customWidth="1"/>
    <col min="12" max="12" width="9.8515625" style="0" customWidth="1"/>
    <col min="13" max="13" width="11.00390625" style="0" customWidth="1"/>
    <col min="14" max="14" width="10.421875" style="0" customWidth="1"/>
    <col min="15" max="15" width="10.57421875" style="0" customWidth="1"/>
  </cols>
  <sheetData>
    <row r="1" spans="1:14" ht="12.75">
      <c r="A1" s="44" t="s">
        <v>315</v>
      </c>
      <c r="M1" s="45"/>
      <c r="N1" s="45"/>
    </row>
    <row r="2" spans="1:14" ht="12.75">
      <c r="A2" s="44" t="s">
        <v>270</v>
      </c>
      <c r="M2" s="45"/>
      <c r="N2" s="45"/>
    </row>
    <row r="3" spans="1:17" ht="51">
      <c r="A3" s="400"/>
      <c r="B3" s="386"/>
      <c r="C3" s="386" t="s">
        <v>381</v>
      </c>
      <c r="D3" s="387" t="s">
        <v>28</v>
      </c>
      <c r="E3" s="387" t="s">
        <v>321</v>
      </c>
      <c r="F3" s="387" t="s">
        <v>322</v>
      </c>
      <c r="G3" s="387" t="s">
        <v>325</v>
      </c>
      <c r="H3" s="387" t="s">
        <v>326</v>
      </c>
      <c r="I3" s="387" t="s">
        <v>327</v>
      </c>
      <c r="J3" s="387" t="s">
        <v>320</v>
      </c>
      <c r="K3" s="387" t="s">
        <v>323</v>
      </c>
      <c r="L3" s="387" t="s">
        <v>331</v>
      </c>
      <c r="M3" s="387" t="s">
        <v>324</v>
      </c>
      <c r="N3" s="387" t="s">
        <v>332</v>
      </c>
      <c r="O3" s="387" t="s">
        <v>333</v>
      </c>
      <c r="P3" s="387" t="s">
        <v>587</v>
      </c>
      <c r="Q3" s="2"/>
    </row>
    <row r="4" spans="1:17" ht="12.75">
      <c r="A4" s="477" t="s">
        <v>455</v>
      </c>
      <c r="B4" s="386"/>
      <c r="C4" s="386"/>
      <c r="D4" s="33"/>
      <c r="E4" s="33"/>
      <c r="F4" s="33"/>
      <c r="G4" s="33"/>
      <c r="H4" s="33"/>
      <c r="I4" s="33"/>
      <c r="J4" s="33"/>
      <c r="K4" s="33"/>
      <c r="L4" s="33"/>
      <c r="M4" s="33"/>
      <c r="N4" s="33"/>
      <c r="O4" s="33"/>
      <c r="P4" s="387"/>
      <c r="Q4" s="50"/>
    </row>
    <row r="5" spans="1:17" ht="12.75">
      <c r="A5" s="385" t="s">
        <v>449</v>
      </c>
      <c r="B5" s="410" t="s">
        <v>510</v>
      </c>
      <c r="C5" s="401" t="s">
        <v>450</v>
      </c>
      <c r="D5" s="11">
        <v>0</v>
      </c>
      <c r="E5" s="11">
        <v>0.5</v>
      </c>
      <c r="F5" s="11">
        <v>0.5</v>
      </c>
      <c r="G5" s="11">
        <v>0.5</v>
      </c>
      <c r="H5" s="11">
        <v>0.5</v>
      </c>
      <c r="I5" s="11">
        <v>0.5</v>
      </c>
      <c r="J5" s="11">
        <v>0.5</v>
      </c>
      <c r="K5" s="11">
        <v>0.5</v>
      </c>
      <c r="L5" s="11">
        <v>0.5</v>
      </c>
      <c r="M5" s="11">
        <v>0.5</v>
      </c>
      <c r="N5" s="11">
        <v>0.5</v>
      </c>
      <c r="O5" s="11">
        <v>0.5</v>
      </c>
      <c r="P5" s="388">
        <f>IF(user_maint="",INDEX(maint_time,user_treat_select),user_maint)</f>
        <v>0.5</v>
      </c>
      <c r="Q5" s="60"/>
    </row>
    <row r="6" spans="1:17" ht="12.75">
      <c r="A6" s="385" t="s">
        <v>463</v>
      </c>
      <c r="B6" s="410" t="s">
        <v>511</v>
      </c>
      <c r="C6" s="401" t="s">
        <v>462</v>
      </c>
      <c r="D6" s="11">
        <v>0</v>
      </c>
      <c r="E6" s="11">
        <v>1</v>
      </c>
      <c r="F6" s="11">
        <v>1</v>
      </c>
      <c r="G6" s="11">
        <v>1</v>
      </c>
      <c r="H6" s="11">
        <v>1</v>
      </c>
      <c r="I6" s="11">
        <v>1</v>
      </c>
      <c r="J6" s="11">
        <v>1</v>
      </c>
      <c r="K6" s="11">
        <v>1</v>
      </c>
      <c r="L6" s="11">
        <v>1</v>
      </c>
      <c r="M6" s="11">
        <v>1</v>
      </c>
      <c r="N6" s="11">
        <v>1</v>
      </c>
      <c r="O6" s="11">
        <v>1</v>
      </c>
      <c r="P6" s="388">
        <f>IF(user_repl_freq="",INDEX(maint_frequency,user_treat_select),user_repl_freq)</f>
        <v>1</v>
      </c>
      <c r="Q6" s="60"/>
    </row>
    <row r="7" spans="1:17" ht="12.75">
      <c r="A7" s="385" t="s">
        <v>316</v>
      </c>
      <c r="B7" s="410" t="s">
        <v>512</v>
      </c>
      <c r="C7" s="401" t="s">
        <v>450</v>
      </c>
      <c r="D7" s="11">
        <v>0</v>
      </c>
      <c r="E7" s="11">
        <v>0.5</v>
      </c>
      <c r="F7" s="11">
        <v>0.5</v>
      </c>
      <c r="G7" s="11">
        <v>0.5</v>
      </c>
      <c r="H7" s="11">
        <v>0.5</v>
      </c>
      <c r="I7" s="11">
        <v>0.5</v>
      </c>
      <c r="J7" s="11">
        <v>0.5</v>
      </c>
      <c r="K7" s="11">
        <v>0.5</v>
      </c>
      <c r="L7" s="11">
        <v>0.5</v>
      </c>
      <c r="M7" s="11">
        <v>0.5</v>
      </c>
      <c r="N7" s="11">
        <v>0.5</v>
      </c>
      <c r="O7" s="11">
        <v>0.5</v>
      </c>
      <c r="P7" s="388">
        <f>IF(user_uv_maint="",INDEX(UV_maint_time,user_treat_select),user_uv_maint)</f>
        <v>0.5</v>
      </c>
      <c r="Q7" s="60"/>
    </row>
    <row r="8" spans="1:17" ht="12.75">
      <c r="A8" s="385" t="s">
        <v>464</v>
      </c>
      <c r="B8" s="410" t="s">
        <v>513</v>
      </c>
      <c r="C8" s="401" t="s">
        <v>462</v>
      </c>
      <c r="D8" s="11">
        <v>0</v>
      </c>
      <c r="E8" s="11">
        <v>1</v>
      </c>
      <c r="F8" s="11">
        <v>1</v>
      </c>
      <c r="G8" s="11">
        <v>1</v>
      </c>
      <c r="H8" s="11">
        <v>1</v>
      </c>
      <c r="I8" s="11">
        <v>1</v>
      </c>
      <c r="J8" s="11">
        <v>1</v>
      </c>
      <c r="K8" s="11">
        <v>1</v>
      </c>
      <c r="L8" s="11">
        <v>1</v>
      </c>
      <c r="M8" s="11">
        <v>1</v>
      </c>
      <c r="N8" s="11">
        <v>1</v>
      </c>
      <c r="O8" s="11">
        <v>1</v>
      </c>
      <c r="P8" s="388">
        <f>IF(user_uv_freq="",INDEX(UV_maint_frequency,user_treat_select),user_uv_freq)</f>
        <v>1</v>
      </c>
      <c r="Q8" s="60"/>
    </row>
    <row r="9" spans="1:17" ht="12.75">
      <c r="A9" s="385" t="s">
        <v>460</v>
      </c>
      <c r="B9" s="410" t="s">
        <v>514</v>
      </c>
      <c r="C9" s="401" t="s">
        <v>450</v>
      </c>
      <c r="D9" s="11">
        <v>0</v>
      </c>
      <c r="E9" s="11">
        <v>0.5</v>
      </c>
      <c r="F9" s="11">
        <v>0.5</v>
      </c>
      <c r="G9" s="11">
        <v>0.5</v>
      </c>
      <c r="H9" s="11">
        <v>0.5</v>
      </c>
      <c r="I9" s="11">
        <v>0.5</v>
      </c>
      <c r="J9" s="11">
        <v>0.5</v>
      </c>
      <c r="K9" s="11">
        <v>0.5</v>
      </c>
      <c r="L9" s="11">
        <v>0.5</v>
      </c>
      <c r="M9" s="11">
        <v>0.5</v>
      </c>
      <c r="N9" s="11">
        <v>0.5</v>
      </c>
      <c r="O9" s="11">
        <v>0.5</v>
      </c>
      <c r="P9" s="388">
        <f>IF(user_maint_sched="",INDEX(maint_scheduling,user_treat_select),user_maint_sched)</f>
        <v>0.5</v>
      </c>
      <c r="Q9" s="60"/>
    </row>
    <row r="10" spans="1:17" ht="12.75">
      <c r="A10" s="385"/>
      <c r="B10" s="410"/>
      <c r="C10" s="401"/>
      <c r="D10" s="476"/>
      <c r="E10" s="476"/>
      <c r="F10" s="476"/>
      <c r="G10" s="476"/>
      <c r="H10" s="476"/>
      <c r="I10" s="476"/>
      <c r="J10" s="476"/>
      <c r="K10" s="476"/>
      <c r="L10" s="476"/>
      <c r="M10" s="476"/>
      <c r="N10" s="476"/>
      <c r="O10" s="476"/>
      <c r="P10" s="476"/>
      <c r="Q10" s="60"/>
    </row>
    <row r="11" spans="1:17" ht="12.75">
      <c r="A11" s="407" t="s">
        <v>404</v>
      </c>
      <c r="B11" s="403"/>
      <c r="C11" s="401"/>
      <c r="D11" s="476"/>
      <c r="E11" s="476"/>
      <c r="F11" s="476"/>
      <c r="G11" s="476"/>
      <c r="H11" s="476"/>
      <c r="I11" s="476"/>
      <c r="J11" s="476"/>
      <c r="K11" s="476"/>
      <c r="L11" s="476"/>
      <c r="M11" s="476"/>
      <c r="N11" s="476"/>
      <c r="O11" s="476"/>
      <c r="P11" s="476"/>
      <c r="Q11" s="60"/>
    </row>
    <row r="12" spans="1:17" ht="12.75">
      <c r="A12" s="409" t="s">
        <v>451</v>
      </c>
      <c r="B12" s="410" t="s">
        <v>448</v>
      </c>
      <c r="C12" s="372" t="s">
        <v>318</v>
      </c>
      <c r="D12" s="18">
        <v>12</v>
      </c>
      <c r="E12" s="18">
        <v>12</v>
      </c>
      <c r="F12" s="107">
        <v>12</v>
      </c>
      <c r="G12" s="107">
        <v>12</v>
      </c>
      <c r="H12" s="18">
        <v>12</v>
      </c>
      <c r="I12" s="18">
        <v>12</v>
      </c>
      <c r="J12" s="107">
        <v>12</v>
      </c>
      <c r="K12" s="107">
        <v>12</v>
      </c>
      <c r="L12" s="18">
        <v>12</v>
      </c>
      <c r="M12" s="107">
        <v>12</v>
      </c>
      <c r="N12" s="107">
        <v>12</v>
      </c>
      <c r="O12" s="107">
        <v>12</v>
      </c>
      <c r="P12" s="391">
        <f>IF(user_updates_tech="",VLOOKUP(A12,tech_labor_om,user_treat_select+3,FALSE),user_updates_tech)</f>
        <v>12</v>
      </c>
      <c r="Q12" s="10"/>
    </row>
    <row r="13" spans="1:17" ht="12.75">
      <c r="A13" s="409" t="s">
        <v>452</v>
      </c>
      <c r="B13" s="410" t="s">
        <v>448</v>
      </c>
      <c r="C13" s="372" t="s">
        <v>318</v>
      </c>
      <c r="D13" s="18">
        <v>20</v>
      </c>
      <c r="E13" s="18">
        <v>20</v>
      </c>
      <c r="F13" s="107">
        <v>20</v>
      </c>
      <c r="G13" s="107">
        <v>20</v>
      </c>
      <c r="H13" s="18">
        <v>20</v>
      </c>
      <c r="I13" s="18">
        <v>20</v>
      </c>
      <c r="J13" s="107">
        <v>20</v>
      </c>
      <c r="K13" s="107">
        <v>20</v>
      </c>
      <c r="L13" s="18">
        <v>20</v>
      </c>
      <c r="M13" s="107">
        <v>20</v>
      </c>
      <c r="N13" s="107">
        <v>20</v>
      </c>
      <c r="O13" s="107">
        <v>20</v>
      </c>
      <c r="P13" s="391">
        <f>IF(user_nitr_updates_tech="",VLOOKUP(A13,tech_labor_om,user_treat_select+3,FALSE),user_nitr_updates_tech)</f>
        <v>20</v>
      </c>
      <c r="Q13" s="10"/>
    </row>
    <row r="14" spans="1:17" ht="12.75">
      <c r="A14" s="409" t="s">
        <v>451</v>
      </c>
      <c r="B14" s="410" t="s">
        <v>453</v>
      </c>
      <c r="C14" s="478" t="s">
        <v>318</v>
      </c>
      <c r="D14" s="18">
        <v>12</v>
      </c>
      <c r="E14" s="18">
        <v>12</v>
      </c>
      <c r="F14" s="107">
        <v>12</v>
      </c>
      <c r="G14" s="107">
        <v>12</v>
      </c>
      <c r="H14" s="18">
        <v>12</v>
      </c>
      <c r="I14" s="18">
        <v>12</v>
      </c>
      <c r="J14" s="107">
        <v>12</v>
      </c>
      <c r="K14" s="107">
        <v>12</v>
      </c>
      <c r="L14" s="18">
        <v>12</v>
      </c>
      <c r="M14" s="107">
        <v>12</v>
      </c>
      <c r="N14" s="107">
        <v>12</v>
      </c>
      <c r="O14" s="107">
        <v>12</v>
      </c>
      <c r="P14" s="391">
        <f>IF(user_info_cler="",VLOOKUP(A14,clerical_labor_om,user_treat_select+3,FALSE),user_info_cler)</f>
        <v>12</v>
      </c>
      <c r="Q14" s="10"/>
    </row>
    <row r="15" spans="1:17" ht="12.75">
      <c r="A15" s="409" t="s">
        <v>452</v>
      </c>
      <c r="B15" s="410" t="s">
        <v>453</v>
      </c>
      <c r="C15" s="478" t="s">
        <v>318</v>
      </c>
      <c r="D15" s="18">
        <v>20</v>
      </c>
      <c r="E15" s="18">
        <v>20</v>
      </c>
      <c r="F15" s="107">
        <v>20</v>
      </c>
      <c r="G15" s="107">
        <v>20</v>
      </c>
      <c r="H15" s="18">
        <v>20</v>
      </c>
      <c r="I15" s="18">
        <v>20</v>
      </c>
      <c r="J15" s="107">
        <v>20</v>
      </c>
      <c r="K15" s="107">
        <v>20</v>
      </c>
      <c r="L15" s="18">
        <v>20</v>
      </c>
      <c r="M15" s="107">
        <v>20</v>
      </c>
      <c r="N15" s="107">
        <v>20</v>
      </c>
      <c r="O15" s="107">
        <v>20</v>
      </c>
      <c r="P15" s="391">
        <f>IF(user_nitr_updates_cler="",VLOOKUP(A15,clerical_labor_om,user_treat_select+3,FALSE),user_nitr_updates_cler)</f>
        <v>20</v>
      </c>
      <c r="Q15" s="10"/>
    </row>
    <row r="16" spans="1:17" ht="12.75">
      <c r="A16" s="409" t="s">
        <v>554</v>
      </c>
      <c r="B16" s="410" t="s">
        <v>454</v>
      </c>
      <c r="C16" s="372" t="s">
        <v>391</v>
      </c>
      <c r="D16" s="475">
        <v>10</v>
      </c>
      <c r="E16" s="475">
        <v>10</v>
      </c>
      <c r="F16" s="474">
        <v>10</v>
      </c>
      <c r="G16" s="474">
        <v>10</v>
      </c>
      <c r="H16" s="475">
        <v>10</v>
      </c>
      <c r="I16" s="475">
        <v>10</v>
      </c>
      <c r="J16" s="474">
        <v>10</v>
      </c>
      <c r="K16" s="474">
        <v>10</v>
      </c>
      <c r="L16" s="475">
        <v>10</v>
      </c>
      <c r="M16" s="474">
        <v>10</v>
      </c>
      <c r="N16" s="474">
        <v>10</v>
      </c>
      <c r="O16" s="474">
        <v>10</v>
      </c>
      <c r="P16" s="391">
        <f>IF(user_om_flyer="",VLOOKUP(A16,ed_material_om,user_treat_select+3,FALSE),user_om_flyer)</f>
        <v>10</v>
      </c>
      <c r="Q16" s="10"/>
    </row>
    <row r="17" spans="1:17" ht="12.75">
      <c r="A17" s="409" t="s">
        <v>395</v>
      </c>
      <c r="B17" s="410" t="s">
        <v>454</v>
      </c>
      <c r="C17" s="372" t="s">
        <v>397</v>
      </c>
      <c r="D17" s="475">
        <v>3</v>
      </c>
      <c r="E17" s="475">
        <v>3</v>
      </c>
      <c r="F17" s="474">
        <v>3</v>
      </c>
      <c r="G17" s="474">
        <v>3</v>
      </c>
      <c r="H17" s="475">
        <v>3</v>
      </c>
      <c r="I17" s="475">
        <v>3</v>
      </c>
      <c r="J17" s="474">
        <v>3</v>
      </c>
      <c r="K17" s="474">
        <v>3</v>
      </c>
      <c r="L17" s="475">
        <v>3</v>
      </c>
      <c r="M17" s="474">
        <v>3</v>
      </c>
      <c r="N17" s="474">
        <v>3</v>
      </c>
      <c r="O17" s="474">
        <v>3</v>
      </c>
      <c r="P17" s="391">
        <f>IF(user_om_billing="",VLOOKUP(A17,ed_material_om,user_treat_select+3,FALSE),user_om_billing)</f>
        <v>3</v>
      </c>
      <c r="Q17" s="10"/>
    </row>
    <row r="18" spans="1:16" ht="12.75">
      <c r="A18" s="479"/>
      <c r="B18" s="367"/>
      <c r="C18" s="367"/>
      <c r="D18" s="367"/>
      <c r="E18" s="367"/>
      <c r="F18" s="408"/>
      <c r="G18" s="408"/>
      <c r="H18" s="367"/>
      <c r="I18" s="367"/>
      <c r="J18" s="408"/>
      <c r="K18" s="408"/>
      <c r="L18" s="367"/>
      <c r="M18" s="418"/>
      <c r="N18" s="418"/>
      <c r="O18" s="408"/>
      <c r="P18" s="391"/>
    </row>
    <row r="19" spans="1:16" ht="12.75">
      <c r="A19" s="407" t="s">
        <v>456</v>
      </c>
      <c r="B19" s="410"/>
      <c r="C19" s="367"/>
      <c r="D19" s="367"/>
      <c r="E19" s="367"/>
      <c r="F19" s="408"/>
      <c r="G19" s="408"/>
      <c r="H19" s="367"/>
      <c r="I19" s="367"/>
      <c r="J19" s="408"/>
      <c r="K19" s="408"/>
      <c r="L19" s="367"/>
      <c r="M19" s="418"/>
      <c r="N19" s="418"/>
      <c r="O19" s="408"/>
      <c r="P19" s="391"/>
    </row>
    <row r="20" spans="1:16" ht="12.75">
      <c r="A20" s="409" t="s">
        <v>457</v>
      </c>
      <c r="B20" s="410" t="s">
        <v>591</v>
      </c>
      <c r="C20" s="367" t="s">
        <v>317</v>
      </c>
      <c r="D20">
        <v>0.25</v>
      </c>
      <c r="E20">
        <v>0.25</v>
      </c>
      <c r="F20">
        <v>0.25</v>
      </c>
      <c r="G20">
        <v>0.25</v>
      </c>
      <c r="H20">
        <v>0.25</v>
      </c>
      <c r="I20">
        <v>0.25</v>
      </c>
      <c r="J20">
        <v>0.25</v>
      </c>
      <c r="K20">
        <v>0.25</v>
      </c>
      <c r="L20">
        <v>0.25</v>
      </c>
      <c r="M20">
        <v>0.25</v>
      </c>
      <c r="N20">
        <v>0.25</v>
      </c>
      <c r="O20">
        <v>0.25</v>
      </c>
      <c r="P20" s="391">
        <f>IF(user_om_samp="",VLOOKUP(A20,lab_analysis,user_treat_select+3,FALSE),user_om_samp)</f>
        <v>0.25</v>
      </c>
    </row>
    <row r="21" spans="1:16" ht="12.75">
      <c r="A21" s="409" t="s">
        <v>459</v>
      </c>
      <c r="B21" s="410" t="s">
        <v>591</v>
      </c>
      <c r="C21" s="367" t="s">
        <v>317</v>
      </c>
      <c r="D21">
        <v>0</v>
      </c>
      <c r="E21">
        <v>0</v>
      </c>
      <c r="F21">
        <v>0</v>
      </c>
      <c r="G21">
        <v>0</v>
      </c>
      <c r="H21">
        <v>0</v>
      </c>
      <c r="I21">
        <v>0</v>
      </c>
      <c r="J21">
        <v>0</v>
      </c>
      <c r="K21">
        <v>0</v>
      </c>
      <c r="L21">
        <v>0</v>
      </c>
      <c r="M21">
        <v>0</v>
      </c>
      <c r="N21">
        <v>0</v>
      </c>
      <c r="O21">
        <v>0</v>
      </c>
      <c r="P21" s="391">
        <f>IF(user_om_sched="",VLOOKUP(A21,lab_analysis,user_treat_select+3,FALSE),user_om_sched)</f>
        <v>0</v>
      </c>
    </row>
    <row r="22" spans="1:16" ht="12.75">
      <c r="A22" s="409" t="s">
        <v>538</v>
      </c>
      <c r="B22" s="410" t="s">
        <v>591</v>
      </c>
      <c r="C22" s="367" t="s">
        <v>678</v>
      </c>
      <c r="D22" s="73">
        <v>1</v>
      </c>
      <c r="E22" s="73">
        <v>1</v>
      </c>
      <c r="F22" s="355">
        <v>1</v>
      </c>
      <c r="G22" s="355">
        <v>1</v>
      </c>
      <c r="H22" s="73">
        <v>1</v>
      </c>
      <c r="I22" s="73">
        <v>1</v>
      </c>
      <c r="J22" s="355">
        <v>1</v>
      </c>
      <c r="K22" s="355">
        <v>1</v>
      </c>
      <c r="L22" s="73">
        <v>1</v>
      </c>
      <c r="M22" s="355">
        <v>1</v>
      </c>
      <c r="N22" s="355">
        <v>1</v>
      </c>
      <c r="O22" s="355">
        <v>1</v>
      </c>
      <c r="P22" s="391">
        <f>IF(user_om_analysis="",VLOOKUP(A22,lab_analysis,user_treat_select+3,FALSE),user_om_analysis)</f>
        <v>1</v>
      </c>
    </row>
    <row r="23" spans="1:16" ht="12.75">
      <c r="A23" s="409" t="s">
        <v>644</v>
      </c>
      <c r="B23" s="410" t="s">
        <v>591</v>
      </c>
      <c r="C23" s="367" t="s">
        <v>458</v>
      </c>
      <c r="D23" s="99">
        <v>0.333</v>
      </c>
      <c r="E23" s="99">
        <v>0.333</v>
      </c>
      <c r="F23" s="356">
        <v>0.333</v>
      </c>
      <c r="G23" s="356">
        <v>0.333</v>
      </c>
      <c r="H23" s="99">
        <v>0.333</v>
      </c>
      <c r="I23" s="99">
        <v>0.333</v>
      </c>
      <c r="J23" s="356">
        <v>0.333</v>
      </c>
      <c r="K23" s="356">
        <v>0.333</v>
      </c>
      <c r="L23" s="99">
        <v>0.333</v>
      </c>
      <c r="M23" s="356">
        <v>0.333</v>
      </c>
      <c r="N23" s="356">
        <v>0.333</v>
      </c>
      <c r="O23" s="356">
        <v>0.333</v>
      </c>
      <c r="P23" s="391">
        <f>IF(user_om_shipping="",VLOOKUP(A23,lab_analysis,user_treat_select+3,FALSE),user_om_shipping)</f>
        <v>0.333</v>
      </c>
    </row>
    <row r="24" spans="1:16" ht="12.75">
      <c r="A24" s="480"/>
      <c r="B24" s="480"/>
      <c r="C24" s="481"/>
      <c r="D24" s="372"/>
      <c r="E24" s="480"/>
      <c r="F24" s="408"/>
      <c r="G24" s="367"/>
      <c r="H24" s="367"/>
      <c r="I24" s="367"/>
      <c r="J24" s="367"/>
      <c r="K24" s="367"/>
      <c r="L24" s="367"/>
      <c r="M24" s="488"/>
      <c r="N24" s="488"/>
      <c r="O24" s="367"/>
      <c r="P24" s="367"/>
    </row>
    <row r="25" spans="1:16" ht="12.75">
      <c r="A25" s="482"/>
      <c r="B25" s="483"/>
      <c r="C25" s="367"/>
      <c r="D25" s="367"/>
      <c r="E25" s="367"/>
      <c r="F25" s="367"/>
      <c r="G25" s="367"/>
      <c r="H25" s="367"/>
      <c r="I25" s="367"/>
      <c r="J25" s="367"/>
      <c r="K25" s="367"/>
      <c r="L25" s="367"/>
      <c r="M25" s="488"/>
      <c r="N25" s="488"/>
      <c r="O25" s="367"/>
      <c r="P25" s="367"/>
    </row>
    <row r="26" spans="1:17" ht="12.75">
      <c r="A26" s="414" t="s">
        <v>500</v>
      </c>
      <c r="B26" s="484"/>
      <c r="C26" s="385"/>
      <c r="D26" s="11"/>
      <c r="E26" s="11"/>
      <c r="F26" s="11"/>
      <c r="G26" s="11"/>
      <c r="H26" s="11"/>
      <c r="I26" s="11"/>
      <c r="J26" s="11"/>
      <c r="K26" s="11"/>
      <c r="L26" s="11"/>
      <c r="M26" s="11"/>
      <c r="N26" s="11"/>
      <c r="O26" s="11"/>
      <c r="P26" s="11"/>
      <c r="Q26" s="60"/>
    </row>
    <row r="27" spans="1:17" ht="12.75">
      <c r="A27" s="485" t="s">
        <v>465</v>
      </c>
      <c r="B27" s="486" t="s">
        <v>466</v>
      </c>
      <c r="C27" s="385"/>
      <c r="D27" s="11"/>
      <c r="E27" s="11"/>
      <c r="F27" s="11"/>
      <c r="G27" s="11"/>
      <c r="H27" s="11"/>
      <c r="I27" s="11"/>
      <c r="J27" s="11"/>
      <c r="K27" s="11"/>
      <c r="L27" s="11"/>
      <c r="M27" s="11"/>
      <c r="N27" s="11"/>
      <c r="O27" s="11"/>
      <c r="P27" s="11"/>
      <c r="Q27" s="60"/>
    </row>
    <row r="28" spans="1:17" ht="12.75">
      <c r="A28" s="485"/>
      <c r="B28" s="486"/>
      <c r="C28" s="385"/>
      <c r="D28" s="11"/>
      <c r="E28" s="11"/>
      <c r="F28" s="11"/>
      <c r="G28" s="11"/>
      <c r="H28" s="11"/>
      <c r="I28" s="11"/>
      <c r="J28" s="11"/>
      <c r="K28" s="11"/>
      <c r="L28" s="11"/>
      <c r="M28" s="11"/>
      <c r="N28" s="11"/>
      <c r="O28" s="11"/>
      <c r="P28" s="11"/>
      <c r="Q28" s="60"/>
    </row>
    <row r="29" spans="1:17" ht="12.75">
      <c r="A29" s="487" t="s">
        <v>28</v>
      </c>
      <c r="B29" s="403" t="s">
        <v>31</v>
      </c>
      <c r="C29" s="385"/>
      <c r="D29" s="11"/>
      <c r="E29" s="11"/>
      <c r="F29" s="11"/>
      <c r="G29" s="11"/>
      <c r="H29" s="11"/>
      <c r="I29" s="11"/>
      <c r="J29" s="11"/>
      <c r="K29" s="11"/>
      <c r="L29" s="11"/>
      <c r="M29" s="11"/>
      <c r="N29" s="11"/>
      <c r="O29" s="11"/>
      <c r="P29" s="11"/>
      <c r="Q29" s="60"/>
    </row>
    <row r="30" spans="1:17" ht="12.75">
      <c r="A30" s="489" t="s">
        <v>32</v>
      </c>
      <c r="B30" s="503">
        <v>1</v>
      </c>
      <c r="C30" s="490" t="s">
        <v>467</v>
      </c>
      <c r="D30" s="23"/>
      <c r="E30" s="11"/>
      <c r="F30" s="11"/>
      <c r="G30" s="11"/>
      <c r="H30" s="11"/>
      <c r="I30" s="11"/>
      <c r="J30" s="11"/>
      <c r="K30" s="11"/>
      <c r="L30" s="11"/>
      <c r="M30" s="11"/>
      <c r="N30" s="11"/>
      <c r="O30" s="11"/>
      <c r="P30" s="11"/>
      <c r="Q30" s="60"/>
    </row>
    <row r="31" spans="1:17" ht="12.75">
      <c r="A31" s="491" t="s">
        <v>338</v>
      </c>
      <c r="B31" s="6">
        <v>0</v>
      </c>
      <c r="C31" s="492" t="s">
        <v>467</v>
      </c>
      <c r="D31" s="23"/>
      <c r="E31" s="11"/>
      <c r="F31" s="11"/>
      <c r="G31" s="11"/>
      <c r="H31" s="11"/>
      <c r="I31" s="11"/>
      <c r="J31" s="11"/>
      <c r="K31" s="11"/>
      <c r="L31" s="11"/>
      <c r="M31" s="11"/>
      <c r="N31" s="11"/>
      <c r="O31" s="11"/>
      <c r="P31" s="11"/>
      <c r="Q31" s="60"/>
    </row>
    <row r="32" spans="1:17" ht="12.75">
      <c r="A32" s="491" t="s">
        <v>338</v>
      </c>
      <c r="B32" s="6">
        <v>0</v>
      </c>
      <c r="C32" s="492" t="s">
        <v>467</v>
      </c>
      <c r="D32" s="23"/>
      <c r="E32" s="11"/>
      <c r="F32" s="11"/>
      <c r="G32" s="11"/>
      <c r="H32" s="11"/>
      <c r="I32" s="11"/>
      <c r="J32" s="11"/>
      <c r="K32" s="11"/>
      <c r="L32" s="11"/>
      <c r="M32" s="11"/>
      <c r="N32" s="11"/>
      <c r="O32" s="11"/>
      <c r="P32" s="11"/>
      <c r="Q32" s="60"/>
    </row>
    <row r="33" spans="1:17" ht="12.75">
      <c r="A33" s="493" t="s">
        <v>338</v>
      </c>
      <c r="B33" s="504">
        <v>0</v>
      </c>
      <c r="C33" s="494" t="s">
        <v>467</v>
      </c>
      <c r="D33" s="23"/>
      <c r="E33" s="11"/>
      <c r="F33" s="11"/>
      <c r="G33" s="11"/>
      <c r="H33" s="11"/>
      <c r="I33" s="11"/>
      <c r="J33" s="11"/>
      <c r="K33" s="11"/>
      <c r="L33" s="11"/>
      <c r="M33" s="11"/>
      <c r="N33" s="11"/>
      <c r="O33" s="11"/>
      <c r="P33" s="11"/>
      <c r="Q33" s="60"/>
    </row>
    <row r="34" spans="1:17" ht="12.75">
      <c r="A34" s="385"/>
      <c r="B34" s="410"/>
      <c r="C34" s="495"/>
      <c r="D34" s="23"/>
      <c r="E34" s="11"/>
      <c r="F34" s="11"/>
      <c r="G34" s="11"/>
      <c r="H34" s="11"/>
      <c r="I34" s="11"/>
      <c r="J34" s="11"/>
      <c r="K34" s="11"/>
      <c r="L34" s="11"/>
      <c r="M34" s="11"/>
      <c r="N34" s="11"/>
      <c r="O34" s="11"/>
      <c r="P34" s="11"/>
      <c r="Q34" s="60"/>
    </row>
    <row r="35" spans="1:17" ht="12.75">
      <c r="A35" s="487" t="s">
        <v>321</v>
      </c>
      <c r="B35" s="403" t="s">
        <v>473</v>
      </c>
      <c r="C35" s="495"/>
      <c r="D35" s="23"/>
      <c r="E35" s="23"/>
      <c r="F35" s="11"/>
      <c r="G35" s="11"/>
      <c r="H35" s="11"/>
      <c r="I35" s="11"/>
      <c r="J35" s="11"/>
      <c r="K35" s="11"/>
      <c r="L35" s="11"/>
      <c r="M35" s="11"/>
      <c r="N35" s="11"/>
      <c r="O35" s="11"/>
      <c r="P35" s="11"/>
      <c r="Q35" s="60"/>
    </row>
    <row r="36" spans="1:17" ht="12.75">
      <c r="A36" s="489" t="s">
        <v>502</v>
      </c>
      <c r="B36" s="503">
        <v>1</v>
      </c>
      <c r="C36" s="490" t="s">
        <v>467</v>
      </c>
      <c r="D36" s="23"/>
      <c r="E36" s="23"/>
      <c r="F36" s="11"/>
      <c r="G36" s="11"/>
      <c r="H36" s="11"/>
      <c r="I36" s="11"/>
      <c r="J36" s="11"/>
      <c r="K36" s="11"/>
      <c r="L36" s="11"/>
      <c r="M36" s="11"/>
      <c r="N36" s="11"/>
      <c r="O36" s="11"/>
      <c r="P36" s="11"/>
      <c r="Q36" s="60"/>
    </row>
    <row r="37" spans="1:17" ht="12.75">
      <c r="A37" s="491" t="s">
        <v>338</v>
      </c>
      <c r="B37" s="6">
        <v>0</v>
      </c>
      <c r="C37" s="492" t="s">
        <v>467</v>
      </c>
      <c r="D37" s="23"/>
      <c r="E37" s="23"/>
      <c r="F37" s="11"/>
      <c r="G37" s="11"/>
      <c r="H37" s="11"/>
      <c r="I37" s="11"/>
      <c r="J37" s="11"/>
      <c r="K37" s="11"/>
      <c r="L37" s="11"/>
      <c r="M37" s="11"/>
      <c r="N37" s="11"/>
      <c r="O37" s="11"/>
      <c r="P37" s="11"/>
      <c r="Q37" s="60"/>
    </row>
    <row r="38" spans="1:17" ht="12.75">
      <c r="A38" s="491" t="s">
        <v>338</v>
      </c>
      <c r="B38" s="6">
        <v>0</v>
      </c>
      <c r="C38" s="492" t="s">
        <v>467</v>
      </c>
      <c r="D38" s="23"/>
      <c r="E38" s="23"/>
      <c r="F38" s="11"/>
      <c r="G38" s="11"/>
      <c r="H38" s="11"/>
      <c r="I38" s="11"/>
      <c r="J38" s="11"/>
      <c r="K38" s="11"/>
      <c r="L38" s="11"/>
      <c r="M38" s="11"/>
      <c r="N38" s="11"/>
      <c r="O38" s="11"/>
      <c r="P38" s="11"/>
      <c r="Q38" s="60"/>
    </row>
    <row r="39" spans="1:17" ht="12.75">
      <c r="A39" s="493" t="s">
        <v>338</v>
      </c>
      <c r="B39" s="504">
        <v>0</v>
      </c>
      <c r="C39" s="494" t="s">
        <v>467</v>
      </c>
      <c r="D39" s="23"/>
      <c r="E39" s="23"/>
      <c r="F39" s="11"/>
      <c r="G39" s="11"/>
      <c r="H39" s="11"/>
      <c r="I39" s="11"/>
      <c r="J39" s="11"/>
      <c r="K39" s="11"/>
      <c r="L39" s="11"/>
      <c r="M39" s="11"/>
      <c r="N39" s="11"/>
      <c r="O39" s="11"/>
      <c r="P39" s="11"/>
      <c r="Q39" s="60"/>
    </row>
    <row r="40" spans="1:17" ht="12.75">
      <c r="A40" s="385"/>
      <c r="B40" s="410"/>
      <c r="C40" s="495"/>
      <c r="D40" s="23"/>
      <c r="E40" s="23"/>
      <c r="F40" s="11"/>
      <c r="G40" s="11"/>
      <c r="H40" s="11"/>
      <c r="I40" s="11"/>
      <c r="J40" s="11"/>
      <c r="K40" s="11"/>
      <c r="L40" s="11"/>
      <c r="M40" s="11"/>
      <c r="N40" s="11"/>
      <c r="O40" s="11"/>
      <c r="P40" s="11"/>
      <c r="Q40" s="60"/>
    </row>
    <row r="41" spans="1:17" ht="12.75">
      <c r="A41" s="487" t="s">
        <v>322</v>
      </c>
      <c r="B41" s="403" t="s">
        <v>474</v>
      </c>
      <c r="C41" s="495"/>
      <c r="D41" s="14"/>
      <c r="E41" s="65"/>
      <c r="F41" s="11"/>
      <c r="G41" s="11"/>
      <c r="H41" s="11"/>
      <c r="I41" s="11"/>
      <c r="J41" s="11"/>
      <c r="K41" s="11"/>
      <c r="L41" s="11"/>
      <c r="M41" s="11"/>
      <c r="N41" s="11"/>
      <c r="O41" s="11"/>
      <c r="P41" s="11"/>
      <c r="Q41" s="60"/>
    </row>
    <row r="42" spans="1:17" ht="12.75">
      <c r="A42" s="489" t="s">
        <v>502</v>
      </c>
      <c r="B42" s="137">
        <v>1</v>
      </c>
      <c r="C42" s="490" t="s">
        <v>467</v>
      </c>
      <c r="D42" s="14"/>
      <c r="E42" s="65"/>
      <c r="F42" s="11"/>
      <c r="G42" s="11"/>
      <c r="H42" s="11"/>
      <c r="I42" s="11"/>
      <c r="J42" s="11"/>
      <c r="K42" s="11"/>
      <c r="L42" s="11"/>
      <c r="M42" s="11"/>
      <c r="N42" s="11"/>
      <c r="O42" s="11"/>
      <c r="P42" s="11"/>
      <c r="Q42" s="60"/>
    </row>
    <row r="43" spans="1:17" ht="12.75">
      <c r="A43" s="491" t="s">
        <v>338</v>
      </c>
      <c r="B43" s="6">
        <v>0</v>
      </c>
      <c r="C43" s="492" t="s">
        <v>467</v>
      </c>
      <c r="D43" s="14"/>
      <c r="E43" s="65"/>
      <c r="F43" s="11"/>
      <c r="G43" s="11"/>
      <c r="H43" s="11"/>
      <c r="I43" s="11"/>
      <c r="J43" s="11"/>
      <c r="K43" s="11"/>
      <c r="L43" s="11"/>
      <c r="M43" s="11"/>
      <c r="N43" s="11"/>
      <c r="O43" s="11"/>
      <c r="P43" s="11"/>
      <c r="Q43" s="60"/>
    </row>
    <row r="44" spans="1:17" ht="12.75">
      <c r="A44" s="491" t="s">
        <v>338</v>
      </c>
      <c r="B44" s="6">
        <v>0</v>
      </c>
      <c r="C44" s="492" t="s">
        <v>467</v>
      </c>
      <c r="D44" s="14"/>
      <c r="E44" s="65"/>
      <c r="F44" s="11"/>
      <c r="G44" s="11"/>
      <c r="H44" s="11"/>
      <c r="I44" s="11"/>
      <c r="J44" s="11"/>
      <c r="K44" s="11"/>
      <c r="L44" s="11"/>
      <c r="M44" s="11"/>
      <c r="N44" s="11"/>
      <c r="O44" s="11"/>
      <c r="P44" s="11"/>
      <c r="Q44" s="60"/>
    </row>
    <row r="45" spans="1:17" ht="12.75">
      <c r="A45" s="493" t="s">
        <v>338</v>
      </c>
      <c r="B45" s="504">
        <v>0</v>
      </c>
      <c r="C45" s="494" t="s">
        <v>467</v>
      </c>
      <c r="D45" s="23"/>
      <c r="E45" s="23"/>
      <c r="F45" s="11"/>
      <c r="G45" s="11"/>
      <c r="H45" s="11"/>
      <c r="I45" s="11"/>
      <c r="J45" s="11"/>
      <c r="K45" s="11"/>
      <c r="L45" s="11"/>
      <c r="M45" s="11"/>
      <c r="N45" s="11"/>
      <c r="O45" s="11"/>
      <c r="P45" s="11"/>
      <c r="Q45" s="60"/>
    </row>
    <row r="46" spans="1:17" ht="12.75">
      <c r="A46" s="385"/>
      <c r="B46" s="410"/>
      <c r="C46" s="495"/>
      <c r="D46" s="23"/>
      <c r="E46" s="23"/>
      <c r="F46" s="11"/>
      <c r="G46" s="11"/>
      <c r="H46" s="11"/>
      <c r="I46" s="11"/>
      <c r="J46" s="11"/>
      <c r="K46" s="11"/>
      <c r="L46" s="11"/>
      <c r="M46" s="11"/>
      <c r="N46" s="11"/>
      <c r="O46" s="11"/>
      <c r="P46" s="11"/>
      <c r="Q46" s="60"/>
    </row>
    <row r="47" spans="1:17" ht="12.75">
      <c r="A47" s="487" t="s">
        <v>325</v>
      </c>
      <c r="B47" s="403" t="s">
        <v>475</v>
      </c>
      <c r="C47" s="495"/>
      <c r="D47" s="23"/>
      <c r="E47" s="23"/>
      <c r="F47" s="11"/>
      <c r="G47" s="11"/>
      <c r="H47" s="11"/>
      <c r="I47" s="11"/>
      <c r="J47" s="11"/>
      <c r="K47" s="11"/>
      <c r="L47" s="11"/>
      <c r="M47" s="11"/>
      <c r="N47" s="11"/>
      <c r="O47" s="11"/>
      <c r="P47" s="11"/>
      <c r="Q47" s="60"/>
    </row>
    <row r="48" spans="1:17" ht="12.75">
      <c r="A48" s="489" t="s">
        <v>338</v>
      </c>
      <c r="B48" s="137">
        <v>0</v>
      </c>
      <c r="C48" s="490" t="s">
        <v>467</v>
      </c>
      <c r="D48" s="23"/>
      <c r="E48" s="23"/>
      <c r="F48" s="11"/>
      <c r="G48" s="11"/>
      <c r="H48" s="11"/>
      <c r="I48" s="11"/>
      <c r="J48" s="11"/>
      <c r="K48" s="11"/>
      <c r="L48" s="11"/>
      <c r="M48" s="11"/>
      <c r="N48" s="11"/>
      <c r="O48" s="11"/>
      <c r="P48" s="11"/>
      <c r="Q48" s="60"/>
    </row>
    <row r="49" spans="1:17" ht="12.75">
      <c r="A49" s="491" t="s">
        <v>338</v>
      </c>
      <c r="B49" s="6">
        <v>0</v>
      </c>
      <c r="C49" s="492" t="s">
        <v>467</v>
      </c>
      <c r="D49" s="23"/>
      <c r="E49" s="23"/>
      <c r="F49" s="11"/>
      <c r="G49" s="11"/>
      <c r="H49" s="11"/>
      <c r="I49" s="11"/>
      <c r="J49" s="11"/>
      <c r="K49" s="11"/>
      <c r="L49" s="11"/>
      <c r="M49" s="11"/>
      <c r="N49" s="11"/>
      <c r="O49" s="11"/>
      <c r="P49" s="11"/>
      <c r="Q49" s="60"/>
    </row>
    <row r="50" spans="1:17" ht="12.75">
      <c r="A50" s="491" t="s">
        <v>338</v>
      </c>
      <c r="B50" s="6">
        <v>0</v>
      </c>
      <c r="C50" s="492" t="s">
        <v>467</v>
      </c>
      <c r="D50" s="23"/>
      <c r="E50" s="23"/>
      <c r="F50" s="11"/>
      <c r="G50" s="11"/>
      <c r="H50" s="11"/>
      <c r="I50" s="11"/>
      <c r="J50" s="11"/>
      <c r="K50" s="11"/>
      <c r="L50" s="11"/>
      <c r="M50" s="11"/>
      <c r="N50" s="11"/>
      <c r="O50" s="11"/>
      <c r="P50" s="11"/>
      <c r="Q50" s="60"/>
    </row>
    <row r="51" spans="1:17" ht="12.75">
      <c r="A51" s="493" t="s">
        <v>338</v>
      </c>
      <c r="B51" s="504">
        <v>0</v>
      </c>
      <c r="C51" s="494" t="s">
        <v>467</v>
      </c>
      <c r="D51" s="23"/>
      <c r="E51" s="23"/>
      <c r="F51" s="11"/>
      <c r="G51" s="11"/>
      <c r="H51" s="11"/>
      <c r="I51" s="11"/>
      <c r="J51" s="11"/>
      <c r="K51" s="11"/>
      <c r="L51" s="11"/>
      <c r="M51" s="11"/>
      <c r="N51" s="11"/>
      <c r="O51" s="11"/>
      <c r="P51" s="11"/>
      <c r="Q51" s="60"/>
    </row>
    <row r="52" spans="1:17" ht="12.75">
      <c r="A52" s="385"/>
      <c r="B52" s="410"/>
      <c r="C52" s="495"/>
      <c r="D52" s="23"/>
      <c r="E52" s="23"/>
      <c r="F52" s="11"/>
      <c r="G52" s="11"/>
      <c r="H52" s="11"/>
      <c r="I52" s="11"/>
      <c r="J52" s="11"/>
      <c r="K52" s="11"/>
      <c r="L52" s="11"/>
      <c r="M52" s="11"/>
      <c r="N52" s="11"/>
      <c r="O52" s="11"/>
      <c r="P52" s="11"/>
      <c r="Q52" s="60"/>
    </row>
    <row r="53" spans="1:17" ht="12.75">
      <c r="A53" s="487" t="s">
        <v>326</v>
      </c>
      <c r="B53" s="403" t="s">
        <v>476</v>
      </c>
      <c r="C53" s="495"/>
      <c r="D53" s="23"/>
      <c r="E53" s="23"/>
      <c r="F53" s="11"/>
      <c r="G53" s="11"/>
      <c r="H53" s="11"/>
      <c r="I53" s="11"/>
      <c r="J53" s="11"/>
      <c r="K53" s="11"/>
      <c r="L53" s="11"/>
      <c r="M53" s="11"/>
      <c r="N53" s="11"/>
      <c r="O53" s="11"/>
      <c r="P53" s="11"/>
      <c r="Q53" s="60"/>
    </row>
    <row r="54" spans="1:17" ht="12.75">
      <c r="A54" s="489" t="s">
        <v>502</v>
      </c>
      <c r="B54" s="137">
        <v>1</v>
      </c>
      <c r="C54" s="490" t="s">
        <v>467</v>
      </c>
      <c r="D54" s="23"/>
      <c r="E54" s="23"/>
      <c r="F54" s="11"/>
      <c r="G54" s="11"/>
      <c r="H54" s="11"/>
      <c r="I54" s="11"/>
      <c r="J54" s="11"/>
      <c r="K54" s="11"/>
      <c r="L54" s="11"/>
      <c r="M54" s="11"/>
      <c r="N54" s="11"/>
      <c r="O54" s="11"/>
      <c r="P54" s="11"/>
      <c r="Q54" s="60"/>
    </row>
    <row r="55" spans="1:17" ht="12.75">
      <c r="A55" s="491" t="s">
        <v>338</v>
      </c>
      <c r="B55" s="10">
        <v>0</v>
      </c>
      <c r="C55" s="492" t="s">
        <v>467</v>
      </c>
      <c r="D55" s="23"/>
      <c r="E55" s="23"/>
      <c r="F55" s="11"/>
      <c r="G55" s="11"/>
      <c r="H55" s="11"/>
      <c r="I55" s="11"/>
      <c r="J55" s="11"/>
      <c r="K55" s="11"/>
      <c r="L55" s="11"/>
      <c r="M55" s="11"/>
      <c r="N55" s="11"/>
      <c r="O55" s="11"/>
      <c r="P55" s="11"/>
      <c r="Q55" s="60"/>
    </row>
    <row r="56" spans="1:17" ht="12.75">
      <c r="A56" s="491" t="s">
        <v>338</v>
      </c>
      <c r="B56" s="6">
        <v>0</v>
      </c>
      <c r="C56" s="492" t="s">
        <v>467</v>
      </c>
      <c r="D56" s="23"/>
      <c r="E56" s="23"/>
      <c r="F56" s="11"/>
      <c r="G56" s="11"/>
      <c r="H56" s="11"/>
      <c r="I56" s="11"/>
      <c r="J56" s="11"/>
      <c r="K56" s="11"/>
      <c r="L56" s="11"/>
      <c r="M56" s="11"/>
      <c r="N56" s="11"/>
      <c r="O56" s="11"/>
      <c r="P56" s="11"/>
      <c r="Q56" s="60"/>
    </row>
    <row r="57" spans="1:17" ht="12.75">
      <c r="A57" s="493" t="s">
        <v>338</v>
      </c>
      <c r="B57" s="504">
        <v>0</v>
      </c>
      <c r="C57" s="494" t="s">
        <v>467</v>
      </c>
      <c r="D57" s="23"/>
      <c r="E57" s="23"/>
      <c r="F57" s="11"/>
      <c r="G57" s="11"/>
      <c r="H57" s="11"/>
      <c r="I57" s="11"/>
      <c r="J57" s="11"/>
      <c r="K57" s="11"/>
      <c r="L57" s="11"/>
      <c r="M57" s="11"/>
      <c r="N57" s="11"/>
      <c r="O57" s="11"/>
      <c r="P57" s="11"/>
      <c r="Q57" s="60"/>
    </row>
    <row r="58" spans="1:17" ht="12.75">
      <c r="A58" s="385"/>
      <c r="B58" s="410"/>
      <c r="C58" s="385"/>
      <c r="D58" s="23"/>
      <c r="E58" s="23"/>
      <c r="F58" s="11"/>
      <c r="G58" s="11"/>
      <c r="H58" s="11"/>
      <c r="I58" s="11"/>
      <c r="J58" s="11"/>
      <c r="K58" s="11"/>
      <c r="L58" s="11"/>
      <c r="M58" s="11"/>
      <c r="N58" s="11"/>
      <c r="O58" s="11"/>
      <c r="P58" s="11"/>
      <c r="Q58" s="60"/>
    </row>
    <row r="59" spans="1:17" ht="12.75">
      <c r="A59" s="487" t="s">
        <v>501</v>
      </c>
      <c r="B59" s="410" t="s">
        <v>477</v>
      </c>
      <c r="C59" s="385"/>
      <c r="D59" s="23"/>
      <c r="E59" s="23"/>
      <c r="F59" s="11"/>
      <c r="G59" s="11"/>
      <c r="H59" s="11"/>
      <c r="I59" s="11"/>
      <c r="J59" s="11"/>
      <c r="K59" s="11"/>
      <c r="L59" s="11"/>
      <c r="M59" s="11"/>
      <c r="N59" s="11"/>
      <c r="O59" s="11"/>
      <c r="P59" s="11"/>
      <c r="Q59" s="60"/>
    </row>
    <row r="60" spans="1:17" ht="12.75">
      <c r="A60" s="496" t="s">
        <v>468</v>
      </c>
      <c r="B60" s="140">
        <v>1</v>
      </c>
      <c r="C60" s="490" t="s">
        <v>467</v>
      </c>
      <c r="D60" s="11"/>
      <c r="E60" s="11"/>
      <c r="F60" s="11"/>
      <c r="G60" s="11"/>
      <c r="H60" s="11"/>
      <c r="I60" s="11"/>
      <c r="J60" s="11"/>
      <c r="K60" s="11"/>
      <c r="L60" s="11"/>
      <c r="M60" s="11"/>
      <c r="N60" s="11"/>
      <c r="O60" s="11"/>
      <c r="P60" s="11"/>
      <c r="Q60" s="60"/>
    </row>
    <row r="61" spans="1:17" ht="12.75">
      <c r="A61" s="497" t="s">
        <v>469</v>
      </c>
      <c r="B61" s="100">
        <v>1</v>
      </c>
      <c r="C61" s="492" t="s">
        <v>467</v>
      </c>
      <c r="D61" s="11"/>
      <c r="E61" s="11"/>
      <c r="F61" s="11"/>
      <c r="G61" s="11"/>
      <c r="H61" s="11"/>
      <c r="I61" s="11"/>
      <c r="J61" s="11"/>
      <c r="K61" s="11"/>
      <c r="L61" s="11"/>
      <c r="M61" s="11"/>
      <c r="N61" s="11"/>
      <c r="O61" s="11"/>
      <c r="P61" s="11"/>
      <c r="Q61" s="60"/>
    </row>
    <row r="62" spans="1:17" ht="12.75">
      <c r="A62" s="497" t="s">
        <v>470</v>
      </c>
      <c r="B62" s="100">
        <v>1</v>
      </c>
      <c r="C62" s="492" t="s">
        <v>467</v>
      </c>
      <c r="D62" s="11"/>
      <c r="E62" s="11"/>
      <c r="F62" s="11"/>
      <c r="G62" s="11"/>
      <c r="H62" s="11"/>
      <c r="I62" s="11"/>
      <c r="J62" s="11"/>
      <c r="K62" s="11"/>
      <c r="L62" s="11"/>
      <c r="M62" s="11"/>
      <c r="N62" s="11"/>
      <c r="O62" s="11"/>
      <c r="P62" s="11"/>
      <c r="Q62" s="60"/>
    </row>
    <row r="63" spans="1:17" ht="12.75">
      <c r="A63" s="493" t="s">
        <v>307</v>
      </c>
      <c r="B63" s="465">
        <f>1/3</f>
        <v>0.3333333333333333</v>
      </c>
      <c r="C63" s="494" t="s">
        <v>467</v>
      </c>
      <c r="D63" s="11"/>
      <c r="E63" s="11"/>
      <c r="F63" s="11"/>
      <c r="G63" s="11"/>
      <c r="H63" s="11"/>
      <c r="I63" s="11"/>
      <c r="J63" s="11"/>
      <c r="K63" s="11"/>
      <c r="L63" s="11"/>
      <c r="M63" s="11"/>
      <c r="N63" s="11"/>
      <c r="O63" s="11"/>
      <c r="P63" s="11"/>
      <c r="Q63" s="60"/>
    </row>
    <row r="64" spans="1:17" ht="12.75">
      <c r="A64" s="385"/>
      <c r="B64" s="498"/>
      <c r="C64" s="385"/>
      <c r="D64" s="11"/>
      <c r="E64" s="11"/>
      <c r="F64" s="11"/>
      <c r="G64" s="11"/>
      <c r="H64" s="11"/>
      <c r="I64" s="11"/>
      <c r="J64" s="11"/>
      <c r="K64" s="11"/>
      <c r="L64" s="11"/>
      <c r="M64" s="11"/>
      <c r="N64" s="11"/>
      <c r="O64" s="11"/>
      <c r="P64" s="11"/>
      <c r="Q64" s="60"/>
    </row>
    <row r="65" spans="1:17" ht="12.75">
      <c r="A65" s="487" t="s">
        <v>472</v>
      </c>
      <c r="B65" s="410" t="s">
        <v>497</v>
      </c>
      <c r="C65" s="499"/>
      <c r="D65" s="11"/>
      <c r="E65" s="11"/>
      <c r="F65" s="11"/>
      <c r="G65" s="11"/>
      <c r="H65" s="11"/>
      <c r="I65" s="11"/>
      <c r="J65" s="11"/>
      <c r="K65" s="11"/>
      <c r="L65" s="11"/>
      <c r="M65" s="11"/>
      <c r="N65" s="11"/>
      <c r="O65" s="11"/>
      <c r="P65" s="11"/>
      <c r="Q65" s="60"/>
    </row>
    <row r="66" spans="1:17" ht="12.75">
      <c r="A66" s="496" t="s">
        <v>471</v>
      </c>
      <c r="B66" s="140">
        <v>1</v>
      </c>
      <c r="C66" s="490" t="s">
        <v>467</v>
      </c>
      <c r="D66" s="11"/>
      <c r="E66" s="11"/>
      <c r="F66" s="11"/>
      <c r="G66" s="11"/>
      <c r="H66" s="11"/>
      <c r="I66" s="11"/>
      <c r="J66" s="11"/>
      <c r="K66" s="11"/>
      <c r="L66" s="11"/>
      <c r="M66" s="11"/>
      <c r="N66" s="11"/>
      <c r="O66" s="11"/>
      <c r="P66" s="11"/>
      <c r="Q66" s="60"/>
    </row>
    <row r="67" spans="1:17" ht="12.75">
      <c r="A67" s="493" t="s">
        <v>308</v>
      </c>
      <c r="B67" s="141">
        <v>0.2</v>
      </c>
      <c r="C67" s="494" t="s">
        <v>467</v>
      </c>
      <c r="D67" s="11"/>
      <c r="E67" s="11"/>
      <c r="F67" s="11"/>
      <c r="G67" s="11"/>
      <c r="H67" s="11"/>
      <c r="I67" s="11"/>
      <c r="J67" s="11"/>
      <c r="K67" s="11"/>
      <c r="L67" s="11"/>
      <c r="M67" s="11"/>
      <c r="N67" s="11"/>
      <c r="O67" s="11"/>
      <c r="P67" s="11"/>
      <c r="Q67" s="60"/>
    </row>
    <row r="68" spans="1:17" ht="12.75">
      <c r="A68" s="385"/>
      <c r="B68" s="498"/>
      <c r="C68" s="385"/>
      <c r="D68" s="11"/>
      <c r="E68" s="11"/>
      <c r="F68" s="11"/>
      <c r="G68" s="11"/>
      <c r="H68" s="11"/>
      <c r="I68" s="11"/>
      <c r="J68" s="11"/>
      <c r="K68" s="11"/>
      <c r="L68" s="11"/>
      <c r="M68" s="11"/>
      <c r="N68" s="11"/>
      <c r="O68" s="11"/>
      <c r="P68" s="11"/>
      <c r="Q68" s="60"/>
    </row>
    <row r="69" spans="1:17" ht="12.75">
      <c r="A69" s="487" t="s">
        <v>320</v>
      </c>
      <c r="B69" s="403" t="s">
        <v>478</v>
      </c>
      <c r="C69" s="385"/>
      <c r="D69" s="11"/>
      <c r="E69" s="11"/>
      <c r="F69" s="11"/>
      <c r="G69" s="11"/>
      <c r="H69" s="11"/>
      <c r="I69" s="11"/>
      <c r="J69" s="11"/>
      <c r="K69" s="11"/>
      <c r="L69" s="11"/>
      <c r="M69" s="11"/>
      <c r="N69" s="11"/>
      <c r="O69" s="11"/>
      <c r="P69" s="11"/>
      <c r="Q69" s="60"/>
    </row>
    <row r="70" spans="1:17" ht="12.75">
      <c r="A70" s="496" t="s">
        <v>502</v>
      </c>
      <c r="B70" s="423">
        <v>0.33</v>
      </c>
      <c r="C70" s="490" t="s">
        <v>467</v>
      </c>
      <c r="D70" s="11"/>
      <c r="E70" s="11"/>
      <c r="F70" s="11"/>
      <c r="G70" s="11"/>
      <c r="H70" s="11"/>
      <c r="I70" s="11"/>
      <c r="J70" s="11"/>
      <c r="K70" s="11"/>
      <c r="L70" s="11"/>
      <c r="M70" s="11"/>
      <c r="N70" s="11"/>
      <c r="O70" s="11"/>
      <c r="P70" s="11"/>
      <c r="Q70" s="60"/>
    </row>
    <row r="71" spans="1:17" ht="12.75">
      <c r="A71" s="491" t="s">
        <v>338</v>
      </c>
      <c r="B71" s="6">
        <v>0</v>
      </c>
      <c r="C71" s="492" t="s">
        <v>467</v>
      </c>
      <c r="D71" s="11"/>
      <c r="E71" s="11"/>
      <c r="F71" s="11"/>
      <c r="G71" s="11"/>
      <c r="H71" s="11"/>
      <c r="I71" s="11"/>
      <c r="J71" s="11"/>
      <c r="K71" s="11"/>
      <c r="L71" s="11"/>
      <c r="M71" s="11"/>
      <c r="N71" s="11"/>
      <c r="O71" s="11"/>
      <c r="P71" s="11"/>
      <c r="Q71" s="60"/>
    </row>
    <row r="72" spans="1:17" ht="12.75">
      <c r="A72" s="491" t="s">
        <v>338</v>
      </c>
      <c r="B72" s="6">
        <v>0</v>
      </c>
      <c r="C72" s="492" t="s">
        <v>467</v>
      </c>
      <c r="D72" s="11"/>
      <c r="E72" s="11"/>
      <c r="F72" s="11"/>
      <c r="G72" s="11"/>
      <c r="H72" s="11"/>
      <c r="I72" s="11"/>
      <c r="J72" s="11"/>
      <c r="K72" s="11"/>
      <c r="L72" s="11"/>
      <c r="M72" s="11"/>
      <c r="N72" s="11"/>
      <c r="O72" s="11"/>
      <c r="P72" s="11"/>
      <c r="Q72" s="60"/>
    </row>
    <row r="73" spans="1:17" ht="12.75">
      <c r="A73" s="493" t="s">
        <v>338</v>
      </c>
      <c r="B73" s="504">
        <v>0</v>
      </c>
      <c r="C73" s="494" t="s">
        <v>467</v>
      </c>
      <c r="D73" s="11"/>
      <c r="E73" s="11"/>
      <c r="F73" s="11"/>
      <c r="G73" s="11"/>
      <c r="H73" s="11"/>
      <c r="I73" s="11"/>
      <c r="J73" s="11"/>
      <c r="K73" s="11"/>
      <c r="L73" s="11"/>
      <c r="M73" s="11"/>
      <c r="N73" s="11"/>
      <c r="O73" s="11"/>
      <c r="P73" s="11"/>
      <c r="Q73" s="60"/>
    </row>
    <row r="74" spans="1:17" ht="12.75">
      <c r="A74" s="385"/>
      <c r="B74" s="498"/>
      <c r="C74" s="500"/>
      <c r="D74" s="11"/>
      <c r="E74" s="11"/>
      <c r="F74" s="11"/>
      <c r="G74" s="11"/>
      <c r="H74" s="11"/>
      <c r="I74" s="11"/>
      <c r="J74" s="11"/>
      <c r="K74" s="11"/>
      <c r="L74" s="11"/>
      <c r="M74" s="11"/>
      <c r="N74" s="11"/>
      <c r="O74" s="11"/>
      <c r="P74" s="11"/>
      <c r="Q74" s="60"/>
    </row>
    <row r="75" spans="1:17" ht="12.75">
      <c r="A75" s="487" t="s">
        <v>323</v>
      </c>
      <c r="B75" s="403" t="s">
        <v>479</v>
      </c>
      <c r="C75" s="495"/>
      <c r="D75" s="11"/>
      <c r="E75" s="11"/>
      <c r="F75" s="11"/>
      <c r="G75" s="11"/>
      <c r="H75" s="11"/>
      <c r="I75" s="11"/>
      <c r="J75" s="11"/>
      <c r="K75" s="11"/>
      <c r="L75" s="11"/>
      <c r="M75" s="11"/>
      <c r="N75" s="11"/>
      <c r="O75" s="11"/>
      <c r="P75" s="11"/>
      <c r="Q75" s="60"/>
    </row>
    <row r="76" spans="1:17" ht="12.75">
      <c r="A76" s="496" t="s">
        <v>502</v>
      </c>
      <c r="B76" s="423">
        <v>0.2</v>
      </c>
      <c r="C76" s="490" t="s">
        <v>467</v>
      </c>
      <c r="D76" s="11"/>
      <c r="E76" s="11"/>
      <c r="F76" s="11"/>
      <c r="G76" s="11"/>
      <c r="H76" s="11"/>
      <c r="I76" s="11"/>
      <c r="J76" s="11"/>
      <c r="K76" s="11"/>
      <c r="L76" s="11"/>
      <c r="M76" s="11"/>
      <c r="N76" s="11"/>
      <c r="O76" s="11"/>
      <c r="P76" s="11"/>
      <c r="Q76" s="60"/>
    </row>
    <row r="77" spans="1:17" ht="12.75">
      <c r="A77" s="491" t="s">
        <v>338</v>
      </c>
      <c r="B77" s="6">
        <v>0</v>
      </c>
      <c r="C77" s="492" t="s">
        <v>467</v>
      </c>
      <c r="D77" s="11"/>
      <c r="E77" s="11"/>
      <c r="F77" s="11"/>
      <c r="G77" s="11"/>
      <c r="H77" s="11"/>
      <c r="I77" s="11"/>
      <c r="J77" s="11"/>
      <c r="K77" s="11"/>
      <c r="L77" s="11"/>
      <c r="M77" s="11"/>
      <c r="N77" s="11"/>
      <c r="O77" s="11"/>
      <c r="P77" s="11"/>
      <c r="Q77" s="60"/>
    </row>
    <row r="78" spans="1:17" ht="12.75">
      <c r="A78" s="491" t="s">
        <v>338</v>
      </c>
      <c r="B78" s="6">
        <v>0</v>
      </c>
      <c r="C78" s="492" t="s">
        <v>467</v>
      </c>
      <c r="D78" s="11"/>
      <c r="E78" s="11"/>
      <c r="F78" s="11"/>
      <c r="G78" s="11"/>
      <c r="H78" s="11"/>
      <c r="I78" s="11"/>
      <c r="J78" s="11"/>
      <c r="K78" s="11"/>
      <c r="L78" s="11"/>
      <c r="M78" s="11"/>
      <c r="N78" s="11"/>
      <c r="O78" s="11"/>
      <c r="P78" s="11"/>
      <c r="Q78" s="60"/>
    </row>
    <row r="79" spans="1:17" ht="12.75">
      <c r="A79" s="493" t="s">
        <v>338</v>
      </c>
      <c r="B79" s="504">
        <v>0</v>
      </c>
      <c r="C79" s="494" t="s">
        <v>467</v>
      </c>
      <c r="D79" s="11"/>
      <c r="E79" s="11"/>
      <c r="F79" s="11"/>
      <c r="G79" s="11"/>
      <c r="H79" s="11"/>
      <c r="I79" s="11"/>
      <c r="J79" s="11"/>
      <c r="K79" s="11"/>
      <c r="L79" s="11"/>
      <c r="M79" s="11"/>
      <c r="N79" s="11"/>
      <c r="O79" s="11"/>
      <c r="P79" s="11"/>
      <c r="Q79" s="60"/>
    </row>
    <row r="80" spans="1:17" ht="12.75">
      <c r="A80" s="372"/>
      <c r="B80" s="498"/>
      <c r="C80" s="500"/>
      <c r="D80" s="11"/>
      <c r="E80" s="11"/>
      <c r="F80" s="11"/>
      <c r="G80" s="11"/>
      <c r="H80" s="11"/>
      <c r="I80" s="11"/>
      <c r="J80" s="11"/>
      <c r="K80" s="11"/>
      <c r="L80" s="11"/>
      <c r="M80" s="11"/>
      <c r="N80" s="11"/>
      <c r="O80" s="11"/>
      <c r="P80" s="11"/>
      <c r="Q80" s="60"/>
    </row>
    <row r="81" spans="1:17" ht="12.75">
      <c r="A81" s="487" t="s">
        <v>331</v>
      </c>
      <c r="B81" s="403" t="s">
        <v>480</v>
      </c>
      <c r="C81" s="495"/>
      <c r="D81" s="11"/>
      <c r="E81" s="11"/>
      <c r="F81" s="11"/>
      <c r="G81" s="11"/>
      <c r="H81" s="11"/>
      <c r="I81" s="11"/>
      <c r="J81" s="11"/>
      <c r="K81" s="11"/>
      <c r="L81" s="11"/>
      <c r="M81" s="11"/>
      <c r="N81" s="11"/>
      <c r="O81" s="11"/>
      <c r="P81" s="11"/>
      <c r="Q81" s="60"/>
    </row>
    <row r="82" spans="1:17" ht="12.75">
      <c r="A82" s="501" t="s">
        <v>532</v>
      </c>
      <c r="B82" s="140">
        <v>400</v>
      </c>
      <c r="C82" s="490" t="s">
        <v>531</v>
      </c>
      <c r="D82" s="11"/>
      <c r="E82" s="11"/>
      <c r="F82" s="11"/>
      <c r="G82" s="11"/>
      <c r="H82" s="11"/>
      <c r="I82" s="11"/>
      <c r="J82" s="11"/>
      <c r="K82" s="11"/>
      <c r="L82" s="11"/>
      <c r="M82" s="11"/>
      <c r="N82" s="11"/>
      <c r="O82" s="11"/>
      <c r="P82" s="11"/>
      <c r="Q82" s="60"/>
    </row>
    <row r="83" spans="1:17" ht="12.75">
      <c r="A83" s="491" t="s">
        <v>338</v>
      </c>
      <c r="B83" s="6">
        <v>0</v>
      </c>
      <c r="C83" s="492" t="s">
        <v>467</v>
      </c>
      <c r="D83" s="11"/>
      <c r="E83" s="11"/>
      <c r="F83" s="11"/>
      <c r="G83" s="11"/>
      <c r="H83" s="11"/>
      <c r="I83" s="11"/>
      <c r="J83" s="11"/>
      <c r="K83" s="11"/>
      <c r="L83" s="11"/>
      <c r="M83" s="11"/>
      <c r="N83" s="11"/>
      <c r="O83" s="11"/>
      <c r="P83" s="11"/>
      <c r="Q83" s="60"/>
    </row>
    <row r="84" spans="1:17" ht="12.75">
      <c r="A84" s="491" t="s">
        <v>338</v>
      </c>
      <c r="B84" s="6">
        <v>0</v>
      </c>
      <c r="C84" s="492" t="s">
        <v>467</v>
      </c>
      <c r="D84" s="11"/>
      <c r="E84" s="11"/>
      <c r="F84" s="11"/>
      <c r="G84" s="11"/>
      <c r="H84" s="11"/>
      <c r="I84" s="11"/>
      <c r="J84" s="11"/>
      <c r="K84" s="11"/>
      <c r="L84" s="11"/>
      <c r="M84" s="11"/>
      <c r="N84" s="11"/>
      <c r="O84" s="11"/>
      <c r="P84" s="11"/>
      <c r="Q84" s="60"/>
    </row>
    <row r="85" spans="1:17" ht="12.75">
      <c r="A85" s="493" t="s">
        <v>338</v>
      </c>
      <c r="B85" s="504">
        <v>0</v>
      </c>
      <c r="C85" s="494" t="s">
        <v>467</v>
      </c>
      <c r="D85" s="11"/>
      <c r="E85" s="11"/>
      <c r="F85" s="11"/>
      <c r="G85" s="11"/>
      <c r="H85" s="11"/>
      <c r="I85" s="11"/>
      <c r="J85" s="11"/>
      <c r="K85" s="11"/>
      <c r="L85" s="11"/>
      <c r="M85" s="11"/>
      <c r="N85" s="11"/>
      <c r="O85" s="11"/>
      <c r="P85" s="11"/>
      <c r="Q85" s="60"/>
    </row>
    <row r="86" spans="1:17" ht="12.75">
      <c r="A86" s="385"/>
      <c r="B86" s="498"/>
      <c r="C86" s="495"/>
      <c r="D86" s="11"/>
      <c r="E86" s="11"/>
      <c r="F86" s="11"/>
      <c r="G86" s="11"/>
      <c r="H86" s="11"/>
      <c r="I86" s="11"/>
      <c r="J86" s="11"/>
      <c r="K86" s="11"/>
      <c r="L86" s="11"/>
      <c r="M86" s="11"/>
      <c r="N86" s="11"/>
      <c r="O86" s="11"/>
      <c r="P86" s="11"/>
      <c r="Q86" s="60"/>
    </row>
    <row r="87" spans="1:17" ht="12.75">
      <c r="A87" s="487" t="s">
        <v>324</v>
      </c>
      <c r="B87" s="403" t="s">
        <v>481</v>
      </c>
      <c r="C87" s="495"/>
      <c r="D87" s="11"/>
      <c r="E87" s="11"/>
      <c r="F87" s="11"/>
      <c r="G87" s="11"/>
      <c r="H87" s="11"/>
      <c r="I87" s="11"/>
      <c r="J87" s="11"/>
      <c r="K87" s="11"/>
      <c r="L87" s="11"/>
      <c r="M87" s="11"/>
      <c r="N87" s="11"/>
      <c r="O87" s="11"/>
      <c r="P87" s="11"/>
      <c r="Q87" s="60"/>
    </row>
    <row r="88" spans="1:17" ht="12.75">
      <c r="A88" s="489" t="s">
        <v>338</v>
      </c>
      <c r="B88" s="503">
        <v>0</v>
      </c>
      <c r="C88" s="490" t="s">
        <v>467</v>
      </c>
      <c r="D88" s="11"/>
      <c r="E88" s="11"/>
      <c r="F88" s="11"/>
      <c r="G88" s="11"/>
      <c r="H88" s="11"/>
      <c r="I88" s="11"/>
      <c r="J88" s="11"/>
      <c r="K88" s="11"/>
      <c r="L88" s="11"/>
      <c r="M88" s="11"/>
      <c r="N88" s="11"/>
      <c r="O88" s="11"/>
      <c r="P88" s="11"/>
      <c r="Q88" s="60"/>
    </row>
    <row r="89" spans="1:17" ht="12.75">
      <c r="A89" s="491" t="s">
        <v>338</v>
      </c>
      <c r="B89" s="6">
        <v>0</v>
      </c>
      <c r="C89" s="492" t="s">
        <v>467</v>
      </c>
      <c r="D89" s="11"/>
      <c r="E89" s="11"/>
      <c r="F89" s="11"/>
      <c r="G89" s="11"/>
      <c r="H89" s="11"/>
      <c r="I89" s="11"/>
      <c r="J89" s="11"/>
      <c r="K89" s="11"/>
      <c r="L89" s="11"/>
      <c r="M89" s="11"/>
      <c r="N89" s="11"/>
      <c r="O89" s="11"/>
      <c r="P89" s="11"/>
      <c r="Q89" s="60"/>
    </row>
    <row r="90" spans="1:17" ht="12.75">
      <c r="A90" s="491" t="s">
        <v>338</v>
      </c>
      <c r="B90" s="6">
        <v>0</v>
      </c>
      <c r="C90" s="492" t="s">
        <v>467</v>
      </c>
      <c r="D90" s="11"/>
      <c r="E90" s="11"/>
      <c r="F90" s="11"/>
      <c r="G90" s="11"/>
      <c r="H90" s="11"/>
      <c r="I90" s="11"/>
      <c r="J90" s="11"/>
      <c r="K90" s="11"/>
      <c r="L90" s="11"/>
      <c r="M90" s="11"/>
      <c r="N90" s="11"/>
      <c r="O90" s="11"/>
      <c r="P90" s="11"/>
      <c r="Q90" s="60"/>
    </row>
    <row r="91" spans="1:17" ht="12.75">
      <c r="A91" s="493" t="s">
        <v>338</v>
      </c>
      <c r="B91" s="504">
        <v>0</v>
      </c>
      <c r="C91" s="494" t="s">
        <v>467</v>
      </c>
      <c r="D91" s="11"/>
      <c r="E91" s="11"/>
      <c r="F91" s="11"/>
      <c r="G91" s="11"/>
      <c r="H91" s="11"/>
      <c r="I91" s="11"/>
      <c r="J91" s="11"/>
      <c r="K91" s="11"/>
      <c r="L91" s="11"/>
      <c r="M91" s="11"/>
      <c r="N91" s="11"/>
      <c r="O91" s="11"/>
      <c r="P91" s="11"/>
      <c r="Q91" s="60"/>
    </row>
    <row r="92" spans="1:17" ht="12.75">
      <c r="A92" s="385"/>
      <c r="B92" s="498"/>
      <c r="C92" s="495"/>
      <c r="D92" s="11"/>
      <c r="E92" s="11"/>
      <c r="F92" s="11"/>
      <c r="G92" s="11"/>
      <c r="H92" s="11"/>
      <c r="I92" s="11"/>
      <c r="J92" s="11"/>
      <c r="K92" s="11"/>
      <c r="L92" s="11"/>
      <c r="M92" s="11"/>
      <c r="N92" s="11"/>
      <c r="O92" s="11"/>
      <c r="P92" s="11"/>
      <c r="Q92" s="60"/>
    </row>
    <row r="93" spans="1:17" ht="12.75">
      <c r="A93" s="487" t="s">
        <v>332</v>
      </c>
      <c r="B93" s="403" t="s">
        <v>482</v>
      </c>
      <c r="C93" s="495"/>
      <c r="D93" s="11"/>
      <c r="E93" s="11"/>
      <c r="F93" s="11"/>
      <c r="G93" s="11"/>
      <c r="H93" s="11"/>
      <c r="I93" s="11"/>
      <c r="J93" s="11"/>
      <c r="K93" s="11"/>
      <c r="L93" s="11"/>
      <c r="M93" s="11"/>
      <c r="N93" s="11"/>
      <c r="O93" s="11"/>
      <c r="P93" s="11"/>
      <c r="Q93" s="60"/>
    </row>
    <row r="94" spans="1:17" ht="12.75">
      <c r="A94" s="489" t="s">
        <v>338</v>
      </c>
      <c r="B94" s="503">
        <v>0</v>
      </c>
      <c r="C94" s="490" t="s">
        <v>467</v>
      </c>
      <c r="D94" s="11"/>
      <c r="E94" s="11"/>
      <c r="F94" s="11"/>
      <c r="G94" s="11"/>
      <c r="H94" s="11"/>
      <c r="I94" s="11"/>
      <c r="J94" s="11"/>
      <c r="K94" s="11"/>
      <c r="L94" s="11"/>
      <c r="M94" s="11"/>
      <c r="N94" s="11"/>
      <c r="O94" s="11"/>
      <c r="P94" s="11"/>
      <c r="Q94" s="60"/>
    </row>
    <row r="95" spans="1:17" ht="12.75">
      <c r="A95" s="491" t="s">
        <v>338</v>
      </c>
      <c r="B95" s="6">
        <v>0</v>
      </c>
      <c r="C95" s="492" t="s">
        <v>467</v>
      </c>
      <c r="D95" s="11"/>
      <c r="E95" s="11"/>
      <c r="F95" s="11"/>
      <c r="G95" s="11"/>
      <c r="H95" s="11"/>
      <c r="I95" s="11"/>
      <c r="J95" s="11"/>
      <c r="K95" s="11"/>
      <c r="L95" s="11"/>
      <c r="M95" s="11"/>
      <c r="N95" s="11"/>
      <c r="O95" s="11"/>
      <c r="P95" s="11"/>
      <c r="Q95" s="60"/>
    </row>
    <row r="96" spans="1:17" ht="12.75">
      <c r="A96" s="491" t="s">
        <v>338</v>
      </c>
      <c r="B96" s="6">
        <v>0</v>
      </c>
      <c r="C96" s="492" t="s">
        <v>467</v>
      </c>
      <c r="D96" s="11"/>
      <c r="E96" s="11"/>
      <c r="F96" s="11"/>
      <c r="G96" s="11"/>
      <c r="H96" s="11"/>
      <c r="I96" s="11"/>
      <c r="J96" s="11"/>
      <c r="K96" s="11"/>
      <c r="L96" s="11"/>
      <c r="M96" s="11"/>
      <c r="N96" s="11"/>
      <c r="O96" s="11"/>
      <c r="P96" s="11"/>
      <c r="Q96" s="60"/>
    </row>
    <row r="97" spans="1:17" ht="12.75">
      <c r="A97" s="493" t="s">
        <v>338</v>
      </c>
      <c r="B97" s="504">
        <v>0</v>
      </c>
      <c r="C97" s="494" t="s">
        <v>467</v>
      </c>
      <c r="D97" s="11"/>
      <c r="E97" s="11"/>
      <c r="F97" s="11"/>
      <c r="G97" s="11"/>
      <c r="H97" s="11"/>
      <c r="I97" s="11"/>
      <c r="J97" s="11"/>
      <c r="K97" s="11"/>
      <c r="L97" s="11"/>
      <c r="M97" s="11"/>
      <c r="N97" s="11"/>
      <c r="O97" s="11"/>
      <c r="P97" s="11"/>
      <c r="Q97" s="60"/>
    </row>
    <row r="98" spans="1:17" ht="12.75">
      <c r="A98" s="385"/>
      <c r="B98" s="409"/>
      <c r="C98" s="495"/>
      <c r="D98" s="11"/>
      <c r="E98" s="11"/>
      <c r="F98" s="11"/>
      <c r="G98" s="11"/>
      <c r="H98" s="11"/>
      <c r="I98" s="11"/>
      <c r="J98" s="11"/>
      <c r="K98" s="11"/>
      <c r="L98" s="11"/>
      <c r="M98" s="11"/>
      <c r="N98" s="11"/>
      <c r="O98" s="11"/>
      <c r="P98" s="11"/>
      <c r="Q98" s="60"/>
    </row>
    <row r="99" spans="1:17" ht="12.75">
      <c r="A99" s="487" t="s">
        <v>333</v>
      </c>
      <c r="B99" s="403" t="s">
        <v>483</v>
      </c>
      <c r="C99" s="495"/>
      <c r="D99" s="11"/>
      <c r="E99" s="11"/>
      <c r="F99" s="11"/>
      <c r="G99" s="11"/>
      <c r="H99" s="11"/>
      <c r="I99" s="11"/>
      <c r="J99" s="11"/>
      <c r="K99" s="11"/>
      <c r="L99" s="11"/>
      <c r="M99" s="11"/>
      <c r="N99" s="11"/>
      <c r="O99" s="11"/>
      <c r="P99" s="11"/>
      <c r="Q99" s="60"/>
    </row>
    <row r="100" spans="1:17" ht="12.75">
      <c r="A100" s="489" t="s">
        <v>338</v>
      </c>
      <c r="B100" s="503">
        <v>0</v>
      </c>
      <c r="C100" s="490" t="s">
        <v>467</v>
      </c>
      <c r="D100" s="11"/>
      <c r="E100" s="11"/>
      <c r="F100" s="11"/>
      <c r="G100" s="11"/>
      <c r="H100" s="11"/>
      <c r="I100" s="11"/>
      <c r="J100" s="11"/>
      <c r="K100" s="11"/>
      <c r="L100" s="11"/>
      <c r="M100" s="11"/>
      <c r="N100" s="11"/>
      <c r="O100" s="11"/>
      <c r="P100" s="11"/>
      <c r="Q100" s="60"/>
    </row>
    <row r="101" spans="1:17" ht="12.75">
      <c r="A101" s="491" t="s">
        <v>338</v>
      </c>
      <c r="B101" s="6">
        <v>0</v>
      </c>
      <c r="C101" s="492" t="s">
        <v>467</v>
      </c>
      <c r="D101" s="11"/>
      <c r="E101" s="11"/>
      <c r="F101" s="11"/>
      <c r="G101" s="11"/>
      <c r="H101" s="11"/>
      <c r="I101" s="11"/>
      <c r="J101" s="11"/>
      <c r="K101" s="11"/>
      <c r="L101" s="11"/>
      <c r="M101" s="11"/>
      <c r="N101" s="11"/>
      <c r="O101" s="11"/>
      <c r="P101" s="11"/>
      <c r="Q101" s="60"/>
    </row>
    <row r="102" spans="1:17" ht="12.75">
      <c r="A102" s="491" t="s">
        <v>338</v>
      </c>
      <c r="B102" s="6">
        <v>0</v>
      </c>
      <c r="C102" s="492" t="s">
        <v>467</v>
      </c>
      <c r="D102" s="11"/>
      <c r="E102" s="11"/>
      <c r="F102" s="11"/>
      <c r="G102" s="11"/>
      <c r="H102" s="11"/>
      <c r="I102" s="11"/>
      <c r="J102" s="11"/>
      <c r="K102" s="11"/>
      <c r="L102" s="11"/>
      <c r="M102" s="11"/>
      <c r="N102" s="11"/>
      <c r="O102" s="11"/>
      <c r="P102" s="11"/>
      <c r="Q102" s="60"/>
    </row>
    <row r="103" spans="1:17" ht="12.75">
      <c r="A103" s="493" t="s">
        <v>338</v>
      </c>
      <c r="B103" s="504">
        <v>0</v>
      </c>
      <c r="C103" s="494" t="s">
        <v>467</v>
      </c>
      <c r="D103" s="11"/>
      <c r="E103" s="11"/>
      <c r="F103" s="11"/>
      <c r="G103" s="11"/>
      <c r="H103" s="11"/>
      <c r="I103" s="11"/>
      <c r="J103" s="11"/>
      <c r="K103" s="11"/>
      <c r="L103" s="11"/>
      <c r="M103" s="11"/>
      <c r="N103" s="11"/>
      <c r="O103" s="11"/>
      <c r="P103" s="11"/>
      <c r="Q103" s="60"/>
    </row>
    <row r="104" spans="1:15" ht="12.75">
      <c r="A104" s="502"/>
      <c r="B104" s="385"/>
      <c r="C104" s="385"/>
      <c r="D104" s="10"/>
      <c r="E104" s="10"/>
      <c r="F104" s="5"/>
      <c r="G104" s="10"/>
      <c r="N104" s="45"/>
      <c r="O104" s="45"/>
    </row>
    <row r="105" spans="1:14" ht="12.75">
      <c r="A105" s="487" t="s">
        <v>274</v>
      </c>
      <c r="B105" s="410" t="s">
        <v>275</v>
      </c>
      <c r="C105" s="499"/>
      <c r="D105" s="10"/>
      <c r="E105" s="5"/>
      <c r="F105" s="10"/>
      <c r="H105" s="136"/>
      <c r="M105" s="45"/>
      <c r="N105" s="45"/>
    </row>
    <row r="106" spans="1:14" ht="12.75">
      <c r="A106" s="496" t="s">
        <v>471</v>
      </c>
      <c r="B106" s="140">
        <v>1</v>
      </c>
      <c r="C106" s="490" t="s">
        <v>467</v>
      </c>
      <c r="D106" s="23"/>
      <c r="E106" s="23"/>
      <c r="M106" s="45"/>
      <c r="N106" s="45"/>
    </row>
    <row r="107" spans="1:14" ht="12.75">
      <c r="A107" s="493" t="s">
        <v>308</v>
      </c>
      <c r="B107" s="141">
        <v>0.2</v>
      </c>
      <c r="C107" s="494" t="s">
        <v>467</v>
      </c>
      <c r="D107" s="23"/>
      <c r="E107" s="23"/>
      <c r="M107" s="45"/>
      <c r="N107" s="45"/>
    </row>
    <row r="108" spans="1:14" ht="12.75">
      <c r="A108" s="385"/>
      <c r="B108" s="499"/>
      <c r="C108" s="499"/>
      <c r="D108" s="23"/>
      <c r="E108" s="23"/>
      <c r="M108" s="45"/>
      <c r="N108" s="45"/>
    </row>
    <row r="109" spans="1:14" ht="12.75">
      <c r="A109" s="10"/>
      <c r="B109" s="23"/>
      <c r="C109" s="23"/>
      <c r="D109" s="23"/>
      <c r="E109" s="23"/>
      <c r="M109" s="45"/>
      <c r="N109" s="45"/>
    </row>
    <row r="110" spans="1:14" ht="12.75">
      <c r="A110" s="10"/>
      <c r="B110" s="23"/>
      <c r="C110" s="23"/>
      <c r="D110" s="23"/>
      <c r="E110" s="23"/>
      <c r="M110" s="45"/>
      <c r="N110" s="45"/>
    </row>
    <row r="111" spans="1:14" ht="12.75">
      <c r="A111" s="103"/>
      <c r="B111" s="65"/>
      <c r="C111" s="23"/>
      <c r="D111" s="23"/>
      <c r="E111" s="23"/>
      <c r="M111" s="45"/>
      <c r="N111" s="45"/>
    </row>
    <row r="112" spans="1:14" ht="12.75">
      <c r="A112" s="10"/>
      <c r="B112" s="23"/>
      <c r="C112" s="23"/>
      <c r="D112" s="23"/>
      <c r="E112" s="23"/>
      <c r="M112" s="45"/>
      <c r="N112" s="45"/>
    </row>
    <row r="113" spans="1:14" ht="12.75">
      <c r="A113" s="10"/>
      <c r="B113" s="23"/>
      <c r="C113" s="23"/>
      <c r="D113" s="23"/>
      <c r="E113" s="23"/>
      <c r="M113" s="45"/>
      <c r="N113" s="45"/>
    </row>
    <row r="114" spans="1:14" ht="12.75">
      <c r="A114" s="10"/>
      <c r="B114" s="23"/>
      <c r="C114" s="23"/>
      <c r="D114" s="23"/>
      <c r="E114" s="23"/>
      <c r="M114" s="45"/>
      <c r="N114" s="45"/>
    </row>
    <row r="115" spans="1:15" ht="12.75">
      <c r="A115" s="23"/>
      <c r="B115" s="10"/>
      <c r="C115" s="10"/>
      <c r="D115" s="10"/>
      <c r="E115" s="10"/>
      <c r="F115" s="5"/>
      <c r="G115" s="10"/>
      <c r="N115" s="45"/>
      <c r="O115" s="45"/>
    </row>
    <row r="116" spans="1:15" ht="12.75">
      <c r="A116" s="146"/>
      <c r="B116" s="23"/>
      <c r="C116" s="23"/>
      <c r="D116" s="23"/>
      <c r="E116" s="23"/>
      <c r="F116" s="5"/>
      <c r="G116" s="10"/>
      <c r="N116" s="45"/>
      <c r="O116" s="45"/>
    </row>
    <row r="117" spans="1:15" ht="12.75">
      <c r="A117" s="10"/>
      <c r="B117" s="10"/>
      <c r="C117" s="10"/>
      <c r="D117" s="23"/>
      <c r="E117" s="23"/>
      <c r="F117" s="5"/>
      <c r="G117" s="10"/>
      <c r="N117" s="45"/>
      <c r="O117" s="45"/>
    </row>
    <row r="118" spans="1:15" ht="12.75">
      <c r="A118" s="10"/>
      <c r="B118" s="10"/>
      <c r="C118" s="10"/>
      <c r="D118" s="23"/>
      <c r="E118" s="23"/>
      <c r="F118" s="5"/>
      <c r="G118" s="10"/>
      <c r="N118" s="45"/>
      <c r="O118" s="45"/>
    </row>
    <row r="119" spans="1:15" ht="12.75">
      <c r="A119" s="10"/>
      <c r="B119" s="10"/>
      <c r="C119" s="10"/>
      <c r="D119" s="23"/>
      <c r="E119" s="23"/>
      <c r="F119" s="5"/>
      <c r="G119" s="10"/>
      <c r="N119" s="45"/>
      <c r="O119" s="45"/>
    </row>
    <row r="120" spans="1:14" ht="12.75">
      <c r="A120" s="10"/>
      <c r="B120" s="10"/>
      <c r="C120" s="10"/>
      <c r="D120" s="23"/>
      <c r="E120" s="23"/>
      <c r="M120" s="45"/>
      <c r="N120" s="45"/>
    </row>
    <row r="121" spans="1:14" ht="12.75">
      <c r="A121" s="23"/>
      <c r="B121" s="10"/>
      <c r="C121" s="23"/>
      <c r="D121" s="23"/>
      <c r="E121" s="23"/>
      <c r="M121" s="45"/>
      <c r="N121" s="45"/>
    </row>
    <row r="122" spans="1:14" ht="12.75">
      <c r="A122" s="23"/>
      <c r="B122" s="10"/>
      <c r="C122" s="23"/>
      <c r="D122" s="23"/>
      <c r="E122" s="23"/>
      <c r="M122" s="45"/>
      <c r="N122" s="45"/>
    </row>
    <row r="123" spans="1:14" ht="12.75">
      <c r="A123" s="7"/>
      <c r="B123" s="23"/>
      <c r="C123" s="23"/>
      <c r="D123" s="23"/>
      <c r="E123" s="23"/>
      <c r="M123" s="45"/>
      <c r="N123" s="45"/>
    </row>
    <row r="124" spans="1:14" ht="12.75">
      <c r="A124" s="7"/>
      <c r="M124" s="45"/>
      <c r="N124" s="45"/>
    </row>
    <row r="125" spans="1:17" ht="12.75">
      <c r="A125" s="14"/>
      <c r="B125" s="65"/>
      <c r="C125" s="105"/>
      <c r="D125" s="11"/>
      <c r="E125" s="11"/>
      <c r="F125" s="11"/>
      <c r="G125" s="11"/>
      <c r="H125" s="11"/>
      <c r="I125" s="11"/>
      <c r="J125" s="11"/>
      <c r="K125" s="11"/>
      <c r="L125" s="11"/>
      <c r="M125" s="11"/>
      <c r="N125" s="11"/>
      <c r="O125" s="11"/>
      <c r="P125" s="11"/>
      <c r="Q125" s="60"/>
    </row>
    <row r="126" spans="2:14" ht="12.75">
      <c r="B126" s="1"/>
      <c r="C126" s="1"/>
      <c r="M126" s="45"/>
      <c r="N126" s="45"/>
    </row>
    <row r="127" spans="13:14" ht="12.75">
      <c r="M127" s="45"/>
      <c r="N127" s="45"/>
    </row>
    <row r="128" spans="13:14" ht="12.75">
      <c r="M128" s="45"/>
      <c r="N128" s="45"/>
    </row>
    <row r="129" spans="13:14" ht="12.75">
      <c r="M129" s="45"/>
      <c r="N129" s="45"/>
    </row>
    <row r="130" spans="13:14" ht="12.75">
      <c r="M130" s="45"/>
      <c r="N130" s="45"/>
    </row>
    <row r="131" spans="13:14" ht="12.75">
      <c r="M131" s="45"/>
      <c r="N131" s="45"/>
    </row>
    <row r="132" spans="13:14" ht="12.75">
      <c r="M132" s="45"/>
      <c r="N132" s="45"/>
    </row>
    <row r="133" spans="13:14" ht="12.75">
      <c r="M133" s="45"/>
      <c r="N133" s="45"/>
    </row>
    <row r="134" spans="13:14" ht="12.75">
      <c r="M134" s="45"/>
      <c r="N134" s="45"/>
    </row>
    <row r="135" spans="13:14" ht="12.75">
      <c r="M135" s="45"/>
      <c r="N135" s="45"/>
    </row>
    <row r="136" spans="13:14" ht="12.75">
      <c r="M136" s="45"/>
      <c r="N136" s="45"/>
    </row>
  </sheetData>
  <sheetProtection/>
  <printOptions/>
  <pageMargins left="0.75" right="0.75" top="1" bottom="1" header="0.5" footer="0.5"/>
  <pageSetup fitToHeight="1" fitToWidth="1" horizontalDpi="600" verticalDpi="600" orientation="portrait" scale="41" r:id="rId1"/>
</worksheet>
</file>

<file path=xl/worksheets/sheet2.xml><?xml version="1.0" encoding="utf-8"?>
<worksheet xmlns="http://schemas.openxmlformats.org/spreadsheetml/2006/main" xmlns:r="http://schemas.openxmlformats.org/officeDocument/2006/relationships">
  <sheetPr codeName="Sheet13"/>
  <dimension ref="B1:B16"/>
  <sheetViews>
    <sheetView tabSelected="1" workbookViewId="0" topLeftCell="A1">
      <selection activeCell="B6" sqref="B6"/>
    </sheetView>
  </sheetViews>
  <sheetFormatPr defaultColWidth="9.140625" defaultRowHeight="12.75"/>
  <cols>
    <col min="2" max="2" width="88.7109375" style="0" customWidth="1"/>
  </cols>
  <sheetData>
    <row r="1" ht="12.75">
      <c r="B1" s="377"/>
    </row>
    <row r="2" ht="15">
      <c r="B2" s="378" t="s">
        <v>704</v>
      </c>
    </row>
    <row r="3" ht="15">
      <c r="B3" s="378" t="s">
        <v>255</v>
      </c>
    </row>
    <row r="4" ht="15">
      <c r="B4" s="378" t="s">
        <v>257</v>
      </c>
    </row>
    <row r="5" ht="15">
      <c r="B5" s="378" t="s">
        <v>705</v>
      </c>
    </row>
    <row r="6" ht="3.75" customHeight="1">
      <c r="B6" s="379"/>
    </row>
    <row r="7" ht="12.75">
      <c r="B7" s="380" t="s">
        <v>256</v>
      </c>
    </row>
    <row r="8" ht="40.5" customHeight="1">
      <c r="B8" s="381" t="s">
        <v>259</v>
      </c>
    </row>
    <row r="9" ht="3.75" customHeight="1">
      <c r="B9" s="379"/>
    </row>
    <row r="10" ht="27" customHeight="1">
      <c r="B10" s="381" t="s">
        <v>106</v>
      </c>
    </row>
    <row r="11" ht="3.75" customHeight="1">
      <c r="B11" s="379"/>
    </row>
    <row r="12" ht="25.5">
      <c r="B12" s="381" t="s">
        <v>706</v>
      </c>
    </row>
    <row r="13" ht="3.75" customHeight="1">
      <c r="B13" s="379"/>
    </row>
    <row r="14" ht="26.25" thickBot="1">
      <c r="B14" s="473" t="s">
        <v>294</v>
      </c>
    </row>
    <row r="15" ht="13.5" thickTop="1"/>
    <row r="16" ht="12.75">
      <c r="B16" s="382" t="s">
        <v>258</v>
      </c>
    </row>
  </sheetData>
  <sheetProtection/>
  <hyperlinks>
    <hyperlink ref="B16" location="INPUT!C5" display="Start"/>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2"/>
  <dimension ref="A2:I10"/>
  <sheetViews>
    <sheetView zoomScale="75" zoomScaleNormal="75" workbookViewId="0" topLeftCell="A1">
      <selection activeCell="F6" sqref="F6:F10"/>
    </sheetView>
  </sheetViews>
  <sheetFormatPr defaultColWidth="9.140625" defaultRowHeight="12.75"/>
  <cols>
    <col min="1" max="1" width="9.421875" style="0" bestFit="1" customWidth="1"/>
    <col min="2" max="2" width="22.7109375" style="0" customWidth="1"/>
    <col min="3" max="6" width="12.421875" style="0" customWidth="1"/>
    <col min="7" max="7" width="14.57421875" style="0" bestFit="1" customWidth="1"/>
  </cols>
  <sheetData>
    <row r="2" spans="1:2" s="79" customFormat="1" ht="25.5" customHeight="1">
      <c r="A2" s="78"/>
      <c r="B2" s="78"/>
    </row>
    <row r="3" spans="1:8" s="82" customFormat="1" ht="50.25" customHeight="1">
      <c r="A3" s="80" t="s">
        <v>435</v>
      </c>
      <c r="B3" s="80" t="s">
        <v>198</v>
      </c>
      <c r="C3" s="81" t="s">
        <v>84</v>
      </c>
      <c r="D3" s="81" t="s">
        <v>381</v>
      </c>
      <c r="E3" s="81" t="s">
        <v>85</v>
      </c>
      <c r="F3" s="81" t="s">
        <v>381</v>
      </c>
      <c r="G3" s="81" t="s">
        <v>368</v>
      </c>
      <c r="H3" s="81" t="s">
        <v>197</v>
      </c>
    </row>
    <row r="4" spans="1:9" ht="25.5">
      <c r="A4" s="78"/>
      <c r="B4" s="166" t="s">
        <v>199</v>
      </c>
      <c r="C4" s="166" t="s">
        <v>434</v>
      </c>
      <c r="D4" s="166" t="s">
        <v>87</v>
      </c>
      <c r="E4" s="166" t="s">
        <v>550</v>
      </c>
      <c r="F4" s="166" t="s">
        <v>86</v>
      </c>
      <c r="G4" s="166" t="s">
        <v>433</v>
      </c>
      <c r="H4" s="298" t="s">
        <v>335</v>
      </c>
      <c r="I4" s="298" t="s">
        <v>202</v>
      </c>
    </row>
    <row r="5" spans="1:9" ht="12.75">
      <c r="A5" s="78">
        <v>1</v>
      </c>
      <c r="B5" s="78" t="s">
        <v>280</v>
      </c>
      <c r="C5" s="78">
        <v>0.03</v>
      </c>
      <c r="D5" s="78" t="s">
        <v>438</v>
      </c>
      <c r="E5" s="78">
        <v>0.007</v>
      </c>
      <c r="F5" s="78" t="s">
        <v>438</v>
      </c>
      <c r="G5" s="78" t="s">
        <v>432</v>
      </c>
      <c r="H5" s="78" t="s">
        <v>187</v>
      </c>
      <c r="I5">
        <v>1</v>
      </c>
    </row>
    <row r="6" spans="1:9" ht="12.75">
      <c r="A6" s="78">
        <v>2</v>
      </c>
      <c r="B6" s="78" t="s">
        <v>280</v>
      </c>
      <c r="C6" s="78">
        <v>0.124</v>
      </c>
      <c r="D6" s="78" t="s">
        <v>438</v>
      </c>
      <c r="E6" s="78">
        <v>0.035</v>
      </c>
      <c r="F6" s="78" t="s">
        <v>438</v>
      </c>
      <c r="G6" s="78" t="s">
        <v>432</v>
      </c>
      <c r="H6" s="78" t="s">
        <v>187</v>
      </c>
      <c r="I6">
        <v>1</v>
      </c>
    </row>
    <row r="7" spans="1:9" ht="12.75">
      <c r="A7" s="78">
        <v>3</v>
      </c>
      <c r="B7" s="78" t="s">
        <v>280</v>
      </c>
      <c r="C7" s="78">
        <v>0.305</v>
      </c>
      <c r="D7" s="78" t="s">
        <v>438</v>
      </c>
      <c r="E7" s="78">
        <v>0.094</v>
      </c>
      <c r="F7" s="78" t="s">
        <v>438</v>
      </c>
      <c r="G7" s="78" t="s">
        <v>432</v>
      </c>
      <c r="H7" s="78" t="s">
        <v>187</v>
      </c>
      <c r="I7">
        <v>1</v>
      </c>
    </row>
    <row r="8" spans="1:9" ht="12.75">
      <c r="A8" s="78">
        <v>4</v>
      </c>
      <c r="B8" s="78" t="s">
        <v>280</v>
      </c>
      <c r="C8" s="78">
        <v>0.03</v>
      </c>
      <c r="D8" s="78" t="s">
        <v>438</v>
      </c>
      <c r="E8" s="78">
        <v>0.009</v>
      </c>
      <c r="F8" s="78" t="s">
        <v>438</v>
      </c>
      <c r="G8" s="78" t="s">
        <v>436</v>
      </c>
      <c r="H8" s="78" t="s">
        <v>187</v>
      </c>
      <c r="I8">
        <v>1</v>
      </c>
    </row>
    <row r="9" spans="1:9" ht="12.75">
      <c r="A9" s="78">
        <v>5</v>
      </c>
      <c r="B9" s="78" t="s">
        <v>280</v>
      </c>
      <c r="C9" s="78">
        <v>0.124</v>
      </c>
      <c r="D9" s="78" t="s">
        <v>438</v>
      </c>
      <c r="E9" s="78">
        <v>0.039</v>
      </c>
      <c r="F9" s="78" t="s">
        <v>438</v>
      </c>
      <c r="G9" s="78" t="s">
        <v>436</v>
      </c>
      <c r="H9" s="78" t="s">
        <v>187</v>
      </c>
      <c r="I9">
        <v>1</v>
      </c>
    </row>
    <row r="10" spans="1:9" ht="12.75">
      <c r="A10" s="78">
        <v>6</v>
      </c>
      <c r="B10" s="78" t="s">
        <v>280</v>
      </c>
      <c r="C10" s="78">
        <v>0.305</v>
      </c>
      <c r="D10" s="78" t="s">
        <v>438</v>
      </c>
      <c r="E10" s="78">
        <v>0.1</v>
      </c>
      <c r="F10" s="78" t="s">
        <v>438</v>
      </c>
      <c r="G10" s="78" t="s">
        <v>436</v>
      </c>
      <c r="H10" s="78" t="s">
        <v>187</v>
      </c>
      <c r="I10">
        <v>1</v>
      </c>
    </row>
  </sheetData>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codeName="Sheet1"/>
  <dimension ref="A1:J209"/>
  <sheetViews>
    <sheetView workbookViewId="0" topLeftCell="A1">
      <selection activeCell="C5" sqref="C5"/>
    </sheetView>
  </sheetViews>
  <sheetFormatPr defaultColWidth="9.140625" defaultRowHeight="12.75"/>
  <cols>
    <col min="1" max="1" width="46.57421875" style="206" customWidth="1"/>
    <col min="2" max="2" width="21.00390625" style="206" hidden="1" customWidth="1"/>
    <col min="3" max="3" width="17.57421875" style="206" customWidth="1"/>
    <col min="4" max="4" width="9.421875" style="206" customWidth="1"/>
    <col min="5" max="5" width="8.28125" style="206" customWidth="1"/>
    <col min="6" max="6" width="41.7109375" style="206" customWidth="1"/>
    <col min="7" max="7" width="7.421875" style="206" customWidth="1"/>
    <col min="8" max="8" width="9.140625" style="206" customWidth="1"/>
    <col min="9" max="9" width="9.00390625" style="206" customWidth="1"/>
    <col min="10" max="16384" width="9.140625" style="206" customWidth="1"/>
  </cols>
  <sheetData>
    <row r="1" ht="18">
      <c r="A1" s="205" t="s">
        <v>430</v>
      </c>
    </row>
    <row r="2" ht="12.75"/>
    <row r="3" ht="12.75">
      <c r="A3" s="223" t="s">
        <v>172</v>
      </c>
    </row>
    <row r="4" spans="1:4" ht="12.75">
      <c r="A4" s="523" t="s">
        <v>696</v>
      </c>
      <c r="D4" s="301"/>
    </row>
    <row r="5" spans="1:6" ht="54" customHeight="1">
      <c r="A5" s="524"/>
      <c r="C5" s="444" t="s">
        <v>280</v>
      </c>
      <c r="D5" s="527">
        <f>IF(user=1,"click here→","")</f>
      </c>
      <c r="E5" s="524"/>
      <c r="F5" s="518" t="s">
        <v>290</v>
      </c>
    </row>
    <row r="6" spans="1:6" ht="3.75" customHeight="1">
      <c r="A6" s="303"/>
      <c r="C6" s="300"/>
      <c r="D6" s="299"/>
      <c r="E6" s="302"/>
      <c r="F6" s="302"/>
    </row>
    <row r="7" spans="1:10" ht="12.75">
      <c r="A7" s="181" t="s">
        <v>173</v>
      </c>
      <c r="B7" s="26"/>
      <c r="C7" s="186"/>
      <c r="D7" s="186"/>
      <c r="E7" s="26"/>
      <c r="F7" s="26"/>
      <c r="G7" s="211"/>
      <c r="H7" s="211"/>
      <c r="I7" s="211"/>
      <c r="J7" s="211"/>
    </row>
    <row r="8" spans="1:10" ht="16.5" customHeight="1">
      <c r="A8" s="125" t="s">
        <v>175</v>
      </c>
      <c r="B8" s="26"/>
      <c r="C8" s="525" t="s">
        <v>313</v>
      </c>
      <c r="D8" s="526"/>
      <c r="E8" s="26"/>
      <c r="F8" s="26"/>
      <c r="G8" s="211"/>
      <c r="H8" s="211"/>
      <c r="I8" s="211"/>
      <c r="J8" s="211"/>
    </row>
    <row r="9" spans="1:10" ht="27.75" customHeight="1">
      <c r="A9" s="513" t="s">
        <v>700</v>
      </c>
      <c r="B9" s="26"/>
      <c r="C9" s="445"/>
      <c r="D9" s="445"/>
      <c r="E9" s="26"/>
      <c r="F9" s="26"/>
      <c r="G9" s="211"/>
      <c r="H9" s="211"/>
      <c r="I9" s="211"/>
      <c r="J9" s="211"/>
    </row>
    <row r="10" spans="1:10" ht="16.5" customHeight="1">
      <c r="A10" s="181" t="s">
        <v>174</v>
      </c>
      <c r="B10" s="26"/>
      <c r="C10" s="445"/>
      <c r="D10" s="445"/>
      <c r="E10" s="26"/>
      <c r="F10" s="26"/>
      <c r="G10" s="211"/>
      <c r="H10" s="211"/>
      <c r="I10" s="211"/>
      <c r="J10" s="211"/>
    </row>
    <row r="11" spans="1:10" ht="16.5" customHeight="1">
      <c r="A11" s="207" t="s">
        <v>698</v>
      </c>
      <c r="B11" s="26"/>
      <c r="C11" s="525" t="s">
        <v>326</v>
      </c>
      <c r="D11" s="526"/>
      <c r="E11" s="26"/>
      <c r="F11" s="26"/>
      <c r="G11" s="211"/>
      <c r="H11" s="211"/>
      <c r="I11" s="211"/>
      <c r="J11" s="211"/>
    </row>
    <row r="12" spans="1:10" ht="50.25" customHeight="1">
      <c r="A12" s="513" t="s">
        <v>701</v>
      </c>
      <c r="B12" s="26"/>
      <c r="C12" s="186"/>
      <c r="D12" s="186"/>
      <c r="E12" s="26"/>
      <c r="F12" s="26"/>
      <c r="G12" s="211"/>
      <c r="H12" s="211"/>
      <c r="I12" s="211"/>
      <c r="J12" s="211"/>
    </row>
    <row r="13" spans="1:10" ht="19.5" customHeight="1">
      <c r="A13" s="181" t="s">
        <v>176</v>
      </c>
      <c r="B13" s="26"/>
      <c r="C13" s="446"/>
      <c r="D13" s="447"/>
      <c r="E13" s="517">
        <f>IF(AND(design_flow=0.03,source_select="GW"),"&lt;- Using this design","")</f>
      </c>
      <c r="F13" s="26"/>
      <c r="G13" s="211"/>
      <c r="H13" s="211"/>
      <c r="I13" s="211"/>
      <c r="J13" s="211"/>
    </row>
    <row r="14" spans="1:10" ht="19.5" customHeight="1">
      <c r="A14" s="209" t="s">
        <v>190</v>
      </c>
      <c r="B14" s="26"/>
      <c r="C14" s="448"/>
      <c r="D14" s="449"/>
      <c r="E14" s="517">
        <f>IF(AND(design_flow=0.124,source_select="GW"),"&lt;- Using this design","")</f>
      </c>
      <c r="F14" s="26"/>
      <c r="G14" s="211"/>
      <c r="H14" s="211"/>
      <c r="I14" s="211"/>
      <c r="J14" s="211"/>
    </row>
    <row r="15" spans="1:10" ht="19.5" customHeight="1">
      <c r="A15" s="208"/>
      <c r="B15" s="26"/>
      <c r="C15" s="448"/>
      <c r="D15" s="449"/>
      <c r="E15" s="517">
        <f>IF(AND(design_flow=0.305,source_select="GW"),"&lt;- Using this design","")</f>
      </c>
      <c r="F15" s="26"/>
      <c r="G15" s="211"/>
      <c r="H15" s="211"/>
      <c r="I15" s="211"/>
      <c r="J15" s="211"/>
    </row>
    <row r="16" spans="1:10" ht="19.5" customHeight="1">
      <c r="A16" s="210"/>
      <c r="B16" s="26"/>
      <c r="C16" s="448"/>
      <c r="D16" s="449"/>
      <c r="E16" s="517" t="str">
        <f>IF(AND(design_flow=0.03,source_select="SW"),"&lt;- Using this design","")</f>
        <v>&lt;- Using this design</v>
      </c>
      <c r="F16" s="26"/>
      <c r="G16" s="211"/>
      <c r="H16" s="211"/>
      <c r="I16" s="211"/>
      <c r="J16" s="211"/>
    </row>
    <row r="17" spans="1:10" ht="19.5" customHeight="1">
      <c r="A17" s="208"/>
      <c r="B17" s="26"/>
      <c r="C17" s="448"/>
      <c r="D17" s="449"/>
      <c r="E17" s="517">
        <f>IF(AND(design_flow=0.124,source_select="SW"),"&lt;- Using this design","")</f>
      </c>
      <c r="F17" s="26"/>
      <c r="G17" s="211"/>
      <c r="H17" s="211"/>
      <c r="I17" s="211"/>
      <c r="J17" s="211"/>
    </row>
    <row r="18" spans="1:10" ht="19.5" customHeight="1">
      <c r="A18" s="208"/>
      <c r="B18" s="26"/>
      <c r="C18" s="450"/>
      <c r="D18" s="451"/>
      <c r="E18" s="517">
        <f>IF(AND(design_flow=0.305,source_select="SW"),"&lt;- Using this design","")</f>
      </c>
      <c r="F18" s="26"/>
      <c r="G18" s="211"/>
      <c r="H18" s="211"/>
      <c r="I18" s="211"/>
      <c r="J18" s="211"/>
    </row>
    <row r="19" spans="1:10" ht="12.75">
      <c r="A19" s="181" t="s">
        <v>177</v>
      </c>
      <c r="B19" s="26"/>
      <c r="C19" s="445"/>
      <c r="D19" s="445"/>
      <c r="E19" s="26"/>
      <c r="F19" s="315" t="s">
        <v>191</v>
      </c>
      <c r="G19" s="211"/>
      <c r="H19" s="211"/>
      <c r="I19" s="211"/>
      <c r="J19" s="211"/>
    </row>
    <row r="20" spans="1:10" ht="12.75">
      <c r="A20" s="206" t="s">
        <v>192</v>
      </c>
      <c r="B20" s="26"/>
      <c r="C20" s="519" t="str">
        <f>IF(AND(C33="Contaminant selection OK",C34="Treatment technology OK",C35="Average flow OK"),"Input Complete","Input Incomplete -- Check for Error Messages Below")</f>
        <v>Input Complete</v>
      </c>
      <c r="D20" s="520"/>
      <c r="E20" s="26"/>
      <c r="F20" s="316" t="str">
        <f>"Direct Capital Cost: "&amp;IF(C20="input complete",TEXT(direct_cost,"$0,0"),"Input incomplete")</f>
        <v>Direct Capital Cost: $14,955</v>
      </c>
      <c r="G20" s="211"/>
      <c r="H20" s="211"/>
      <c r="I20" s="211"/>
      <c r="J20" s="211"/>
    </row>
    <row r="21" spans="1:10" ht="12.75">
      <c r="A21" s="206" t="s">
        <v>193</v>
      </c>
      <c r="B21" s="26"/>
      <c r="C21" s="521"/>
      <c r="D21" s="522"/>
      <c r="E21" s="26"/>
      <c r="F21" s="316" t="str">
        <f>"Total Capital Cost: "&amp;IF(C20="input complete",TEXT(OUTPUT!C60,"$0,0"),"Input incomplete")</f>
        <v>Total Capital Cost: $18,709</v>
      </c>
      <c r="G21" s="211"/>
      <c r="H21" s="211"/>
      <c r="I21" s="211"/>
      <c r="J21" s="211"/>
    </row>
    <row r="22" spans="1:10" ht="12.75">
      <c r="A22" s="209" t="s">
        <v>260</v>
      </c>
      <c r="B22" s="26"/>
      <c r="C22" s="452"/>
      <c r="D22" s="452"/>
      <c r="E22" s="26"/>
      <c r="F22" s="316" t="str">
        <f>"Annual O&amp;M Cost: "&amp;IF(C20="input complete",TEXT(OM_cost,"$0,0"),"Input incomplete")</f>
        <v>Annual O&amp;M Cost: $6,466</v>
      </c>
      <c r="G22" s="211"/>
      <c r="H22" s="211"/>
      <c r="I22" s="211"/>
      <c r="J22" s="211"/>
    </row>
    <row r="23" spans="1:10" ht="12.75">
      <c r="A23" s="209"/>
      <c r="B23" s="26"/>
      <c r="C23" s="452"/>
      <c r="D23" s="452"/>
      <c r="E23" s="209"/>
      <c r="F23" s="317" t="str">
        <f>"Total $/kgal: "&amp;IF(C20="Input complete",TEXT(OUTPUT!J94,"$0.00"),"Input incomplete")</f>
        <v>Total $/kgal: $4.58</v>
      </c>
      <c r="G23" s="211"/>
      <c r="H23" s="211"/>
      <c r="I23" s="211"/>
      <c r="J23" s="211"/>
    </row>
    <row r="24" spans="1:10" ht="12.75">
      <c r="A24" s="181" t="s">
        <v>183</v>
      </c>
      <c r="B24" s="26"/>
      <c r="C24" s="452"/>
      <c r="D24" s="452"/>
      <c r="E24" s="209"/>
      <c r="F24" s="211"/>
      <c r="G24" s="211"/>
      <c r="H24" s="211"/>
      <c r="I24" s="211"/>
      <c r="J24" s="211"/>
    </row>
    <row r="25" spans="1:10" ht="12.75">
      <c r="A25" s="212" t="s">
        <v>261</v>
      </c>
      <c r="B25" s="26"/>
      <c r="C25" s="453"/>
      <c r="D25" s="454"/>
      <c r="E25" s="211"/>
      <c r="F25" s="211"/>
      <c r="G25" s="211"/>
      <c r="H25" s="26"/>
      <c r="I25" s="26"/>
      <c r="J25" s="26"/>
    </row>
    <row r="26" spans="1:10" ht="12.75">
      <c r="A26" s="214" t="s">
        <v>521</v>
      </c>
      <c r="B26" s="215" t="s">
        <v>434</v>
      </c>
      <c r="C26" s="510">
        <v>0.03</v>
      </c>
      <c r="D26" s="509" t="s">
        <v>438</v>
      </c>
      <c r="E26" s="211"/>
      <c r="F26" s="211"/>
      <c r="G26" s="211"/>
      <c r="H26" s="26"/>
      <c r="I26" s="26"/>
      <c r="J26" s="26"/>
    </row>
    <row r="27" spans="1:10" ht="12.75">
      <c r="A27" s="216" t="s">
        <v>551</v>
      </c>
      <c r="B27" s="217" t="s">
        <v>550</v>
      </c>
      <c r="C27" s="455">
        <v>0.009</v>
      </c>
      <c r="D27" s="508" t="s">
        <v>438</v>
      </c>
      <c r="E27" s="211"/>
      <c r="F27" s="306"/>
      <c r="G27" s="211"/>
      <c r="H27" s="26"/>
      <c r="I27" s="26"/>
      <c r="J27" s="26"/>
    </row>
    <row r="28" spans="1:10" ht="12.75">
      <c r="A28" s="216" t="s">
        <v>431</v>
      </c>
      <c r="B28" s="217" t="s">
        <v>433</v>
      </c>
      <c r="C28" s="456" t="s">
        <v>436</v>
      </c>
      <c r="D28" s="457" t="s">
        <v>702</v>
      </c>
      <c r="E28" s="211"/>
      <c r="F28" s="211"/>
      <c r="G28" s="211"/>
      <c r="H28" s="26"/>
      <c r="I28" s="26"/>
      <c r="J28" s="26"/>
    </row>
    <row r="29" spans="1:10" ht="12.75">
      <c r="A29" s="218" t="s">
        <v>437</v>
      </c>
      <c r="B29" s="217" t="s">
        <v>335</v>
      </c>
      <c r="C29" s="456" t="s">
        <v>187</v>
      </c>
      <c r="D29" s="458" t="s">
        <v>703</v>
      </c>
      <c r="E29" s="211"/>
      <c r="F29" s="306"/>
      <c r="G29" s="307"/>
      <c r="H29" s="26"/>
      <c r="I29" s="26"/>
      <c r="J29" s="26"/>
    </row>
    <row r="30" spans="1:10" ht="12.75">
      <c r="A30" s="219" t="s">
        <v>189</v>
      </c>
      <c r="B30" s="26"/>
      <c r="C30" s="459"/>
      <c r="D30" s="460"/>
      <c r="E30" s="211"/>
      <c r="F30" s="306"/>
      <c r="G30" s="26"/>
      <c r="H30" s="26"/>
      <c r="I30" s="26"/>
      <c r="J30" s="26"/>
    </row>
    <row r="31" spans="1:10" ht="12.75">
      <c r="A31" s="220" t="s">
        <v>60</v>
      </c>
      <c r="B31" s="221" t="s">
        <v>634</v>
      </c>
      <c r="C31" s="461">
        <f>ROUND(IF(source_select="GW",((CHOOSE(df_units,design_flow*1000,design_flow*1440/1000))/0.54992)^(1/0.95538),((CHOOSE(af_units,design_flow*1000,design_flow*1440/1000))/0.59028)^(1/0.94573))/hh_size,0)</f>
        <v>24</v>
      </c>
      <c r="D31" s="462"/>
      <c r="E31" s="222"/>
      <c r="F31" s="26"/>
      <c r="G31" s="26"/>
      <c r="H31" s="26"/>
      <c r="I31" s="26"/>
      <c r="J31" s="26"/>
    </row>
    <row r="32" spans="1:10" ht="12.75">
      <c r="A32" s="306"/>
      <c r="C32" s="306"/>
      <c r="D32" s="306"/>
      <c r="E32" s="306"/>
      <c r="F32" s="306"/>
      <c r="G32" s="306"/>
      <c r="H32" s="306"/>
      <c r="I32" s="306"/>
      <c r="J32" s="306"/>
    </row>
    <row r="33" spans="1:10" ht="12.75">
      <c r="A33" s="306"/>
      <c r="C33" s="318" t="str">
        <f>IF(COUNTIF(contaminant_list,contam_stand)=0,IF(contam_stand="","Please select a target contaminant","Warning: Target contaminant is not valid"),"Contaminant selection OK")</f>
        <v>Contaminant selection OK</v>
      </c>
      <c r="D33" s="306"/>
      <c r="E33" s="306"/>
      <c r="F33" s="306"/>
      <c r="G33" s="306"/>
      <c r="H33" s="306"/>
      <c r="I33" s="306"/>
      <c r="J33" s="306"/>
    </row>
    <row r="34" spans="1:10" ht="12.75">
      <c r="A34" s="306"/>
      <c r="C34" s="318" t="str">
        <f ca="1">IF(ISERROR(COUNTIF(INDIRECT(contam_stand),"")),"Warning: Invalid target contaminant; unable to evaluate validity of treatment technology",IF(COUNTIF(INDIRECT(contam_stand),treat)=0,IF(treat="","Please select a certified treatment technology","Warning: Treatment technology selected is not certified for target contaminant"),"Treatment technology OK"))</f>
        <v>Treatment technology OK</v>
      </c>
      <c r="D34" s="306"/>
      <c r="E34" s="306"/>
      <c r="F34" s="306"/>
      <c r="G34" s="306"/>
      <c r="H34" s="306"/>
      <c r="I34" s="306"/>
      <c r="J34" s="306"/>
    </row>
    <row r="35" spans="1:10" ht="12.75">
      <c r="A35" s="306"/>
      <c r="B35" s="26"/>
      <c r="C35" s="318" t="str">
        <f>IF(df_units=af_units,IF(average_flow&gt;design_flow,"Warning: The average flow should not be greater than the design flow","Average flow OK"),"Warning: Flow units do not match.")</f>
        <v>Average flow OK</v>
      </c>
      <c r="D35" s="306"/>
      <c r="E35" s="306"/>
      <c r="F35" s="306"/>
      <c r="G35" s="306"/>
      <c r="H35" s="306"/>
      <c r="I35" s="306"/>
      <c r="J35" s="306"/>
    </row>
    <row r="36" spans="1:10" ht="16.5" customHeight="1">
      <c r="A36" s="306"/>
      <c r="B36" s="26"/>
      <c r="C36" s="306"/>
      <c r="D36" s="306"/>
      <c r="E36" s="306"/>
      <c r="F36" s="306"/>
      <c r="G36" s="306"/>
      <c r="H36" s="306"/>
      <c r="I36" s="306"/>
      <c r="J36" s="306"/>
    </row>
    <row r="37" spans="1:10" ht="16.5" customHeight="1">
      <c r="A37" s="306"/>
      <c r="B37" s="26"/>
      <c r="C37" s="306"/>
      <c r="D37" s="306"/>
      <c r="E37" s="306"/>
      <c r="F37" s="306"/>
      <c r="G37" s="306"/>
      <c r="H37" s="306"/>
      <c r="I37" s="306"/>
      <c r="J37" s="306"/>
    </row>
    <row r="38" spans="1:10" ht="16.5" customHeight="1">
      <c r="A38" s="306"/>
      <c r="B38" s="26"/>
      <c r="C38" s="306"/>
      <c r="D38" s="306"/>
      <c r="E38" s="306"/>
      <c r="F38" s="306"/>
      <c r="G38" s="306"/>
      <c r="H38" s="306"/>
      <c r="I38" s="306"/>
      <c r="J38" s="306"/>
    </row>
    <row r="39" spans="1:10" ht="16.5" customHeight="1">
      <c r="A39" s="306"/>
      <c r="B39" s="26"/>
      <c r="C39" s="306"/>
      <c r="D39" s="306"/>
      <c r="E39" s="306"/>
      <c r="F39" s="306"/>
      <c r="G39" s="306"/>
      <c r="H39" s="306"/>
      <c r="I39" s="306"/>
      <c r="J39" s="306"/>
    </row>
    <row r="40" spans="1:10" ht="16.5" customHeight="1">
      <c r="A40" s="306"/>
      <c r="B40" s="26"/>
      <c r="C40" s="306"/>
      <c r="D40" s="306"/>
      <c r="E40" s="306"/>
      <c r="F40" s="306"/>
      <c r="G40" s="306"/>
      <c r="H40" s="306"/>
      <c r="I40" s="306"/>
      <c r="J40" s="306"/>
    </row>
    <row r="41" spans="1:10" ht="16.5" customHeight="1">
      <c r="A41" s="306"/>
      <c r="B41" s="26"/>
      <c r="C41" s="306"/>
      <c r="D41" s="306"/>
      <c r="E41" s="306"/>
      <c r="F41" s="306"/>
      <c r="G41" s="306"/>
      <c r="H41" s="306"/>
      <c r="I41" s="306"/>
      <c r="J41" s="306"/>
    </row>
    <row r="42" spans="1:10" ht="16.5" customHeight="1">
      <c r="A42" s="306"/>
      <c r="B42" s="26"/>
      <c r="C42" s="306"/>
      <c r="D42" s="306"/>
      <c r="E42" s="306"/>
      <c r="F42" s="306"/>
      <c r="G42" s="306"/>
      <c r="H42" s="306"/>
      <c r="I42" s="306"/>
      <c r="J42" s="306"/>
    </row>
    <row r="43" spans="1:10" ht="16.5" customHeight="1">
      <c r="A43" s="306"/>
      <c r="B43" s="26"/>
      <c r="C43" s="306"/>
      <c r="D43" s="306"/>
      <c r="E43" s="306"/>
      <c r="F43" s="306"/>
      <c r="G43" s="306"/>
      <c r="H43" s="306"/>
      <c r="I43" s="306"/>
      <c r="J43" s="306"/>
    </row>
    <row r="44" spans="1:10" ht="16.5" customHeight="1">
      <c r="A44" s="306"/>
      <c r="B44" s="26"/>
      <c r="C44" s="306"/>
      <c r="D44" s="306"/>
      <c r="E44" s="306"/>
      <c r="F44" s="306"/>
      <c r="G44" s="306"/>
      <c r="H44" s="306"/>
      <c r="I44" s="306"/>
      <c r="J44" s="306"/>
    </row>
    <row r="45" spans="1:10" ht="16.5" customHeight="1">
      <c r="A45" s="306"/>
      <c r="B45" s="26"/>
      <c r="C45" s="306"/>
      <c r="D45" s="306"/>
      <c r="E45" s="306"/>
      <c r="F45" s="306"/>
      <c r="G45" s="306"/>
      <c r="H45" s="306"/>
      <c r="I45" s="306"/>
      <c r="J45" s="306"/>
    </row>
    <row r="46" spans="1:10" ht="16.5" customHeight="1">
      <c r="A46" s="306"/>
      <c r="B46" s="26"/>
      <c r="C46" s="306"/>
      <c r="D46" s="306"/>
      <c r="E46" s="306"/>
      <c r="F46" s="306"/>
      <c r="G46" s="306"/>
      <c r="H46" s="306"/>
      <c r="I46" s="306"/>
      <c r="J46" s="306"/>
    </row>
    <row r="47" spans="1:10" ht="16.5" customHeight="1">
      <c r="A47" s="306"/>
      <c r="B47" s="26"/>
      <c r="C47" s="306"/>
      <c r="D47" s="306"/>
      <c r="E47" s="306"/>
      <c r="F47" s="306"/>
      <c r="G47" s="306"/>
      <c r="H47" s="306"/>
      <c r="I47" s="306"/>
      <c r="J47" s="306"/>
    </row>
    <row r="48" spans="1:10" ht="16.5" customHeight="1">
      <c r="A48" s="306"/>
      <c r="B48" s="26"/>
      <c r="C48" s="306"/>
      <c r="D48" s="306"/>
      <c r="E48" s="306"/>
      <c r="F48" s="306"/>
      <c r="G48" s="306"/>
      <c r="H48" s="306"/>
      <c r="I48" s="306"/>
      <c r="J48" s="306"/>
    </row>
    <row r="49" spans="1:10" ht="16.5" customHeight="1">
      <c r="A49" s="306"/>
      <c r="B49" s="26"/>
      <c r="C49" s="306"/>
      <c r="D49" s="306"/>
      <c r="E49" s="306"/>
      <c r="F49" s="306"/>
      <c r="G49" s="306"/>
      <c r="H49" s="306"/>
      <c r="I49" s="306"/>
      <c r="J49" s="306"/>
    </row>
    <row r="50" spans="1:10" ht="16.5" customHeight="1">
      <c r="A50" s="306"/>
      <c r="B50" s="26"/>
      <c r="C50" s="306"/>
      <c r="D50" s="306"/>
      <c r="E50" s="306"/>
      <c r="F50" s="306"/>
      <c r="G50" s="306"/>
      <c r="H50" s="306"/>
      <c r="I50" s="306"/>
      <c r="J50" s="306"/>
    </row>
    <row r="51" spans="1:10" ht="16.5" customHeight="1">
      <c r="A51" s="306"/>
      <c r="B51" s="26"/>
      <c r="C51" s="306"/>
      <c r="D51" s="306"/>
      <c r="E51" s="306"/>
      <c r="F51" s="306"/>
      <c r="G51" s="306"/>
      <c r="H51" s="306"/>
      <c r="I51" s="306"/>
      <c r="J51" s="306"/>
    </row>
    <row r="52" spans="1:10" ht="16.5" customHeight="1">
      <c r="A52" s="306"/>
      <c r="B52" s="26"/>
      <c r="C52" s="306"/>
      <c r="D52" s="306"/>
      <c r="E52" s="306"/>
      <c r="F52" s="306"/>
      <c r="G52" s="306"/>
      <c r="H52" s="306"/>
      <c r="I52" s="306"/>
      <c r="J52" s="306"/>
    </row>
    <row r="53" spans="1:10" ht="16.5" customHeight="1">
      <c r="A53" s="306"/>
      <c r="B53" s="26"/>
      <c r="C53" s="306"/>
      <c r="D53" s="306"/>
      <c r="E53" s="306"/>
      <c r="F53" s="306"/>
      <c r="G53" s="306"/>
      <c r="H53" s="306"/>
      <c r="I53" s="306"/>
      <c r="J53" s="306"/>
    </row>
    <row r="54" spans="1:10" ht="16.5" customHeight="1">
      <c r="A54" s="306"/>
      <c r="B54" s="26"/>
      <c r="C54" s="306"/>
      <c r="D54" s="306"/>
      <c r="E54" s="306"/>
      <c r="F54" s="306"/>
      <c r="G54" s="306"/>
      <c r="H54" s="306"/>
      <c r="I54" s="306"/>
      <c r="J54" s="306"/>
    </row>
    <row r="55" spans="1:10" ht="16.5" customHeight="1">
      <c r="A55" s="306"/>
      <c r="B55" s="26"/>
      <c r="C55" s="306"/>
      <c r="D55" s="306"/>
      <c r="E55" s="306"/>
      <c r="F55" s="306"/>
      <c r="G55" s="306"/>
      <c r="H55" s="306"/>
      <c r="I55" s="306"/>
      <c r="J55" s="306"/>
    </row>
    <row r="56" spans="1:10" ht="16.5" customHeight="1">
      <c r="A56" s="306"/>
      <c r="B56" s="26"/>
      <c r="C56" s="306"/>
      <c r="D56" s="306"/>
      <c r="E56" s="306"/>
      <c r="F56" s="306"/>
      <c r="G56" s="306"/>
      <c r="H56" s="306"/>
      <c r="I56" s="306"/>
      <c r="J56" s="306"/>
    </row>
    <row r="57" spans="1:10" ht="16.5" customHeight="1">
      <c r="A57" s="306"/>
      <c r="B57" s="26"/>
      <c r="C57" s="306"/>
      <c r="D57" s="306"/>
      <c r="E57" s="306"/>
      <c r="F57" s="306"/>
      <c r="G57" s="306"/>
      <c r="H57" s="306"/>
      <c r="I57" s="306"/>
      <c r="J57" s="306"/>
    </row>
    <row r="58" spans="1:10" ht="16.5" customHeight="1">
      <c r="A58" s="306"/>
      <c r="B58" s="26"/>
      <c r="C58" s="306"/>
      <c r="D58" s="306"/>
      <c r="E58" s="306"/>
      <c r="F58" s="306"/>
      <c r="G58" s="306"/>
      <c r="H58" s="306"/>
      <c r="I58" s="306"/>
      <c r="J58" s="306"/>
    </row>
    <row r="59" spans="1:10" ht="16.5" customHeight="1">
      <c r="A59" s="306"/>
      <c r="B59" s="26"/>
      <c r="C59" s="306"/>
      <c r="D59" s="306"/>
      <c r="E59" s="306"/>
      <c r="F59" s="306"/>
      <c r="G59" s="306"/>
      <c r="H59" s="306"/>
      <c r="I59" s="306"/>
      <c r="J59" s="306"/>
    </row>
    <row r="60" spans="1:10" ht="16.5" customHeight="1">
      <c r="A60" s="306"/>
      <c r="B60" s="26"/>
      <c r="C60" s="306"/>
      <c r="D60" s="306"/>
      <c r="E60" s="306"/>
      <c r="F60" s="306"/>
      <c r="G60" s="306"/>
      <c r="H60" s="306"/>
      <c r="I60" s="306"/>
      <c r="J60" s="306"/>
    </row>
    <row r="61" spans="1:10" ht="16.5" customHeight="1">
      <c r="A61" s="306"/>
      <c r="B61" s="26"/>
      <c r="C61" s="306"/>
      <c r="D61" s="306"/>
      <c r="E61" s="306"/>
      <c r="F61" s="306"/>
      <c r="G61" s="306"/>
      <c r="H61" s="306"/>
      <c r="I61" s="306"/>
      <c r="J61" s="306"/>
    </row>
    <row r="62" spans="1:10" ht="16.5" customHeight="1">
      <c r="A62" s="306"/>
      <c r="B62" s="26"/>
      <c r="C62" s="306"/>
      <c r="D62" s="306"/>
      <c r="E62" s="306"/>
      <c r="F62" s="306"/>
      <c r="G62" s="306"/>
      <c r="H62" s="306"/>
      <c r="I62" s="306"/>
      <c r="J62" s="306"/>
    </row>
    <row r="63" spans="1:10" ht="16.5" customHeight="1">
      <c r="A63" s="306"/>
      <c r="B63" s="26"/>
      <c r="C63" s="306"/>
      <c r="D63" s="306"/>
      <c r="E63" s="306"/>
      <c r="F63" s="306"/>
      <c r="G63" s="306"/>
      <c r="H63" s="306"/>
      <c r="I63" s="306"/>
      <c r="J63" s="306"/>
    </row>
    <row r="64" spans="1:10" ht="16.5" customHeight="1">
      <c r="A64" s="306"/>
      <c r="B64" s="26"/>
      <c r="C64" s="306"/>
      <c r="D64" s="306"/>
      <c r="E64" s="306"/>
      <c r="F64" s="306"/>
      <c r="G64" s="306"/>
      <c r="H64" s="306"/>
      <c r="I64" s="306"/>
      <c r="J64" s="306"/>
    </row>
    <row r="65" spans="1:10" ht="16.5" customHeight="1">
      <c r="A65" s="306"/>
      <c r="B65" s="26"/>
      <c r="C65" s="306"/>
      <c r="D65" s="306"/>
      <c r="E65" s="306"/>
      <c r="F65" s="306"/>
      <c r="G65" s="306"/>
      <c r="H65" s="306"/>
      <c r="I65" s="306"/>
      <c r="J65" s="306"/>
    </row>
    <row r="66" spans="1:10" ht="16.5" customHeight="1">
      <c r="A66" s="306"/>
      <c r="B66" s="26"/>
      <c r="C66" s="306"/>
      <c r="D66" s="306"/>
      <c r="E66" s="306"/>
      <c r="F66" s="306"/>
      <c r="G66" s="306"/>
      <c r="H66" s="306"/>
      <c r="I66" s="306"/>
      <c r="J66" s="306"/>
    </row>
    <row r="67" spans="1:10" ht="16.5" customHeight="1">
      <c r="A67" s="306"/>
      <c r="B67" s="26"/>
      <c r="C67" s="306"/>
      <c r="D67" s="306"/>
      <c r="E67" s="306"/>
      <c r="F67" s="306"/>
      <c r="G67" s="306"/>
      <c r="H67" s="306"/>
      <c r="I67" s="306"/>
      <c r="J67" s="306"/>
    </row>
    <row r="68" spans="1:10" ht="16.5" customHeight="1">
      <c r="A68" s="306"/>
      <c r="B68" s="26"/>
      <c r="C68" s="306"/>
      <c r="D68" s="306"/>
      <c r="E68" s="306"/>
      <c r="F68" s="306"/>
      <c r="G68" s="306"/>
      <c r="H68" s="306"/>
      <c r="I68" s="306"/>
      <c r="J68" s="306"/>
    </row>
    <row r="69" spans="1:10" ht="16.5" customHeight="1">
      <c r="A69" s="306"/>
      <c r="B69" s="26"/>
      <c r="C69" s="306"/>
      <c r="D69" s="306"/>
      <c r="E69" s="306"/>
      <c r="F69" s="306"/>
      <c r="G69" s="306"/>
      <c r="H69" s="306"/>
      <c r="I69" s="306"/>
      <c r="J69" s="306"/>
    </row>
    <row r="70" spans="1:10" ht="16.5" customHeight="1">
      <c r="A70" s="306"/>
      <c r="B70" s="26"/>
      <c r="C70" s="306"/>
      <c r="D70" s="306"/>
      <c r="E70" s="306"/>
      <c r="F70" s="306"/>
      <c r="G70" s="306"/>
      <c r="H70" s="306"/>
      <c r="I70" s="306"/>
      <c r="J70" s="306"/>
    </row>
    <row r="71" spans="1:10" ht="16.5" customHeight="1">
      <c r="A71" s="306"/>
      <c r="B71" s="26"/>
      <c r="C71" s="306"/>
      <c r="D71" s="306"/>
      <c r="E71" s="306"/>
      <c r="F71" s="306"/>
      <c r="G71" s="306"/>
      <c r="H71" s="306"/>
      <c r="I71" s="306"/>
      <c r="J71" s="306"/>
    </row>
    <row r="72" spans="1:10" ht="16.5" customHeight="1">
      <c r="A72" s="306"/>
      <c r="B72" s="26"/>
      <c r="C72" s="306"/>
      <c r="D72" s="306"/>
      <c r="E72" s="306"/>
      <c r="F72" s="306"/>
      <c r="G72" s="306"/>
      <c r="H72" s="306"/>
      <c r="I72" s="306"/>
      <c r="J72" s="306"/>
    </row>
    <row r="73" spans="1:10" ht="16.5" customHeight="1">
      <c r="A73" s="306"/>
      <c r="B73" s="26"/>
      <c r="C73" s="306"/>
      <c r="D73" s="306"/>
      <c r="E73" s="306"/>
      <c r="F73" s="306"/>
      <c r="G73" s="306"/>
      <c r="H73" s="306"/>
      <c r="I73" s="306"/>
      <c r="J73" s="306"/>
    </row>
    <row r="74" spans="1:10" ht="16.5" customHeight="1">
      <c r="A74" s="306"/>
      <c r="B74" s="26"/>
      <c r="C74" s="306"/>
      <c r="D74" s="306"/>
      <c r="E74" s="306"/>
      <c r="F74" s="306"/>
      <c r="G74" s="306"/>
      <c r="H74" s="306"/>
      <c r="I74" s="306"/>
      <c r="J74" s="306"/>
    </row>
    <row r="75" spans="1:10" ht="16.5" customHeight="1">
      <c r="A75" s="306"/>
      <c r="B75" s="26"/>
      <c r="C75" s="306"/>
      <c r="D75" s="306"/>
      <c r="E75" s="306"/>
      <c r="F75" s="306"/>
      <c r="G75" s="306"/>
      <c r="H75" s="306"/>
      <c r="I75" s="306"/>
      <c r="J75" s="306"/>
    </row>
    <row r="76" spans="1:10" ht="16.5" customHeight="1">
      <c r="A76" s="306"/>
      <c r="B76" s="26"/>
      <c r="C76" s="306"/>
      <c r="D76" s="306"/>
      <c r="E76" s="306"/>
      <c r="F76" s="306"/>
      <c r="G76" s="306"/>
      <c r="H76" s="306"/>
      <c r="I76" s="306"/>
      <c r="J76" s="306"/>
    </row>
    <row r="77" spans="1:10" ht="16.5" customHeight="1">
      <c r="A77" s="306"/>
      <c r="B77" s="26"/>
      <c r="C77" s="306"/>
      <c r="D77" s="306"/>
      <c r="E77" s="306"/>
      <c r="F77" s="306"/>
      <c r="G77" s="306"/>
      <c r="H77" s="306"/>
      <c r="I77" s="306"/>
      <c r="J77" s="306"/>
    </row>
    <row r="78" spans="1:10" ht="16.5" customHeight="1">
      <c r="A78" s="306"/>
      <c r="B78" s="26"/>
      <c r="C78" s="306"/>
      <c r="D78" s="306"/>
      <c r="E78" s="306"/>
      <c r="F78" s="306"/>
      <c r="G78" s="306"/>
      <c r="H78" s="306"/>
      <c r="I78" s="306"/>
      <c r="J78" s="306"/>
    </row>
    <row r="79" spans="1:10" ht="16.5" customHeight="1">
      <c r="A79" s="306"/>
      <c r="B79" s="26"/>
      <c r="C79" s="306"/>
      <c r="D79" s="306"/>
      <c r="E79" s="306"/>
      <c r="F79" s="306"/>
      <c r="G79" s="306"/>
      <c r="H79" s="306"/>
      <c r="I79" s="306"/>
      <c r="J79" s="306"/>
    </row>
    <row r="80" spans="1:10" ht="16.5" customHeight="1">
      <c r="A80" s="306"/>
      <c r="B80" s="26"/>
      <c r="C80" s="306"/>
      <c r="D80" s="306"/>
      <c r="E80" s="306"/>
      <c r="F80" s="306"/>
      <c r="G80" s="306"/>
      <c r="H80" s="306"/>
      <c r="I80" s="306"/>
      <c r="J80" s="306"/>
    </row>
    <row r="81" spans="1:10" ht="16.5" customHeight="1">
      <c r="A81" s="306"/>
      <c r="B81" s="26"/>
      <c r="C81" s="306"/>
      <c r="D81" s="306"/>
      <c r="E81" s="306"/>
      <c r="F81" s="306"/>
      <c r="G81" s="306"/>
      <c r="H81" s="306"/>
      <c r="I81" s="306"/>
      <c r="J81" s="306"/>
    </row>
    <row r="82" spans="1:10" ht="16.5" customHeight="1">
      <c r="A82" s="306"/>
      <c r="B82" s="26"/>
      <c r="C82" s="306"/>
      <c r="D82" s="306"/>
      <c r="E82" s="306"/>
      <c r="F82" s="306"/>
      <c r="G82" s="306"/>
      <c r="H82" s="306"/>
      <c r="I82" s="306"/>
      <c r="J82" s="306"/>
    </row>
    <row r="83" spans="1:10" ht="16.5" customHeight="1">
      <c r="A83" s="306"/>
      <c r="B83" s="26"/>
      <c r="C83" s="306"/>
      <c r="D83" s="306"/>
      <c r="E83" s="306"/>
      <c r="F83" s="306"/>
      <c r="G83" s="306"/>
      <c r="H83" s="306"/>
      <c r="I83" s="306"/>
      <c r="J83" s="306"/>
    </row>
    <row r="84" spans="1:10" ht="16.5" customHeight="1">
      <c r="A84" s="306"/>
      <c r="B84" s="26"/>
      <c r="C84" s="306"/>
      <c r="D84" s="306"/>
      <c r="E84" s="306"/>
      <c r="F84" s="306"/>
      <c r="G84" s="306"/>
      <c r="H84" s="306"/>
      <c r="I84" s="306"/>
      <c r="J84" s="306"/>
    </row>
    <row r="85" spans="1:10" ht="16.5" customHeight="1">
      <c r="A85" s="306"/>
      <c r="B85" s="26"/>
      <c r="C85" s="306"/>
      <c r="D85" s="306"/>
      <c r="E85" s="306"/>
      <c r="F85" s="306"/>
      <c r="G85" s="306"/>
      <c r="H85" s="306"/>
      <c r="I85" s="306"/>
      <c r="J85" s="306"/>
    </row>
    <row r="86" spans="1:10" ht="16.5" customHeight="1">
      <c r="A86" s="306"/>
      <c r="B86" s="26"/>
      <c r="C86" s="306"/>
      <c r="D86" s="306"/>
      <c r="E86" s="306"/>
      <c r="F86" s="306"/>
      <c r="G86" s="306"/>
      <c r="H86" s="306"/>
      <c r="I86" s="306"/>
      <c r="J86" s="306"/>
    </row>
    <row r="87" spans="1:10" ht="16.5" customHeight="1">
      <c r="A87" s="306"/>
      <c r="B87" s="26"/>
      <c r="C87" s="306"/>
      <c r="D87" s="306"/>
      <c r="E87" s="306"/>
      <c r="F87" s="306"/>
      <c r="G87" s="306"/>
      <c r="H87" s="306"/>
      <c r="I87" s="306"/>
      <c r="J87" s="306"/>
    </row>
    <row r="88" spans="1:10" ht="16.5" customHeight="1">
      <c r="A88" s="306"/>
      <c r="B88" s="26"/>
      <c r="C88" s="306"/>
      <c r="D88" s="306"/>
      <c r="E88" s="306"/>
      <c r="F88" s="306"/>
      <c r="G88" s="306"/>
      <c r="H88" s="306"/>
      <c r="I88" s="306"/>
      <c r="J88" s="306"/>
    </row>
    <row r="89" spans="1:10" ht="16.5" customHeight="1">
      <c r="A89" s="306"/>
      <c r="B89" s="26"/>
      <c r="C89" s="306"/>
      <c r="D89" s="306"/>
      <c r="E89" s="306"/>
      <c r="F89" s="306"/>
      <c r="G89" s="306"/>
      <c r="H89" s="306"/>
      <c r="I89" s="306"/>
      <c r="J89" s="306"/>
    </row>
    <row r="90" spans="1:10" ht="16.5" customHeight="1">
      <c r="A90" s="306"/>
      <c r="B90" s="26"/>
      <c r="C90" s="306"/>
      <c r="D90" s="306"/>
      <c r="E90" s="306"/>
      <c r="F90" s="306"/>
      <c r="G90" s="306"/>
      <c r="H90" s="306"/>
      <c r="I90" s="306"/>
      <c r="J90" s="306"/>
    </row>
    <row r="91" spans="1:10" ht="16.5" customHeight="1">
      <c r="A91" s="306"/>
      <c r="B91" s="26"/>
      <c r="C91" s="306"/>
      <c r="D91" s="306"/>
      <c r="E91" s="306"/>
      <c r="F91" s="306"/>
      <c r="G91" s="306"/>
      <c r="H91" s="306"/>
      <c r="I91" s="306"/>
      <c r="J91" s="306"/>
    </row>
    <row r="92" spans="1:10" ht="16.5" customHeight="1">
      <c r="A92" s="306"/>
      <c r="B92" s="26"/>
      <c r="C92" s="306"/>
      <c r="D92" s="306"/>
      <c r="E92" s="306"/>
      <c r="F92" s="306"/>
      <c r="G92" s="306"/>
      <c r="H92" s="306"/>
      <c r="I92" s="306"/>
      <c r="J92" s="306"/>
    </row>
    <row r="93" spans="1:10" ht="16.5" customHeight="1">
      <c r="A93" s="306"/>
      <c r="B93" s="26"/>
      <c r="C93" s="306"/>
      <c r="D93" s="306"/>
      <c r="E93" s="306"/>
      <c r="F93" s="306"/>
      <c r="G93" s="306"/>
      <c r="H93" s="306"/>
      <c r="I93" s="306"/>
      <c r="J93" s="306"/>
    </row>
    <row r="94" spans="1:10" ht="16.5" customHeight="1">
      <c r="A94" s="306"/>
      <c r="B94" s="26"/>
      <c r="C94" s="306"/>
      <c r="D94" s="306"/>
      <c r="E94" s="306"/>
      <c r="F94" s="306"/>
      <c r="G94" s="306"/>
      <c r="H94" s="306"/>
      <c r="I94" s="306"/>
      <c r="J94" s="306"/>
    </row>
    <row r="95" spans="1:10" ht="16.5" customHeight="1">
      <c r="A95" s="306"/>
      <c r="B95" s="26"/>
      <c r="C95" s="306"/>
      <c r="D95" s="306"/>
      <c r="E95" s="306"/>
      <c r="F95" s="306"/>
      <c r="G95" s="306"/>
      <c r="H95" s="306"/>
      <c r="I95" s="306"/>
      <c r="J95" s="306"/>
    </row>
    <row r="96" spans="1:10" ht="16.5" customHeight="1">
      <c r="A96" s="306"/>
      <c r="B96" s="26"/>
      <c r="C96" s="306"/>
      <c r="D96" s="306"/>
      <c r="E96" s="306"/>
      <c r="F96" s="306"/>
      <c r="G96" s="306"/>
      <c r="H96" s="306"/>
      <c r="I96" s="306"/>
      <c r="J96" s="306"/>
    </row>
    <row r="97" spans="1:10" ht="16.5" customHeight="1">
      <c r="A97" s="306"/>
      <c r="B97" s="26"/>
      <c r="C97" s="306"/>
      <c r="D97" s="306"/>
      <c r="E97" s="306"/>
      <c r="F97" s="306"/>
      <c r="G97" s="306"/>
      <c r="H97" s="306"/>
      <c r="I97" s="306"/>
      <c r="J97" s="306"/>
    </row>
    <row r="98" spans="1:10" ht="16.5" customHeight="1">
      <c r="A98" s="306"/>
      <c r="B98" s="26"/>
      <c r="C98" s="306"/>
      <c r="D98" s="306"/>
      <c r="E98" s="306"/>
      <c r="F98" s="306"/>
      <c r="G98" s="306"/>
      <c r="H98" s="306"/>
      <c r="I98" s="306"/>
      <c r="J98" s="306"/>
    </row>
    <row r="99" spans="1:10" ht="16.5" customHeight="1">
      <c r="A99" s="306"/>
      <c r="B99" s="26"/>
      <c r="C99" s="306"/>
      <c r="D99" s="306"/>
      <c r="E99" s="306"/>
      <c r="F99" s="306"/>
      <c r="G99" s="306"/>
      <c r="H99" s="306"/>
      <c r="I99" s="306"/>
      <c r="J99" s="306"/>
    </row>
    <row r="100" spans="1:10" ht="12.75">
      <c r="A100" s="223" t="s">
        <v>101</v>
      </c>
      <c r="C100" s="213" t="s">
        <v>99</v>
      </c>
      <c r="H100" s="204"/>
      <c r="I100" s="204"/>
      <c r="J100" s="26"/>
    </row>
    <row r="101" spans="1:10" ht="12.75">
      <c r="A101" s="206" t="s">
        <v>100</v>
      </c>
      <c r="C101" s="304" t="s">
        <v>205</v>
      </c>
      <c r="D101" s="224" t="s">
        <v>204</v>
      </c>
      <c r="H101" s="204"/>
      <c r="I101" s="204"/>
      <c r="J101" s="26"/>
    </row>
    <row r="102" spans="8:10" ht="12.75">
      <c r="H102" s="204"/>
      <c r="I102" s="204"/>
      <c r="J102" s="26"/>
    </row>
    <row r="103" spans="8:10" ht="12.75">
      <c r="H103" s="204"/>
      <c r="I103" s="204"/>
      <c r="J103" s="26"/>
    </row>
    <row r="104" spans="8:10" ht="12.75">
      <c r="H104" s="204"/>
      <c r="I104" s="204"/>
      <c r="J104" s="26"/>
    </row>
    <row r="105" spans="8:10" ht="12.75">
      <c r="H105" s="204"/>
      <c r="I105" s="204"/>
      <c r="J105" s="26"/>
    </row>
    <row r="106" spans="8:10" ht="12.75">
      <c r="H106" s="204"/>
      <c r="I106" s="204"/>
      <c r="J106" s="26"/>
    </row>
    <row r="107" spans="8:10" ht="12.75">
      <c r="H107" s="204"/>
      <c r="I107" s="204"/>
      <c r="J107" s="26"/>
    </row>
    <row r="108" spans="8:10" ht="12.75">
      <c r="H108" s="204"/>
      <c r="I108" s="204"/>
      <c r="J108" s="26"/>
    </row>
    <row r="109" spans="8:10" ht="12.75">
      <c r="H109" s="204"/>
      <c r="I109" s="204"/>
      <c r="J109" s="26"/>
    </row>
    <row r="110" spans="8:10" ht="12.75">
      <c r="H110" s="204"/>
      <c r="I110" s="204"/>
      <c r="J110" s="26"/>
    </row>
    <row r="111" spans="8:10" ht="17.25" customHeight="1">
      <c r="H111" s="204"/>
      <c r="I111" s="204"/>
      <c r="J111" s="26"/>
    </row>
    <row r="112" spans="8:10" ht="12.75">
      <c r="H112" s="204"/>
      <c r="I112" s="204"/>
      <c r="J112" s="26"/>
    </row>
    <row r="113" spans="8:10" ht="12.75">
      <c r="H113" s="204"/>
      <c r="I113" s="204"/>
      <c r="J113" s="26"/>
    </row>
    <row r="114" spans="8:10" ht="12.75">
      <c r="H114" s="26"/>
      <c r="I114" s="26"/>
      <c r="J114" s="26"/>
    </row>
    <row r="115" spans="8:10" ht="12.75">
      <c r="H115" s="26"/>
      <c r="I115" s="26"/>
      <c r="J115" s="26"/>
    </row>
    <row r="116" spans="8:10" ht="12.75">
      <c r="H116" s="26"/>
      <c r="I116" s="26"/>
      <c r="J116" s="26"/>
    </row>
    <row r="117" spans="8:10" ht="12.75">
      <c r="H117" s="26"/>
      <c r="I117" s="26"/>
      <c r="J117" s="26"/>
    </row>
    <row r="118" spans="8:10" ht="12.75">
      <c r="H118" s="26"/>
      <c r="I118" s="26"/>
      <c r="J118" s="26"/>
    </row>
    <row r="119" spans="8:10" ht="12.75">
      <c r="H119" s="26"/>
      <c r="I119" s="26"/>
      <c r="J119" s="26"/>
    </row>
    <row r="120" spans="8:10" ht="12.75">
      <c r="H120" s="26"/>
      <c r="I120" s="26"/>
      <c r="J120" s="26"/>
    </row>
    <row r="121" spans="8:10" ht="12.75">
      <c r="H121" s="26"/>
      <c r="I121" s="26"/>
      <c r="J121" s="26"/>
    </row>
    <row r="122" spans="8:10" ht="12.75">
      <c r="H122" s="26"/>
      <c r="I122" s="26"/>
      <c r="J122" s="26"/>
    </row>
    <row r="123" spans="8:10" ht="12.75">
      <c r="H123" s="26"/>
      <c r="I123" s="26"/>
      <c r="J123" s="26"/>
    </row>
    <row r="124" spans="8:10" ht="12.75">
      <c r="H124" s="26"/>
      <c r="I124" s="26"/>
      <c r="J124" s="26"/>
    </row>
    <row r="125" spans="8:10" ht="12.75">
      <c r="H125" s="26"/>
      <c r="I125" s="26"/>
      <c r="J125" s="26"/>
    </row>
    <row r="126" spans="8:10" ht="12.75">
      <c r="H126" s="26"/>
      <c r="I126" s="26"/>
      <c r="J126" s="26"/>
    </row>
    <row r="127" spans="8:10" ht="12.75">
      <c r="H127" s="26"/>
      <c r="I127" s="26"/>
      <c r="J127" s="26"/>
    </row>
    <row r="128" spans="8:10" ht="12.75">
      <c r="H128" s="26"/>
      <c r="I128" s="26"/>
      <c r="J128" s="26"/>
    </row>
    <row r="129" spans="8:10" ht="12.75">
      <c r="H129" s="26"/>
      <c r="I129" s="26"/>
      <c r="J129" s="26"/>
    </row>
    <row r="130" spans="8:10" ht="12.75">
      <c r="H130" s="26"/>
      <c r="I130" s="26"/>
      <c r="J130" s="26"/>
    </row>
    <row r="131" spans="8:10" ht="12.75">
      <c r="H131" s="26"/>
      <c r="I131" s="26"/>
      <c r="J131" s="26"/>
    </row>
    <row r="132" spans="8:10" ht="12.75">
      <c r="H132" s="26"/>
      <c r="I132" s="26"/>
      <c r="J132" s="26"/>
    </row>
    <row r="133" spans="8:10" ht="12.75">
      <c r="H133" s="26"/>
      <c r="I133" s="26"/>
      <c r="J133" s="26"/>
    </row>
    <row r="134" spans="8:10" ht="12.75">
      <c r="H134" s="26"/>
      <c r="I134" s="26"/>
      <c r="J134" s="26"/>
    </row>
    <row r="135" spans="8:10" ht="12.75">
      <c r="H135" s="26"/>
      <c r="I135" s="26"/>
      <c r="J135" s="26"/>
    </row>
    <row r="136" spans="8:10" ht="12.75">
      <c r="H136" s="26"/>
      <c r="I136" s="26"/>
      <c r="J136" s="26"/>
    </row>
    <row r="137" spans="8:10" ht="12.75">
      <c r="H137" s="26"/>
      <c r="I137" s="26"/>
      <c r="J137" s="26"/>
    </row>
    <row r="138" spans="8:10" ht="12.75">
      <c r="H138" s="26"/>
      <c r="I138" s="26"/>
      <c r="J138" s="26"/>
    </row>
    <row r="139" spans="8:10" ht="12.75">
      <c r="H139" s="26"/>
      <c r="I139" s="26"/>
      <c r="J139" s="26"/>
    </row>
    <row r="140" spans="8:10" ht="12.75">
      <c r="H140" s="26"/>
      <c r="I140" s="26"/>
      <c r="J140" s="26"/>
    </row>
    <row r="141" spans="8:10" ht="12.75">
      <c r="H141" s="26"/>
      <c r="I141" s="26"/>
      <c r="J141" s="26"/>
    </row>
    <row r="142" spans="8:10" ht="12.75">
      <c r="H142" s="26"/>
      <c r="I142" s="26"/>
      <c r="J142" s="26"/>
    </row>
    <row r="143" spans="8:10" ht="12.75">
      <c r="H143" s="26"/>
      <c r="I143" s="26"/>
      <c r="J143" s="26"/>
    </row>
    <row r="144" spans="8:10" ht="12.75">
      <c r="H144" s="26"/>
      <c r="I144" s="26"/>
      <c r="J144" s="26"/>
    </row>
    <row r="145" spans="8:10" ht="12.75">
      <c r="H145" s="26"/>
      <c r="I145" s="26"/>
      <c r="J145" s="26"/>
    </row>
    <row r="146" spans="8:10" ht="12.75">
      <c r="H146" s="26"/>
      <c r="I146" s="26"/>
      <c r="J146" s="26"/>
    </row>
    <row r="147" spans="8:10" ht="12.75">
      <c r="H147" s="26"/>
      <c r="I147" s="26"/>
      <c r="J147" s="26"/>
    </row>
    <row r="148" spans="8:10" ht="12.75">
      <c r="H148" s="26"/>
      <c r="I148" s="26"/>
      <c r="J148" s="26"/>
    </row>
    <row r="149" spans="8:10" ht="12.75">
      <c r="H149" s="26"/>
      <c r="I149" s="26"/>
      <c r="J149" s="26"/>
    </row>
    <row r="150" spans="8:10" ht="12.75">
      <c r="H150" s="26"/>
      <c r="I150" s="26"/>
      <c r="J150" s="26"/>
    </row>
    <row r="151" spans="8:10" ht="12.75">
      <c r="H151" s="26"/>
      <c r="I151" s="26"/>
      <c r="J151" s="26"/>
    </row>
    <row r="152" spans="8:10" ht="12.75">
      <c r="H152" s="26"/>
      <c r="I152" s="26"/>
      <c r="J152" s="26"/>
    </row>
    <row r="153" spans="8:10" ht="12.75">
      <c r="H153" s="26"/>
      <c r="I153" s="26"/>
      <c r="J153" s="26"/>
    </row>
    <row r="154" spans="8:10" ht="12.75">
      <c r="H154" s="26"/>
      <c r="I154" s="26"/>
      <c r="J154" s="26"/>
    </row>
    <row r="155" spans="8:10" ht="12.75">
      <c r="H155" s="26"/>
      <c r="I155" s="26"/>
      <c r="J155" s="26"/>
    </row>
    <row r="156" spans="8:10" ht="12.75">
      <c r="H156" s="26"/>
      <c r="I156" s="26"/>
      <c r="J156" s="26"/>
    </row>
    <row r="157" spans="8:10" ht="12.75">
      <c r="H157" s="26"/>
      <c r="I157" s="26"/>
      <c r="J157" s="26"/>
    </row>
    <row r="158" spans="8:10" ht="12.75">
      <c r="H158" s="26"/>
      <c r="I158" s="26"/>
      <c r="J158" s="26"/>
    </row>
    <row r="159" spans="8:10" ht="12.75">
      <c r="H159" s="26"/>
      <c r="I159" s="26"/>
      <c r="J159" s="26"/>
    </row>
    <row r="160" spans="8:10" ht="12.75">
      <c r="H160" s="26"/>
      <c r="I160" s="26"/>
      <c r="J160" s="26"/>
    </row>
    <row r="161" spans="8:10" ht="12.75">
      <c r="H161" s="26"/>
      <c r="I161" s="26"/>
      <c r="J161" s="26"/>
    </row>
    <row r="162" spans="8:10" ht="12.75">
      <c r="H162" s="26"/>
      <c r="I162" s="26"/>
      <c r="J162" s="26"/>
    </row>
    <row r="163" spans="8:10" ht="12.75">
      <c r="H163" s="26"/>
      <c r="I163" s="26"/>
      <c r="J163" s="26"/>
    </row>
    <row r="164" spans="8:10" ht="12.75">
      <c r="H164" s="26"/>
      <c r="I164" s="26"/>
      <c r="J164" s="26"/>
    </row>
    <row r="165" spans="8:10" ht="12.75">
      <c r="H165" s="26"/>
      <c r="I165" s="26"/>
      <c r="J165" s="26"/>
    </row>
    <row r="166" spans="8:10" ht="12.75">
      <c r="H166" s="26"/>
      <c r="I166" s="26"/>
      <c r="J166" s="26"/>
    </row>
    <row r="167" spans="8:10" ht="12.75">
      <c r="H167" s="26"/>
      <c r="I167" s="26"/>
      <c r="J167" s="26"/>
    </row>
    <row r="168" spans="8:10" ht="12.75">
      <c r="H168" s="26"/>
      <c r="I168" s="26"/>
      <c r="J168" s="26"/>
    </row>
    <row r="169" spans="8:10" ht="12.75">
      <c r="H169" s="26"/>
      <c r="I169" s="26"/>
      <c r="J169" s="26"/>
    </row>
    <row r="170" spans="8:10" ht="12.75">
      <c r="H170" s="26"/>
      <c r="I170" s="26"/>
      <c r="J170" s="26"/>
    </row>
    <row r="171" spans="8:10" ht="12.75">
      <c r="H171" s="26"/>
      <c r="I171" s="26"/>
      <c r="J171" s="26"/>
    </row>
    <row r="172" spans="8:10" ht="12.75">
      <c r="H172" s="26"/>
      <c r="I172" s="26"/>
      <c r="J172" s="26"/>
    </row>
    <row r="173" spans="8:10" ht="12.75">
      <c r="H173" s="26"/>
      <c r="I173" s="26"/>
      <c r="J173" s="26"/>
    </row>
    <row r="174" spans="8:10" ht="12.75">
      <c r="H174" s="26"/>
      <c r="I174" s="26"/>
      <c r="J174" s="26"/>
    </row>
    <row r="175" spans="8:10" ht="12.75">
      <c r="H175" s="26"/>
      <c r="I175" s="26"/>
      <c r="J175" s="26"/>
    </row>
    <row r="176" spans="8:10" ht="12.75">
      <c r="H176" s="26"/>
      <c r="I176" s="26"/>
      <c r="J176" s="26"/>
    </row>
    <row r="177" spans="8:10" ht="12.75">
      <c r="H177" s="26"/>
      <c r="I177" s="26"/>
      <c r="J177" s="26"/>
    </row>
    <row r="178" spans="8:10" ht="12.75">
      <c r="H178" s="26"/>
      <c r="I178" s="26"/>
      <c r="J178" s="26"/>
    </row>
    <row r="179" spans="8:10" ht="12.75">
      <c r="H179" s="26"/>
      <c r="I179" s="26"/>
      <c r="J179" s="26"/>
    </row>
    <row r="180" spans="8:10" ht="12.75">
      <c r="H180" s="26"/>
      <c r="I180" s="26"/>
      <c r="J180" s="26"/>
    </row>
    <row r="181" spans="8:10" ht="12.75">
      <c r="H181" s="26"/>
      <c r="I181" s="26"/>
      <c r="J181" s="26"/>
    </row>
    <row r="182" spans="8:10" ht="12.75">
      <c r="H182" s="26"/>
      <c r="I182" s="26"/>
      <c r="J182" s="26"/>
    </row>
    <row r="183" spans="8:10" ht="12" customHeight="1">
      <c r="H183" s="26"/>
      <c r="I183" s="26"/>
      <c r="J183" s="26"/>
    </row>
    <row r="187" spans="8:10" ht="12.75">
      <c r="H187" s="26"/>
      <c r="I187" s="26"/>
      <c r="J187" s="26"/>
    </row>
    <row r="188" spans="8:10" ht="12.75">
      <c r="H188" s="26"/>
      <c r="I188" s="26"/>
      <c r="J188" s="26"/>
    </row>
    <row r="189" spans="8:10" ht="12.75">
      <c r="H189" s="26"/>
      <c r="I189" s="26"/>
      <c r="J189" s="26"/>
    </row>
    <row r="190" spans="8:10" ht="12.75">
      <c r="H190" s="26"/>
      <c r="I190" s="26"/>
      <c r="J190" s="26"/>
    </row>
    <row r="191" spans="8:10" ht="12.75">
      <c r="H191" s="26"/>
      <c r="I191" s="26"/>
      <c r="J191" s="26"/>
    </row>
    <row r="192" spans="8:10" ht="12.75">
      <c r="H192" s="26"/>
      <c r="I192" s="26"/>
      <c r="J192" s="26"/>
    </row>
    <row r="193" spans="8:10" ht="12.75">
      <c r="H193" s="26"/>
      <c r="I193" s="26"/>
      <c r="J193" s="26"/>
    </row>
    <row r="194" spans="8:10" ht="12.75">
      <c r="H194" s="26"/>
      <c r="I194" s="26"/>
      <c r="J194" s="26"/>
    </row>
    <row r="195" spans="8:10" ht="12.75">
      <c r="H195" s="26"/>
      <c r="I195" s="26"/>
      <c r="J195" s="26"/>
    </row>
    <row r="196" spans="8:10" ht="12.75">
      <c r="H196" s="26"/>
      <c r="I196" s="26"/>
      <c r="J196" s="26"/>
    </row>
    <row r="197" spans="8:10" ht="12.75">
      <c r="H197" s="26"/>
      <c r="I197" s="26"/>
      <c r="J197" s="26"/>
    </row>
    <row r="198" spans="8:10" ht="12.75">
      <c r="H198" s="26"/>
      <c r="I198" s="26"/>
      <c r="J198" s="26"/>
    </row>
    <row r="199" spans="8:10" ht="12.75">
      <c r="H199" s="26"/>
      <c r="I199" s="26"/>
      <c r="J199" s="26"/>
    </row>
    <row r="200" spans="8:10" ht="12.75">
      <c r="H200" s="26"/>
      <c r="I200" s="26"/>
      <c r="J200" s="26"/>
    </row>
    <row r="201" spans="8:10" ht="12.75">
      <c r="H201" s="26"/>
      <c r="I201" s="26"/>
      <c r="J201" s="26"/>
    </row>
    <row r="202" spans="8:10" ht="12.75">
      <c r="H202" s="26"/>
      <c r="I202" s="26"/>
      <c r="J202" s="26"/>
    </row>
    <row r="203" spans="8:10" ht="12.75">
      <c r="H203" s="26"/>
      <c r="I203" s="26"/>
      <c r="J203" s="26"/>
    </row>
    <row r="204" spans="8:10" ht="12.75">
      <c r="H204" s="26"/>
      <c r="I204" s="26"/>
      <c r="J204" s="26"/>
    </row>
    <row r="205" spans="8:10" ht="12.75">
      <c r="H205" s="26"/>
      <c r="I205" s="26"/>
      <c r="J205" s="26"/>
    </row>
    <row r="206" spans="8:10" ht="12.75">
      <c r="H206" s="26"/>
      <c r="I206" s="26"/>
      <c r="J206" s="26"/>
    </row>
    <row r="207" spans="8:10" ht="12.75">
      <c r="H207" s="26"/>
      <c r="I207" s="26"/>
      <c r="J207" s="26"/>
    </row>
    <row r="208" spans="8:10" ht="12.75">
      <c r="H208" s="26"/>
      <c r="I208" s="26"/>
      <c r="J208" s="26"/>
    </row>
    <row r="209" spans="8:10" ht="12.75">
      <c r="H209" s="26"/>
      <c r="I209" s="26"/>
      <c r="J209" s="26"/>
    </row>
  </sheetData>
  <sheetProtection/>
  <mergeCells count="5">
    <mergeCell ref="C20:D21"/>
    <mergeCell ref="A4:A5"/>
    <mergeCell ref="C8:D8"/>
    <mergeCell ref="C11:D11"/>
    <mergeCell ref="D5:E5"/>
  </mergeCells>
  <conditionalFormatting sqref="H25:J31 F7:F18 B7:E7 C12:D12 B11:D11 A11:A12 B25:G25 E26:G31 A14:A18 B26:C31 C32:C100 A8:A9 G7:J24 C22:D24 D32:J99 A20:A23 E20:F24 D28:D31 A25:A99 B13:D19 E8:E19">
    <cfRule type="expression" priority="1" dxfId="0" stopIfTrue="1">
      <formula>user=1</formula>
    </cfRule>
  </conditionalFormatting>
  <conditionalFormatting sqref="C8:D10">
    <cfRule type="expression" priority="2" dxfId="0" stopIfTrue="1">
      <formula>IF(user=1,TRUE,FALSE)</formula>
    </cfRule>
  </conditionalFormatting>
  <conditionalFormatting sqref="A7 A10 A13 A19 A24">
    <cfRule type="expression" priority="3" dxfId="1" stopIfTrue="1">
      <formula>user=1</formula>
    </cfRule>
  </conditionalFormatting>
  <conditionalFormatting sqref="D4">
    <cfRule type="expression" priority="4" dxfId="2" stopIfTrue="1">
      <formula>user&lt;&gt;1</formula>
    </cfRule>
  </conditionalFormatting>
  <conditionalFormatting sqref="C20:D21">
    <cfRule type="expression" priority="5" dxfId="3" stopIfTrue="1">
      <formula>user=1</formula>
    </cfRule>
    <cfRule type="expression" priority="6" dxfId="4" stopIfTrue="1">
      <formula>IF(C20="Input Complete",TRUE,FALSE)</formula>
    </cfRule>
  </conditionalFormatting>
  <conditionalFormatting sqref="F19">
    <cfRule type="expression" priority="7" dxfId="0" stopIfTrue="1">
      <formula>user=1</formula>
    </cfRule>
    <cfRule type="expression" priority="8" dxfId="5" stopIfTrue="1">
      <formula>user&lt;&gt;1</formula>
    </cfRule>
  </conditionalFormatting>
  <conditionalFormatting sqref="F5">
    <cfRule type="expression" priority="9" dxfId="6" stopIfTrue="1">
      <formula>user=1</formula>
    </cfRule>
    <cfRule type="expression" priority="10" dxfId="7" stopIfTrue="1">
      <formula>user&lt;1</formula>
    </cfRule>
  </conditionalFormatting>
  <dataValidations count="8">
    <dataValidation type="list" allowBlank="1" showInputMessage="1" showErrorMessage="1" sqref="C11:D11">
      <formula1>INDIRECT(contaminant)</formula1>
    </dataValidation>
    <dataValidation type="list" allowBlank="1" showErrorMessage="1" sqref="C8:D8">
      <formula1>contaminant_list</formula1>
    </dataValidation>
    <dataValidation allowBlank="1" showErrorMessage="1" sqref="C10:D10"/>
    <dataValidation type="list" allowBlank="1" showInputMessage="1" showErrorMessage="1" sqref="C29">
      <formula1>"yes,no"</formula1>
    </dataValidation>
    <dataValidation type="list" allowBlank="1" showInputMessage="1" showErrorMessage="1" sqref="C5">
      <formula1>"User-Defined System, EPA Standard System"</formula1>
    </dataValidation>
    <dataValidation type="list" allowBlank="1" showInputMessage="1" showErrorMessage="1" sqref="C101">
      <formula1>"low cost,mid cost,high cost"</formula1>
    </dataValidation>
    <dataValidation type="list" allowBlank="1" showInputMessage="1" showErrorMessage="1" error="Invalid selection" sqref="D26:D27">
      <formula1>"MGD,gpm"</formula1>
    </dataValidation>
    <dataValidation type="list" allowBlank="1" showInputMessage="1" showErrorMessage="1" sqref="C28">
      <formula1>"GW,SW"</formula1>
    </dataValidation>
  </dataValidations>
  <hyperlinks>
    <hyperlink ref="F19" location="OUTPUT!A1" display="Results summary (see OUTPUT sheet for details)"/>
    <hyperlink ref="F5" location="contam_user" display="To User-Defined System Input Page"/>
  </hyperlinks>
  <printOptions/>
  <pageMargins left="0.75" right="0.75" top="1" bottom="1" header="0.5" footer="0.5"/>
  <pageSetup horizontalDpi="300" verticalDpi="300" orientation="portrait" r:id="rId2"/>
  <ignoredErrors>
    <ignoredError sqref="E13 E14:E18" unlockedFormula="1"/>
  </ignoredErrors>
  <legacyDrawing r:id="rId1"/>
</worksheet>
</file>

<file path=xl/worksheets/sheet5.xml><?xml version="1.0" encoding="utf-8"?>
<worksheet xmlns="http://schemas.openxmlformats.org/spreadsheetml/2006/main" xmlns:r="http://schemas.openxmlformats.org/officeDocument/2006/relationships">
  <sheetPr codeName="Sheet9"/>
  <dimension ref="A1:H124"/>
  <sheetViews>
    <sheetView workbookViewId="0" topLeftCell="A1">
      <selection activeCell="C4" sqref="C4:D4"/>
    </sheetView>
  </sheetViews>
  <sheetFormatPr defaultColWidth="9.140625" defaultRowHeight="12.75"/>
  <cols>
    <col min="1" max="1" width="50.140625" style="206" customWidth="1"/>
    <col min="2" max="2" width="0.13671875" style="206" hidden="1" customWidth="1"/>
    <col min="3" max="3" width="12.140625" style="206" customWidth="1"/>
    <col min="4" max="4" width="23.28125" style="206" customWidth="1"/>
    <col min="5" max="5" width="23.140625" style="206" customWidth="1"/>
    <col min="6" max="6" width="0.2890625" style="206" customWidth="1"/>
    <col min="7" max="7" width="0.42578125" style="206" customWidth="1"/>
    <col min="8" max="8" width="1.28515625" style="206" customWidth="1"/>
    <col min="9" max="16384" width="9.140625" style="206" customWidth="1"/>
  </cols>
  <sheetData>
    <row r="1" spans="1:7" ht="24.75" customHeight="1">
      <c r="A1" s="180" t="s">
        <v>88</v>
      </c>
      <c r="B1" s="26"/>
      <c r="C1" s="26"/>
      <c r="D1" s="26"/>
      <c r="E1" s="225"/>
      <c r="F1" s="225"/>
      <c r="G1" s="225"/>
    </row>
    <row r="2" spans="1:7" ht="15.75" customHeight="1">
      <c r="A2" s="26"/>
      <c r="B2" s="26"/>
      <c r="C2" s="26"/>
      <c r="D2" s="26"/>
      <c r="E2" s="26"/>
      <c r="F2" s="26"/>
      <c r="G2" s="26"/>
    </row>
    <row r="3" spans="1:7" ht="12.75">
      <c r="A3" s="181" t="s">
        <v>173</v>
      </c>
      <c r="B3" s="26"/>
      <c r="C3" s="26"/>
      <c r="D3" s="26"/>
      <c r="E3" s="26"/>
      <c r="F3" s="26"/>
      <c r="G3" s="26"/>
    </row>
    <row r="4" spans="1:7" ht="12.75">
      <c r="A4" s="125" t="s">
        <v>175</v>
      </c>
      <c r="B4" s="26"/>
      <c r="C4" s="528" t="s">
        <v>310</v>
      </c>
      <c r="D4" s="528"/>
      <c r="E4" s="26"/>
      <c r="F4" s="26"/>
      <c r="G4" s="26"/>
    </row>
    <row r="5" spans="1:7" ht="25.5" customHeight="1">
      <c r="A5" s="516" t="s">
        <v>700</v>
      </c>
      <c r="B5" s="26"/>
      <c r="C5" s="191" t="s">
        <v>186</v>
      </c>
      <c r="D5" s="192" t="str">
        <f>IF(COUNTIF(contaminant_list,contam_user)=0,IF(contam_user="","Please select a target contaminant","Warning: Target contaminant is not valid"),"Contaminant selection OK")</f>
        <v>Contaminant selection OK</v>
      </c>
      <c r="E5" s="26"/>
      <c r="F5" s="26"/>
      <c r="G5" s="26"/>
    </row>
    <row r="6" spans="1:7" ht="12.75">
      <c r="A6" s="182" t="s">
        <v>174</v>
      </c>
      <c r="B6" s="26"/>
      <c r="C6" s="193"/>
      <c r="D6" s="193"/>
      <c r="E6" s="26"/>
      <c r="F6" s="26"/>
      <c r="G6" s="26"/>
    </row>
    <row r="7" spans="1:7" ht="12.75">
      <c r="A7" s="183" t="s">
        <v>699</v>
      </c>
      <c r="B7" s="26"/>
      <c r="C7" s="528" t="s">
        <v>321</v>
      </c>
      <c r="D7" s="528"/>
      <c r="E7" s="26"/>
      <c r="F7" s="26"/>
      <c r="G7" s="26"/>
    </row>
    <row r="8" spans="1:7" ht="12.75">
      <c r="A8" s="125" t="s">
        <v>26</v>
      </c>
      <c r="B8" s="26" t="s">
        <v>635</v>
      </c>
      <c r="C8" s="194" t="s">
        <v>187</v>
      </c>
      <c r="D8" s="195"/>
      <c r="E8" s="26"/>
      <c r="F8" s="26"/>
      <c r="G8" s="26"/>
    </row>
    <row r="9" spans="1:7" ht="44.25" customHeight="1">
      <c r="A9" s="513" t="s">
        <v>701</v>
      </c>
      <c r="B9" s="26"/>
      <c r="C9" s="514" t="s">
        <v>186</v>
      </c>
      <c r="D9" s="515" t="str">
        <f ca="1">IF(ISERROR(COUNTIF(INDIRECT(contam_user),"")),"Warning: Invalid target contaminant; unable to evaluate validity of treatment technology",IF(COUNTIF(INDIRECT(contam_user),user_treat)=0,IF(user_treat="","Please select a certified treatment technology","Warning: Treatment technology selected is not certified for target contaminant"),"Treatment technology OK"))</f>
        <v>Treatment technology OK</v>
      </c>
      <c r="E9" s="26"/>
      <c r="F9" s="26"/>
      <c r="G9" s="26"/>
    </row>
    <row r="10" spans="1:7" ht="12.75">
      <c r="A10" s="184"/>
      <c r="B10" s="26"/>
      <c r="C10" s="191"/>
      <c r="D10" s="192"/>
      <c r="E10" s="26"/>
      <c r="F10" s="26"/>
      <c r="G10" s="26"/>
    </row>
    <row r="11" spans="1:7" ht="12.75">
      <c r="A11" s="181" t="s">
        <v>176</v>
      </c>
      <c r="B11" s="26"/>
      <c r="C11" s="193"/>
      <c r="D11" s="195"/>
      <c r="E11" s="26"/>
      <c r="F11" s="26"/>
      <c r="G11" s="26"/>
    </row>
    <row r="12" spans="1:7" ht="12.75">
      <c r="A12" s="125" t="s">
        <v>178</v>
      </c>
      <c r="B12" s="26"/>
      <c r="C12" s="26"/>
      <c r="D12" s="26"/>
      <c r="E12" s="26"/>
      <c r="F12" s="26"/>
      <c r="G12" s="26"/>
    </row>
    <row r="13" spans="1:7" ht="12.75">
      <c r="A13" s="125" t="s">
        <v>179</v>
      </c>
      <c r="B13" s="26" t="s">
        <v>556</v>
      </c>
      <c r="C13" s="528" t="s">
        <v>697</v>
      </c>
      <c r="D13" s="528"/>
      <c r="E13" s="26"/>
      <c r="F13" s="26"/>
      <c r="G13" s="26"/>
    </row>
    <row r="14" spans="1:7" ht="12.75">
      <c r="A14" s="185" t="s">
        <v>180</v>
      </c>
      <c r="B14" s="196" t="s">
        <v>558</v>
      </c>
      <c r="C14" s="197">
        <v>10000</v>
      </c>
      <c r="D14" s="196" t="s">
        <v>188</v>
      </c>
      <c r="E14" s="198" t="s">
        <v>189</v>
      </c>
      <c r="F14" s="196"/>
      <c r="G14" s="26"/>
    </row>
    <row r="15" spans="1:7" ht="12.75">
      <c r="A15" s="185" t="s">
        <v>181</v>
      </c>
      <c r="B15" s="196" t="s">
        <v>590</v>
      </c>
      <c r="C15" s="197" t="s">
        <v>279</v>
      </c>
      <c r="D15" s="196"/>
      <c r="E15" s="196" t="str">
        <f>"approx. households: "&amp;Control!D33</f>
        <v>approx. households: 25</v>
      </c>
      <c r="F15" s="199"/>
      <c r="G15" s="26"/>
    </row>
    <row r="16" spans="1:7" ht="12.75">
      <c r="A16" s="185" t="s">
        <v>182</v>
      </c>
      <c r="B16" s="196" t="s">
        <v>557</v>
      </c>
      <c r="C16" s="433">
        <v>25</v>
      </c>
      <c r="D16" s="200"/>
      <c r="F16" s="26"/>
      <c r="G16" s="26"/>
    </row>
    <row r="17" spans="1:8" s="359" customFormat="1" ht="24.75" customHeight="1">
      <c r="A17" s="358"/>
      <c r="B17" s="358"/>
      <c r="C17" s="358"/>
      <c r="D17" s="358"/>
      <c r="E17" s="529" t="s">
        <v>191</v>
      </c>
      <c r="F17" s="530"/>
      <c r="G17" s="530"/>
      <c r="H17" s="531"/>
    </row>
    <row r="18" spans="1:8" ht="12.75">
      <c r="A18" s="187" t="s">
        <v>177</v>
      </c>
      <c r="B18" s="26"/>
      <c r="C18" s="201" t="str">
        <f>IF(OR(contam_user="",user_treat="",uv_user_select="",user_design=""),"Incomplete input",IF(AND(user_design="average flow",OR(user_flow="",user_source_select="")),"Incomplete input",IF(AND(user_design="household connections",user_pop=""),"Incomplete input","Input Complete")))</f>
        <v>Input Complete</v>
      </c>
      <c r="D18" s="26"/>
      <c r="E18" s="309" t="str">
        <f>"Direct Capital Cost: "&amp;IF(C18="input complete",TEXT(direct_cost,"$0,0"),"Input incomplete")</f>
        <v>Direct Capital Cost: $14,955</v>
      </c>
      <c r="F18" s="26"/>
      <c r="G18" s="26"/>
      <c r="H18" s="266"/>
    </row>
    <row r="19" spans="1:8" ht="12.75">
      <c r="A19" s="188" t="s">
        <v>184</v>
      </c>
      <c r="B19" s="26"/>
      <c r="C19" s="186"/>
      <c r="D19" s="26"/>
      <c r="E19" s="309" t="str">
        <f>"Total Capital Cost: "&amp;IF(C18="input complete",TEXT(OUTPUT!C60,"$0,0"),"Input incomplete")</f>
        <v>Total Capital Cost: $18,709</v>
      </c>
      <c r="F19" s="26"/>
      <c r="G19" s="26"/>
      <c r="H19" s="266"/>
    </row>
    <row r="20" spans="1:8" ht="12.75">
      <c r="A20" s="125" t="s">
        <v>236</v>
      </c>
      <c r="B20" s="26"/>
      <c r="C20" s="26"/>
      <c r="D20" s="26"/>
      <c r="E20" s="309" t="str">
        <f>"Annual O&amp;M Cost: "&amp;IF(C18="input complete",TEXT(OM_cost,"$0,0"),"Input incomplete")</f>
        <v>Annual O&amp;M Cost: $6,466</v>
      </c>
      <c r="F20" s="26"/>
      <c r="G20" s="26"/>
      <c r="H20" s="266"/>
    </row>
    <row r="21" spans="1:8" ht="12.75">
      <c r="A21" s="26" t="s">
        <v>235</v>
      </c>
      <c r="B21" s="26"/>
      <c r="C21" s="26"/>
      <c r="D21" s="26"/>
      <c r="E21" s="310" t="str">
        <f>"Total $/kgal: "&amp;IF(C18="Input complete",TEXT(OUTPUT!J94,"$0.00"),"Input incomplete")</f>
        <v>Total $/kgal: $4.58</v>
      </c>
      <c r="F21" s="311"/>
      <c r="G21" s="311"/>
      <c r="H21" s="312"/>
    </row>
    <row r="22" spans="1:7" ht="20.25" customHeight="1">
      <c r="A22" s="190" t="s">
        <v>640</v>
      </c>
      <c r="B22" s="26"/>
      <c r="C22" s="26"/>
      <c r="D22" s="26"/>
      <c r="E22" s="202"/>
      <c r="F22" s="26"/>
      <c r="G22" s="26"/>
    </row>
    <row r="23" spans="1:7" ht="12.75">
      <c r="A23" s="278" t="s">
        <v>689</v>
      </c>
      <c r="B23" s="236"/>
      <c r="C23" s="236"/>
      <c r="D23" s="236"/>
      <c r="E23" s="297" t="s">
        <v>661</v>
      </c>
      <c r="F23" s="26"/>
      <c r="G23" s="26"/>
    </row>
    <row r="24" spans="1:7" ht="12.75">
      <c r="A24" s="280" t="s">
        <v>690</v>
      </c>
      <c r="B24" s="156" t="s">
        <v>559</v>
      </c>
      <c r="C24" s="432"/>
      <c r="D24" s="281" t="s">
        <v>665</v>
      </c>
      <c r="E24" s="282">
        <f ca="1">VLOOKUP(hh_select,INDIRECT(VLOOKUP(user_treat_select,name_list,3,FALSE)),3)</f>
        <v>262.5</v>
      </c>
      <c r="F24" s="204"/>
      <c r="G24" s="204"/>
    </row>
    <row r="25" spans="1:7" ht="12.75">
      <c r="A25" s="239" t="s">
        <v>185</v>
      </c>
      <c r="B25" s="276" t="s">
        <v>599</v>
      </c>
      <c r="C25" s="434"/>
      <c r="D25" s="241" t="s">
        <v>665</v>
      </c>
      <c r="E25" s="279">
        <f>uv*VLOOKUP(hh_select,pou_uv_equipment,3)</f>
        <v>0</v>
      </c>
      <c r="F25" s="204"/>
      <c r="G25" s="204"/>
    </row>
    <row r="26" spans="1:7" ht="12.75">
      <c r="A26" s="226"/>
      <c r="B26" s="203"/>
      <c r="C26" s="211"/>
      <c r="D26" s="26"/>
      <c r="E26" s="26"/>
      <c r="F26" s="204"/>
      <c r="G26" s="204"/>
    </row>
    <row r="27" spans="1:7" ht="12.75">
      <c r="A27" s="233" t="s">
        <v>382</v>
      </c>
      <c r="B27" s="234"/>
      <c r="C27" s="235"/>
      <c r="D27" s="236"/>
      <c r="E27" s="297" t="s">
        <v>661</v>
      </c>
      <c r="F27" s="204"/>
      <c r="G27" s="204"/>
    </row>
    <row r="28" spans="1:7" ht="12.75">
      <c r="A28" s="237" t="s">
        <v>245</v>
      </c>
      <c r="B28" s="156" t="s">
        <v>585</v>
      </c>
      <c r="C28" s="432"/>
      <c r="D28" s="21" t="s">
        <v>664</v>
      </c>
      <c r="E28" s="238">
        <f>install_rate</f>
        <v>33.12223384446878</v>
      </c>
      <c r="F28" s="204"/>
      <c r="G28" s="204"/>
    </row>
    <row r="29" spans="1:7" ht="12.75">
      <c r="A29" s="237" t="s">
        <v>244</v>
      </c>
      <c r="B29" s="156" t="s">
        <v>585</v>
      </c>
      <c r="C29" s="432"/>
      <c r="D29" s="21" t="s">
        <v>664</v>
      </c>
      <c r="E29" s="238">
        <f>tech_rate</f>
        <v>25.07481375358166</v>
      </c>
      <c r="F29" s="204"/>
      <c r="G29" s="204"/>
    </row>
    <row r="30" spans="1:7" ht="12.75">
      <c r="A30" s="237" t="s">
        <v>691</v>
      </c>
      <c r="B30" s="156" t="s">
        <v>586</v>
      </c>
      <c r="C30" s="432"/>
      <c r="D30" s="21" t="s">
        <v>664</v>
      </c>
      <c r="E30" s="238">
        <f>clerical_rate</f>
        <v>17.88937917860554</v>
      </c>
      <c r="F30" s="204"/>
      <c r="G30" s="26"/>
    </row>
    <row r="31" spans="1:7" ht="12.75">
      <c r="A31" s="283" t="s">
        <v>692</v>
      </c>
      <c r="B31" s="156" t="s">
        <v>560</v>
      </c>
      <c r="C31" s="432"/>
      <c r="D31" s="284" t="s">
        <v>386</v>
      </c>
      <c r="E31" s="285">
        <f>VLOOKUP('Capital Assumptions'!A6,install_hours,user_treat_select+3,FALSE)</f>
        <v>1</v>
      </c>
      <c r="F31" s="204"/>
      <c r="G31" s="26"/>
    </row>
    <row r="32" spans="1:7" ht="12.75">
      <c r="A32" s="138" t="s">
        <v>228</v>
      </c>
      <c r="B32" s="156"/>
      <c r="C32" s="432"/>
      <c r="D32" s="284" t="s">
        <v>386</v>
      </c>
      <c r="E32" s="285">
        <f>VLOOKUP('Capital Assumptions'!A7,install_hours,user_treat_select+3,FALSE)</f>
        <v>0.5</v>
      </c>
      <c r="F32" s="204"/>
      <c r="G32" s="26"/>
    </row>
    <row r="33" spans="1:7" ht="12.75">
      <c r="A33" s="239" t="s">
        <v>693</v>
      </c>
      <c r="B33" s="240" t="s">
        <v>561</v>
      </c>
      <c r="C33" s="434"/>
      <c r="D33" s="241" t="s">
        <v>386</v>
      </c>
      <c r="E33" s="357">
        <f>uv*VLOOKUP('Capital Assumptions'!A8,install_hours,user_treat_select+3,FALSE)</f>
        <v>0</v>
      </c>
      <c r="F33" s="204"/>
      <c r="G33" s="26"/>
    </row>
    <row r="34" spans="1:7" ht="12.75">
      <c r="A34" s="10"/>
      <c r="B34" s="156"/>
      <c r="C34" s="76"/>
      <c r="D34" s="60"/>
      <c r="E34" s="21"/>
      <c r="F34" s="204"/>
      <c r="G34" s="26"/>
    </row>
    <row r="35" spans="1:7" ht="12.75">
      <c r="A35" s="259" t="s">
        <v>404</v>
      </c>
      <c r="B35" s="234"/>
      <c r="C35" s="260"/>
      <c r="D35" s="261"/>
      <c r="E35" s="297" t="s">
        <v>661</v>
      </c>
      <c r="F35" s="204"/>
      <c r="G35" s="26"/>
    </row>
    <row r="36" spans="1:7" ht="12.75">
      <c r="A36" s="243" t="s">
        <v>642</v>
      </c>
      <c r="B36" s="156"/>
      <c r="C36" s="211"/>
      <c r="D36" s="229"/>
      <c r="E36" s="258"/>
      <c r="F36" s="204"/>
      <c r="G36" s="26"/>
    </row>
    <row r="37" spans="1:7" ht="12.75">
      <c r="A37" s="245" t="s">
        <v>694</v>
      </c>
      <c r="B37" s="156" t="s">
        <v>562</v>
      </c>
      <c r="C37" s="432"/>
      <c r="D37" s="256" t="s">
        <v>666</v>
      </c>
      <c r="E37" s="246">
        <f>VLOOKUP('Capital Assumptions'!A11,tech_labor,user_treat_select+3,FALSE)</f>
        <v>10</v>
      </c>
      <c r="F37" s="204"/>
      <c r="G37" s="26"/>
    </row>
    <row r="38" spans="1:7" ht="12.75">
      <c r="A38" s="245" t="s">
        <v>1</v>
      </c>
      <c r="B38" s="156" t="s">
        <v>600</v>
      </c>
      <c r="C38" s="432"/>
      <c r="D38" s="16" t="s">
        <v>666</v>
      </c>
      <c r="E38" s="247">
        <f>nitrate_select*VLOOKUP('Capital Assumptions'!A12,tech_labor,user_treat_select+3,FALSE)</f>
        <v>0</v>
      </c>
      <c r="F38" s="204"/>
      <c r="G38" s="26"/>
    </row>
    <row r="39" spans="1:7" ht="12.75">
      <c r="A39" s="245" t="s">
        <v>695</v>
      </c>
      <c r="B39" s="156" t="s">
        <v>563</v>
      </c>
      <c r="C39" s="432"/>
      <c r="D39" s="7" t="s">
        <v>666</v>
      </c>
      <c r="E39" s="246">
        <f>VLOOKUP('Capital Assumptions'!A13,tech_labor,user_treat_select+3,FALSE)</f>
        <v>2</v>
      </c>
      <c r="F39" s="204"/>
      <c r="G39" s="26"/>
    </row>
    <row r="40" spans="1:7" ht="12.75">
      <c r="A40" s="262" t="s">
        <v>0</v>
      </c>
      <c r="B40" s="263" t="s">
        <v>565</v>
      </c>
      <c r="C40" s="435"/>
      <c r="D40" s="264" t="s">
        <v>666</v>
      </c>
      <c r="E40" s="265">
        <f>VLOOKUP('Capital Assumptions'!A14,tech_labor,user_treat_select+3,FALSE)</f>
        <v>2</v>
      </c>
      <c r="F40" s="204"/>
      <c r="G40" s="26"/>
    </row>
    <row r="41" spans="1:7" ht="12.75">
      <c r="A41" s="254"/>
      <c r="B41" s="203"/>
      <c r="C41" s="211"/>
      <c r="D41" s="229"/>
      <c r="E41" s="255"/>
      <c r="F41" s="204"/>
      <c r="G41" s="26"/>
    </row>
    <row r="42" spans="1:7" ht="12.75">
      <c r="A42" s="15" t="s">
        <v>641</v>
      </c>
      <c r="B42" s="156"/>
      <c r="C42" s="211"/>
      <c r="D42" s="229"/>
      <c r="E42" s="258"/>
      <c r="F42" s="204"/>
      <c r="G42" s="26"/>
    </row>
    <row r="43" spans="1:7" ht="12.75">
      <c r="A43" s="245" t="s">
        <v>2</v>
      </c>
      <c r="B43" s="156" t="s">
        <v>564</v>
      </c>
      <c r="C43" s="432"/>
      <c r="D43" s="256" t="s">
        <v>666</v>
      </c>
      <c r="E43" s="257">
        <f>VLOOKUP('Capital Assumptions'!A15,clerical_labor,user_treat_select+3,FALSE)</f>
        <v>6</v>
      </c>
      <c r="F43" s="204"/>
      <c r="G43" s="26"/>
    </row>
    <row r="44" spans="1:7" ht="12.75">
      <c r="A44" s="245" t="s">
        <v>3</v>
      </c>
      <c r="B44" s="156" t="s">
        <v>566</v>
      </c>
      <c r="C44" s="432"/>
      <c r="D44" s="16" t="s">
        <v>666</v>
      </c>
      <c r="E44" s="247">
        <f>nitrate_select*VLOOKUP('Capital Assumptions'!A16,clerical_labor,user_treat_select+3,FALSE)</f>
        <v>0</v>
      </c>
      <c r="F44" s="204"/>
      <c r="G44" s="26"/>
    </row>
    <row r="45" spans="1:7" ht="12.75">
      <c r="A45" s="245" t="s">
        <v>695</v>
      </c>
      <c r="B45" s="156" t="s">
        <v>567</v>
      </c>
      <c r="C45" s="432"/>
      <c r="D45" s="7" t="s">
        <v>666</v>
      </c>
      <c r="E45" s="246">
        <f>VLOOKUP('Capital Assumptions'!A17,clerical_labor,user_treat_select+3,FALSE)</f>
        <v>2</v>
      </c>
      <c r="F45" s="204"/>
      <c r="G45" s="26"/>
    </row>
    <row r="46" spans="1:7" ht="12.75">
      <c r="A46" s="262" t="s">
        <v>4</v>
      </c>
      <c r="B46" s="263" t="s">
        <v>568</v>
      </c>
      <c r="C46" s="435"/>
      <c r="D46" s="264" t="s">
        <v>666</v>
      </c>
      <c r="E46" s="265">
        <f>VLOOKUP('Capital Assumptions'!A18,clerical_labor,user_treat_select+3,FALSE)</f>
        <v>2</v>
      </c>
      <c r="F46" s="204"/>
      <c r="G46" s="26"/>
    </row>
    <row r="47" spans="1:7" ht="12.75">
      <c r="A47" s="254"/>
      <c r="B47" s="203"/>
      <c r="C47" s="211"/>
      <c r="D47" s="229"/>
      <c r="E47" s="266"/>
      <c r="F47" s="204"/>
      <c r="G47" s="26"/>
    </row>
    <row r="48" spans="1:7" ht="12.75">
      <c r="A48" s="243" t="s">
        <v>643</v>
      </c>
      <c r="B48" s="203"/>
      <c r="C48" s="211"/>
      <c r="D48" s="229"/>
      <c r="E48" s="266"/>
      <c r="F48" s="204"/>
      <c r="G48" s="26"/>
    </row>
    <row r="49" spans="1:7" ht="12.75">
      <c r="A49" s="245" t="s">
        <v>5</v>
      </c>
      <c r="B49" s="156" t="s">
        <v>569</v>
      </c>
      <c r="C49" s="432"/>
      <c r="D49" s="256" t="s">
        <v>391</v>
      </c>
      <c r="E49" s="267">
        <f>VLOOKUP('Capital Assumptions'!A19,ed_material,user_treat_select+3,FALSE)</f>
        <v>10</v>
      </c>
      <c r="F49" s="204"/>
      <c r="G49" s="26"/>
    </row>
    <row r="50" spans="1:7" ht="12.75">
      <c r="A50" s="245" t="s">
        <v>286</v>
      </c>
      <c r="B50" s="156"/>
      <c r="C50" s="432"/>
      <c r="D50" s="7" t="s">
        <v>284</v>
      </c>
      <c r="E50" s="277">
        <f>VLOOKUP("Meeting Flyers",printed_material_cost,3,FALSE)</f>
        <v>2.122826086956522</v>
      </c>
      <c r="F50" s="204"/>
      <c r="G50" s="26"/>
    </row>
    <row r="51" spans="1:7" ht="12.75">
      <c r="A51" s="245" t="s">
        <v>6</v>
      </c>
      <c r="B51" s="156" t="s">
        <v>571</v>
      </c>
      <c r="C51" s="432"/>
      <c r="D51" s="17" t="s">
        <v>396</v>
      </c>
      <c r="E51" s="249">
        <f>VLOOKUP('Capital Assumptions'!A20,ed_material,user_treat_select+3,FALSE)</f>
        <v>1</v>
      </c>
      <c r="F51" s="204"/>
      <c r="G51" s="26"/>
    </row>
    <row r="52" spans="1:7" ht="12.75">
      <c r="A52" s="245" t="s">
        <v>287</v>
      </c>
      <c r="B52" s="156"/>
      <c r="C52" s="432"/>
      <c r="D52" s="17" t="s">
        <v>285</v>
      </c>
      <c r="E52" s="277">
        <f>VLOOKUP("Meeting Ads",printed_material_cost,3,FALSE)</f>
        <v>42.45652173913044</v>
      </c>
      <c r="F52" s="204"/>
      <c r="G52" s="26"/>
    </row>
    <row r="53" spans="1:7" ht="12.75">
      <c r="A53" s="245" t="s">
        <v>7</v>
      </c>
      <c r="B53" s="156" t="s">
        <v>570</v>
      </c>
      <c r="C53" s="432"/>
      <c r="D53" s="16" t="s">
        <v>391</v>
      </c>
      <c r="E53" s="250">
        <f>nitrate_select*VLOOKUP('Capital Assumptions'!A21,ed_material,user_treat_select+3,FALSE)</f>
        <v>0</v>
      </c>
      <c r="F53" s="204"/>
      <c r="G53" s="26"/>
    </row>
    <row r="54" spans="1:7" ht="12.75">
      <c r="A54" s="245" t="s">
        <v>8</v>
      </c>
      <c r="B54" s="156" t="s">
        <v>572</v>
      </c>
      <c r="C54" s="432"/>
      <c r="D54" s="7" t="s">
        <v>397</v>
      </c>
      <c r="E54" s="249">
        <f>VLOOKUP('Capital Assumptions'!A22,ed_material,user_treat_select+3,FALSE)</f>
        <v>3</v>
      </c>
      <c r="F54" s="204"/>
      <c r="G54" s="26"/>
    </row>
    <row r="55" spans="1:7" ht="12.75">
      <c r="A55" s="245" t="s">
        <v>9</v>
      </c>
      <c r="B55" s="156" t="s">
        <v>573</v>
      </c>
      <c r="C55" s="432"/>
      <c r="D55" s="7" t="s">
        <v>397</v>
      </c>
      <c r="E55" s="249">
        <f>VLOOKUP('Capital Assumptions'!A23,ed_material,user_treat_select+3,FALSE)</f>
        <v>2</v>
      </c>
      <c r="F55" s="204"/>
      <c r="G55" s="26"/>
    </row>
    <row r="56" spans="1:7" ht="12.75">
      <c r="A56" s="429" t="s">
        <v>289</v>
      </c>
      <c r="B56" s="240"/>
      <c r="C56" s="434"/>
      <c r="D56" s="252" t="s">
        <v>288</v>
      </c>
      <c r="E56" s="430">
        <f>VLOOKUP("Billing Mailers",printed_material_cost,3,FALSE)</f>
        <v>0.08491304347826088</v>
      </c>
      <c r="F56" s="204"/>
      <c r="G56" s="26"/>
    </row>
    <row r="57" spans="1:7" ht="12.75">
      <c r="A57" s="228"/>
      <c r="B57" s="203"/>
      <c r="C57" s="211"/>
      <c r="D57" s="230"/>
      <c r="E57" s="26"/>
      <c r="F57" s="204"/>
      <c r="G57" s="26"/>
    </row>
    <row r="58" spans="1:7" ht="12.75">
      <c r="A58" s="268" t="s">
        <v>10</v>
      </c>
      <c r="B58" s="234"/>
      <c r="C58" s="235"/>
      <c r="D58" s="269"/>
      <c r="E58" s="297" t="s">
        <v>661</v>
      </c>
      <c r="F58" s="204"/>
      <c r="G58" s="26"/>
    </row>
    <row r="59" spans="1:7" ht="12.75">
      <c r="A59" s="245" t="s">
        <v>11</v>
      </c>
      <c r="B59" s="156" t="s">
        <v>574</v>
      </c>
      <c r="C59" s="432"/>
      <c r="D59" s="23" t="s">
        <v>667</v>
      </c>
      <c r="E59" s="249">
        <f>VLOOKUP('Capital Assumptions'!A26,initial_sample,user_treat_select+3,FALSE)</f>
        <v>0.25</v>
      </c>
      <c r="F59" s="204"/>
      <c r="G59" s="26"/>
    </row>
    <row r="60" spans="1:7" ht="12.75">
      <c r="A60" s="245" t="s">
        <v>12</v>
      </c>
      <c r="B60" s="156" t="s">
        <v>575</v>
      </c>
      <c r="C60" s="432"/>
      <c r="D60" s="23" t="s">
        <v>667</v>
      </c>
      <c r="E60" s="246">
        <f>VLOOKUP('Capital Assumptions'!A27,initial_sample,user_treat_select+3,FALSE)</f>
        <v>0</v>
      </c>
      <c r="F60" s="204"/>
      <c r="G60" s="26"/>
    </row>
    <row r="61" spans="1:7" ht="12.75">
      <c r="A61" s="245" t="s">
        <v>232</v>
      </c>
      <c r="B61" s="156" t="s">
        <v>576</v>
      </c>
      <c r="C61" s="432"/>
      <c r="D61" s="23" t="s">
        <v>662</v>
      </c>
      <c r="E61" s="270">
        <f>VLOOKUP('Capital Assumptions'!A28,initial_sample,user_treat_select+3,FALSE)</f>
        <v>1</v>
      </c>
      <c r="F61" s="204"/>
      <c r="G61" s="26"/>
    </row>
    <row r="62" spans="1:7" ht="12.75">
      <c r="A62" s="245" t="s">
        <v>233</v>
      </c>
      <c r="B62" s="156" t="s">
        <v>576</v>
      </c>
      <c r="C62" s="436"/>
      <c r="D62" s="23" t="s">
        <v>668</v>
      </c>
      <c r="E62" s="274">
        <f>VLOOKUP('Capital Assumptions'!A29,initial_sample,user_treat_select+3,FALSE)</f>
        <v>1</v>
      </c>
      <c r="F62" s="204"/>
      <c r="G62" s="26"/>
    </row>
    <row r="63" spans="1:7" ht="12.75">
      <c r="A63" s="245" t="s">
        <v>283</v>
      </c>
      <c r="B63" s="156"/>
      <c r="C63" s="437"/>
      <c r="D63" s="21" t="s">
        <v>302</v>
      </c>
      <c r="E63" s="277">
        <f>VLOOKUP(contam,lab_analysis_cost,3,FALSE)</f>
        <v>183.33333333333334</v>
      </c>
      <c r="F63" s="204"/>
      <c r="G63" s="26"/>
    </row>
    <row r="64" spans="1:7" ht="12.75">
      <c r="A64" s="245" t="s">
        <v>282</v>
      </c>
      <c r="B64" s="156"/>
      <c r="C64" s="437"/>
      <c r="D64" s="21" t="s">
        <v>302</v>
      </c>
      <c r="E64" s="277">
        <f>VLOOKUP("Total Coliform",lab_analysis_cost,3,FALSE)</f>
        <v>16.5</v>
      </c>
      <c r="F64" s="204"/>
      <c r="G64" s="26"/>
    </row>
    <row r="65" spans="1:7" ht="12.75">
      <c r="A65" s="251" t="s">
        <v>301</v>
      </c>
      <c r="B65" s="240"/>
      <c r="C65" s="438"/>
      <c r="D65" s="271" t="s">
        <v>303</v>
      </c>
      <c r="E65" s="376">
        <f>IF(contam="Radium",VLOOKUP(E40,shipping_rads,3),VLOOKUP(hh_select,shipping_other,3))</f>
        <v>11.67554347826087</v>
      </c>
      <c r="F65" s="204"/>
      <c r="G65" s="26"/>
    </row>
    <row r="66" spans="1:7" ht="12.75">
      <c r="A66" s="228"/>
      <c r="B66" s="203"/>
      <c r="C66" s="211"/>
      <c r="E66" s="26"/>
      <c r="F66" s="204"/>
      <c r="G66" s="26"/>
    </row>
    <row r="67" spans="1:7" ht="12.75">
      <c r="A67" s="273" t="s">
        <v>400</v>
      </c>
      <c r="B67" s="234"/>
      <c r="C67" s="235"/>
      <c r="D67" s="296" t="s">
        <v>194</v>
      </c>
      <c r="E67" s="297" t="s">
        <v>661</v>
      </c>
      <c r="F67" s="204"/>
      <c r="G67" s="26"/>
    </row>
    <row r="68" spans="1:7" ht="12.75">
      <c r="A68" s="138" t="s">
        <v>13</v>
      </c>
      <c r="B68" s="156" t="s">
        <v>577</v>
      </c>
      <c r="C68" s="437"/>
      <c r="D68" s="439" t="s">
        <v>671</v>
      </c>
      <c r="E68" s="274">
        <f>VLOOKUP('Capital Assumptions'!A33,indirect_cost,user_treat_select+3,FALSE)</f>
        <v>0.03</v>
      </c>
      <c r="F68" s="204"/>
      <c r="G68" s="26"/>
    </row>
    <row r="69" spans="1:7" ht="12.75">
      <c r="A69" s="138" t="s">
        <v>14</v>
      </c>
      <c r="B69" s="156" t="s">
        <v>578</v>
      </c>
      <c r="C69" s="437"/>
      <c r="D69" s="439" t="s">
        <v>671</v>
      </c>
      <c r="E69" s="274">
        <f>VLOOKUP('Capital Assumptions'!A34,indirect_cost,user_treat_select+3,FALSE)</f>
        <v>0.03</v>
      </c>
      <c r="F69" s="204"/>
      <c r="G69" s="26"/>
    </row>
    <row r="70" spans="1:7" ht="12.75">
      <c r="A70" s="138" t="s">
        <v>15</v>
      </c>
      <c r="B70" s="156" t="s">
        <v>601</v>
      </c>
      <c r="C70" s="437"/>
      <c r="D70" s="439" t="s">
        <v>671</v>
      </c>
      <c r="E70" s="274">
        <f>VLOOKUP('Capital Assumptions'!A35,indirect_cost,user_treat_select+3,FALSE)</f>
        <v>0.03</v>
      </c>
      <c r="F70" s="204"/>
      <c r="G70" s="26"/>
    </row>
    <row r="71" spans="1:7" ht="12.75">
      <c r="A71" s="138" t="s">
        <v>16</v>
      </c>
      <c r="B71" s="156" t="s">
        <v>602</v>
      </c>
      <c r="C71" s="437"/>
      <c r="D71" s="439" t="s">
        <v>671</v>
      </c>
      <c r="E71" s="274">
        <f>VLOOKUP('Capital Assumptions'!A36,indirect_cost,user_treat_select+3,FALSE)</f>
        <v>0.15</v>
      </c>
      <c r="F71" s="204"/>
      <c r="G71" s="26"/>
    </row>
    <row r="72" spans="1:7" ht="12.75">
      <c r="A72" s="139" t="s">
        <v>17</v>
      </c>
      <c r="B72" s="240" t="s">
        <v>603</v>
      </c>
      <c r="C72" s="438"/>
      <c r="D72" s="440" t="s">
        <v>671</v>
      </c>
      <c r="E72" s="272">
        <f>VLOOKUP('Capital Assumptions'!A37,indirect_cost,user_treat_select+3,FALSE)</f>
        <v>0.1</v>
      </c>
      <c r="F72" s="204"/>
      <c r="G72" s="26"/>
    </row>
    <row r="73" spans="1:7" ht="12.75">
      <c r="A73" s="189"/>
      <c r="B73" s="203"/>
      <c r="C73" s="211"/>
      <c r="D73" s="227"/>
      <c r="E73" s="26"/>
      <c r="F73" s="204"/>
      <c r="G73" s="26"/>
    </row>
    <row r="74" spans="1:7" ht="15">
      <c r="A74" s="231" t="s">
        <v>593</v>
      </c>
      <c r="B74" s="203"/>
      <c r="C74" s="211"/>
      <c r="D74" s="227"/>
      <c r="E74" s="26"/>
      <c r="F74" s="204"/>
      <c r="G74" s="26"/>
    </row>
    <row r="75" spans="1:7" ht="12.75">
      <c r="A75" s="233" t="s">
        <v>455</v>
      </c>
      <c r="B75" s="234"/>
      <c r="C75" s="235"/>
      <c r="D75" s="236"/>
      <c r="E75" s="297" t="s">
        <v>661</v>
      </c>
      <c r="F75" s="204"/>
      <c r="G75" s="26"/>
    </row>
    <row r="76" spans="1:7" ht="12.75">
      <c r="A76" s="138" t="s">
        <v>449</v>
      </c>
      <c r="B76" s="156" t="s">
        <v>579</v>
      </c>
      <c r="C76" s="432"/>
      <c r="D76" s="102" t="s">
        <v>669</v>
      </c>
      <c r="E76" s="286">
        <f>INDEX(maint_time,1,user_treat_select)</f>
        <v>0.5</v>
      </c>
      <c r="F76" s="204"/>
      <c r="G76" s="26"/>
    </row>
    <row r="77" spans="1:7" ht="12.75">
      <c r="A77" s="138" t="s">
        <v>463</v>
      </c>
      <c r="B77" s="156" t="s">
        <v>580</v>
      </c>
      <c r="C77" s="432"/>
      <c r="D77" s="102" t="s">
        <v>670</v>
      </c>
      <c r="E77" s="286">
        <f>INDEX(maint_time,1,user_treat_select)</f>
        <v>0.5</v>
      </c>
      <c r="F77" s="204"/>
      <c r="G77" s="26"/>
    </row>
    <row r="78" spans="1:7" ht="12.75">
      <c r="A78" s="21" t="s">
        <v>316</v>
      </c>
      <c r="B78" s="156" t="s">
        <v>581</v>
      </c>
      <c r="C78" s="432"/>
      <c r="D78" s="21" t="s">
        <v>669</v>
      </c>
      <c r="E78" s="287">
        <f>uv*INDEX(UV_maint_time,1,user_treat_select)</f>
        <v>0</v>
      </c>
      <c r="F78" s="204"/>
      <c r="G78" s="26"/>
    </row>
    <row r="79" spans="1:7" ht="12.75">
      <c r="A79" s="21" t="s">
        <v>464</v>
      </c>
      <c r="B79" s="156" t="s">
        <v>582</v>
      </c>
      <c r="C79" s="432"/>
      <c r="D79" s="21" t="s">
        <v>27</v>
      </c>
      <c r="E79" s="270">
        <f>uv*INDEX(UV_maint_frequency,1,user_treat_select)</f>
        <v>0</v>
      </c>
      <c r="F79" s="204"/>
      <c r="G79" s="26"/>
    </row>
    <row r="80" spans="1:7" ht="12.75">
      <c r="A80" s="139" t="s">
        <v>460</v>
      </c>
      <c r="B80" s="240" t="s">
        <v>583</v>
      </c>
      <c r="C80" s="434"/>
      <c r="D80" s="275" t="s">
        <v>669</v>
      </c>
      <c r="E80" s="288">
        <f>INDEX(maint_scheduling,1,user_treat_select)</f>
        <v>0.5</v>
      </c>
      <c r="F80" s="204"/>
      <c r="G80" s="26"/>
    </row>
    <row r="81" spans="1:7" ht="12.75">
      <c r="A81" s="189"/>
      <c r="B81" s="203"/>
      <c r="C81" s="211"/>
      <c r="D81" s="227"/>
      <c r="E81" s="26"/>
      <c r="F81" s="204"/>
      <c r="G81" s="26"/>
    </row>
    <row r="82" spans="1:7" ht="12.75">
      <c r="A82" s="268" t="s">
        <v>404</v>
      </c>
      <c r="B82" s="234"/>
      <c r="C82" s="235"/>
      <c r="D82" s="289"/>
      <c r="E82" s="297" t="s">
        <v>661</v>
      </c>
      <c r="F82" s="204"/>
      <c r="G82" s="26"/>
    </row>
    <row r="83" spans="1:7" ht="12.75">
      <c r="A83" s="290" t="s">
        <v>18</v>
      </c>
      <c r="B83" s="156"/>
      <c r="C83" s="76"/>
      <c r="D83" s="102"/>
      <c r="E83" s="244"/>
      <c r="F83" s="204"/>
      <c r="G83" s="26"/>
    </row>
    <row r="84" spans="1:7" ht="12.75">
      <c r="A84" s="245" t="s">
        <v>21</v>
      </c>
      <c r="B84" s="156" t="s">
        <v>604</v>
      </c>
      <c r="C84" s="432"/>
      <c r="D84" s="7" t="s">
        <v>413</v>
      </c>
      <c r="E84" s="287">
        <f>VLOOKUP('O&amp;M Assumptions'!A12,tech_labor_om,user_treat_select+3,FALSE)</f>
        <v>12</v>
      </c>
      <c r="F84" s="204"/>
      <c r="G84" s="26"/>
    </row>
    <row r="85" spans="1:7" ht="12.75">
      <c r="A85" s="245" t="s">
        <v>22</v>
      </c>
      <c r="B85" s="156" t="s">
        <v>605</v>
      </c>
      <c r="C85" s="432"/>
      <c r="D85" s="16" t="s">
        <v>413</v>
      </c>
      <c r="E85" s="247">
        <f>nitrate_select*VLOOKUP('O&amp;M Assumptions'!A13,tech_labor_om,user_treat_select+3,FALSE)</f>
        <v>0</v>
      </c>
      <c r="F85" s="204"/>
      <c r="G85" s="26"/>
    </row>
    <row r="86" spans="1:7" ht="12.75">
      <c r="A86" s="245"/>
      <c r="B86" s="156"/>
      <c r="C86" s="76"/>
      <c r="D86" s="7"/>
      <c r="E86" s="246"/>
      <c r="F86" s="204"/>
      <c r="G86" s="26"/>
    </row>
    <row r="87" spans="1:7" ht="12.75">
      <c r="A87" s="290" t="s">
        <v>19</v>
      </c>
      <c r="B87" s="156"/>
      <c r="C87" s="76"/>
      <c r="D87" s="7"/>
      <c r="E87" s="291"/>
      <c r="F87" s="204"/>
      <c r="G87" s="26"/>
    </row>
    <row r="88" spans="1:7" ht="12.75">
      <c r="A88" s="245" t="s">
        <v>23</v>
      </c>
      <c r="B88" s="156" t="s">
        <v>606</v>
      </c>
      <c r="C88" s="432"/>
      <c r="D88" s="7" t="s">
        <v>413</v>
      </c>
      <c r="E88" s="292">
        <f>VLOOKUP('O&amp;M Assumptions'!A14,clerical_labor_om,user_treat_select+3,FALSE)</f>
        <v>12</v>
      </c>
      <c r="F88" s="204"/>
      <c r="G88" s="26"/>
    </row>
    <row r="89" spans="1:7" ht="12.75">
      <c r="A89" s="245" t="s">
        <v>24</v>
      </c>
      <c r="B89" s="156" t="s">
        <v>607</v>
      </c>
      <c r="C89" s="432"/>
      <c r="D89" s="16" t="s">
        <v>413</v>
      </c>
      <c r="E89" s="247">
        <f>nitrate_select*VLOOKUP('O&amp;M Assumptions'!A15,clerical_labor_om,user_treat_select+3,FALSE)</f>
        <v>0</v>
      </c>
      <c r="F89" s="204"/>
      <c r="G89" s="26"/>
    </row>
    <row r="90" spans="1:7" ht="12.75">
      <c r="A90" s="245"/>
      <c r="B90" s="156"/>
      <c r="C90" s="76"/>
      <c r="D90" s="7"/>
      <c r="E90" s="250"/>
      <c r="F90" s="204"/>
      <c r="G90" s="26"/>
    </row>
    <row r="91" spans="1:7" ht="12.75">
      <c r="A91" s="248" t="s">
        <v>20</v>
      </c>
      <c r="B91" s="156"/>
      <c r="C91" s="76"/>
      <c r="D91" s="8"/>
      <c r="E91" s="244"/>
      <c r="F91" s="204"/>
      <c r="G91" s="26"/>
    </row>
    <row r="92" spans="1:7" ht="12.75">
      <c r="A92" s="245" t="s">
        <v>390</v>
      </c>
      <c r="B92" s="156" t="s">
        <v>608</v>
      </c>
      <c r="C92" s="432"/>
      <c r="D92" s="16" t="s">
        <v>391</v>
      </c>
      <c r="E92" s="250">
        <f>nitrate_select*VLOOKUP('O&amp;M Assumptions'!A16,ed_material_om,user_treat_select+3,FALSE)</f>
        <v>0</v>
      </c>
      <c r="F92" s="204"/>
      <c r="G92" s="26"/>
    </row>
    <row r="93" spans="1:7" ht="12.75">
      <c r="A93" s="251" t="s">
        <v>395</v>
      </c>
      <c r="B93" s="240" t="s">
        <v>609</v>
      </c>
      <c r="C93" s="434"/>
      <c r="D93" s="252" t="s">
        <v>397</v>
      </c>
      <c r="E93" s="253">
        <f>VLOOKUP('O&amp;M Assumptions'!A17,ed_material_om,user_treat_select+3,FALSE)</f>
        <v>3</v>
      </c>
      <c r="F93" s="204"/>
      <c r="G93" s="26"/>
    </row>
    <row r="94" spans="1:7" ht="12.75">
      <c r="A94" s="232"/>
      <c r="B94" s="203"/>
      <c r="C94" s="211"/>
      <c r="E94" s="26"/>
      <c r="F94" s="204"/>
      <c r="G94" s="26"/>
    </row>
    <row r="95" spans="1:7" ht="12.75">
      <c r="A95" s="268" t="s">
        <v>456</v>
      </c>
      <c r="B95" s="234"/>
      <c r="C95" s="235"/>
      <c r="D95" s="269"/>
      <c r="E95" s="297" t="s">
        <v>661</v>
      </c>
      <c r="F95" s="204"/>
      <c r="G95" s="26"/>
    </row>
    <row r="96" spans="1:7" ht="12.75">
      <c r="A96" s="245" t="s">
        <v>457</v>
      </c>
      <c r="B96" s="156" t="s">
        <v>610</v>
      </c>
      <c r="C96" s="432"/>
      <c r="D96" s="23" t="s">
        <v>317</v>
      </c>
      <c r="E96" s="246">
        <f>VLOOKUP('O&amp;M Assumptions'!A20,lab_analysis,user_treat_select+3,FALSE)</f>
        <v>0.25</v>
      </c>
      <c r="F96" s="204"/>
      <c r="G96" s="26"/>
    </row>
    <row r="97" spans="1:7" ht="12.75">
      <c r="A97" s="245" t="s">
        <v>459</v>
      </c>
      <c r="B97" s="156" t="s">
        <v>611</v>
      </c>
      <c r="C97" s="432"/>
      <c r="D97" s="23" t="s">
        <v>317</v>
      </c>
      <c r="E97" s="244">
        <f>VLOOKUP('O&amp;M Assumptions'!A21,lab_analysis,user_treat_select+3,FALSE)</f>
        <v>0</v>
      </c>
      <c r="F97" s="204"/>
      <c r="G97" s="26"/>
    </row>
    <row r="98" spans="1:7" ht="12.75">
      <c r="A98" s="245" t="s">
        <v>238</v>
      </c>
      <c r="B98" s="156" t="s">
        <v>612</v>
      </c>
      <c r="C98" s="441"/>
      <c r="D98" s="23" t="s">
        <v>46</v>
      </c>
      <c r="E98" s="244">
        <f>VLOOKUP('O&amp;M Assumptions'!A22,lab_analysis,user_treat_select+3,FALSE)</f>
        <v>1</v>
      </c>
      <c r="F98" s="204"/>
      <c r="G98" s="26"/>
    </row>
    <row r="99" spans="1:7" ht="12.75">
      <c r="A99" s="251" t="s">
        <v>239</v>
      </c>
      <c r="B99" s="240" t="s">
        <v>613</v>
      </c>
      <c r="C99" s="442"/>
      <c r="D99" s="271" t="s">
        <v>254</v>
      </c>
      <c r="E99" s="361">
        <f>IF(nitrate_select=1,"100%",VLOOKUP('O&amp;M Assumptions'!A23,lab_analysis,user_treat_select+3,FALSE))</f>
        <v>0.333</v>
      </c>
      <c r="F99" s="204"/>
      <c r="G99" s="26"/>
    </row>
    <row r="100" spans="1:7" ht="12.75">
      <c r="A100" s="228"/>
      <c r="B100" s="203"/>
      <c r="C100" s="211"/>
      <c r="E100" s="26"/>
      <c r="F100" s="204"/>
      <c r="G100" s="26"/>
    </row>
    <row r="101" spans="1:7" ht="12.75">
      <c r="A101" s="278" t="s">
        <v>630</v>
      </c>
      <c r="B101" s="236"/>
      <c r="C101" s="236"/>
      <c r="D101" s="236"/>
      <c r="E101" s="297" t="s">
        <v>661</v>
      </c>
      <c r="F101" s="204"/>
      <c r="G101" s="26"/>
    </row>
    <row r="102" spans="1:7" ht="12.75">
      <c r="A102" s="245" t="s">
        <v>25</v>
      </c>
      <c r="B102" s="21"/>
      <c r="C102" s="76"/>
      <c r="D102" s="102"/>
      <c r="E102" s="244"/>
      <c r="F102" s="204"/>
      <c r="G102" s="26"/>
    </row>
    <row r="103" spans="1:7" ht="15">
      <c r="A103" s="293"/>
      <c r="B103" s="21"/>
      <c r="C103" s="76"/>
      <c r="D103" s="102"/>
      <c r="E103" s="244"/>
      <c r="F103" s="204"/>
      <c r="G103" s="26"/>
    </row>
    <row r="104" spans="1:7" ht="12.75">
      <c r="A104" s="294" t="s">
        <v>676</v>
      </c>
      <c r="B104" s="21"/>
      <c r="C104" s="432"/>
      <c r="D104" s="102"/>
      <c r="E104" s="295" t="str">
        <f ca="1">INDEX(INDIRECT(VLOOKUP(treat_select,name_list,5,FALSE)),1,1)</f>
        <v>Media Cartridge</v>
      </c>
      <c r="F104" s="204"/>
      <c r="G104" s="26"/>
    </row>
    <row r="105" spans="1:7" ht="12.75">
      <c r="A105" s="294" t="s">
        <v>618</v>
      </c>
      <c r="B105" s="156" t="s">
        <v>622</v>
      </c>
      <c r="C105" s="432"/>
      <c r="D105" s="102" t="str">
        <f>IF(user_treat="POE Cation Exchange","$/lb","$/part")</f>
        <v>$/part</v>
      </c>
      <c r="E105" s="238">
        <f ca="1">IF(AND(C104="",OUTPUT!C76&gt;0),VLOOKUP(OUTPUT!B76,INDIRECT(VLOOKUP(treat_select,name_list,4,FALSE)),3,FALSE),0)</f>
        <v>157.1125</v>
      </c>
      <c r="F105" s="204"/>
      <c r="G105" s="26"/>
    </row>
    <row r="106" spans="1:7" ht="12.75">
      <c r="A106" s="294" t="s">
        <v>466</v>
      </c>
      <c r="B106" s="156" t="s">
        <v>623</v>
      </c>
      <c r="C106" s="432"/>
      <c r="D106" s="102" t="str">
        <f>IF(user_treat="POE Cation Exchange","lb/household/yr","times/household/yr")</f>
        <v>times/household/yr</v>
      </c>
      <c r="E106" s="246">
        <f ca="1">INDEX(INDIRECT(VLOOKUP(treat_select,name_list,5,FALSE)),1,2)</f>
        <v>1</v>
      </c>
      <c r="F106" s="204"/>
      <c r="G106" s="26"/>
    </row>
    <row r="107" spans="1:7" ht="12.75">
      <c r="A107" s="294"/>
      <c r="B107" s="156"/>
      <c r="C107" s="76"/>
      <c r="D107" s="102"/>
      <c r="E107" s="244"/>
      <c r="F107" s="204"/>
      <c r="G107" s="26"/>
    </row>
    <row r="108" spans="1:7" ht="12.75">
      <c r="A108" s="294" t="s">
        <v>226</v>
      </c>
      <c r="B108" s="156"/>
      <c r="C108" s="432"/>
      <c r="D108" s="102"/>
      <c r="E108" s="295" t="str">
        <f ca="1">INDEX(INDIRECT(VLOOKUP(treat_select,name_list,5,FALSE)),2,1)</f>
        <v>NA</v>
      </c>
      <c r="F108" s="204"/>
      <c r="G108" s="26"/>
    </row>
    <row r="109" spans="1:7" ht="12.75">
      <c r="A109" s="294" t="s">
        <v>619</v>
      </c>
      <c r="B109" s="156" t="s">
        <v>624</v>
      </c>
      <c r="C109" s="432"/>
      <c r="D109" s="102" t="s">
        <v>675</v>
      </c>
      <c r="E109" s="238">
        <f ca="1">IF(AND(C108="",OUTPUT!C77&gt;0),VLOOKUP(OUTPUT!B77,INDIRECT(VLOOKUP(treat_select,name_list,4,FALSE)),3,FALSE),0)</f>
        <v>0</v>
      </c>
      <c r="F109" s="204"/>
      <c r="G109" s="26"/>
    </row>
    <row r="110" spans="1:7" ht="12.75">
      <c r="A110" s="294" t="s">
        <v>466</v>
      </c>
      <c r="B110" s="156" t="s">
        <v>625</v>
      </c>
      <c r="C110" s="432"/>
      <c r="D110" s="102" t="s">
        <v>47</v>
      </c>
      <c r="E110" s="246">
        <f ca="1">INDEX(INDIRECT(VLOOKUP(treat_select,name_list,5,FALSE)),2,2)</f>
        <v>0</v>
      </c>
      <c r="F110" s="204"/>
      <c r="G110" s="26"/>
    </row>
    <row r="111" spans="1:7" ht="12.75">
      <c r="A111" s="294"/>
      <c r="B111" s="156"/>
      <c r="C111" s="76"/>
      <c r="D111" s="102"/>
      <c r="E111" s="244"/>
      <c r="F111" s="204"/>
      <c r="G111" s="26"/>
    </row>
    <row r="112" spans="1:7" ht="12.75">
      <c r="A112" s="294" t="s">
        <v>224</v>
      </c>
      <c r="B112" s="156"/>
      <c r="C112" s="432"/>
      <c r="D112" s="102"/>
      <c r="E112" s="295" t="str">
        <f ca="1">INDEX(INDIRECT(VLOOKUP(treat_select,name_list,5,FALSE)),3,1)</f>
        <v>NA</v>
      </c>
      <c r="F112" s="204"/>
      <c r="G112" s="26"/>
    </row>
    <row r="113" spans="1:7" ht="12.75">
      <c r="A113" s="294" t="s">
        <v>620</v>
      </c>
      <c r="B113" s="156" t="s">
        <v>626</v>
      </c>
      <c r="C113" s="432"/>
      <c r="D113" s="102" t="s">
        <v>675</v>
      </c>
      <c r="E113" s="238">
        <f ca="1">IF(AND(C112="",OUTPUT!C78&gt;0),VLOOKUP(OUTPUT!B78,INDIRECT(VLOOKUP(treat_select,name_list,4,FALSE)),3,FALSE),0)</f>
        <v>0</v>
      </c>
      <c r="F113" s="204"/>
      <c r="G113" s="26"/>
    </row>
    <row r="114" spans="1:7" ht="12.75">
      <c r="A114" s="294" t="s">
        <v>466</v>
      </c>
      <c r="B114" s="156" t="s">
        <v>627</v>
      </c>
      <c r="C114" s="432"/>
      <c r="D114" s="102" t="s">
        <v>47</v>
      </c>
      <c r="E114" s="246">
        <f ca="1">INDEX(INDIRECT(VLOOKUP(treat_select,name_list,5,FALSE)),3,2)</f>
        <v>0</v>
      </c>
      <c r="F114" s="204"/>
      <c r="G114" s="26"/>
    </row>
    <row r="115" spans="1:7" ht="12.75">
      <c r="A115" s="294"/>
      <c r="B115" s="156"/>
      <c r="C115" s="76"/>
      <c r="D115" s="102"/>
      <c r="E115" s="244"/>
      <c r="F115" s="204"/>
      <c r="G115" s="26"/>
    </row>
    <row r="116" spans="1:7" ht="12.75">
      <c r="A116" s="294" t="s">
        <v>225</v>
      </c>
      <c r="B116" s="156"/>
      <c r="C116" s="432"/>
      <c r="D116" s="102"/>
      <c r="E116" s="295" t="str">
        <f ca="1">INDEX(INDIRECT(VLOOKUP(treat_select,name_list,5,FALSE)),4,1)</f>
        <v>NA</v>
      </c>
      <c r="F116" s="204"/>
      <c r="G116" s="26"/>
    </row>
    <row r="117" spans="1:7" ht="12.75">
      <c r="A117" s="294" t="s">
        <v>621</v>
      </c>
      <c r="B117" s="156" t="s">
        <v>628</v>
      </c>
      <c r="C117" s="432"/>
      <c r="D117" s="102" t="s">
        <v>675</v>
      </c>
      <c r="E117" s="238">
        <f ca="1">IF(AND(C116="",OUTPUT!C79&gt;0),VLOOKUP(OUTPUT!B79,INDIRECT(VLOOKUP(treat_select,name_list,4,FALSE)),3,FALSE),0)</f>
        <v>0</v>
      </c>
      <c r="F117" s="204"/>
      <c r="G117" s="26"/>
    </row>
    <row r="118" spans="1:7" ht="12.75">
      <c r="A118" s="294" t="s">
        <v>466</v>
      </c>
      <c r="B118" s="156" t="s">
        <v>629</v>
      </c>
      <c r="C118" s="432"/>
      <c r="D118" s="102" t="s">
        <v>47</v>
      </c>
      <c r="E118" s="246">
        <f ca="1">INDEX(INDIRECT(VLOOKUP(treat_select,name_list,5,FALSE)),4,2)</f>
        <v>0</v>
      </c>
      <c r="F118" s="204"/>
      <c r="G118" s="26"/>
    </row>
    <row r="119" spans="1:7" ht="12.75">
      <c r="A119" s="294"/>
      <c r="B119" s="156"/>
      <c r="C119" s="443"/>
      <c r="D119" s="102"/>
      <c r="E119" s="244"/>
      <c r="F119" s="204"/>
      <c r="G119" s="26"/>
    </row>
    <row r="120" spans="1:7" ht="12.75">
      <c r="A120" s="21" t="s">
        <v>594</v>
      </c>
      <c r="B120" s="156" t="s">
        <v>596</v>
      </c>
      <c r="C120" s="432"/>
      <c r="D120" s="21" t="s">
        <v>675</v>
      </c>
      <c r="E120" s="277">
        <f>uv*IF(OUTPUT!C5="POU",VLOOKUP(OUTPUT!B80,pou_uv_parts,3,FALSE),VLOOKUP(OUTPUT!B80,poe_uv_parts,3,FALSE))</f>
        <v>0</v>
      </c>
      <c r="F120" s="204"/>
      <c r="G120" s="26"/>
    </row>
    <row r="121" spans="1:7" ht="12.75">
      <c r="A121" s="21" t="s">
        <v>466</v>
      </c>
      <c r="B121" s="156" t="s">
        <v>614</v>
      </c>
      <c r="C121" s="432"/>
      <c r="D121" s="21" t="s">
        <v>598</v>
      </c>
      <c r="E121" s="287">
        <f>uv*IF(OUTPUT!C5="POU",INDEX(pou_uv_replace,1,2),INDEX(poe_uv_replace,1,2))</f>
        <v>0</v>
      </c>
      <c r="F121" s="204"/>
      <c r="G121" s="26"/>
    </row>
    <row r="122" spans="1:7" ht="12.75">
      <c r="A122" s="21" t="s">
        <v>595</v>
      </c>
      <c r="B122" s="156" t="s">
        <v>615</v>
      </c>
      <c r="C122" s="432"/>
      <c r="D122" s="21" t="s">
        <v>675</v>
      </c>
      <c r="E122" s="277">
        <f>uv*IF(OUTPUT!C5="POU",VLOOKUP(OUTPUT!B81,pou_uv_parts,3,FALSE),VLOOKUP(OUTPUT!B81,poe_uv_parts,3,FALSE))</f>
        <v>0</v>
      </c>
      <c r="F122" s="204"/>
      <c r="G122" s="26"/>
    </row>
    <row r="123" spans="1:7" ht="12.75">
      <c r="A123" s="241" t="s">
        <v>466</v>
      </c>
      <c r="B123" s="240" t="s">
        <v>597</v>
      </c>
      <c r="C123" s="434"/>
      <c r="D123" s="241" t="s">
        <v>598</v>
      </c>
      <c r="E123" s="242">
        <f>uv*IF(OUTPUT!C5="POU",INDEX(pou_uv_replace,2,2),INDEX(poe_uv_replace,2,2))</f>
        <v>0</v>
      </c>
      <c r="F123" s="204"/>
      <c r="G123" s="26"/>
    </row>
    <row r="124" spans="1:7" ht="12.75">
      <c r="A124" s="26"/>
      <c r="B124" s="26"/>
      <c r="C124" s="26"/>
      <c r="D124" s="26"/>
      <c r="E124" s="26"/>
      <c r="F124" s="204"/>
      <c r="G124" s="26"/>
    </row>
  </sheetData>
  <sheetProtection/>
  <mergeCells count="4">
    <mergeCell ref="C13:D13"/>
    <mergeCell ref="C4:D4"/>
    <mergeCell ref="C7:D7"/>
    <mergeCell ref="E17:H17"/>
  </mergeCells>
  <conditionalFormatting sqref="D29:E32 C35:E36 A29:A32 B46:E50 A34:A37 A39:A43 F18:G124 D39:E43 E91 A86:A88 D90:D91 A80:A84 A91 C29:C34 C65:C92 A124 A94:A119 D124:E124 A1:F1 E2:E7 A7:D7 A4:B6 A8:E8 C11:D12 A2:D3 E9:F13 D51:E52 F2:F8 A93:E93 A45:A52 D94:E119 C13 D37:E37 D34:E34 E22:E24 D45:E45 C37:C45 C64:E64 B17:C17 A17:A24 D17:D24 F16 G1:G16 A54:A77 B94:C124 C19:C27 A26:A27 D26:E27 B18:B27 B29:B45 A28:E28 D86:E88 D80:E84 B51:B92 C51:C63 D54:E63 D65:E77 A9:B13">
    <cfRule type="expression" priority="1" dxfId="0" stopIfTrue="1">
      <formula>user&lt;&gt;1</formula>
    </cfRule>
  </conditionalFormatting>
  <conditionalFormatting sqref="B14:B15">
    <cfRule type="expression" priority="2" dxfId="8" stopIfTrue="1">
      <formula>IF(user_design=1,TRUE,FALSE)</formula>
    </cfRule>
  </conditionalFormatting>
  <conditionalFormatting sqref="B16">
    <cfRule type="expression" priority="3" dxfId="9" stopIfTrue="1">
      <formula>IF(user_design=2,TRUE,FALSE)</formula>
    </cfRule>
  </conditionalFormatting>
  <conditionalFormatting sqref="C4:D4 C6:D6">
    <cfRule type="expression" priority="4" dxfId="0" stopIfTrue="1">
      <formula>IF(user=1,FALSE,TRUE)</formula>
    </cfRule>
  </conditionalFormatting>
  <conditionalFormatting sqref="A90 E90">
    <cfRule type="expression" priority="5" dxfId="10" stopIfTrue="1">
      <formula>IF(contam_user=Nitrate,FALSE,TRUE)</formula>
    </cfRule>
  </conditionalFormatting>
  <conditionalFormatting sqref="E78:E79">
    <cfRule type="expression" priority="6" dxfId="10" stopIfTrue="1">
      <formula>IF(uv_user_select=1,FALSE,TRUE)</formula>
    </cfRule>
  </conditionalFormatting>
  <conditionalFormatting sqref="A38 A44 A53 A85 A89 D92:E92 D53:E53 D38:E38 D89:E89 D85:E85 D44:E44 A92">
    <cfRule type="expression" priority="7" dxfId="10" stopIfTrue="1">
      <formula>IF(contam_user="Nitrate",FALSE,TRUE)</formula>
    </cfRule>
  </conditionalFormatting>
  <conditionalFormatting sqref="A16 D16">
    <cfRule type="expression" priority="8" dxfId="9" stopIfTrue="1">
      <formula>IF(user_design="household connections",TRUE,FALSE)</formula>
    </cfRule>
  </conditionalFormatting>
  <conditionalFormatting sqref="F14 A15 D15">
    <cfRule type="expression" priority="9" dxfId="11" stopIfTrue="1">
      <formula>IF(user_design="average flow",TRUE,FALSE)</formula>
    </cfRule>
    <cfRule type="expression" priority="10" dxfId="0" stopIfTrue="1">
      <formula>user&lt;&gt;1</formula>
    </cfRule>
  </conditionalFormatting>
  <conditionalFormatting sqref="D25:E25 D33:E33">
    <cfRule type="expression" priority="11" dxfId="12" stopIfTrue="1">
      <formula>IF(uv_user_select="yes",FALSE,TRUE)</formula>
    </cfRule>
  </conditionalFormatting>
  <conditionalFormatting sqref="C16">
    <cfRule type="expression" priority="12" dxfId="13" stopIfTrue="1">
      <formula>IF(user_design="household connections",TRUE,FALSE)</formula>
    </cfRule>
  </conditionalFormatting>
  <conditionalFormatting sqref="A33 A25">
    <cfRule type="expression" priority="13" dxfId="12" stopIfTrue="1">
      <formula>IF(uv_user_select="yes",FALSE,TRUE)</formula>
    </cfRule>
    <cfRule type="expression" priority="14" dxfId="0" stopIfTrue="1">
      <formula>"user&lt;&gt;1"</formula>
    </cfRule>
  </conditionalFormatting>
  <conditionalFormatting sqref="F15 E14:E15">
    <cfRule type="expression" priority="15" dxfId="14" stopIfTrue="1">
      <formula>IF(user_design="average flow",TRUE,FALSE)</formula>
    </cfRule>
    <cfRule type="expression" priority="16" dxfId="0" stopIfTrue="1">
      <formula>user&lt;&gt;1</formula>
    </cfRule>
  </conditionalFormatting>
  <conditionalFormatting sqref="C18">
    <cfRule type="expression" priority="17" dxfId="0" stopIfTrue="1">
      <formula>user&lt;&gt;1</formula>
    </cfRule>
    <cfRule type="cellIs" priority="18" dxfId="15" operator="equal" stopIfTrue="1">
      <formula>"Input Complete"</formula>
    </cfRule>
  </conditionalFormatting>
  <conditionalFormatting sqref="C5 C9:C10">
    <cfRule type="expression" priority="19" dxfId="16" stopIfTrue="1">
      <formula>user&lt;&gt;1</formula>
    </cfRule>
  </conditionalFormatting>
  <conditionalFormatting sqref="D5">
    <cfRule type="expression" priority="20" dxfId="16" stopIfTrue="1">
      <formula>user&lt;&gt;1</formula>
    </cfRule>
    <cfRule type="expression" priority="21" dxfId="15" stopIfTrue="1">
      <formula>IF(D5="Contaminant selection OK",TRUE,FALSE)</formula>
    </cfRule>
  </conditionalFormatting>
  <conditionalFormatting sqref="D9:D10">
    <cfRule type="expression" priority="22" dxfId="16" stopIfTrue="1">
      <formula>user&lt;&gt;1</formula>
    </cfRule>
    <cfRule type="expression" priority="23" dxfId="15" stopIfTrue="1">
      <formula>IF(D9="Treatment technology OK",TRUE,FALSE)</formula>
    </cfRule>
  </conditionalFormatting>
  <conditionalFormatting sqref="C14:C15">
    <cfRule type="expression" priority="24" dxfId="0" stopIfTrue="1">
      <formula>user&lt;&gt;1</formula>
    </cfRule>
    <cfRule type="expression" priority="25" dxfId="13" stopIfTrue="1">
      <formula>IF(user_design="average flow",TRUE,FALSE)</formula>
    </cfRule>
  </conditionalFormatting>
  <conditionalFormatting sqref="A14 D14">
    <cfRule type="expression" priority="26" dxfId="17" stopIfTrue="1">
      <formula>IF(user_design="average flow",TRUE,FALSE)</formula>
    </cfRule>
    <cfRule type="expression" priority="27" dxfId="0" stopIfTrue="1">
      <formula>user&lt;&gt;1</formula>
    </cfRule>
  </conditionalFormatting>
  <conditionalFormatting sqref="D78:D79 A78:A79 A120:A123 D120:E123">
    <cfRule type="expression" priority="28" dxfId="10" stopIfTrue="1">
      <formula>IF(uv_user_select="yes",FALSE,TRUE)</formula>
    </cfRule>
  </conditionalFormatting>
  <dataValidations count="7">
    <dataValidation type="list" allowBlank="1" showErrorMessage="1" sqref="C4:D4">
      <formula1>contaminant_list</formula1>
    </dataValidation>
    <dataValidation type="list" allowBlank="1" showInputMessage="1" showErrorMessage="1" sqref="C7:D7">
      <formula1>INDIRECT(contam_user)</formula1>
    </dataValidation>
    <dataValidation type="list" allowBlank="1" showInputMessage="1" showErrorMessage="1" sqref="C8">
      <formula1>"yes,no"</formula1>
    </dataValidation>
    <dataValidation allowBlank="1" showErrorMessage="1" sqref="C6:D6 C5 C9:C10"/>
    <dataValidation type="list" allowBlank="1" showInputMessage="1" showErrorMessage="1" sqref="C13">
      <formula1>"average flow,household connections"</formula1>
    </dataValidation>
    <dataValidation type="list" allowBlank="1" showInputMessage="1" showErrorMessage="1" sqref="C15">
      <formula1>"ground water, surface water"</formula1>
    </dataValidation>
    <dataValidation type="list" allowBlank="1" showInputMessage="1" showErrorMessage="1" sqref="D68:D72">
      <formula1>"% installed equipment cost, $ fixed cost"</formula1>
    </dataValidation>
  </dataValidations>
  <hyperlinks>
    <hyperlink ref="E17" location="OUTPUT!A1" display="Results summary (see OUTPUT sheet for details)"/>
  </hyperlink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AE154"/>
  <sheetViews>
    <sheetView workbookViewId="0" topLeftCell="A1">
      <selection activeCell="A1" sqref="A1"/>
    </sheetView>
  </sheetViews>
  <sheetFormatPr defaultColWidth="9.140625" defaultRowHeight="12.75"/>
  <cols>
    <col min="2" max="2" width="27.28125" style="0" customWidth="1"/>
    <col min="3" max="3" width="9.7109375" style="29" customWidth="1"/>
    <col min="4" max="4" width="17.28125" style="0" customWidth="1"/>
    <col min="5" max="5" width="7.140625" style="0" customWidth="1"/>
    <col min="6" max="6" width="18.28125" style="0" customWidth="1"/>
    <col min="7" max="7" width="0" style="367" hidden="1" customWidth="1"/>
    <col min="8" max="8" width="9.57421875" style="367" hidden="1" customWidth="1"/>
    <col min="9" max="9" width="11.140625" style="0" customWidth="1"/>
    <col min="10" max="10" width="9.8515625" style="0" customWidth="1"/>
    <col min="11" max="11" width="11.140625" style="0" customWidth="1"/>
    <col min="12" max="12" width="13.140625" style="320" customWidth="1"/>
    <col min="13" max="13" width="55.140625" style="320" bestFit="1" customWidth="1"/>
    <col min="14" max="25" width="9.140625" style="320" customWidth="1"/>
    <col min="26" max="31" width="9.140625" style="313" customWidth="1"/>
  </cols>
  <sheetData>
    <row r="1" spans="1:18" ht="12.75">
      <c r="A1" s="206"/>
      <c r="B1" s="232" t="s">
        <v>227</v>
      </c>
      <c r="C1" s="329"/>
      <c r="D1" s="206"/>
      <c r="E1" s="206"/>
      <c r="F1" s="206"/>
      <c r="G1" s="367" t="s">
        <v>253</v>
      </c>
      <c r="H1" s="367" t="s">
        <v>253</v>
      </c>
      <c r="I1" s="206"/>
      <c r="J1" s="206"/>
      <c r="K1" s="206"/>
      <c r="M1" s="324" t="s">
        <v>56</v>
      </c>
      <c r="N1" s="320" t="b">
        <f>IF(contam_stand="",FALSE,TRUE)</f>
        <v>1</v>
      </c>
      <c r="O1" s="320" t="b">
        <f>IF(treat="",FALSE,TRUE)</f>
        <v>1</v>
      </c>
      <c r="P1" s="320" t="b">
        <f>IF(COUNTIF(contaminant_list,contam_stand)=0,IF(contam_stand="",TRUE,FALSE),TRUE)</f>
        <v>1</v>
      </c>
      <c r="Q1" s="320" t="b">
        <f ca="1">IF(ISERROR(COUNTIF(INDIRECT(contam_stand),TRUE)),FALSE,IF(COUNTIF(INDIRECT(contam_stand),treat)=0,IF(treat="",TRUE,FALSE),TRUE))</f>
        <v>1</v>
      </c>
      <c r="R1" s="320" t="b">
        <f>IF(average_flow&gt;design_flow,FALSE,TRUE)</f>
        <v>1</v>
      </c>
    </row>
    <row r="2" spans="1:11" ht="12.75">
      <c r="A2" s="206"/>
      <c r="B2" s="232" t="s">
        <v>329</v>
      </c>
      <c r="C2" s="330">
        <f>hh_select</f>
        <v>24</v>
      </c>
      <c r="D2" s="330"/>
      <c r="E2" s="206"/>
      <c r="F2" s="206"/>
      <c r="I2" s="206"/>
      <c r="J2" s="206"/>
      <c r="K2" s="206"/>
    </row>
    <row r="3" spans="1:11" ht="12.75">
      <c r="A3" s="206"/>
      <c r="B3" s="232" t="s">
        <v>306</v>
      </c>
      <c r="C3" s="331" t="str">
        <f>contam</f>
        <v>SOCs</v>
      </c>
      <c r="D3" s="331"/>
      <c r="E3" s="206"/>
      <c r="F3" s="206"/>
      <c r="I3" s="206"/>
      <c r="J3" s="206"/>
      <c r="K3" s="206"/>
    </row>
    <row r="4" spans="1:11" ht="12.75">
      <c r="A4" s="206"/>
      <c r="B4" s="232" t="s">
        <v>330</v>
      </c>
      <c r="C4" s="307" t="str">
        <f>IF(user=1,user_treat,treat)</f>
        <v>POU GAC</v>
      </c>
      <c r="D4" s="307"/>
      <c r="E4" s="206"/>
      <c r="F4" s="206"/>
      <c r="I4" s="206"/>
      <c r="J4" s="206"/>
      <c r="K4" s="206"/>
    </row>
    <row r="5" spans="1:11" ht="12.75">
      <c r="A5" s="206"/>
      <c r="B5" s="232" t="s">
        <v>272</v>
      </c>
      <c r="C5" s="307" t="str">
        <f>LEFT(IF(user=1,user_treat,treat),3)</f>
        <v>POU</v>
      </c>
      <c r="D5" s="331"/>
      <c r="E5" s="206"/>
      <c r="F5" s="206"/>
      <c r="I5" s="206"/>
      <c r="J5" s="206"/>
      <c r="K5" s="206"/>
    </row>
    <row r="6" spans="1:11" ht="12.75">
      <c r="A6" s="206"/>
      <c r="B6" s="232" t="s">
        <v>336</v>
      </c>
      <c r="C6" s="331" t="str">
        <f>IF(user=1,uv_user_select,uv_select)</f>
        <v>no</v>
      </c>
      <c r="D6" s="332"/>
      <c r="E6" s="206"/>
      <c r="F6" s="206"/>
      <c r="I6" s="206"/>
      <c r="J6" s="206"/>
      <c r="K6" s="206"/>
    </row>
    <row r="7" spans="1:11" ht="12.75">
      <c r="A7" s="206"/>
      <c r="B7" s="232"/>
      <c r="C7" s="332"/>
      <c r="D7" s="332"/>
      <c r="E7" s="206"/>
      <c r="F7" s="206"/>
      <c r="I7" s="206"/>
      <c r="J7" s="206"/>
      <c r="K7" s="206"/>
    </row>
    <row r="8" spans="1:12" ht="12.75">
      <c r="A8" s="333" t="s">
        <v>343</v>
      </c>
      <c r="B8" s="334"/>
      <c r="C8" s="536" t="s">
        <v>344</v>
      </c>
      <c r="D8" s="536"/>
      <c r="E8" s="536"/>
      <c r="F8" s="536"/>
      <c r="G8" s="537" t="s">
        <v>345</v>
      </c>
      <c r="H8" s="538"/>
      <c r="I8" s="536" t="s">
        <v>346</v>
      </c>
      <c r="J8" s="536" t="s">
        <v>347</v>
      </c>
      <c r="K8" s="533" t="s">
        <v>348</v>
      </c>
      <c r="L8" s="325"/>
    </row>
    <row r="9" spans="1:12" ht="12.75">
      <c r="A9" s="146" t="s">
        <v>349</v>
      </c>
      <c r="B9" s="146" t="s">
        <v>350</v>
      </c>
      <c r="C9" s="535" t="s">
        <v>351</v>
      </c>
      <c r="D9" s="535"/>
      <c r="E9" s="535" t="s">
        <v>644</v>
      </c>
      <c r="F9" s="535"/>
      <c r="G9" s="539"/>
      <c r="H9" s="539"/>
      <c r="I9" s="540"/>
      <c r="J9" s="540"/>
      <c r="K9" s="534"/>
      <c r="L9" s="325" t="s">
        <v>352</v>
      </c>
    </row>
    <row r="10" spans="1:22" ht="12.75">
      <c r="A10" s="38" t="s">
        <v>136</v>
      </c>
      <c r="B10" s="39" t="s">
        <v>355</v>
      </c>
      <c r="C10" s="40"/>
      <c r="D10" s="41"/>
      <c r="E10" s="40"/>
      <c r="F10" s="40"/>
      <c r="G10" s="368"/>
      <c r="H10" s="368"/>
      <c r="I10" s="40"/>
      <c r="J10" s="40"/>
      <c r="K10" s="335"/>
      <c r="N10" s="321" t="s">
        <v>64</v>
      </c>
      <c r="O10" s="321"/>
      <c r="P10" s="321"/>
      <c r="Q10" s="321" t="s">
        <v>69</v>
      </c>
      <c r="R10" s="321"/>
      <c r="S10" s="321"/>
      <c r="T10" s="321" t="s">
        <v>70</v>
      </c>
      <c r="U10" s="321"/>
      <c r="V10" s="321"/>
    </row>
    <row r="11" spans="1:22" ht="12.75">
      <c r="A11" s="167" t="s">
        <v>103</v>
      </c>
      <c r="B11" s="168" t="s">
        <v>440</v>
      </c>
      <c r="C11" s="168"/>
      <c r="D11" s="169"/>
      <c r="E11" s="168"/>
      <c r="F11" s="168"/>
      <c r="G11" s="369"/>
      <c r="H11" s="369"/>
      <c r="I11" s="168"/>
      <c r="J11" s="168"/>
      <c r="K11" s="336"/>
      <c r="L11" s="323"/>
      <c r="N11" s="322" t="s">
        <v>65</v>
      </c>
      <c r="O11" s="322" t="s">
        <v>66</v>
      </c>
      <c r="P11" s="322" t="s">
        <v>67</v>
      </c>
      <c r="Q11" s="322" t="s">
        <v>65</v>
      </c>
      <c r="R11" s="322" t="s">
        <v>66</v>
      </c>
      <c r="S11" s="322" t="s">
        <v>67</v>
      </c>
      <c r="T11" s="322" t="s">
        <v>65</v>
      </c>
      <c r="U11" s="322" t="s">
        <v>66</v>
      </c>
      <c r="V11" s="322" t="s">
        <v>67</v>
      </c>
    </row>
    <row r="12" spans="1:22" ht="12.75">
      <c r="A12" t="s">
        <v>104</v>
      </c>
      <c r="B12" s="43" t="s">
        <v>387</v>
      </c>
      <c r="C12" s="48">
        <f>IF(treat_select=1,0,1)</f>
        <v>1</v>
      </c>
      <c r="D12" t="s">
        <v>144</v>
      </c>
      <c r="E12" s="48">
        <f>hh_select</f>
        <v>24</v>
      </c>
      <c r="F12" t="s">
        <v>353</v>
      </c>
      <c r="H12" s="370"/>
      <c r="I12" s="75">
        <f ca="1">VLOOKUP($E12,INDIRECT(VLOOKUP(treat_select,name_list,3,FALSE)),3)</f>
        <v>418.00199999999995</v>
      </c>
      <c r="J12" s="30">
        <f>I12*C12*E12</f>
        <v>10032.047999999999</v>
      </c>
      <c r="K12" s="337">
        <f ca="1">VLOOKUP($E12,INDIRECT(VLOOKUP(treat_select,name_list,3,FALSE)),5)</f>
        <v>10</v>
      </c>
      <c r="L12" s="320" t="str">
        <f>M12</f>
        <v>Installed Treatment Equipment - POU/POE Unit Purchase</v>
      </c>
      <c r="M12" s="320" t="str">
        <f>$B$11&amp;" - "&amp;B12</f>
        <v>Installed Treatment Equipment - POU/POE Unit Purchase</v>
      </c>
      <c r="N12" s="320">
        <v>1</v>
      </c>
      <c r="O12" s="320">
        <v>1</v>
      </c>
      <c r="P12" s="320">
        <v>1</v>
      </c>
      <c r="Q12" s="320">
        <v>1</v>
      </c>
      <c r="R12" s="320">
        <v>1</v>
      </c>
      <c r="S12" s="320">
        <v>1</v>
      </c>
      <c r="T12" s="320">
        <v>1</v>
      </c>
      <c r="U12" s="320">
        <v>1</v>
      </c>
      <c r="V12" s="320">
        <v>1</v>
      </c>
    </row>
    <row r="13" spans="1:22" ht="12.75">
      <c r="A13" t="s">
        <v>105</v>
      </c>
      <c r="B13" t="s">
        <v>388</v>
      </c>
      <c r="C13" s="112">
        <f>VLOOKUP(B13,install_hours,treat_select+3,FALSE)</f>
        <v>1</v>
      </c>
      <c r="D13" t="s">
        <v>386</v>
      </c>
      <c r="E13" s="48">
        <f>hh_select</f>
        <v>24</v>
      </c>
      <c r="F13" t="s">
        <v>353</v>
      </c>
      <c r="H13" s="370"/>
      <c r="I13" s="31">
        <f>IF(user=1,IF(ISBLANK(user_install_rate),install_rate,user_install_rate),install_rate)</f>
        <v>33.12223384446878</v>
      </c>
      <c r="J13" s="30">
        <f>I13*C13*E13</f>
        <v>794.9336122672507</v>
      </c>
      <c r="K13" s="337">
        <f ca="1">VLOOKUP($E13,INDIRECT(VLOOKUP(treat_select,name_list,3,FALSE)),4)</f>
        <v>10</v>
      </c>
      <c r="L13" s="320" t="str">
        <f>M13</f>
        <v>Installed Treatment Equipment - POU/POE Installation</v>
      </c>
      <c r="M13" s="320" t="str">
        <f>$B$11&amp;" - "&amp;B13</f>
        <v>Installed Treatment Equipment - POU/POE Installation</v>
      </c>
      <c r="N13" s="320">
        <v>1</v>
      </c>
      <c r="O13" s="320">
        <v>1</v>
      </c>
      <c r="P13" s="320">
        <v>1</v>
      </c>
      <c r="Q13" s="320">
        <v>1</v>
      </c>
      <c r="R13" s="320">
        <v>1</v>
      </c>
      <c r="S13" s="320">
        <v>1</v>
      </c>
      <c r="T13" s="320">
        <v>1</v>
      </c>
      <c r="U13" s="320">
        <v>1</v>
      </c>
      <c r="V13" s="320">
        <v>1</v>
      </c>
    </row>
    <row r="14" spans="1:22" ht="12.75">
      <c r="A14" t="s">
        <v>114</v>
      </c>
      <c r="B14" t="s">
        <v>223</v>
      </c>
      <c r="C14" s="112">
        <f>VLOOKUP(B14,install_hours,treat_select+3,FALSE)</f>
        <v>0.5</v>
      </c>
      <c r="D14" t="s">
        <v>386</v>
      </c>
      <c r="E14" s="48">
        <f>hh_select</f>
        <v>24</v>
      </c>
      <c r="F14" t="s">
        <v>353</v>
      </c>
      <c r="I14" s="31">
        <f>IF(user=1,IF(ISBLANK(user_cler_rate),clerical_rate,user_cler_rate),clerical_rate)</f>
        <v>17.88937917860554</v>
      </c>
      <c r="J14" s="30">
        <f>I14*C14*E14</f>
        <v>214.6725501432665</v>
      </c>
      <c r="K14" s="338">
        <f>K16</f>
        <v>0</v>
      </c>
      <c r="L14" s="320" t="str">
        <f>M14</f>
        <v>Installed Treatment Equipment - Scheduling Time</v>
      </c>
      <c r="M14" s="320" t="str">
        <f>$B$11&amp;" - "&amp;B14</f>
        <v>Installed Treatment Equipment - Scheduling Time</v>
      </c>
      <c r="N14" s="320">
        <v>1</v>
      </c>
      <c r="O14" s="320">
        <v>1</v>
      </c>
      <c r="P14" s="320">
        <v>1</v>
      </c>
      <c r="Q14" s="320">
        <v>1</v>
      </c>
      <c r="R14" s="320">
        <v>1</v>
      </c>
      <c r="S14" s="320">
        <v>1</v>
      </c>
      <c r="T14" s="320">
        <v>1</v>
      </c>
      <c r="U14" s="320">
        <v>1</v>
      </c>
      <c r="V14" s="320">
        <v>1</v>
      </c>
    </row>
    <row r="15" spans="1:22" ht="12.75">
      <c r="A15" t="s">
        <v>115</v>
      </c>
      <c r="B15" t="s">
        <v>385</v>
      </c>
      <c r="C15" s="48">
        <f>uv</f>
        <v>0</v>
      </c>
      <c r="D15" t="s">
        <v>144</v>
      </c>
      <c r="E15" s="48">
        <f>uv*hh_select</f>
        <v>0</v>
      </c>
      <c r="F15" t="s">
        <v>353</v>
      </c>
      <c r="I15" s="143">
        <f>uv*IF(user=1,IF(user_uv_cost="",IF(C5="POU",VLOOKUP(hh_select,pou_uv_equipment,3),VLOOKUP(hh_select,poe_uv_equipment,3)),user_uv_cost),IF(C5="POU",VLOOKUP(hh_select,pou_uv_equipment,3),VLOOKUP(hh_select,poe_uv_equipment,3)))</f>
        <v>0</v>
      </c>
      <c r="J15" s="30">
        <f>I15*C15*E15</f>
        <v>0</v>
      </c>
      <c r="K15" s="339">
        <f>uv*IF(user=1,IF(user_uv_cost="",VLOOKUP(hh_select,pou_uv_equipment,5),VLOOKUP(hh_select,user_uv_equipment,5)),VLOOKUP(hh_select,pou_uv_equipment,5))</f>
        <v>0</v>
      </c>
      <c r="L15" s="320" t="str">
        <f>M15</f>
        <v>Installed Treatment Equipment - UV Purchase</v>
      </c>
      <c r="M15" s="320" t="str">
        <f>$B$11&amp;" - "&amp;B15</f>
        <v>Installed Treatment Equipment - UV Purchase</v>
      </c>
      <c r="N15" s="320">
        <v>1</v>
      </c>
      <c r="O15" s="320">
        <v>1</v>
      </c>
      <c r="P15" s="320">
        <v>1</v>
      </c>
      <c r="Q15" s="320">
        <v>1</v>
      </c>
      <c r="R15" s="320">
        <v>1</v>
      </c>
      <c r="S15" s="320">
        <v>1</v>
      </c>
      <c r="T15" s="320">
        <v>1</v>
      </c>
      <c r="U15" s="320">
        <v>1</v>
      </c>
      <c r="V15" s="320">
        <v>1</v>
      </c>
    </row>
    <row r="16" spans="1:22" ht="12.75">
      <c r="A16" t="s">
        <v>222</v>
      </c>
      <c r="B16" t="s">
        <v>384</v>
      </c>
      <c r="C16" s="112">
        <f>uv*VLOOKUP(B16,install_hours,treat_select+3,FALSE)</f>
        <v>0</v>
      </c>
      <c r="D16" t="s">
        <v>386</v>
      </c>
      <c r="E16" s="48">
        <f>uv*hh_select</f>
        <v>0</v>
      </c>
      <c r="F16" t="s">
        <v>353</v>
      </c>
      <c r="I16" s="31">
        <f>uv*IF(user=1,IF(ISBLANK(user_install_rate),install_rate,user_install_rate),install_rate)</f>
        <v>0</v>
      </c>
      <c r="J16" s="30">
        <f>I16*C16*E16</f>
        <v>0</v>
      </c>
      <c r="K16" s="338">
        <f>K15</f>
        <v>0</v>
      </c>
      <c r="L16" s="320" t="str">
        <f>M16</f>
        <v>Installed Treatment Equipment - UV Installation</v>
      </c>
      <c r="M16" s="320" t="str">
        <f>$B$11&amp;" - "&amp;B16</f>
        <v>Installed Treatment Equipment - UV Installation</v>
      </c>
      <c r="N16" s="320">
        <v>1</v>
      </c>
      <c r="O16" s="320">
        <v>1</v>
      </c>
      <c r="P16" s="320">
        <v>1</v>
      </c>
      <c r="Q16" s="320">
        <v>1</v>
      </c>
      <c r="R16" s="320">
        <v>1</v>
      </c>
      <c r="S16" s="320">
        <v>1</v>
      </c>
      <c r="T16" s="320">
        <v>1</v>
      </c>
      <c r="U16" s="320">
        <v>1</v>
      </c>
      <c r="V16" s="320">
        <v>1</v>
      </c>
    </row>
    <row r="17" spans="1:12" ht="12.75">
      <c r="A17" s="167" t="s">
        <v>137</v>
      </c>
      <c r="B17" s="168" t="s">
        <v>62</v>
      </c>
      <c r="C17" s="168"/>
      <c r="D17" s="169"/>
      <c r="E17" s="168"/>
      <c r="F17" s="168"/>
      <c r="G17" s="369"/>
      <c r="H17" s="369"/>
      <c r="I17" s="168"/>
      <c r="J17" s="168"/>
      <c r="K17" s="336"/>
      <c r="L17" s="323"/>
    </row>
    <row r="18" spans="1:11" ht="12.75">
      <c r="A18" s="174" t="s">
        <v>116</v>
      </c>
      <c r="B18" s="174" t="s">
        <v>406</v>
      </c>
      <c r="C18" s="171"/>
      <c r="D18" s="170"/>
      <c r="E18" s="170"/>
      <c r="F18" s="170"/>
      <c r="G18" s="368"/>
      <c r="H18" s="368"/>
      <c r="I18" s="172"/>
      <c r="J18" s="173"/>
      <c r="K18" s="340"/>
    </row>
    <row r="19" spans="1:22" ht="12.75">
      <c r="A19" t="s">
        <v>117</v>
      </c>
      <c r="B19" s="16" t="s">
        <v>407</v>
      </c>
      <c r="C19" s="112">
        <f>VLOOKUP(B19,tech_labor,treat_select+3,FALSE)</f>
        <v>10</v>
      </c>
      <c r="D19" t="s">
        <v>413</v>
      </c>
      <c r="I19" s="31">
        <f>IF(user=1,IF(ISBLANK(user_tech_rate),tech_rate,user_tech_rate),tech_rate)</f>
        <v>25.07481375358166</v>
      </c>
      <c r="J19" s="30">
        <f>I19*C19</f>
        <v>250.74813753581662</v>
      </c>
      <c r="K19" s="341" t="s">
        <v>309</v>
      </c>
      <c r="L19" s="320" t="str">
        <f>M19</f>
        <v>Public Education - Technical Labor - Develop materials</v>
      </c>
      <c r="M19" s="320" t="str">
        <f>$B$17&amp;" - "&amp;$B$18&amp;" - "&amp;B19</f>
        <v>Public Education - Technical Labor - Develop materials</v>
      </c>
      <c r="N19" s="320">
        <v>1</v>
      </c>
      <c r="O19" s="320">
        <v>1</v>
      </c>
      <c r="P19" s="320">
        <v>1</v>
      </c>
      <c r="Q19" s="320">
        <v>1</v>
      </c>
      <c r="R19" s="320">
        <v>1</v>
      </c>
      <c r="S19" s="320">
        <v>1</v>
      </c>
      <c r="T19" s="320">
        <v>1</v>
      </c>
      <c r="U19" s="320">
        <v>1</v>
      </c>
      <c r="V19" s="320">
        <v>1</v>
      </c>
    </row>
    <row r="20" spans="1:22" ht="12.75">
      <c r="A20" t="s">
        <v>118</v>
      </c>
      <c r="B20" s="16" t="s">
        <v>408</v>
      </c>
      <c r="C20" s="112">
        <f>nitrate_select*VLOOKUP(B20,tech_labor,treat_select+3,FALSE)</f>
        <v>0</v>
      </c>
      <c r="D20" t="s">
        <v>413</v>
      </c>
      <c r="I20" s="31">
        <f>IF(user=1,IF(ISBLANK(user_tech_rate),tech_rate,user_tech_rate),tech_rate)</f>
        <v>25.07481375358166</v>
      </c>
      <c r="J20" s="30">
        <f>I20*C20</f>
        <v>0</v>
      </c>
      <c r="K20" s="342" t="s">
        <v>309</v>
      </c>
      <c r="L20" s="320" t="str">
        <f>M20</f>
        <v>Public Education - Technical Labor - Nitrate health effects</v>
      </c>
      <c r="M20" s="320" t="str">
        <f>$B$17&amp;" - "&amp;$B$18&amp;" - "&amp;B20</f>
        <v>Public Education - Technical Labor - Nitrate health effects</v>
      </c>
      <c r="N20" s="320">
        <v>1</v>
      </c>
      <c r="O20" s="320">
        <v>1</v>
      </c>
      <c r="P20" s="320">
        <v>1</v>
      </c>
      <c r="Q20" s="320">
        <v>1</v>
      </c>
      <c r="R20" s="320">
        <v>1</v>
      </c>
      <c r="S20" s="320">
        <v>1</v>
      </c>
      <c r="T20" s="320">
        <v>1</v>
      </c>
      <c r="U20" s="320">
        <v>1</v>
      </c>
      <c r="V20" s="320">
        <v>1</v>
      </c>
    </row>
    <row r="21" spans="1:22" ht="12.75">
      <c r="A21" t="s">
        <v>119</v>
      </c>
      <c r="B21" s="16" t="s">
        <v>409</v>
      </c>
      <c r="C21" s="112">
        <f>VLOOKUP(B21,tech_labor,treat_select+3,FALSE)</f>
        <v>2</v>
      </c>
      <c r="D21" t="s">
        <v>413</v>
      </c>
      <c r="I21" s="31">
        <f>IF(user=1,IF(ISBLANK(user_tech_rate),tech_rate,user_tech_rate),tech_rate)</f>
        <v>25.07481375358166</v>
      </c>
      <c r="J21" s="30">
        <f>I21*C21</f>
        <v>50.14962750716332</v>
      </c>
      <c r="K21" s="342" t="s">
        <v>309</v>
      </c>
      <c r="L21" s="320" t="str">
        <f>M21</f>
        <v>Public Education - Technical Labor - Meetings</v>
      </c>
      <c r="M21" s="320" t="str">
        <f>$B$17&amp;" - "&amp;$B$18&amp;" - "&amp;B21</f>
        <v>Public Education - Technical Labor - Meetings</v>
      </c>
      <c r="N21" s="320">
        <v>1</v>
      </c>
      <c r="O21" s="320">
        <v>1</v>
      </c>
      <c r="P21" s="320">
        <v>1</v>
      </c>
      <c r="Q21" s="320">
        <v>1</v>
      </c>
      <c r="R21" s="320">
        <v>1</v>
      </c>
      <c r="S21" s="320">
        <v>1</v>
      </c>
      <c r="T21" s="320">
        <v>1</v>
      </c>
      <c r="U21" s="320">
        <v>1</v>
      </c>
      <c r="V21" s="320">
        <v>1</v>
      </c>
    </row>
    <row r="22" spans="1:22" ht="12.75">
      <c r="A22" t="s">
        <v>120</v>
      </c>
      <c r="B22" s="16" t="s">
        <v>410</v>
      </c>
      <c r="C22" s="112">
        <f>VLOOKUP(B22,tech_labor,treat_select+3,FALSE)</f>
        <v>2</v>
      </c>
      <c r="D22" t="s">
        <v>413</v>
      </c>
      <c r="I22" s="31">
        <f>IF(user=1,IF(ISBLANK(user_tech_rate),tech_rate,user_tech_rate),tech_rate)</f>
        <v>25.07481375358166</v>
      </c>
      <c r="J22" s="30">
        <f>I22*C22</f>
        <v>50.14962750716332</v>
      </c>
      <c r="K22" s="342" t="s">
        <v>309</v>
      </c>
      <c r="L22" s="320" t="str">
        <f>M22</f>
        <v>Public Education - Technical Labor - Post-meeting</v>
      </c>
      <c r="M22" s="320" t="str">
        <f>$B$17&amp;" - "&amp;$B$18&amp;" - "&amp;B22</f>
        <v>Public Education - Technical Labor - Post-meeting</v>
      </c>
      <c r="N22" s="320">
        <v>1</v>
      </c>
      <c r="O22" s="320">
        <v>1</v>
      </c>
      <c r="P22" s="320">
        <v>1</v>
      </c>
      <c r="Q22" s="320">
        <v>1</v>
      </c>
      <c r="R22" s="320">
        <v>1</v>
      </c>
      <c r="S22" s="320">
        <v>1</v>
      </c>
      <c r="T22" s="320">
        <v>1</v>
      </c>
      <c r="U22" s="320">
        <v>1</v>
      </c>
      <c r="V22" s="320">
        <v>1</v>
      </c>
    </row>
    <row r="23" spans="1:11" ht="12.75">
      <c r="A23" s="174" t="s">
        <v>121</v>
      </c>
      <c r="B23" s="174" t="s">
        <v>337</v>
      </c>
      <c r="C23" s="171"/>
      <c r="D23" s="170"/>
      <c r="E23" s="170"/>
      <c r="F23" s="170"/>
      <c r="G23" s="368"/>
      <c r="H23" s="368"/>
      <c r="I23" s="172"/>
      <c r="J23" s="173"/>
      <c r="K23" s="340"/>
    </row>
    <row r="24" spans="1:22" ht="12.75">
      <c r="A24" t="s">
        <v>122</v>
      </c>
      <c r="B24" s="16" t="s">
        <v>407</v>
      </c>
      <c r="C24" s="112">
        <f>VLOOKUP(B24,clerical_labor,treat_select+3,FALSE)</f>
        <v>6</v>
      </c>
      <c r="D24" t="s">
        <v>413</v>
      </c>
      <c r="I24" s="31">
        <f>IF(user=1,IF(ISBLANK(user_cler_rate),clerical_rate,user_cler_rate),clerical_rate)</f>
        <v>17.88937917860554</v>
      </c>
      <c r="J24" s="30">
        <f>I24*C24</f>
        <v>107.33627507163325</v>
      </c>
      <c r="K24" s="341" t="s">
        <v>309</v>
      </c>
      <c r="L24" s="320" t="str">
        <f>M24</f>
        <v>Public Education - Clerical Labor - Develop materials</v>
      </c>
      <c r="M24" s="320" t="str">
        <f>$B$17&amp;" - "&amp;$B$23&amp;" - "&amp;B24</f>
        <v>Public Education - Clerical Labor - Develop materials</v>
      </c>
      <c r="N24" s="320">
        <v>1</v>
      </c>
      <c r="O24" s="320">
        <v>1</v>
      </c>
      <c r="P24" s="320">
        <v>1</v>
      </c>
      <c r="Q24" s="320">
        <v>1</v>
      </c>
      <c r="R24" s="320">
        <v>1</v>
      </c>
      <c r="S24" s="320">
        <v>1</v>
      </c>
      <c r="T24" s="320">
        <v>1</v>
      </c>
      <c r="U24" s="320">
        <v>1</v>
      </c>
      <c r="V24" s="320">
        <v>1</v>
      </c>
    </row>
    <row r="25" spans="1:22" ht="12.75">
      <c r="A25" t="s">
        <v>123</v>
      </c>
      <c r="B25" s="16" t="s">
        <v>408</v>
      </c>
      <c r="C25" s="112">
        <f>nitrate_select*VLOOKUP(B25,clerical_labor,treat_select+3,FALSE)</f>
        <v>0</v>
      </c>
      <c r="D25" t="s">
        <v>413</v>
      </c>
      <c r="I25" s="31">
        <f>IF(user=1,IF(ISBLANK(user_cler_rate),clerical_rate,user_cler_rate),clerical_rate)</f>
        <v>17.88937917860554</v>
      </c>
      <c r="J25" s="30">
        <f>I25*C25</f>
        <v>0</v>
      </c>
      <c r="K25" s="342" t="s">
        <v>309</v>
      </c>
      <c r="L25" s="320" t="str">
        <f>M25</f>
        <v>Public Education - Clerical Labor - Nitrate health effects</v>
      </c>
      <c r="M25" s="320" t="str">
        <f>$B$17&amp;" - "&amp;$B$23&amp;" - "&amp;B25</f>
        <v>Public Education - Clerical Labor - Nitrate health effects</v>
      </c>
      <c r="N25" s="320">
        <v>1</v>
      </c>
      <c r="O25" s="320">
        <v>1</v>
      </c>
      <c r="P25" s="320">
        <v>1</v>
      </c>
      <c r="Q25" s="320">
        <v>1</v>
      </c>
      <c r="R25" s="320">
        <v>1</v>
      </c>
      <c r="S25" s="320">
        <v>1</v>
      </c>
      <c r="T25" s="320">
        <v>1</v>
      </c>
      <c r="U25" s="320">
        <v>1</v>
      </c>
      <c r="V25" s="320">
        <v>1</v>
      </c>
    </row>
    <row r="26" spans="1:22" ht="12.75">
      <c r="A26" t="s">
        <v>124</v>
      </c>
      <c r="B26" s="16" t="s">
        <v>409</v>
      </c>
      <c r="C26" s="112">
        <f>VLOOKUP(B26,clerical_labor,treat_select+3,FALSE)</f>
        <v>2</v>
      </c>
      <c r="D26" t="s">
        <v>413</v>
      </c>
      <c r="I26" s="31">
        <f>IF(user=1,IF(ISBLANK(user_cler_rate),clerical_rate,user_cler_rate),clerical_rate)</f>
        <v>17.88937917860554</v>
      </c>
      <c r="J26" s="30">
        <f>I26*C26</f>
        <v>35.77875835721108</v>
      </c>
      <c r="K26" s="342" t="s">
        <v>309</v>
      </c>
      <c r="L26" s="320" t="str">
        <f>M26</f>
        <v>Public Education - Clerical Labor - Meetings</v>
      </c>
      <c r="M26" s="320" t="str">
        <f>$B$17&amp;" - "&amp;$B$23&amp;" - "&amp;B26</f>
        <v>Public Education - Clerical Labor - Meetings</v>
      </c>
      <c r="N26" s="320">
        <v>1</v>
      </c>
      <c r="O26" s="320">
        <v>1</v>
      </c>
      <c r="P26" s="320">
        <v>1</v>
      </c>
      <c r="Q26" s="320">
        <v>1</v>
      </c>
      <c r="R26" s="320">
        <v>1</v>
      </c>
      <c r="S26" s="320">
        <v>1</v>
      </c>
      <c r="T26" s="320">
        <v>1</v>
      </c>
      <c r="U26" s="320">
        <v>1</v>
      </c>
      <c r="V26" s="320">
        <v>1</v>
      </c>
    </row>
    <row r="27" spans="1:22" ht="12.75">
      <c r="A27" t="s">
        <v>125</v>
      </c>
      <c r="B27" s="16" t="s">
        <v>410</v>
      </c>
      <c r="C27" s="112">
        <f>VLOOKUP(B27,clerical_labor,treat_select+3,FALSE)</f>
        <v>2</v>
      </c>
      <c r="D27" t="s">
        <v>413</v>
      </c>
      <c r="I27" s="31">
        <f>IF(user=1,IF(ISBLANK(user_cler_rate),clerical_rate,user_cler_rate),clerical_rate)</f>
        <v>17.88937917860554</v>
      </c>
      <c r="J27" s="30">
        <f>I27*C27</f>
        <v>35.77875835721108</v>
      </c>
      <c r="K27" s="342" t="s">
        <v>309</v>
      </c>
      <c r="L27" s="320" t="str">
        <f>M27</f>
        <v>Public Education - Clerical Labor - Post-meeting</v>
      </c>
      <c r="M27" s="320" t="str">
        <f>$B$17&amp;" - "&amp;$B$23&amp;" - "&amp;B27</f>
        <v>Public Education - Clerical Labor - Post-meeting</v>
      </c>
      <c r="N27" s="320">
        <v>1</v>
      </c>
      <c r="O27" s="320">
        <v>1</v>
      </c>
      <c r="P27" s="320">
        <v>1</v>
      </c>
      <c r="Q27" s="320">
        <v>1</v>
      </c>
      <c r="R27" s="320">
        <v>1</v>
      </c>
      <c r="S27" s="320">
        <v>1</v>
      </c>
      <c r="T27" s="320">
        <v>1</v>
      </c>
      <c r="U27" s="320">
        <v>1</v>
      </c>
      <c r="V27" s="320">
        <v>1</v>
      </c>
    </row>
    <row r="28" spans="1:11" ht="12.75">
      <c r="A28" s="174" t="s">
        <v>126</v>
      </c>
      <c r="B28" s="174" t="s">
        <v>63</v>
      </c>
      <c r="C28" s="171"/>
      <c r="D28" s="170"/>
      <c r="E28" s="170"/>
      <c r="F28" s="170"/>
      <c r="G28" s="368"/>
      <c r="H28" s="368"/>
      <c r="I28" s="172"/>
      <c r="J28" s="173"/>
      <c r="K28" s="340"/>
    </row>
    <row r="29" spans="1:22" ht="12.75">
      <c r="A29" t="s">
        <v>127</v>
      </c>
      <c r="B29" s="16" t="s">
        <v>392</v>
      </c>
      <c r="C29" s="48">
        <f>VLOOKUP(B29,ed_material,treat_select+3,FALSE)</f>
        <v>10</v>
      </c>
      <c r="D29" t="s">
        <v>391</v>
      </c>
      <c r="I29" s="31">
        <f>IF(user=1,IF(ISBLANK(user_flyer_cost),VLOOKUP($B29,printed_material_cost,3,FALSE),user_flyer_cost),VLOOKUP($B29,printed_material_cost,3,FALSE))</f>
        <v>2.122826086956522</v>
      </c>
      <c r="J29" s="30">
        <f>I29*C29</f>
        <v>21.22826086956522</v>
      </c>
      <c r="K29" s="343" t="str">
        <f>VLOOKUP($B29,printed_material_cost,5,FALSE)</f>
        <v>N/A</v>
      </c>
      <c r="L29" s="320" t="str">
        <f>M29</f>
        <v>Public Education - Printed Material - Meeting flyers</v>
      </c>
      <c r="M29" s="320" t="str">
        <f>$B$17&amp;" - "&amp;$B$28&amp;" - "&amp;B29</f>
        <v>Public Education - Printed Material - Meeting flyers</v>
      </c>
      <c r="N29" s="320">
        <v>1</v>
      </c>
      <c r="O29" s="320">
        <v>1</v>
      </c>
      <c r="P29" s="320">
        <v>1</v>
      </c>
      <c r="Q29" s="320">
        <v>1</v>
      </c>
      <c r="R29" s="320">
        <v>1</v>
      </c>
      <c r="S29" s="320">
        <v>1</v>
      </c>
      <c r="T29" s="320">
        <v>1</v>
      </c>
      <c r="U29" s="320">
        <v>1</v>
      </c>
      <c r="V29" s="320">
        <v>1</v>
      </c>
    </row>
    <row r="30" spans="1:22" ht="12.75">
      <c r="A30" t="s">
        <v>128</v>
      </c>
      <c r="B30" s="16" t="s">
        <v>393</v>
      </c>
      <c r="C30" s="48">
        <f>VLOOKUP(B30,ed_material,treat_select+3,FALSE)</f>
        <v>1</v>
      </c>
      <c r="D30" t="s">
        <v>396</v>
      </c>
      <c r="I30" s="31">
        <f>IF(user=1,IF(ISBLANK(user_ad_cost),VLOOKUP($B30,printed_material_cost,3,FALSE),user_ad_cost),VLOOKUP($B30,printed_material_cost,3,FALSE))</f>
        <v>42.45652173913044</v>
      </c>
      <c r="J30" s="30">
        <f>I30*C30</f>
        <v>42.45652173913044</v>
      </c>
      <c r="K30" s="343" t="str">
        <f>VLOOKUP($B30,printed_material_cost,5,FALSE)</f>
        <v>N/A</v>
      </c>
      <c r="L30" s="320" t="str">
        <f>M30</f>
        <v>Public Education - Printed Material - Meeting ads</v>
      </c>
      <c r="M30" s="320" t="str">
        <f>$B$17&amp;" - "&amp;$B$28&amp;" - "&amp;B30</f>
        <v>Public Education - Printed Material - Meeting ads</v>
      </c>
      <c r="N30" s="320">
        <v>1</v>
      </c>
      <c r="O30" s="320">
        <v>1</v>
      </c>
      <c r="P30" s="320">
        <v>1</v>
      </c>
      <c r="Q30" s="320">
        <v>1</v>
      </c>
      <c r="R30" s="320">
        <v>1</v>
      </c>
      <c r="S30" s="320">
        <v>1</v>
      </c>
      <c r="T30" s="320">
        <v>1</v>
      </c>
      <c r="U30" s="320">
        <v>1</v>
      </c>
      <c r="V30" s="320">
        <v>1</v>
      </c>
    </row>
    <row r="31" spans="1:22" ht="12.75">
      <c r="A31" t="s">
        <v>129</v>
      </c>
      <c r="B31" s="16" t="s">
        <v>554</v>
      </c>
      <c r="C31" s="48">
        <f>nitrate_select*VLOOKUP(B31,ed_material,treat_select+3,FALSE)</f>
        <v>0</v>
      </c>
      <c r="D31" t="s">
        <v>391</v>
      </c>
      <c r="I31" s="31">
        <f>IF(user=1,IF(ISBLANK(user_flyer_cost),VLOOKUP($B31,printed_material_cost,3,FALSE),user_flyer_cost),VLOOKUP($B31,printed_material_cost,3,FALSE))</f>
        <v>2.122826086956522</v>
      </c>
      <c r="J31" s="30">
        <f>I31*C31</f>
        <v>0</v>
      </c>
      <c r="K31" s="343" t="str">
        <f>VLOOKUP($B31,printed_material_cost,5,FALSE)</f>
        <v>N/A</v>
      </c>
      <c r="L31" s="320" t="str">
        <f>M31</f>
        <v>Public Education - Printed Material - Nitrate awareness flyers</v>
      </c>
      <c r="M31" s="320" t="str">
        <f>$B$17&amp;" - "&amp;$B$28&amp;" - "&amp;B31</f>
        <v>Public Education - Printed Material - Nitrate awareness flyers</v>
      </c>
      <c r="N31" s="320">
        <v>1</v>
      </c>
      <c r="O31" s="320">
        <v>1</v>
      </c>
      <c r="P31" s="320">
        <v>1</v>
      </c>
      <c r="Q31" s="320">
        <v>1</v>
      </c>
      <c r="R31" s="320">
        <v>1</v>
      </c>
      <c r="S31" s="320">
        <v>1</v>
      </c>
      <c r="T31" s="320">
        <v>1</v>
      </c>
      <c r="U31" s="320">
        <v>1</v>
      </c>
      <c r="V31" s="320">
        <v>1</v>
      </c>
    </row>
    <row r="32" spans="1:22" ht="12.75">
      <c r="A32" t="s">
        <v>130</v>
      </c>
      <c r="B32" s="16" t="s">
        <v>394</v>
      </c>
      <c r="C32" s="48">
        <f>VLOOKUP(B32,ed_material,treat_select+3,FALSE)</f>
        <v>3</v>
      </c>
      <c r="D32" t="s">
        <v>397</v>
      </c>
      <c r="E32" s="48">
        <f>hh_select</f>
        <v>24</v>
      </c>
      <c r="F32" t="s">
        <v>353</v>
      </c>
      <c r="H32" s="370"/>
      <c r="I32" s="31">
        <f>IF(user=1,IF(ISBLANK(user_print_cost),VLOOKUP($B32,printed_material_cost,3,FALSE),user_print_cost),VLOOKUP($B32,printed_material_cost,3,FALSE))</f>
        <v>0.08491304347826088</v>
      </c>
      <c r="J32" s="30">
        <f>I32*E32*C32</f>
        <v>6.113739130434784</v>
      </c>
      <c r="K32" s="343" t="str">
        <f>VLOOKUP($B32,printed_material_cost,5,FALSE)</f>
        <v>N/A</v>
      </c>
      <c r="L32" s="320" t="str">
        <f>M32</f>
        <v>Public Education - Printed Material - Meeting handouts</v>
      </c>
      <c r="M32" s="320" t="str">
        <f>$B$17&amp;" - "&amp;$B$28&amp;" - "&amp;B32</f>
        <v>Public Education - Printed Material - Meeting handouts</v>
      </c>
      <c r="N32" s="320">
        <v>1</v>
      </c>
      <c r="O32" s="320">
        <v>1</v>
      </c>
      <c r="P32" s="320">
        <v>1</v>
      </c>
      <c r="Q32" s="320">
        <v>1</v>
      </c>
      <c r="R32" s="320">
        <v>1</v>
      </c>
      <c r="S32" s="320">
        <v>1</v>
      </c>
      <c r="T32" s="320">
        <v>1</v>
      </c>
      <c r="U32" s="320">
        <v>1</v>
      </c>
      <c r="V32" s="320">
        <v>1</v>
      </c>
    </row>
    <row r="33" spans="1:22" ht="12.75">
      <c r="A33" t="s">
        <v>131</v>
      </c>
      <c r="B33" s="16" t="s">
        <v>395</v>
      </c>
      <c r="C33" s="48">
        <f>VLOOKUP(B33,ed_material,treat_select+3,FALSE)</f>
        <v>2</v>
      </c>
      <c r="D33" t="s">
        <v>397</v>
      </c>
      <c r="E33" s="48">
        <f>hh_select</f>
        <v>24</v>
      </c>
      <c r="F33" t="s">
        <v>353</v>
      </c>
      <c r="H33" s="370"/>
      <c r="I33" s="31">
        <f>IF(user=1,IF(ISBLANK(user_print_cost),VLOOKUP($B33,printed_material_cost,3,FALSE),user_print_cost),VLOOKUP($B33,printed_material_cost,3,FALSE))</f>
        <v>0.08491304347826088</v>
      </c>
      <c r="J33" s="30">
        <f>I33*E33*C33</f>
        <v>4.075826086956522</v>
      </c>
      <c r="K33" s="343" t="str">
        <f>VLOOKUP($B33,printed_material_cost,5,FALSE)</f>
        <v>N/A</v>
      </c>
      <c r="L33" s="320" t="str">
        <f>M33</f>
        <v>Public Education - Printed Material - Billing mailers</v>
      </c>
      <c r="M33" s="320" t="str">
        <f>$B$17&amp;" - "&amp;$B$28&amp;" - "&amp;B33</f>
        <v>Public Education - Printed Material - Billing mailers</v>
      </c>
      <c r="N33" s="320">
        <v>1</v>
      </c>
      <c r="O33" s="320">
        <v>1</v>
      </c>
      <c r="P33" s="320">
        <v>1</v>
      </c>
      <c r="Q33" s="320">
        <v>1</v>
      </c>
      <c r="R33" s="320">
        <v>1</v>
      </c>
      <c r="S33" s="320">
        <v>1</v>
      </c>
      <c r="T33" s="320">
        <v>1</v>
      </c>
      <c r="U33" s="320">
        <v>1</v>
      </c>
      <c r="V33" s="320">
        <v>1</v>
      </c>
    </row>
    <row r="34" spans="1:12" ht="14.25">
      <c r="A34" s="167" t="s">
        <v>145</v>
      </c>
      <c r="B34" s="168" t="s">
        <v>262</v>
      </c>
      <c r="C34" s="168"/>
      <c r="D34" s="169"/>
      <c r="E34" s="168"/>
      <c r="F34" s="168"/>
      <c r="G34" s="369"/>
      <c r="H34" s="369"/>
      <c r="I34" s="168"/>
      <c r="J34" s="168"/>
      <c r="K34" s="336"/>
      <c r="L34" s="323"/>
    </row>
    <row r="35" spans="1:31" s="36" customFormat="1" ht="12.75">
      <c r="A35" s="36" t="s">
        <v>132</v>
      </c>
      <c r="B35" s="16" t="s">
        <v>457</v>
      </c>
      <c r="C35" s="112">
        <f>VLOOKUP(B35,initial_sample,treat_select+3,FALSE)</f>
        <v>0.25</v>
      </c>
      <c r="D35" s="43" t="s">
        <v>386</v>
      </c>
      <c r="E35" s="48">
        <f>hh_select-IF(nitrate_select=1,hh_select,ROUND(hh_select*VLOOKUP("Frequency",lab_analysis,treat_select+3,FALSE),0))</f>
        <v>16</v>
      </c>
      <c r="F35" t="s">
        <v>353</v>
      </c>
      <c r="G35" s="371"/>
      <c r="H35" s="370"/>
      <c r="I35" s="31">
        <f>IF(user=1,IF(ISBLANK(user_tech_rate),tech_rate,user_tech_rate),tech_rate)</f>
        <v>25.07481375358166</v>
      </c>
      <c r="J35" s="113">
        <f>I35*C35*E35</f>
        <v>100.29925501432665</v>
      </c>
      <c r="K35" s="341" t="s">
        <v>309</v>
      </c>
      <c r="L35" s="320" t="str">
        <f>M35</f>
        <v>Initial Year Monitoring 1 - Sampling time</v>
      </c>
      <c r="M35" s="320" t="str">
        <f>$B$34&amp;" - "&amp;B35</f>
        <v>Initial Year Monitoring 1 - Sampling time</v>
      </c>
      <c r="N35" s="320">
        <v>1</v>
      </c>
      <c r="O35" s="320">
        <v>1</v>
      </c>
      <c r="P35" s="320">
        <v>1</v>
      </c>
      <c r="Q35" s="320">
        <v>1</v>
      </c>
      <c r="R35" s="320">
        <v>1</v>
      </c>
      <c r="S35" s="320">
        <v>1</v>
      </c>
      <c r="T35" s="320">
        <v>1</v>
      </c>
      <c r="U35" s="320">
        <v>1</v>
      </c>
      <c r="V35" s="320">
        <v>1</v>
      </c>
      <c r="W35" s="320"/>
      <c r="X35" s="320"/>
      <c r="Y35" s="320"/>
      <c r="Z35" s="319"/>
      <c r="AA35" s="319"/>
      <c r="AB35" s="319"/>
      <c r="AC35" s="319"/>
      <c r="AD35" s="319"/>
      <c r="AE35" s="319"/>
    </row>
    <row r="36" spans="1:22" ht="12.75">
      <c r="A36" t="s">
        <v>133</v>
      </c>
      <c r="B36" s="16" t="s">
        <v>459</v>
      </c>
      <c r="C36" s="112">
        <f>VLOOKUP(B36,initial_sample,treat_select+3,FALSE)</f>
        <v>0</v>
      </c>
      <c r="D36" s="43" t="s">
        <v>386</v>
      </c>
      <c r="E36" s="48">
        <f>hh_select-IF(nitrate_select=1,hh_select,ROUND(hh_select*VLOOKUP("Frequency",lab_analysis,treat_select+3,FALSE),0))</f>
        <v>16</v>
      </c>
      <c r="F36" t="s">
        <v>353</v>
      </c>
      <c r="H36" s="370"/>
      <c r="I36" s="31">
        <f>IF(user=1,IF(ISBLANK(user_cler_rate),clerical_rate,user_cler_rate),clerical_rate)</f>
        <v>17.88937917860554</v>
      </c>
      <c r="J36" s="113">
        <f>I36*C36*E36</f>
        <v>0</v>
      </c>
      <c r="K36" s="341" t="s">
        <v>309</v>
      </c>
      <c r="L36" s="320" t="str">
        <f>M36</f>
        <v>Initial Year Monitoring 1 - Sampling scheduling time</v>
      </c>
      <c r="M36" s="320" t="str">
        <f>$B$34&amp;" - "&amp;B36</f>
        <v>Initial Year Monitoring 1 - Sampling scheduling time</v>
      </c>
      <c r="N36" s="320">
        <v>1</v>
      </c>
      <c r="O36" s="320">
        <v>1</v>
      </c>
      <c r="P36" s="320">
        <v>1</v>
      </c>
      <c r="Q36" s="320">
        <v>1</v>
      </c>
      <c r="R36" s="320">
        <v>1</v>
      </c>
      <c r="S36" s="320">
        <v>1</v>
      </c>
      <c r="T36" s="320">
        <v>1</v>
      </c>
      <c r="U36" s="320">
        <v>1</v>
      </c>
      <c r="V36" s="320">
        <v>1</v>
      </c>
    </row>
    <row r="37" spans="1:22" ht="12.75">
      <c r="A37" t="s">
        <v>134</v>
      </c>
      <c r="B37" s="16" t="s">
        <v>538</v>
      </c>
      <c r="C37" s="48">
        <f>VLOOKUP(B37,initial_sample,treat_select+3,FALSE)</f>
        <v>1</v>
      </c>
      <c r="D37" s="43" t="s">
        <v>662</v>
      </c>
      <c r="E37" s="48">
        <f>hh_select-IF(nitrate_select=1,hh_select,ROUND(hh_select*VLOOKUP("Frequency",lab_analysis,treat_select+3,FALSE),0))</f>
        <v>16</v>
      </c>
      <c r="F37" s="43" t="s">
        <v>353</v>
      </c>
      <c r="G37" s="372"/>
      <c r="H37" s="370"/>
      <c r="I37" s="31">
        <f>IF(user=1,IF(ISBLANK(user_lab_cost),VLOOKUP($C3,lab_analysis_cost,3,FALSE),user_lab_cost),VLOOKUP($C3,lab_analysis_cost,3,FALSE))</f>
        <v>183.33333333333334</v>
      </c>
      <c r="J37" s="113">
        <f>I37*C37*E37</f>
        <v>2933.3333333333335</v>
      </c>
      <c r="K37" s="341" t="str">
        <f>VLOOKUP($C3,lab_analysis_cost,5,FALSE)</f>
        <v>N/A</v>
      </c>
      <c r="L37" s="320" t="str">
        <f>M37</f>
        <v>Initial Year Monitoring 1 - Analysis</v>
      </c>
      <c r="M37" s="320" t="str">
        <f>$B$34&amp;" - "&amp;B37</f>
        <v>Initial Year Monitoring 1 - Analysis</v>
      </c>
      <c r="N37" s="320">
        <v>1</v>
      </c>
      <c r="O37" s="320">
        <v>1</v>
      </c>
      <c r="P37" s="320">
        <v>1</v>
      </c>
      <c r="Q37" s="320">
        <v>1</v>
      </c>
      <c r="R37" s="320">
        <v>1</v>
      </c>
      <c r="S37" s="320">
        <v>1</v>
      </c>
      <c r="T37" s="320">
        <v>1</v>
      </c>
      <c r="U37" s="320">
        <v>1</v>
      </c>
      <c r="V37" s="320">
        <v>1</v>
      </c>
    </row>
    <row r="38" spans="1:22" ht="12.75">
      <c r="A38" t="s">
        <v>135</v>
      </c>
      <c r="B38" s="16" t="s">
        <v>277</v>
      </c>
      <c r="C38" s="48">
        <f>C37</f>
        <v>1</v>
      </c>
      <c r="D38" s="43" t="str">
        <f>D37</f>
        <v>samples/household</v>
      </c>
      <c r="E38" s="48">
        <f>hh_select-IF(nitrate_select=1,hh_select,ROUND(hh_select*VLOOKUP("Frequency",lab_analysis,treat_select+3,FALSE),0))</f>
        <v>16</v>
      </c>
      <c r="F38" s="43" t="str">
        <f>F37</f>
        <v>households</v>
      </c>
      <c r="G38" s="372"/>
      <c r="H38" s="370"/>
      <c r="I38" s="428">
        <f>IF(user=1,IF(ISBLANK(user_tc_cost),VLOOKUP("Total coliform",lab_analysis_cost,3,FALSE),user_tc_cost),VLOOKUP("Total coliform",lab_analysis_cost,3,FALSE))</f>
        <v>16.5</v>
      </c>
      <c r="J38" s="113">
        <f>I38*C38*E38</f>
        <v>264</v>
      </c>
      <c r="K38" s="341" t="str">
        <f>VLOOKUP("Total coliform",lab_analysis_cost,5,FALSE)</f>
        <v>N/A</v>
      </c>
      <c r="L38" s="320" t="str">
        <f>M38</f>
        <v>Initial Year Monitoring 1 - Analysis (total coliform)</v>
      </c>
      <c r="M38" s="320" t="str">
        <f>$B$34&amp;" - "&amp;B38</f>
        <v>Initial Year Monitoring 1 - Analysis (total coliform)</v>
      </c>
      <c r="N38" s="320">
        <v>1</v>
      </c>
      <c r="O38" s="320">
        <v>1</v>
      </c>
      <c r="P38" s="320">
        <v>1</v>
      </c>
      <c r="Q38" s="320">
        <v>1</v>
      </c>
      <c r="R38" s="320">
        <v>1</v>
      </c>
      <c r="S38" s="320">
        <v>1</v>
      </c>
      <c r="T38" s="320">
        <v>1</v>
      </c>
      <c r="U38" s="320">
        <v>1</v>
      </c>
      <c r="V38" s="320">
        <v>1</v>
      </c>
    </row>
    <row r="39" spans="1:22" ht="12.75">
      <c r="A39" t="s">
        <v>219</v>
      </c>
      <c r="B39" s="16" t="s">
        <v>539</v>
      </c>
      <c r="C39" s="48">
        <f>C37</f>
        <v>1</v>
      </c>
      <c r="D39" s="43" t="s">
        <v>662</v>
      </c>
      <c r="E39" s="48">
        <f>hh_select-IF(nitrate_select=1,hh_select,ROUND(hh_select*VLOOKUP("Frequency",lab_analysis,treat_select+3,FALSE),0))</f>
        <v>16</v>
      </c>
      <c r="F39" s="43" t="s">
        <v>353</v>
      </c>
      <c r="H39" s="370"/>
      <c r="I39" s="431">
        <f>IF(AND(user=1,user_shipping&gt;0),user_shipping,IF(C3="Radium",VLOOKUP(C39*E39,shipping_rads,3),VLOOKUP($E39,shipping_other,3)))</f>
        <v>11.67554347826087</v>
      </c>
      <c r="J39" s="113">
        <f>IF(E39&gt;0,I39*C39,0)</f>
        <v>11.67554347826087</v>
      </c>
      <c r="K39" s="344" t="str">
        <f>IF(E3="Radium",VLOOKUP(G39,shipping_rads,5),VLOOKUP($E39,shipping_other,5))</f>
        <v>N/A</v>
      </c>
      <c r="L39" s="320" t="str">
        <f>M39</f>
        <v>Initial Year Monitoring 1 - Shipping</v>
      </c>
      <c r="M39" s="320" t="str">
        <f>$B$34&amp;" - "&amp;B39</f>
        <v>Initial Year Monitoring 1 - Shipping</v>
      </c>
      <c r="N39" s="320">
        <v>1</v>
      </c>
      <c r="O39" s="320">
        <v>1</v>
      </c>
      <c r="P39" s="320">
        <v>1</v>
      </c>
      <c r="Q39" s="320">
        <v>1</v>
      </c>
      <c r="R39" s="320">
        <v>1</v>
      </c>
      <c r="S39" s="320">
        <v>1</v>
      </c>
      <c r="T39" s="320">
        <v>1</v>
      </c>
      <c r="U39" s="320">
        <v>1</v>
      </c>
      <c r="V39" s="320">
        <v>1</v>
      </c>
    </row>
    <row r="40" spans="1:11" ht="12.75">
      <c r="A40" t="s">
        <v>263</v>
      </c>
      <c r="B40" s="16"/>
      <c r="C40" s="48"/>
      <c r="D40" s="43"/>
      <c r="E40" s="48"/>
      <c r="F40" s="43"/>
      <c r="H40" s="370"/>
      <c r="I40" s="134"/>
      <c r="J40" s="113"/>
      <c r="K40" s="344"/>
    </row>
    <row r="41" spans="2:11" ht="12.75">
      <c r="B41" s="16"/>
      <c r="C41" s="48"/>
      <c r="D41" s="96"/>
      <c r="E41" s="97"/>
      <c r="F41" s="90"/>
      <c r="I41" s="31"/>
      <c r="J41" s="30"/>
      <c r="K41" s="345"/>
    </row>
    <row r="42" spans="1:11" ht="12.75">
      <c r="A42" s="4" t="s">
        <v>162</v>
      </c>
      <c r="C42" s="178" t="s">
        <v>161</v>
      </c>
      <c r="I42" s="30"/>
      <c r="K42" s="345"/>
    </row>
    <row r="43" spans="1:11" ht="12.75">
      <c r="A43" s="4"/>
      <c r="B43" s="16" t="s">
        <v>440</v>
      </c>
      <c r="C43" s="30">
        <f>SUM($J$12:$J$16)</f>
        <v>11041.654162410516</v>
      </c>
      <c r="H43" s="370"/>
      <c r="I43" s="30"/>
      <c r="K43" s="345"/>
    </row>
    <row r="44" spans="1:11" ht="12.75">
      <c r="A44" s="4"/>
      <c r="B44" s="16" t="s">
        <v>439</v>
      </c>
      <c r="C44" s="161">
        <f>SUM($J$19:$J$33)</f>
        <v>603.8155321622856</v>
      </c>
      <c r="H44" s="370"/>
      <c r="K44" s="346"/>
    </row>
    <row r="45" spans="1:11" ht="12.75">
      <c r="A45" s="4"/>
      <c r="B45" s="16" t="s">
        <v>592</v>
      </c>
      <c r="C45" s="161">
        <f>SUM($J$35:$J$39)</f>
        <v>3309.308131825921</v>
      </c>
      <c r="H45" s="370"/>
      <c r="K45" s="346"/>
    </row>
    <row r="46" spans="1:11" ht="12.75">
      <c r="A46" s="4"/>
      <c r="B46" s="16" t="s">
        <v>155</v>
      </c>
      <c r="C46" s="30">
        <f>SUM(C43:C45)</f>
        <v>14954.777826398722</v>
      </c>
      <c r="H46" s="370"/>
      <c r="K46" s="346"/>
    </row>
    <row r="47" spans="3:11" ht="12.75">
      <c r="C47" s="30"/>
      <c r="I47" s="30"/>
      <c r="K47" s="345"/>
    </row>
    <row r="48" spans="1:11" ht="12.75">
      <c r="A48" s="4" t="s">
        <v>72</v>
      </c>
      <c r="C48" s="161">
        <v>0</v>
      </c>
      <c r="E48" s="179" t="s">
        <v>271</v>
      </c>
      <c r="H48" s="370"/>
      <c r="K48" s="346"/>
    </row>
    <row r="49" spans="1:11" ht="12.75">
      <c r="A49" s="4"/>
      <c r="C49" s="161"/>
      <c r="J49" s="161"/>
      <c r="K49" s="346"/>
    </row>
    <row r="50" spans="1:11" ht="12.75">
      <c r="A50" s="83" t="s">
        <v>441</v>
      </c>
      <c r="B50" s="84"/>
      <c r="I50" s="30"/>
      <c r="J50" s="30"/>
      <c r="K50" s="345"/>
    </row>
    <row r="51" spans="1:11" ht="12.75">
      <c r="A51" s="85"/>
      <c r="B51" s="83" t="s">
        <v>350</v>
      </c>
      <c r="C51" s="178" t="s">
        <v>161</v>
      </c>
      <c r="D51" s="32" t="s">
        <v>163</v>
      </c>
      <c r="E51" s="9" t="s">
        <v>75</v>
      </c>
      <c r="I51" s="30"/>
      <c r="J51" s="30"/>
      <c r="K51" s="345"/>
    </row>
    <row r="52" spans="2:11" ht="12.75">
      <c r="B52" t="s">
        <v>398</v>
      </c>
      <c r="C52" s="161">
        <f>IF(AND(user=1,'User Input'!D68="$ fixed cost"),VLOOKUP(B52,indirect_cost,treat_select+3,FALSE),D52*$C$43)</f>
        <v>331.24962487231545</v>
      </c>
      <c r="D52" s="305">
        <f>IF(AND(user=1,'User Input'!D68="$ fixed cost"),"--",VLOOKUP(B52,indirect_cost,treat_select+3,FALSE))</f>
        <v>0.03</v>
      </c>
      <c r="E52" s="179" t="s">
        <v>234</v>
      </c>
      <c r="I52" s="30"/>
      <c r="J52" s="161"/>
      <c r="K52" s="345"/>
    </row>
    <row r="53" spans="2:11" ht="12.75">
      <c r="B53" t="s">
        <v>399</v>
      </c>
      <c r="C53" s="161">
        <f>IF(AND(user=1,'User Input'!D69="$ fixed cost"),VLOOKUP(B53,indirect_cost,treat_select+3,FALSE),D53*$C$43)</f>
        <v>331.24962487231545</v>
      </c>
      <c r="D53" s="305">
        <f>IF(AND(user=1,'User Input'!D69="$ fixed cost"),"--",VLOOKUP(B53,indirect_cost,treat_select+3,FALSE))</f>
        <v>0.03</v>
      </c>
      <c r="E53" s="179" t="s">
        <v>234</v>
      </c>
      <c r="I53" s="30"/>
      <c r="J53" s="161"/>
      <c r="K53" s="345"/>
    </row>
    <row r="54" spans="2:11" ht="12.75">
      <c r="B54" t="s">
        <v>401</v>
      </c>
      <c r="C54" s="161">
        <f>IF(AND(user=1,'User Input'!D70="$ fixed cost"),VLOOKUP(B54,indirect_cost,treat_select+3,FALSE),D54*$C$43)</f>
        <v>331.24962487231545</v>
      </c>
      <c r="D54" s="305">
        <f>IF(AND(user=1,'User Input'!D70="$ fixed cost"),"--",VLOOKUP(B54,indirect_cost,treat_select+3,FALSE))</f>
        <v>0.03</v>
      </c>
      <c r="E54" s="179" t="s">
        <v>234</v>
      </c>
      <c r="J54" s="161"/>
      <c r="K54" s="346"/>
    </row>
    <row r="55" spans="2:11" ht="12.75">
      <c r="B55" t="s">
        <v>402</v>
      </c>
      <c r="C55" s="161">
        <f>IF(AND(user=1,'User Input'!D71="$ fixed cost"),VLOOKUP(B55,indirect_cost,treat_select+3,FALSE),D55*$C$43)</f>
        <v>1656.2481243615773</v>
      </c>
      <c r="D55" s="305">
        <f>IF(AND(user=1,'User Input'!D71="$ fixed cost"),"--",VLOOKUP(B55,indirect_cost,treat_select+3,FALSE))</f>
        <v>0.15</v>
      </c>
      <c r="E55" s="179" t="s">
        <v>234</v>
      </c>
      <c r="I55" s="30"/>
      <c r="J55" s="161"/>
      <c r="K55" s="345"/>
    </row>
    <row r="56" spans="2:11" ht="12.75">
      <c r="B56" t="s">
        <v>403</v>
      </c>
      <c r="C56" s="161">
        <f>IF(AND(user=1,'User Input'!D72="$ fixed cost"),VLOOKUP(B56,indirect_cost,treat_select+3,FALSE),D56*$C$43)</f>
        <v>1104.1654162410516</v>
      </c>
      <c r="D56" s="305">
        <f>IF(AND(user=1,'User Input'!D72="$ fixed cost"),"--",VLOOKUP(B56,indirect_cost,treat_select+3,FALSE))</f>
        <v>0.1</v>
      </c>
      <c r="E56" s="179" t="s">
        <v>234</v>
      </c>
      <c r="J56" s="161"/>
      <c r="K56" s="345"/>
    </row>
    <row r="57" spans="1:11" ht="12.75">
      <c r="A57" s="4"/>
      <c r="B57" s="9" t="s">
        <v>74</v>
      </c>
      <c r="D57" s="162">
        <v>1</v>
      </c>
      <c r="E57" s="179" t="s">
        <v>305</v>
      </c>
      <c r="J57" s="160"/>
      <c r="K57" s="346"/>
    </row>
    <row r="58" spans="2:11" ht="12.75">
      <c r="B58" s="9" t="s">
        <v>165</v>
      </c>
      <c r="C58" s="161">
        <f>SUM(C52:C56)</f>
        <v>3754.1624152195755</v>
      </c>
      <c r="D58" s="142"/>
      <c r="J58" s="161"/>
      <c r="K58" s="346"/>
    </row>
    <row r="59" spans="2:11" ht="12.75">
      <c r="B59" s="313" t="s">
        <v>169</v>
      </c>
      <c r="C59" s="308">
        <v>0</v>
      </c>
      <c r="J59" s="161"/>
      <c r="K59" s="346"/>
    </row>
    <row r="60" spans="1:11" ht="12.75">
      <c r="A60" s="4" t="s">
        <v>442</v>
      </c>
      <c r="C60" s="161">
        <f>(direct_cost*(1+indirect_cost_mult)+addon_cost+indirect_cost_add)*D57</f>
        <v>18708.940241618297</v>
      </c>
      <c r="I60" s="29"/>
      <c r="K60" s="345"/>
    </row>
    <row r="61" spans="1:11" ht="12.75">
      <c r="A61" s="4" t="s">
        <v>461</v>
      </c>
      <c r="C61" s="161">
        <f>ROUND(C60,0)</f>
        <v>18709</v>
      </c>
      <c r="I61" s="29"/>
      <c r="K61" s="345"/>
    </row>
    <row r="62" spans="1:11" ht="12.75">
      <c r="A62" s="4"/>
      <c r="I62" s="29"/>
      <c r="J62" s="29"/>
      <c r="K62" s="345"/>
    </row>
    <row r="63" spans="1:11" ht="12.75">
      <c r="A63" s="83" t="s">
        <v>443</v>
      </c>
      <c r="B63" s="84"/>
      <c r="C63" s="85"/>
      <c r="D63" s="86"/>
      <c r="E63" s="85"/>
      <c r="F63" s="85"/>
      <c r="G63" s="373"/>
      <c r="H63" s="373"/>
      <c r="I63" s="29"/>
      <c r="J63" s="29"/>
      <c r="K63" s="345"/>
    </row>
    <row r="64" spans="1:11" ht="15.75" customHeight="1">
      <c r="A64" s="85"/>
      <c r="B64" s="83" t="s">
        <v>350</v>
      </c>
      <c r="C64" s="101" t="s">
        <v>351</v>
      </c>
      <c r="D64" s="101"/>
      <c r="E64" s="532" t="s">
        <v>644</v>
      </c>
      <c r="F64" s="532"/>
      <c r="I64" s="87" t="s">
        <v>346</v>
      </c>
      <c r="J64" s="87" t="s">
        <v>347</v>
      </c>
      <c r="K64" s="346"/>
    </row>
    <row r="65" spans="1:12" ht="12.75">
      <c r="A65" s="88"/>
      <c r="B65" s="88" t="s">
        <v>444</v>
      </c>
      <c r="C65" s="88"/>
      <c r="D65" s="88"/>
      <c r="E65" s="88"/>
      <c r="F65" s="88"/>
      <c r="G65" s="374"/>
      <c r="H65" s="374"/>
      <c r="I65" s="88"/>
      <c r="J65" s="88"/>
      <c r="K65" s="347"/>
      <c r="L65" s="326"/>
    </row>
    <row r="66" spans="1:12" ht="12.75">
      <c r="A66" s="89"/>
      <c r="B66" s="89" t="s">
        <v>406</v>
      </c>
      <c r="C66" s="89"/>
      <c r="D66" s="89"/>
      <c r="E66" s="89"/>
      <c r="F66" s="89"/>
      <c r="G66" s="373"/>
      <c r="H66" s="373"/>
      <c r="I66" s="89"/>
      <c r="J66" s="89"/>
      <c r="K66" s="348"/>
      <c r="L66" s="327"/>
    </row>
    <row r="67" spans="1:12" ht="12.75">
      <c r="A67" s="94"/>
      <c r="B67" s="10" t="s">
        <v>516</v>
      </c>
      <c r="C67" s="148">
        <f>INDEX(maint_time,1,treat_select)</f>
        <v>0.5</v>
      </c>
      <c r="D67" s="85" t="s">
        <v>386</v>
      </c>
      <c r="E67" s="48">
        <f>INDEX(maint_frequency,1,treat_select)*hh_select</f>
        <v>24</v>
      </c>
      <c r="F67" t="s">
        <v>674</v>
      </c>
      <c r="I67" s="31">
        <f>IF(user=1,IF(ISBLANK(user_tech_rate),tech_rate,user_tech_rate),tech_rate)</f>
        <v>25.07481375358166</v>
      </c>
      <c r="J67" s="90">
        <f>I67*E67*C67</f>
        <v>300.8977650429799</v>
      </c>
      <c r="K67" s="346"/>
      <c r="L67" s="327">
        <v>1</v>
      </c>
    </row>
    <row r="68" spans="1:12" ht="12.75">
      <c r="A68" s="94"/>
      <c r="B68" s="94" t="s">
        <v>515</v>
      </c>
      <c r="C68" s="148">
        <f>uv*INDEX(UV_maint_time,1,treat_select)</f>
        <v>0</v>
      </c>
      <c r="D68" s="85" t="s">
        <v>386</v>
      </c>
      <c r="E68">
        <f>uv*INDEX(UV_maint_frequency,1,treat_select)*hh_select</f>
        <v>0</v>
      </c>
      <c r="F68" t="s">
        <v>674</v>
      </c>
      <c r="I68" s="31">
        <f>uv*IF(user=1,IF(ISBLANK(user_tech_rate),tech_rate,user_tech_rate),tech_rate)</f>
        <v>0</v>
      </c>
      <c r="J68" s="90">
        <f>I68*E68*C68</f>
        <v>0</v>
      </c>
      <c r="K68" s="346"/>
      <c r="L68" s="327">
        <v>1</v>
      </c>
    </row>
    <row r="69" spans="1:12" ht="12.75">
      <c r="A69" s="94"/>
      <c r="B69" s="16" t="s">
        <v>451</v>
      </c>
      <c r="C69" s="148">
        <f>VLOOKUP(B69,tech_labor_om,treat_select+3,FALSE)</f>
        <v>12</v>
      </c>
      <c r="D69" s="85" t="s">
        <v>673</v>
      </c>
      <c r="I69" s="31">
        <f>IF(user=1,IF(ISBLANK(user_tech_rate),tech_rate,user_tech_rate),tech_rate)</f>
        <v>25.07481375358166</v>
      </c>
      <c r="J69" s="90">
        <f>I69*C69</f>
        <v>300.8977650429799</v>
      </c>
      <c r="K69" s="346"/>
      <c r="L69" s="327">
        <v>1</v>
      </c>
    </row>
    <row r="70" spans="1:12" ht="12.75">
      <c r="A70" s="94"/>
      <c r="B70" s="16" t="s">
        <v>452</v>
      </c>
      <c r="C70" s="148">
        <f>nitrate_select*VLOOKUP(B70,tech_labor_om,treat_select+3,FALSE)</f>
        <v>0</v>
      </c>
      <c r="D70" s="85" t="s">
        <v>673</v>
      </c>
      <c r="I70" s="31">
        <f>nitrate_select*IF(user=1,IF(ISBLANK(user_tech_rate),tech_rate,user_tech_rate),tech_rate)</f>
        <v>0</v>
      </c>
      <c r="J70" s="90">
        <f>I70*C70</f>
        <v>0</v>
      </c>
      <c r="K70" s="346"/>
      <c r="L70" s="327">
        <v>1</v>
      </c>
    </row>
    <row r="71" spans="1:11" ht="12.75">
      <c r="A71" s="89"/>
      <c r="B71" s="64" t="s">
        <v>337</v>
      </c>
      <c r="C71" s="64"/>
      <c r="D71" s="64"/>
      <c r="E71" s="64"/>
      <c r="F71" s="64"/>
      <c r="I71" s="64"/>
      <c r="J71" s="64"/>
      <c r="K71" s="349"/>
    </row>
    <row r="72" spans="1:12" ht="12.75">
      <c r="A72" s="94"/>
      <c r="B72" s="36" t="s">
        <v>520</v>
      </c>
      <c r="C72" s="148">
        <f>INDEX(maint_scheduling,1,treat_select)</f>
        <v>0.5</v>
      </c>
      <c r="D72" s="94" t="s">
        <v>386</v>
      </c>
      <c r="E72" s="48">
        <f>INDEX(maint_frequency,1,treat_select)*hh_select</f>
        <v>24</v>
      </c>
      <c r="F72" t="s">
        <v>674</v>
      </c>
      <c r="I72" s="31">
        <f>IF(user=1,IF(ISBLANK(user_cler_rate),clerical_rate,user_cler_rate),clerical_rate)</f>
        <v>17.88937917860554</v>
      </c>
      <c r="J72" s="90">
        <f>I72*E72*C72</f>
        <v>214.6725501432665</v>
      </c>
      <c r="K72" s="346"/>
      <c r="L72" s="327">
        <v>1</v>
      </c>
    </row>
    <row r="73" spans="1:12" ht="12.75">
      <c r="A73" s="94"/>
      <c r="B73" s="16" t="s">
        <v>451</v>
      </c>
      <c r="C73" s="148">
        <f>VLOOKUP(B73,clerical_labor_om,treat_select+3,FALSE)</f>
        <v>12</v>
      </c>
      <c r="D73" s="94" t="s">
        <v>673</v>
      </c>
      <c r="I73" s="31">
        <f>IF(user=1,IF(ISBLANK(user_cler_rate),clerical_rate,user_cler_rate),clerical_rate)</f>
        <v>17.88937917860554</v>
      </c>
      <c r="J73" s="90">
        <f>I73*C73</f>
        <v>214.6725501432665</v>
      </c>
      <c r="K73" s="346"/>
      <c r="L73" s="327">
        <v>1</v>
      </c>
    </row>
    <row r="74" spans="1:12" ht="12.75">
      <c r="A74" s="94"/>
      <c r="B74" s="16" t="s">
        <v>452</v>
      </c>
      <c r="C74" s="148">
        <f>nitrate_select*VLOOKUP(B74,clerical_labor_om,treat_select+3,FALSE)</f>
        <v>0</v>
      </c>
      <c r="D74" s="94" t="s">
        <v>673</v>
      </c>
      <c r="I74" s="31">
        <f>nitrate_select*IF(user=1,IF(ISBLANK(user_cler_rate),clerical_rate,user_cler_rate),clerical_rate)</f>
        <v>0</v>
      </c>
      <c r="J74" s="90">
        <f>I74*C74</f>
        <v>0</v>
      </c>
      <c r="K74" s="346"/>
      <c r="L74" s="327">
        <v>1</v>
      </c>
    </row>
    <row r="75" spans="1:12" ht="12.75">
      <c r="A75" s="88"/>
      <c r="B75" s="88" t="s">
        <v>445</v>
      </c>
      <c r="C75" s="88"/>
      <c r="D75" s="88"/>
      <c r="E75" s="88"/>
      <c r="F75" s="88"/>
      <c r="G75" s="374"/>
      <c r="H75" s="374"/>
      <c r="I75" s="88"/>
      <c r="J75" s="88"/>
      <c r="K75" s="347"/>
      <c r="L75" s="326"/>
    </row>
    <row r="76" spans="1:31" s="36" customFormat="1" ht="12.75">
      <c r="A76" s="94"/>
      <c r="B76" s="94" t="str">
        <f ca="1">IF(AND(user=1,'User Input'!C104&gt;0),'User Input'!C104,INDEX(INDIRECT(VLOOKUP(treat_select,name_list,5,FALSE)),1,1))</f>
        <v>Media Cartridge</v>
      </c>
      <c r="C76" s="426">
        <f ca="1">IF(AND(user=1,'User Input'!C106&gt;0),'User Input'!C106,INDEX(INDIRECT(VLOOKUP(treat_select,name_list,5,FALSE)),1,2))</f>
        <v>1</v>
      </c>
      <c r="D76" s="94" t="str">
        <f>IF(user_treat="POE Cation Exchange","lb/household","units/household")</f>
        <v>units/household</v>
      </c>
      <c r="E76" s="67">
        <f>IF(C76&gt;0,hh_select,0)</f>
        <v>24</v>
      </c>
      <c r="F76" s="36" t="s">
        <v>672</v>
      </c>
      <c r="G76" s="367"/>
      <c r="H76" s="367"/>
      <c r="I76" s="147">
        <f ca="1">IF(AND(user=1,'User Input'!C105&gt;0),'User Input'!C105,IF(C76&gt;0,VLOOKUP(B76,INDIRECT(VLOOKUP(treat_select,name_list,4,FALSE)),3,FALSE),0))</f>
        <v>157.1125</v>
      </c>
      <c r="J76" s="90">
        <f aca="true" t="shared" si="0" ref="J76:J81">I76*E76*C76</f>
        <v>3770.7000000000003</v>
      </c>
      <c r="K76" s="350"/>
      <c r="L76" s="328">
        <v>1</v>
      </c>
      <c r="M76" s="320"/>
      <c r="N76" s="320"/>
      <c r="O76" s="320"/>
      <c r="P76" s="320"/>
      <c r="Q76" s="320"/>
      <c r="R76" s="320"/>
      <c r="S76" s="320"/>
      <c r="T76" s="320"/>
      <c r="U76" s="320"/>
      <c r="V76" s="320"/>
      <c r="W76" s="320"/>
      <c r="X76" s="320"/>
      <c r="Y76" s="320"/>
      <c r="Z76" s="319"/>
      <c r="AA76" s="319"/>
      <c r="AB76" s="319"/>
      <c r="AC76" s="319"/>
      <c r="AD76" s="319"/>
      <c r="AE76" s="319"/>
    </row>
    <row r="77" spans="1:31" s="36" customFormat="1" ht="12.75">
      <c r="A77" s="94"/>
      <c r="B77" s="94" t="str">
        <f ca="1">IF(AND(user=1,'User Input'!C108&gt;0),'User Input'!C108,INDEX(INDIRECT(VLOOKUP(treat_select,name_list,5,FALSE)),2,1))</f>
        <v>NA</v>
      </c>
      <c r="C77" s="426">
        <f ca="1">IF(AND(user=1,'User Input'!C110&gt;0),'User Input'!C110,INDEX(INDIRECT(VLOOKUP(treat_select,name_list,5,FALSE)),2,2))</f>
        <v>0</v>
      </c>
      <c r="D77" s="94" t="s">
        <v>677</v>
      </c>
      <c r="E77" s="67">
        <f aca="true" t="shared" si="1" ref="E77:E83">IF(C77&gt;0,hh_select,0)</f>
        <v>0</v>
      </c>
      <c r="F77" s="36" t="s">
        <v>672</v>
      </c>
      <c r="G77" s="367"/>
      <c r="H77" s="367"/>
      <c r="I77" s="147">
        <f ca="1">IF(AND(user=1,'User Input'!C109&gt;0),'User Input'!C109,IF(C77&gt;0,VLOOKUP(B77,INDIRECT(VLOOKUP(treat_select,name_list,4,FALSE)),3,FALSE),0))</f>
        <v>0</v>
      </c>
      <c r="J77" s="90">
        <f t="shared" si="0"/>
        <v>0</v>
      </c>
      <c r="K77" s="350"/>
      <c r="L77" s="328">
        <v>1</v>
      </c>
      <c r="M77" s="320"/>
      <c r="N77" s="320"/>
      <c r="O77" s="320"/>
      <c r="P77" s="320"/>
      <c r="Q77" s="320"/>
      <c r="R77" s="320"/>
      <c r="S77" s="320"/>
      <c r="T77" s="320"/>
      <c r="U77" s="320"/>
      <c r="V77" s="320"/>
      <c r="W77" s="320"/>
      <c r="X77" s="320"/>
      <c r="Y77" s="320"/>
      <c r="Z77" s="319"/>
      <c r="AA77" s="319"/>
      <c r="AB77" s="319"/>
      <c r="AC77" s="319"/>
      <c r="AD77" s="319"/>
      <c r="AE77" s="319"/>
    </row>
    <row r="78" spans="1:31" s="36" customFormat="1" ht="12.75">
      <c r="A78" s="94"/>
      <c r="B78" s="94" t="str">
        <f ca="1">IF(AND(user=1,'User Input'!C112&gt;0),'User Input'!C112,INDEX(INDIRECT(VLOOKUP(treat_select,name_list,5,FALSE)),3,1))</f>
        <v>NA</v>
      </c>
      <c r="C78" s="426">
        <f ca="1">IF(AND(user=1,'User Input'!C114&gt;0),'User Input'!C114,INDEX(INDIRECT(VLOOKUP(treat_select,name_list,5,FALSE)),3,2))</f>
        <v>0</v>
      </c>
      <c r="D78" s="94" t="s">
        <v>677</v>
      </c>
      <c r="E78" s="67">
        <f t="shared" si="1"/>
        <v>0</v>
      </c>
      <c r="F78" s="36" t="s">
        <v>672</v>
      </c>
      <c r="G78" s="367"/>
      <c r="H78" s="367"/>
      <c r="I78" s="147">
        <f ca="1">IF(AND(user=1,'User Input'!C113&gt;0),'User Input'!C113,IF(C78&gt;0,VLOOKUP(B78,INDIRECT(VLOOKUP(treat_select,name_list,4,FALSE)),3,FALSE),0))</f>
        <v>0</v>
      </c>
      <c r="J78" s="90">
        <f t="shared" si="0"/>
        <v>0</v>
      </c>
      <c r="K78" s="350"/>
      <c r="L78" s="328">
        <v>1</v>
      </c>
      <c r="M78" s="320"/>
      <c r="N78" s="320"/>
      <c r="O78" s="320"/>
      <c r="P78" s="320"/>
      <c r="Q78" s="320"/>
      <c r="R78" s="320"/>
      <c r="S78" s="320"/>
      <c r="T78" s="320"/>
      <c r="U78" s="320"/>
      <c r="V78" s="320"/>
      <c r="W78" s="320"/>
      <c r="X78" s="320"/>
      <c r="Y78" s="320"/>
      <c r="Z78" s="319"/>
      <c r="AA78" s="319"/>
      <c r="AB78" s="319"/>
      <c r="AC78" s="319"/>
      <c r="AD78" s="319"/>
      <c r="AE78" s="319"/>
    </row>
    <row r="79" spans="1:31" s="36" customFormat="1" ht="12.75">
      <c r="A79" s="94"/>
      <c r="B79" s="94" t="str">
        <f ca="1">IF(AND(user=1,'User Input'!C116&gt;0),'User Input'!C116,INDEX(INDIRECT(VLOOKUP(treat_select,name_list,5,FALSE)),4,1))</f>
        <v>NA</v>
      </c>
      <c r="C79" s="426">
        <f ca="1">IF(AND(user=1,'User Input'!C118&gt;0),'User Input'!C118,INDEX(INDIRECT(VLOOKUP(treat_select,name_list,5,FALSE)),4,2))</f>
        <v>0</v>
      </c>
      <c r="D79" s="94" t="s">
        <v>677</v>
      </c>
      <c r="E79" s="67">
        <f t="shared" si="1"/>
        <v>0</v>
      </c>
      <c r="F79" s="36" t="s">
        <v>672</v>
      </c>
      <c r="G79" s="367"/>
      <c r="H79" s="367"/>
      <c r="I79" s="147">
        <f ca="1">IF(AND(user=1,'User Input'!C117&gt;0),'User Input'!C117,IF(C79&gt;0,VLOOKUP(B79,INDIRECT(VLOOKUP(treat_select,name_list,4,FALSE)),3,FALSE),0))</f>
        <v>0</v>
      </c>
      <c r="J79" s="90">
        <f t="shared" si="0"/>
        <v>0</v>
      </c>
      <c r="K79" s="350"/>
      <c r="L79" s="328">
        <v>1</v>
      </c>
      <c r="M79" s="320"/>
      <c r="N79" s="320"/>
      <c r="O79" s="320"/>
      <c r="P79" s="320"/>
      <c r="Q79" s="320"/>
      <c r="R79" s="320"/>
      <c r="S79" s="320"/>
      <c r="T79" s="320"/>
      <c r="U79" s="320"/>
      <c r="V79" s="320"/>
      <c r="W79" s="320"/>
      <c r="X79" s="320"/>
      <c r="Y79" s="320"/>
      <c r="Z79" s="319"/>
      <c r="AA79" s="319"/>
      <c r="AB79" s="319"/>
      <c r="AC79" s="319"/>
      <c r="AD79" s="319"/>
      <c r="AE79" s="319"/>
    </row>
    <row r="80" spans="1:31" s="36" customFormat="1" ht="12.75">
      <c r="A80" s="94"/>
      <c r="B80" s="94" t="str">
        <f>INDEX(pou_uv_replace,1,1)</f>
        <v>UV Lamp</v>
      </c>
      <c r="C80" s="427">
        <f>uv*IF(AND(user=1,user_uv_lamp_freq&gt;0),user_uv_lamp_freq,IF(C5="POU",INDEX(pou_uv_replace,1,2),INDEX(poe_uv_replace,1,2)))</f>
        <v>0</v>
      </c>
      <c r="D80" s="94" t="s">
        <v>677</v>
      </c>
      <c r="E80" s="36">
        <f t="shared" si="1"/>
        <v>0</v>
      </c>
      <c r="F80" s="36" t="s">
        <v>672</v>
      </c>
      <c r="G80" s="367"/>
      <c r="H80" s="367"/>
      <c r="I80" s="147">
        <f>uv*IF(AND(user=1,user_uv_lamp&gt;0),user_uv_lamp,IF(C5="POU",VLOOKUP(B80,pou_uv_parts,3,FALSE),VLOOKUP(B80,poe_uv_parts,3,FALSE)))</f>
        <v>0</v>
      </c>
      <c r="J80" s="90">
        <f t="shared" si="0"/>
        <v>0</v>
      </c>
      <c r="K80" s="350"/>
      <c r="L80" s="328">
        <v>1</v>
      </c>
      <c r="M80" s="320"/>
      <c r="N80" s="320"/>
      <c r="O80" s="320"/>
      <c r="P80" s="320"/>
      <c r="Q80" s="320"/>
      <c r="R80" s="320"/>
      <c r="S80" s="320"/>
      <c r="T80" s="320"/>
      <c r="U80" s="320"/>
      <c r="V80" s="320"/>
      <c r="W80" s="320"/>
      <c r="X80" s="320"/>
      <c r="Y80" s="320"/>
      <c r="Z80" s="319"/>
      <c r="AA80" s="319"/>
      <c r="AB80" s="319"/>
      <c r="AC80" s="319"/>
      <c r="AD80" s="319"/>
      <c r="AE80" s="319"/>
    </row>
    <row r="81" spans="1:31" s="36" customFormat="1" ht="12.75">
      <c r="A81" s="94"/>
      <c r="B81" s="94" t="str">
        <f>INDEX(pou_uv_replace,2,1)</f>
        <v>UV Quartz Sleeve</v>
      </c>
      <c r="C81" s="427">
        <f>uv*IF(AND(user=1,user_uv_sleeve&gt;0),user_uv_sleeve,IF(C5="POU",INDEX(pou_uv_replace,2,2),INDEX(poe_uv_replace,2,2)))</f>
        <v>0</v>
      </c>
      <c r="D81" s="94" t="s">
        <v>677</v>
      </c>
      <c r="E81" s="36">
        <f t="shared" si="1"/>
        <v>0</v>
      </c>
      <c r="F81" s="36" t="s">
        <v>672</v>
      </c>
      <c r="G81" s="367"/>
      <c r="H81" s="367"/>
      <c r="I81" s="147">
        <f>uv*IF(AND(user=1,user_uv_sleeve_freq&gt;0),user_uv_sleeve_freq,IF(C5="POU",VLOOKUP(B81,pou_uv_parts,3,FALSE),VLOOKUP(B81,poe_uv_parts,3,FALSE)))</f>
        <v>0</v>
      </c>
      <c r="J81" s="90">
        <f t="shared" si="0"/>
        <v>0</v>
      </c>
      <c r="K81" s="350"/>
      <c r="L81" s="328">
        <v>1</v>
      </c>
      <c r="M81" s="320"/>
      <c r="N81" s="320"/>
      <c r="O81" s="320"/>
      <c r="P81" s="320"/>
      <c r="Q81" s="320"/>
      <c r="R81" s="320"/>
      <c r="S81" s="320"/>
      <c r="T81" s="320"/>
      <c r="U81" s="320"/>
      <c r="V81" s="320"/>
      <c r="W81" s="320"/>
      <c r="X81" s="320"/>
      <c r="Y81" s="320"/>
      <c r="Z81" s="319"/>
      <c r="AA81" s="319"/>
      <c r="AB81" s="319"/>
      <c r="AC81" s="319"/>
      <c r="AD81" s="319"/>
      <c r="AE81" s="319"/>
    </row>
    <row r="82" spans="1:12" ht="12.75">
      <c r="A82" s="94"/>
      <c r="B82" s="16" t="s">
        <v>554</v>
      </c>
      <c r="C82" s="427">
        <f>nitrate_select*VLOOKUP(B82,ed_material_om,treat_select+3,FALSE)</f>
        <v>0</v>
      </c>
      <c r="D82" s="94" t="s">
        <v>679</v>
      </c>
      <c r="I82" s="31">
        <f>nitrate_select*IF(user=1,IF(ISBLANK(user_flyer_cost),VLOOKUP($B82,printed_material_cost,3,FALSE),user_flyer_cost),VLOOKUP($B82,printed_material_cost,3,FALSE))</f>
        <v>0</v>
      </c>
      <c r="J82" s="90">
        <f>I82*C82</f>
        <v>0</v>
      </c>
      <c r="K82" s="346"/>
      <c r="L82" s="328">
        <v>1</v>
      </c>
    </row>
    <row r="83" spans="1:12" ht="12.75">
      <c r="A83" s="94"/>
      <c r="B83" s="16" t="s">
        <v>395</v>
      </c>
      <c r="C83" s="427">
        <f>VLOOKUP(B83,ed_material_om,treat_select+3,FALSE)</f>
        <v>3</v>
      </c>
      <c r="D83" s="94" t="s">
        <v>397</v>
      </c>
      <c r="E83" s="67">
        <f t="shared" si="1"/>
        <v>24</v>
      </c>
      <c r="F83" t="s">
        <v>672</v>
      </c>
      <c r="I83" s="31">
        <f>IF(user=1,IF(ISBLANK(user_print_cost),VLOOKUP($B83,printed_material_cost,3,FALSE),user_print_cost),VLOOKUP($B83,printed_material_cost,3,FALSE))</f>
        <v>0.08491304347826088</v>
      </c>
      <c r="J83" s="90">
        <f>I83*E83*C83</f>
        <v>6.113739130434784</v>
      </c>
      <c r="K83" s="346"/>
      <c r="L83" s="328">
        <v>1</v>
      </c>
    </row>
    <row r="84" spans="1:12" ht="12.75">
      <c r="A84" s="88"/>
      <c r="B84" s="91" t="s">
        <v>447</v>
      </c>
      <c r="C84" s="91"/>
      <c r="D84" s="92"/>
      <c r="E84" s="88"/>
      <c r="F84" s="88"/>
      <c r="G84" s="374"/>
      <c r="H84" s="374"/>
      <c r="I84" s="88"/>
      <c r="J84" s="88"/>
      <c r="K84" s="347"/>
      <c r="L84" s="326"/>
    </row>
    <row r="85" spans="1:12" ht="12.75">
      <c r="A85" s="94"/>
      <c r="B85" s="16" t="s">
        <v>457</v>
      </c>
      <c r="C85" s="148">
        <f>VLOOKUP(B85,lab_analysis,treat_select+3,FALSE)</f>
        <v>0.25</v>
      </c>
      <c r="D85" s="85" t="s">
        <v>386</v>
      </c>
      <c r="E85" s="48">
        <f>IF(nitrate_select=1,hh_select,ROUND(hh_select*VLOOKUP("Frequency",lab_analysis,treat_select+3,FALSE),0))</f>
        <v>8</v>
      </c>
      <c r="F85" t="s">
        <v>672</v>
      </c>
      <c r="I85" s="31">
        <f>IF(user=1,IF(ISBLANK(user_tech_rate),tech_rate,user_tech_rate),tech_rate)</f>
        <v>25.07481375358166</v>
      </c>
      <c r="J85" s="90">
        <f>I85*E85*C85</f>
        <v>50.14962750716332</v>
      </c>
      <c r="K85" s="346"/>
      <c r="L85" s="328">
        <v>1</v>
      </c>
    </row>
    <row r="86" spans="1:12" ht="12.75">
      <c r="A86" s="94"/>
      <c r="B86" s="16" t="s">
        <v>459</v>
      </c>
      <c r="C86" s="427">
        <f>VLOOKUP(B86,lab_analysis,treat_select+3,FALSE)</f>
        <v>0</v>
      </c>
      <c r="D86" s="85" t="s">
        <v>386</v>
      </c>
      <c r="E86" s="48">
        <f>IF(nitrate_select=1,hh_select,ROUND(hh_select*VLOOKUP("Frequency",lab_analysis,treat_select+3,FALSE),0))</f>
        <v>8</v>
      </c>
      <c r="F86" t="s">
        <v>672</v>
      </c>
      <c r="I86" s="31">
        <f>IF(user=1,IF(ISBLANK(user_cler_rate),clerical_rate,user_cler_rate),clerical_rate)</f>
        <v>17.88937917860554</v>
      </c>
      <c r="J86" s="90">
        <f>I86*E86*C86</f>
        <v>0</v>
      </c>
      <c r="K86" s="346"/>
      <c r="L86" s="320">
        <v>1</v>
      </c>
    </row>
    <row r="87" spans="1:12" ht="12.75">
      <c r="A87" s="94"/>
      <c r="B87" s="16" t="s">
        <v>538</v>
      </c>
      <c r="C87" s="427">
        <f>VLOOKUP(B87,lab_analysis,treat_select+3,FALSE)</f>
        <v>1</v>
      </c>
      <c r="D87" s="94" t="s">
        <v>662</v>
      </c>
      <c r="E87" s="48">
        <f>IF(nitrate_select=1,hh_select,ROUND(hh_select*VLOOKUP("Frequency",lab_analysis,treat_select+3,FALSE),0))</f>
        <v>8</v>
      </c>
      <c r="F87" t="s">
        <v>672</v>
      </c>
      <c r="I87" s="31">
        <f>IF(AND(user=1,user_lab_cost&gt;0),user_lab_cost,VLOOKUP(C3,lab_analysis_cost,3,FALSE))</f>
        <v>183.33333333333334</v>
      </c>
      <c r="J87" s="90">
        <f>I87*E87*C87</f>
        <v>1466.6666666666667</v>
      </c>
      <c r="K87" s="346"/>
      <c r="L87" s="320">
        <v>1</v>
      </c>
    </row>
    <row r="88" spans="1:11" ht="12.75">
      <c r="A88" s="94"/>
      <c r="B88" s="16" t="s">
        <v>277</v>
      </c>
      <c r="C88" s="427">
        <f>C87</f>
        <v>1</v>
      </c>
      <c r="D88" s="94" t="s">
        <v>662</v>
      </c>
      <c r="E88" s="48">
        <f>E87</f>
        <v>8</v>
      </c>
      <c r="F88" t="s">
        <v>672</v>
      </c>
      <c r="I88" s="31">
        <f>IF(AND(user=1,user_tc_cost&gt;0),user_tc_cost,VLOOKUP("Total coliform",lab_analysis_cost,3,FALSE))</f>
        <v>16.5</v>
      </c>
      <c r="J88" s="90">
        <f>I88*E88*C88</f>
        <v>132</v>
      </c>
      <c r="K88" s="346"/>
    </row>
    <row r="89" spans="1:12" ht="12.75">
      <c r="A89" s="94"/>
      <c r="B89" s="16" t="s">
        <v>539</v>
      </c>
      <c r="C89" s="427">
        <f>C87</f>
        <v>1</v>
      </c>
      <c r="D89" s="94" t="s">
        <v>662</v>
      </c>
      <c r="E89" s="48">
        <f>IF(nitrate_select=1,hh_select,ROUND(hh_select*VLOOKUP("Frequency",lab_analysis,treat_select+3,FALSE),0))</f>
        <v>8</v>
      </c>
      <c r="F89" t="s">
        <v>672</v>
      </c>
      <c r="I89" s="31">
        <f>IF(AND(user=1,user_shipping&gt;0),user_shipping,IF(C3="Radium",VLOOKUP(C89*E89,shipping_rads,3),VLOOKUP(C89,shipping_other,3)))</f>
        <v>9.552717391304348</v>
      </c>
      <c r="J89" s="90">
        <f>I89*C89</f>
        <v>9.552717391304348</v>
      </c>
      <c r="K89" s="346"/>
      <c r="L89" s="320">
        <v>1</v>
      </c>
    </row>
    <row r="90" spans="1:11" ht="12.75">
      <c r="A90" s="98"/>
      <c r="B90" s="36"/>
      <c r="C90" s="95"/>
      <c r="D90" s="96"/>
      <c r="I90" s="97"/>
      <c r="J90" s="90"/>
      <c r="K90" s="346"/>
    </row>
    <row r="91" spans="1:12" ht="12.75">
      <c r="A91" s="4" t="s">
        <v>446</v>
      </c>
      <c r="C91" s="85"/>
      <c r="D91" s="86"/>
      <c r="I91" s="85"/>
      <c r="J91" s="93">
        <f>SUM(J67:J90)</f>
        <v>6466.323381068062</v>
      </c>
      <c r="K91" s="346"/>
      <c r="L91" s="327"/>
    </row>
    <row r="92" ht="12.75">
      <c r="K92" s="346"/>
    </row>
    <row r="93" spans="1:11" ht="12.75">
      <c r="A93" t="str">
        <f>"Total Annual Costs = Annualized Capital Costs ("&amp;discount_rate*100&amp;"% discount rate "&amp;discount_period&amp;" years) + O&amp;M costs"</f>
        <v>Total Annual Costs = Annualized Capital Costs (7% discount rate 10 years) + O&amp;M costs</v>
      </c>
      <c r="J93" s="158">
        <f>$J$91+PMT(discount_rate,discount_period,-$C$60)</f>
        <v>9130.055571345174</v>
      </c>
      <c r="K93" s="346"/>
    </row>
    <row r="94" spans="1:11" ht="12.75">
      <c r="A94" s="23" t="s">
        <v>281</v>
      </c>
      <c r="J94" s="353">
        <f>J93/average_annual_production</f>
        <v>4.583361230594967</v>
      </c>
      <c r="K94" s="507"/>
    </row>
    <row r="95" spans="1:11" ht="12.75">
      <c r="A95" s="351" t="s">
        <v>264</v>
      </c>
      <c r="B95" s="351"/>
      <c r="C95" s="352"/>
      <c r="D95" s="351"/>
      <c r="E95" s="351"/>
      <c r="F95" s="351"/>
      <c r="G95" s="375"/>
      <c r="H95" s="375"/>
      <c r="I95" s="351"/>
      <c r="J95" s="383">
        <f>J93/hh_select</f>
        <v>380.41898213938225</v>
      </c>
      <c r="K95" s="354"/>
    </row>
    <row r="96" spans="1:11" ht="12.75">
      <c r="A96" s="206"/>
      <c r="B96" s="206"/>
      <c r="C96" s="329"/>
      <c r="D96" s="206"/>
      <c r="E96" s="206"/>
      <c r="F96" s="206"/>
      <c r="I96" s="206"/>
      <c r="J96" s="206"/>
      <c r="K96" s="206"/>
    </row>
    <row r="97" spans="1:11" ht="12.75">
      <c r="A97" s="206"/>
      <c r="B97" s="206"/>
      <c r="C97" s="329"/>
      <c r="D97" s="206"/>
      <c r="E97" s="206"/>
      <c r="F97" s="206"/>
      <c r="I97" s="206"/>
      <c r="J97" s="206"/>
      <c r="K97" s="206"/>
    </row>
    <row r="98" spans="1:11" ht="12.75">
      <c r="A98" s="206"/>
      <c r="B98" s="206"/>
      <c r="C98" s="329"/>
      <c r="D98" s="206"/>
      <c r="E98" s="206"/>
      <c r="F98" s="206"/>
      <c r="I98" s="206"/>
      <c r="J98" s="206"/>
      <c r="K98" s="206"/>
    </row>
    <row r="99" spans="1:11" ht="12.75">
      <c r="A99" s="206"/>
      <c r="B99" s="206"/>
      <c r="C99" s="329"/>
      <c r="D99" s="206"/>
      <c r="E99" s="206"/>
      <c r="F99" s="206"/>
      <c r="I99" s="206"/>
      <c r="J99" s="206"/>
      <c r="K99" s="206"/>
    </row>
    <row r="100" spans="1:11" ht="12.75">
      <c r="A100" s="206"/>
      <c r="B100" s="206"/>
      <c r="C100" s="329"/>
      <c r="D100" s="206"/>
      <c r="E100" s="206"/>
      <c r="F100" s="206"/>
      <c r="I100" s="206"/>
      <c r="J100" s="206"/>
      <c r="K100" s="206"/>
    </row>
    <row r="101" spans="1:11" ht="12.75">
      <c r="A101" s="206"/>
      <c r="B101" s="206"/>
      <c r="C101" s="329"/>
      <c r="D101" s="206"/>
      <c r="E101" s="206"/>
      <c r="F101" s="206"/>
      <c r="I101" s="206"/>
      <c r="J101" s="206"/>
      <c r="K101" s="206"/>
    </row>
    <row r="102" spans="1:11" ht="12.75">
      <c r="A102" s="206"/>
      <c r="B102" s="206"/>
      <c r="C102" s="329"/>
      <c r="D102" s="206"/>
      <c r="E102" s="206"/>
      <c r="F102" s="206"/>
      <c r="I102" s="206"/>
      <c r="J102" s="206"/>
      <c r="K102" s="206"/>
    </row>
    <row r="103" spans="1:11" ht="12.75">
      <c r="A103" s="206"/>
      <c r="B103" s="206"/>
      <c r="C103" s="329"/>
      <c r="D103" s="206"/>
      <c r="E103" s="206"/>
      <c r="F103" s="206"/>
      <c r="I103" s="206"/>
      <c r="J103" s="206"/>
      <c r="K103" s="206"/>
    </row>
    <row r="104" spans="1:11" ht="12.75">
      <c r="A104" s="206"/>
      <c r="B104" s="206"/>
      <c r="C104" s="329"/>
      <c r="D104" s="206"/>
      <c r="E104" s="206"/>
      <c r="F104" s="206"/>
      <c r="I104" s="206"/>
      <c r="J104" s="206"/>
      <c r="K104" s="206"/>
    </row>
    <row r="105" spans="1:11" ht="12.75">
      <c r="A105" s="206"/>
      <c r="B105" s="206"/>
      <c r="C105" s="329"/>
      <c r="D105" s="206"/>
      <c r="E105" s="206"/>
      <c r="F105" s="206"/>
      <c r="I105" s="206"/>
      <c r="J105" s="206"/>
      <c r="K105" s="206"/>
    </row>
    <row r="106" spans="1:11" ht="12.75">
      <c r="A106" s="206"/>
      <c r="B106" s="206"/>
      <c r="C106" s="329"/>
      <c r="D106" s="206"/>
      <c r="E106" s="206"/>
      <c r="F106" s="206"/>
      <c r="I106" s="206"/>
      <c r="J106" s="206"/>
      <c r="K106" s="206"/>
    </row>
    <row r="107" spans="1:11" ht="12.75">
      <c r="A107" s="206"/>
      <c r="B107" s="206"/>
      <c r="C107" s="329"/>
      <c r="D107" s="206"/>
      <c r="E107" s="206"/>
      <c r="F107" s="206"/>
      <c r="I107" s="206"/>
      <c r="J107" s="206"/>
      <c r="K107" s="206"/>
    </row>
    <row r="108" spans="1:11" ht="12.75">
      <c r="A108" s="206"/>
      <c r="B108" s="206"/>
      <c r="C108" s="329"/>
      <c r="D108" s="206"/>
      <c r="E108" s="206"/>
      <c r="F108" s="206"/>
      <c r="I108" s="206"/>
      <c r="J108" s="206"/>
      <c r="K108" s="206"/>
    </row>
    <row r="109" spans="1:11" ht="12.75">
      <c r="A109" s="206"/>
      <c r="B109" s="206"/>
      <c r="C109" s="329"/>
      <c r="D109" s="206"/>
      <c r="E109" s="206"/>
      <c r="F109" s="206"/>
      <c r="I109" s="206"/>
      <c r="J109" s="206"/>
      <c r="K109" s="206"/>
    </row>
    <row r="110" spans="1:11" ht="12.75">
      <c r="A110" s="206"/>
      <c r="B110" s="206"/>
      <c r="C110" s="329"/>
      <c r="D110" s="206"/>
      <c r="E110" s="206"/>
      <c r="F110" s="206"/>
      <c r="I110" s="206"/>
      <c r="J110" s="206"/>
      <c r="K110" s="206"/>
    </row>
    <row r="111" spans="1:11" ht="12.75">
      <c r="A111" s="206"/>
      <c r="B111" s="206"/>
      <c r="C111" s="329"/>
      <c r="D111" s="206"/>
      <c r="E111" s="206"/>
      <c r="F111" s="206"/>
      <c r="I111" s="206"/>
      <c r="J111" s="206"/>
      <c r="K111" s="206"/>
    </row>
    <row r="112" spans="1:11" ht="12.75">
      <c r="A112" s="206"/>
      <c r="B112" s="206"/>
      <c r="C112" s="329"/>
      <c r="D112" s="206"/>
      <c r="E112" s="206"/>
      <c r="F112" s="206"/>
      <c r="I112" s="206"/>
      <c r="J112" s="206"/>
      <c r="K112" s="206"/>
    </row>
    <row r="113" spans="1:11" ht="12.75">
      <c r="A113" s="206"/>
      <c r="B113" s="206"/>
      <c r="C113" s="329"/>
      <c r="D113" s="206"/>
      <c r="E113" s="206"/>
      <c r="F113" s="206"/>
      <c r="I113" s="206"/>
      <c r="J113" s="206"/>
      <c r="K113" s="206"/>
    </row>
    <row r="114" spans="1:11" ht="12.75">
      <c r="A114" s="206"/>
      <c r="B114" s="206"/>
      <c r="C114" s="329"/>
      <c r="D114" s="206"/>
      <c r="E114" s="206"/>
      <c r="F114" s="206"/>
      <c r="I114" s="206"/>
      <c r="J114" s="206"/>
      <c r="K114" s="206"/>
    </row>
    <row r="115" spans="1:11" ht="12.75">
      <c r="A115" s="206"/>
      <c r="B115" s="206"/>
      <c r="C115" s="329"/>
      <c r="D115" s="206"/>
      <c r="E115" s="206"/>
      <c r="F115" s="206"/>
      <c r="I115" s="206"/>
      <c r="J115" s="206"/>
      <c r="K115" s="206"/>
    </row>
    <row r="116" spans="1:11" ht="12.75">
      <c r="A116" s="206"/>
      <c r="B116" s="206"/>
      <c r="C116" s="329"/>
      <c r="D116" s="206"/>
      <c r="E116" s="206"/>
      <c r="F116" s="206"/>
      <c r="I116" s="206"/>
      <c r="J116" s="206"/>
      <c r="K116" s="206"/>
    </row>
    <row r="117" spans="1:11" ht="12.75">
      <c r="A117" s="206"/>
      <c r="B117" s="206"/>
      <c r="C117" s="329"/>
      <c r="D117" s="206"/>
      <c r="E117" s="206"/>
      <c r="F117" s="206"/>
      <c r="I117" s="206"/>
      <c r="J117" s="206"/>
      <c r="K117" s="206"/>
    </row>
    <row r="118" spans="1:11" ht="12.75">
      <c r="A118" s="206"/>
      <c r="B118" s="206"/>
      <c r="C118" s="329"/>
      <c r="D118" s="206"/>
      <c r="E118" s="206"/>
      <c r="F118" s="206"/>
      <c r="I118" s="206"/>
      <c r="J118" s="206"/>
      <c r="K118" s="206"/>
    </row>
    <row r="119" spans="1:11" ht="12.75">
      <c r="A119" s="206"/>
      <c r="B119" s="206"/>
      <c r="C119" s="329"/>
      <c r="D119" s="206"/>
      <c r="E119" s="206"/>
      <c r="F119" s="206"/>
      <c r="I119" s="206"/>
      <c r="J119" s="206"/>
      <c r="K119" s="206"/>
    </row>
    <row r="120" spans="1:11" ht="12.75">
      <c r="A120" s="206"/>
      <c r="B120" s="206"/>
      <c r="C120" s="329"/>
      <c r="D120" s="206"/>
      <c r="E120" s="206"/>
      <c r="F120" s="206"/>
      <c r="I120" s="206"/>
      <c r="J120" s="206"/>
      <c r="K120" s="206"/>
    </row>
    <row r="121" spans="1:11" ht="12.75">
      <c r="A121" s="206"/>
      <c r="B121" s="206"/>
      <c r="C121" s="329"/>
      <c r="D121" s="206"/>
      <c r="E121" s="206"/>
      <c r="F121" s="206"/>
      <c r="I121" s="206"/>
      <c r="J121" s="206"/>
      <c r="K121" s="206"/>
    </row>
    <row r="122" spans="1:11" ht="12.75">
      <c r="A122" s="206"/>
      <c r="B122" s="206"/>
      <c r="C122" s="329"/>
      <c r="D122" s="206"/>
      <c r="E122" s="206"/>
      <c r="F122" s="206"/>
      <c r="I122" s="206"/>
      <c r="J122" s="206"/>
      <c r="K122" s="206"/>
    </row>
    <row r="123" spans="1:11" ht="12.75">
      <c r="A123" s="206"/>
      <c r="B123" s="206"/>
      <c r="C123" s="329"/>
      <c r="D123" s="206"/>
      <c r="E123" s="206"/>
      <c r="F123" s="206"/>
      <c r="I123" s="206"/>
      <c r="J123" s="206"/>
      <c r="K123" s="206"/>
    </row>
    <row r="124" spans="1:11" ht="12.75">
      <c r="A124" s="206"/>
      <c r="B124" s="206"/>
      <c r="C124" s="329"/>
      <c r="D124" s="206"/>
      <c r="E124" s="206"/>
      <c r="F124" s="206"/>
      <c r="I124" s="206"/>
      <c r="J124" s="206"/>
      <c r="K124" s="206"/>
    </row>
    <row r="125" spans="1:11" ht="12.75">
      <c r="A125" s="206"/>
      <c r="B125" s="206"/>
      <c r="C125" s="329"/>
      <c r="D125" s="206"/>
      <c r="E125" s="206"/>
      <c r="F125" s="206"/>
      <c r="I125" s="206"/>
      <c r="J125" s="206"/>
      <c r="K125" s="206"/>
    </row>
    <row r="126" spans="1:11" ht="12.75">
      <c r="A126" s="206"/>
      <c r="B126" s="206"/>
      <c r="C126" s="329"/>
      <c r="D126" s="206"/>
      <c r="E126" s="206"/>
      <c r="F126" s="206"/>
      <c r="I126" s="206"/>
      <c r="J126" s="206"/>
      <c r="K126" s="206"/>
    </row>
    <row r="127" spans="1:11" ht="12.75">
      <c r="A127" s="206"/>
      <c r="B127" s="206"/>
      <c r="C127" s="329"/>
      <c r="D127" s="206"/>
      <c r="E127" s="206"/>
      <c r="F127" s="206"/>
      <c r="I127" s="206"/>
      <c r="J127" s="206"/>
      <c r="K127" s="206"/>
    </row>
    <row r="128" spans="1:11" ht="12.75">
      <c r="A128" s="206"/>
      <c r="B128" s="206"/>
      <c r="C128" s="329"/>
      <c r="D128" s="206"/>
      <c r="E128" s="206"/>
      <c r="F128" s="206"/>
      <c r="I128" s="206"/>
      <c r="J128" s="206"/>
      <c r="K128" s="206"/>
    </row>
    <row r="129" spans="1:11" ht="12.75">
      <c r="A129" s="206"/>
      <c r="B129" s="206"/>
      <c r="C129" s="329"/>
      <c r="D129" s="206"/>
      <c r="E129" s="206"/>
      <c r="F129" s="206"/>
      <c r="I129" s="206"/>
      <c r="J129" s="206"/>
      <c r="K129" s="206"/>
    </row>
    <row r="130" spans="1:11" ht="12.75">
      <c r="A130" s="206"/>
      <c r="B130" s="206"/>
      <c r="C130" s="329"/>
      <c r="D130" s="314">
        <v>0</v>
      </c>
      <c r="E130" s="206"/>
      <c r="F130" s="206"/>
      <c r="I130" s="206"/>
      <c r="J130" s="206"/>
      <c r="K130" s="206"/>
    </row>
    <row r="131" spans="1:11" ht="12.75">
      <c r="A131" s="206"/>
      <c r="B131" s="206"/>
      <c r="C131" s="329"/>
      <c r="D131" s="206"/>
      <c r="E131" s="206"/>
      <c r="F131" s="206"/>
      <c r="I131" s="206"/>
      <c r="J131" s="206"/>
      <c r="K131" s="206"/>
    </row>
    <row r="132" spans="1:11" ht="12.75">
      <c r="A132" s="206"/>
      <c r="B132" s="206"/>
      <c r="C132" s="329"/>
      <c r="D132" s="206"/>
      <c r="E132" s="206"/>
      <c r="F132" s="206"/>
      <c r="I132" s="206"/>
      <c r="J132" s="206"/>
      <c r="K132" s="206"/>
    </row>
    <row r="133" spans="1:11" ht="12.75">
      <c r="A133" s="206"/>
      <c r="B133" s="206"/>
      <c r="C133" s="329"/>
      <c r="D133" s="206"/>
      <c r="E133" s="206"/>
      <c r="F133" s="206"/>
      <c r="I133" s="206"/>
      <c r="J133" s="206"/>
      <c r="K133" s="206"/>
    </row>
    <row r="134" spans="1:11" ht="12.75">
      <c r="A134" s="206"/>
      <c r="B134" s="206"/>
      <c r="C134" s="329"/>
      <c r="D134" s="206"/>
      <c r="E134" s="206"/>
      <c r="F134" s="206"/>
      <c r="I134" s="206"/>
      <c r="J134" s="206"/>
      <c r="K134" s="206"/>
    </row>
    <row r="135" spans="1:11" ht="12.75">
      <c r="A135" s="206"/>
      <c r="B135" s="206"/>
      <c r="C135" s="329"/>
      <c r="D135" s="206"/>
      <c r="E135" s="206"/>
      <c r="F135" s="206"/>
      <c r="I135" s="206"/>
      <c r="J135" s="206"/>
      <c r="K135" s="206"/>
    </row>
    <row r="136" spans="1:11" ht="12.75">
      <c r="A136" s="206"/>
      <c r="B136" s="206"/>
      <c r="C136" s="329"/>
      <c r="D136" s="206"/>
      <c r="E136" s="206"/>
      <c r="F136" s="206"/>
      <c r="I136" s="206"/>
      <c r="J136" s="206"/>
      <c r="K136" s="206"/>
    </row>
    <row r="137" spans="1:11" ht="12.75">
      <c r="A137" s="206"/>
      <c r="B137" s="206"/>
      <c r="C137" s="329"/>
      <c r="D137" s="206"/>
      <c r="E137" s="206"/>
      <c r="F137" s="206"/>
      <c r="I137" s="206"/>
      <c r="J137" s="206"/>
      <c r="K137" s="206"/>
    </row>
    <row r="138" spans="1:11" ht="12.75">
      <c r="A138" s="206"/>
      <c r="B138" s="206"/>
      <c r="C138" s="329"/>
      <c r="D138" s="206"/>
      <c r="E138" s="206"/>
      <c r="F138" s="206"/>
      <c r="I138" s="206"/>
      <c r="J138" s="206"/>
      <c r="K138" s="206"/>
    </row>
    <row r="139" spans="1:11" ht="12.75">
      <c r="A139" s="206"/>
      <c r="B139" s="206"/>
      <c r="C139" s="329"/>
      <c r="D139" s="206"/>
      <c r="E139" s="206"/>
      <c r="F139" s="206"/>
      <c r="I139" s="206"/>
      <c r="J139" s="206"/>
      <c r="K139" s="206"/>
    </row>
    <row r="140" spans="1:11" ht="12.75">
      <c r="A140" s="206"/>
      <c r="B140" s="206"/>
      <c r="C140" s="329"/>
      <c r="D140" s="206"/>
      <c r="E140" s="206"/>
      <c r="F140" s="206"/>
      <c r="I140" s="206"/>
      <c r="J140" s="206"/>
      <c r="K140" s="206"/>
    </row>
    <row r="141" spans="1:11" ht="12.75">
      <c r="A141" s="206"/>
      <c r="B141" s="206"/>
      <c r="C141" s="329"/>
      <c r="D141" s="206"/>
      <c r="E141" s="206"/>
      <c r="F141" s="206"/>
      <c r="I141" s="206"/>
      <c r="J141" s="206"/>
      <c r="K141" s="206"/>
    </row>
    <row r="142" spans="1:11" ht="12.75">
      <c r="A142" s="206"/>
      <c r="B142" s="206"/>
      <c r="C142" s="329"/>
      <c r="D142" s="206"/>
      <c r="E142" s="206"/>
      <c r="F142" s="206"/>
      <c r="I142" s="206"/>
      <c r="J142" s="206"/>
      <c r="K142" s="206"/>
    </row>
    <row r="143" spans="1:11" ht="12.75">
      <c r="A143" s="206"/>
      <c r="B143" s="206"/>
      <c r="C143" s="329"/>
      <c r="D143" s="206"/>
      <c r="E143" s="206"/>
      <c r="F143" s="206"/>
      <c r="I143" s="206"/>
      <c r="J143" s="206"/>
      <c r="K143" s="206"/>
    </row>
    <row r="144" spans="1:11" ht="12.75">
      <c r="A144" s="206"/>
      <c r="B144" s="206"/>
      <c r="C144" s="329"/>
      <c r="D144" s="206"/>
      <c r="E144" s="206"/>
      <c r="F144" s="206"/>
      <c r="I144" s="206"/>
      <c r="J144" s="206"/>
      <c r="K144" s="206"/>
    </row>
    <row r="145" spans="1:11" ht="12.75">
      <c r="A145" s="206"/>
      <c r="B145" s="206"/>
      <c r="C145" s="329"/>
      <c r="D145" s="206"/>
      <c r="E145" s="206"/>
      <c r="F145" s="206"/>
      <c r="I145" s="206"/>
      <c r="J145" s="206"/>
      <c r="K145" s="206"/>
    </row>
    <row r="146" spans="1:11" ht="12.75">
      <c r="A146" s="206"/>
      <c r="B146" s="206"/>
      <c r="C146" s="329"/>
      <c r="D146" s="206"/>
      <c r="E146" s="206"/>
      <c r="F146" s="206"/>
      <c r="I146" s="206"/>
      <c r="J146" s="206"/>
      <c r="K146" s="206"/>
    </row>
    <row r="147" spans="1:11" ht="12.75">
      <c r="A147" s="206"/>
      <c r="B147" s="206"/>
      <c r="C147" s="329"/>
      <c r="D147" s="206"/>
      <c r="E147" s="206"/>
      <c r="F147" s="206"/>
      <c r="I147" s="206"/>
      <c r="J147" s="206"/>
      <c r="K147" s="206"/>
    </row>
    <row r="148" spans="1:11" ht="12.75">
      <c r="A148" s="206"/>
      <c r="B148" s="206"/>
      <c r="C148" s="329"/>
      <c r="D148" s="206"/>
      <c r="E148" s="206"/>
      <c r="F148" s="206"/>
      <c r="I148" s="206"/>
      <c r="J148" s="206"/>
      <c r="K148" s="206"/>
    </row>
    <row r="149" spans="1:11" ht="12.75">
      <c r="A149" s="206"/>
      <c r="B149" s="206"/>
      <c r="C149" s="329"/>
      <c r="D149" s="206"/>
      <c r="E149" s="206"/>
      <c r="F149" s="206"/>
      <c r="I149" s="206"/>
      <c r="J149" s="206"/>
      <c r="K149" s="206"/>
    </row>
    <row r="150" spans="1:11" ht="12.75">
      <c r="A150" s="206"/>
      <c r="B150" s="206"/>
      <c r="C150" s="329"/>
      <c r="D150" s="206"/>
      <c r="E150" s="206"/>
      <c r="F150" s="206"/>
      <c r="I150" s="206"/>
      <c r="J150" s="206"/>
      <c r="K150" s="206"/>
    </row>
    <row r="151" spans="1:11" ht="12.75">
      <c r="A151" s="206"/>
      <c r="B151" s="206"/>
      <c r="C151" s="329"/>
      <c r="D151" s="206"/>
      <c r="E151" s="206"/>
      <c r="F151" s="206"/>
      <c r="I151" s="206"/>
      <c r="J151" s="206"/>
      <c r="K151" s="206"/>
    </row>
    <row r="152" spans="1:11" ht="12.75">
      <c r="A152" s="206"/>
      <c r="B152" s="206"/>
      <c r="C152" s="329"/>
      <c r="D152" s="206"/>
      <c r="E152" s="206"/>
      <c r="F152" s="206"/>
      <c r="I152" s="206"/>
      <c r="J152" s="206"/>
      <c r="K152" s="206"/>
    </row>
    <row r="153" spans="1:11" ht="12.75">
      <c r="A153" s="206"/>
      <c r="B153" s="206"/>
      <c r="C153" s="329"/>
      <c r="D153" s="206"/>
      <c r="E153" s="206"/>
      <c r="F153" s="206"/>
      <c r="I153" s="206"/>
      <c r="J153" s="206"/>
      <c r="K153" s="206"/>
    </row>
    <row r="154" spans="1:11" ht="12.75">
      <c r="A154" s="206"/>
      <c r="B154" s="206"/>
      <c r="C154" s="329"/>
      <c r="D154" s="206"/>
      <c r="E154" s="206"/>
      <c r="F154" s="206"/>
      <c r="I154" s="206"/>
      <c r="J154" s="206"/>
      <c r="K154" s="206"/>
    </row>
  </sheetData>
  <sheetProtection/>
  <mergeCells count="8">
    <mergeCell ref="E64:F64"/>
    <mergeCell ref="K8:K9"/>
    <mergeCell ref="C9:D9"/>
    <mergeCell ref="E9:F9"/>
    <mergeCell ref="C8:F8"/>
    <mergeCell ref="G8:H9"/>
    <mergeCell ref="I8:I9"/>
    <mergeCell ref="J8:J9"/>
  </mergeCells>
  <conditionalFormatting sqref="M90:M92 M84:M88 M71:M74 M80:M82 I41:J41 M78 C1 D6:D7 C7 C96:C65536">
    <cfRule type="expression" priority="1" dxfId="18" stopIfTrue="1">
      <formula>IF(OR($M1=0,NOT(ISNUMBER($M1))),TRUE,FALSE)</formula>
    </cfRule>
  </conditionalFormatting>
  <conditionalFormatting sqref="B41 D41:G41">
    <cfRule type="expression" priority="2" dxfId="18" stopIfTrue="1">
      <formula>IF(OR($G41=0,NOT(ISNUMBER($G41))),TRUE,FALSE)</formula>
    </cfRule>
  </conditionalFormatting>
  <conditionalFormatting sqref="M75:M76">
    <cfRule type="expression" priority="3" dxfId="18" stopIfTrue="1">
      <formula>IF(OR($M78=0,NOT(ISNUMBER($M78))),TRUE,FALSE)</formula>
    </cfRule>
  </conditionalFormatting>
  <conditionalFormatting sqref="M77">
    <cfRule type="expression" priority="4" dxfId="18" stopIfTrue="1">
      <formula>IF(OR($M79=0,NOT(ISNUMBER($M79))),TRUE,FALSE)</formula>
    </cfRule>
  </conditionalFormatting>
  <conditionalFormatting sqref="M70">
    <cfRule type="expression" priority="5" dxfId="18" stopIfTrue="1">
      <formula>IF(OR($M71=0,NOT(ISNUMBER($M71))),TRUE,FALSE)</formula>
    </cfRule>
  </conditionalFormatting>
  <conditionalFormatting sqref="C2:D5">
    <cfRule type="expression" priority="6" dxfId="9" stopIfTrue="1">
      <formula>IF(OR($M2=0,NOT(ISNUMBER($M2))),TRUE,FALSE)</formula>
    </cfRule>
  </conditionalFormatting>
  <conditionalFormatting sqref="C6">
    <cfRule type="expression" priority="7" dxfId="9" stopIfTrue="1">
      <formula>IF(OR($M5=0,NOT(ISNUMBER($M5))),TRUE,FALSE)</formula>
    </cfRule>
  </conditionalFormatting>
  <conditionalFormatting sqref="AI83:IV83 M83:AG83">
    <cfRule type="cellIs" priority="8" dxfId="2" operator="equal" stopIfTrue="1">
      <formula>""</formula>
    </cfRule>
  </conditionalFormatting>
  <printOptions/>
  <pageMargins left="0.75" right="0.75" top="0.41" bottom="0.55" header="0.5" footer="0.5"/>
  <pageSetup fitToHeight="1" fitToWidth="1" horizontalDpi="300" verticalDpi="300" orientation="landscape" scale="80" r:id="rId3"/>
  <ignoredErrors>
    <ignoredError sqref="E88 J82 C20 C25 C31:I33 C30:I30 D34:I48 C34:C43 C46:C48 I68" formula="1"/>
    <ignoredError sqref="J91 C52:C61" unlockedFormula="1"/>
    <ignoredError sqref="C44:C45" formula="1" unlockedFormula="1"/>
  </ignoredErrors>
  <legacyDrawing r:id="rId2"/>
</worksheet>
</file>

<file path=xl/worksheets/sheet7.xml><?xml version="1.0" encoding="utf-8"?>
<worksheet xmlns="http://schemas.openxmlformats.org/spreadsheetml/2006/main" xmlns:r="http://schemas.openxmlformats.org/officeDocument/2006/relationships">
  <sheetPr codeName="Sheet4"/>
  <dimension ref="A1:X256"/>
  <sheetViews>
    <sheetView workbookViewId="0" topLeftCell="A1">
      <selection activeCell="A1" sqref="A1"/>
    </sheetView>
  </sheetViews>
  <sheetFormatPr defaultColWidth="9.140625" defaultRowHeight="12.75"/>
  <cols>
    <col min="1" max="1" width="0.42578125" style="0" customWidth="1"/>
    <col min="2" max="2" width="30.7109375" style="0" customWidth="1"/>
    <col min="3" max="3" width="30.140625" style="0" customWidth="1"/>
    <col min="4" max="5" width="30.28125" style="0" bestFit="1" customWidth="1"/>
    <col min="6" max="6" width="21.28125" style="0" bestFit="1" customWidth="1"/>
    <col min="7" max="7" width="28.00390625" style="0" bestFit="1" customWidth="1"/>
    <col min="8" max="12" width="21.28125" style="0" bestFit="1" customWidth="1"/>
    <col min="13" max="13" width="9.57421875" style="0" bestFit="1" customWidth="1"/>
    <col min="15" max="15" width="11.00390625" style="0" customWidth="1"/>
    <col min="23" max="23" width="12.00390625" style="0" bestFit="1" customWidth="1"/>
    <col min="24" max="24" width="13.00390625" style="0" bestFit="1" customWidth="1"/>
  </cols>
  <sheetData>
    <row r="1" ht="12.75">
      <c r="B1" s="106" t="s">
        <v>292</v>
      </c>
    </row>
    <row r="2" spans="2:14" ht="12.75">
      <c r="B2" s="106" t="s">
        <v>291</v>
      </c>
      <c r="N2" s="23"/>
    </row>
    <row r="3" spans="2:14" ht="12.75">
      <c r="B3" s="106" t="s">
        <v>52</v>
      </c>
      <c r="N3" s="23"/>
    </row>
    <row r="4" spans="2:14" ht="13.5" thickBot="1">
      <c r="B4" s="121" t="s">
        <v>265</v>
      </c>
      <c r="N4" s="23"/>
    </row>
    <row r="5" spans="2:14" ht="12.75">
      <c r="B5" s="22" t="s">
        <v>339</v>
      </c>
      <c r="C5" s="120" t="s">
        <v>310</v>
      </c>
      <c r="D5" s="120" t="s">
        <v>313</v>
      </c>
      <c r="E5" s="120" t="s">
        <v>312</v>
      </c>
      <c r="F5" s="120" t="s">
        <v>685</v>
      </c>
      <c r="G5" s="120" t="s">
        <v>684</v>
      </c>
      <c r="H5" s="120" t="s">
        <v>686</v>
      </c>
      <c r="I5" s="120" t="s">
        <v>319</v>
      </c>
      <c r="J5" s="120" t="s">
        <v>50</v>
      </c>
      <c r="K5" s="120" t="s">
        <v>687</v>
      </c>
      <c r="L5" s="120" t="s">
        <v>688</v>
      </c>
      <c r="M5" s="120"/>
      <c r="N5" s="467"/>
    </row>
    <row r="6" spans="2:14" ht="12.75">
      <c r="B6" s="121" t="s">
        <v>327</v>
      </c>
      <c r="C6" s="7" t="s">
        <v>321</v>
      </c>
      <c r="D6" s="10" t="s">
        <v>326</v>
      </c>
      <c r="E6" s="10" t="s">
        <v>327</v>
      </c>
      <c r="F6" s="10" t="s">
        <v>327</v>
      </c>
      <c r="G6" s="10" t="s">
        <v>327</v>
      </c>
      <c r="H6" s="10" t="s">
        <v>327</v>
      </c>
      <c r="I6" s="10" t="s">
        <v>326</v>
      </c>
      <c r="J6" s="10" t="s">
        <v>327</v>
      </c>
      <c r="K6" s="10" t="s">
        <v>326</v>
      </c>
      <c r="L6" s="10" t="s">
        <v>326</v>
      </c>
      <c r="M6" s="10"/>
      <c r="N6" s="468"/>
    </row>
    <row r="7" spans="2:14" ht="12.75">
      <c r="B7" s="25" t="s">
        <v>28</v>
      </c>
      <c r="C7" s="10" t="s">
        <v>327</v>
      </c>
      <c r="D7" s="7"/>
      <c r="E7" s="10" t="s">
        <v>28</v>
      </c>
      <c r="F7" s="10" t="s">
        <v>28</v>
      </c>
      <c r="G7" s="10" t="s">
        <v>28</v>
      </c>
      <c r="H7" s="10" t="s">
        <v>28</v>
      </c>
      <c r="I7" s="10" t="s">
        <v>327</v>
      </c>
      <c r="J7" s="10" t="s">
        <v>28</v>
      </c>
      <c r="K7" s="10" t="s">
        <v>327</v>
      </c>
      <c r="L7" s="10"/>
      <c r="M7" s="10"/>
      <c r="N7" s="468"/>
    </row>
    <row r="8" spans="2:14" ht="12.75">
      <c r="B8" s="25" t="s">
        <v>331</v>
      </c>
      <c r="C8" s="10" t="s">
        <v>28</v>
      </c>
      <c r="D8" s="7"/>
      <c r="E8" s="23"/>
      <c r="F8" s="10" t="s">
        <v>331</v>
      </c>
      <c r="G8" s="7"/>
      <c r="I8" s="10" t="s">
        <v>28</v>
      </c>
      <c r="K8" s="10" t="s">
        <v>28</v>
      </c>
      <c r="L8" s="10"/>
      <c r="M8" s="10"/>
      <c r="N8" s="469"/>
    </row>
    <row r="9" spans="2:14" ht="13.5" thickBot="1">
      <c r="B9" s="471"/>
      <c r="C9" s="472"/>
      <c r="D9" s="472"/>
      <c r="E9" s="472"/>
      <c r="F9" s="472"/>
      <c r="G9" s="472"/>
      <c r="H9" s="472"/>
      <c r="I9" s="472"/>
      <c r="J9" s="472"/>
      <c r="K9" s="472"/>
      <c r="L9" s="472"/>
      <c r="M9" s="472"/>
      <c r="N9" s="470"/>
    </row>
    <row r="10" ht="12.75">
      <c r="N10" s="23"/>
    </row>
    <row r="11" spans="2:14" ht="13.5" thickBot="1">
      <c r="B11" t="s">
        <v>266</v>
      </c>
      <c r="N11" s="23"/>
    </row>
    <row r="12" spans="1:14" ht="13.5" thickBot="1">
      <c r="A12" s="102"/>
      <c r="B12" s="126" t="s">
        <v>330</v>
      </c>
      <c r="C12" s="126" t="s">
        <v>267</v>
      </c>
      <c r="D12" s="123"/>
      <c r="E12" s="24" t="s">
        <v>419</v>
      </c>
      <c r="F12" s="24" t="s">
        <v>495</v>
      </c>
      <c r="G12" s="24" t="s">
        <v>484</v>
      </c>
      <c r="H12" s="50"/>
      <c r="I12" s="50"/>
      <c r="J12" s="50"/>
      <c r="K12" s="50"/>
      <c r="L12" s="50"/>
      <c r="N12" s="23"/>
    </row>
    <row r="13" spans="1:12" ht="12.75">
      <c r="A13" s="124"/>
      <c r="B13" s="127" t="s">
        <v>28</v>
      </c>
      <c r="C13" s="120">
        <v>1</v>
      </c>
      <c r="D13" s="120"/>
      <c r="E13" s="128" t="s">
        <v>29</v>
      </c>
      <c r="F13" s="128" t="s">
        <v>30</v>
      </c>
      <c r="G13" s="61" t="s">
        <v>31</v>
      </c>
      <c r="H13" s="50"/>
      <c r="I13" s="50"/>
      <c r="J13" s="50"/>
      <c r="K13" s="50"/>
      <c r="L13" s="50"/>
    </row>
    <row r="14" spans="1:24" ht="12.75">
      <c r="A14" s="14"/>
      <c r="B14" s="129" t="s">
        <v>321</v>
      </c>
      <c r="C14" s="14">
        <v>2</v>
      </c>
      <c r="D14" s="14"/>
      <c r="E14" s="65" t="s">
        <v>372</v>
      </c>
      <c r="F14" s="65" t="s">
        <v>485</v>
      </c>
      <c r="G14" s="62" t="s">
        <v>473</v>
      </c>
      <c r="H14" s="50"/>
      <c r="I14" s="50"/>
      <c r="J14" s="50"/>
      <c r="K14" s="50"/>
      <c r="L14" s="50"/>
      <c r="U14">
        <v>1</v>
      </c>
      <c r="V14">
        <f>(1388+U14*488.5)/U14</f>
        <v>1876.5</v>
      </c>
      <c r="W14">
        <f>(0.08558*U14^1.0584)/1000</f>
        <v>8.558E-05</v>
      </c>
      <c r="X14">
        <f>PMT(7%,10,-(1388+U14*488.5))/(W14*1000*365)</f>
        <v>8.553124493557252</v>
      </c>
    </row>
    <row r="15" spans="1:24" ht="12.75">
      <c r="A15" s="14"/>
      <c r="B15" s="129" t="s">
        <v>322</v>
      </c>
      <c r="C15" s="14">
        <v>3</v>
      </c>
      <c r="D15" s="14"/>
      <c r="E15" s="65" t="s">
        <v>373</v>
      </c>
      <c r="F15" s="65" t="s">
        <v>486</v>
      </c>
      <c r="G15" s="62" t="s">
        <v>474</v>
      </c>
      <c r="H15" s="50"/>
      <c r="I15" s="50"/>
      <c r="J15" s="50"/>
      <c r="K15" s="50"/>
      <c r="L15" s="50"/>
      <c r="U15">
        <v>2</v>
      </c>
      <c r="V15">
        <f aca="true" t="shared" si="0" ref="V15:V39">(1388+U15*488.5)/U15</f>
        <v>1182.5</v>
      </c>
      <c r="W15" s="57">
        <f aca="true" t="shared" si="1" ref="W15:W39">(0.08558*U15^1.0584)/1000</f>
        <v>0.00017823066584313617</v>
      </c>
      <c r="X15">
        <f aca="true" t="shared" si="2" ref="X15:X39">PMT(7%,10,-(1388+U15*488.5))/(W15*1000*365)</f>
        <v>5.176035213913573</v>
      </c>
    </row>
    <row r="16" spans="1:24" ht="12.75">
      <c r="A16" s="14"/>
      <c r="B16" s="129" t="s">
        <v>325</v>
      </c>
      <c r="C16" s="14">
        <v>4</v>
      </c>
      <c r="D16" s="14"/>
      <c r="E16" s="65" t="s">
        <v>374</v>
      </c>
      <c r="F16" s="65" t="s">
        <v>487</v>
      </c>
      <c r="G16" s="62" t="s">
        <v>475</v>
      </c>
      <c r="H16" s="50"/>
      <c r="I16" s="50"/>
      <c r="J16" s="50"/>
      <c r="K16" s="50"/>
      <c r="L16" s="50"/>
      <c r="U16">
        <v>3</v>
      </c>
      <c r="V16">
        <f t="shared" si="0"/>
        <v>951.1666666666666</v>
      </c>
      <c r="W16" s="57">
        <f t="shared" si="1"/>
        <v>0.00027375207398830516</v>
      </c>
      <c r="X16">
        <f t="shared" si="2"/>
        <v>4.066014897463729</v>
      </c>
    </row>
    <row r="17" spans="1:24" ht="12.75">
      <c r="A17" s="14"/>
      <c r="B17" s="129" t="s">
        <v>326</v>
      </c>
      <c r="C17" s="14">
        <v>5</v>
      </c>
      <c r="D17" s="14"/>
      <c r="E17" s="65" t="s">
        <v>375</v>
      </c>
      <c r="F17" s="65" t="s">
        <v>488</v>
      </c>
      <c r="G17" s="62" t="s">
        <v>476</v>
      </c>
      <c r="H17" s="50"/>
      <c r="I17" s="50"/>
      <c r="J17" s="50"/>
      <c r="K17" s="50"/>
      <c r="L17" s="50"/>
      <c r="U17">
        <v>4</v>
      </c>
      <c r="V17">
        <f t="shared" si="0"/>
        <v>835.5</v>
      </c>
      <c r="W17" s="57">
        <f t="shared" si="1"/>
        <v>0.0003711868456051374</v>
      </c>
      <c r="X17">
        <f t="shared" si="2"/>
        <v>3.512063627598296</v>
      </c>
    </row>
    <row r="18" spans="1:24" ht="12.75">
      <c r="A18" s="14"/>
      <c r="B18" s="129" t="s">
        <v>327</v>
      </c>
      <c r="C18" s="14">
        <v>6</v>
      </c>
      <c r="D18" s="14"/>
      <c r="E18" s="65" t="s">
        <v>376</v>
      </c>
      <c r="F18" s="65" t="s">
        <v>489</v>
      </c>
      <c r="G18" s="62" t="s">
        <v>477</v>
      </c>
      <c r="H18" s="50"/>
      <c r="I18" s="50"/>
      <c r="J18" s="50"/>
      <c r="K18" s="50"/>
      <c r="L18" s="50"/>
      <c r="U18">
        <v>5</v>
      </c>
      <c r="V18">
        <f t="shared" si="0"/>
        <v>766.1</v>
      </c>
      <c r="W18" s="57">
        <f t="shared" si="1"/>
        <v>0.00047006956646615365</v>
      </c>
      <c r="X18">
        <f t="shared" si="2"/>
        <v>3.1786436190079086</v>
      </c>
    </row>
    <row r="19" spans="1:24" ht="12.75">
      <c r="A19" s="14"/>
      <c r="B19" s="129" t="s">
        <v>320</v>
      </c>
      <c r="C19" s="14">
        <v>7</v>
      </c>
      <c r="D19" s="14"/>
      <c r="E19" s="65" t="s">
        <v>377</v>
      </c>
      <c r="F19" s="65" t="s">
        <v>490</v>
      </c>
      <c r="G19" s="62" t="s">
        <v>478</v>
      </c>
      <c r="H19" s="50"/>
      <c r="I19" s="50"/>
      <c r="J19" s="50"/>
      <c r="K19" s="50"/>
      <c r="L19" s="50"/>
      <c r="U19">
        <v>6</v>
      </c>
      <c r="V19">
        <f t="shared" si="0"/>
        <v>719.8333333333334</v>
      </c>
      <c r="W19" s="57">
        <f t="shared" si="1"/>
        <v>0.0005701216922514034</v>
      </c>
      <c r="X19">
        <f t="shared" si="2"/>
        <v>2.9550453162537282</v>
      </c>
    </row>
    <row r="20" spans="1:24" ht="12.75">
      <c r="A20" s="14"/>
      <c r="B20" s="129" t="s">
        <v>323</v>
      </c>
      <c r="C20" s="14">
        <v>8</v>
      </c>
      <c r="D20" s="14"/>
      <c r="E20" s="65" t="s">
        <v>378</v>
      </c>
      <c r="F20" s="65" t="s">
        <v>491</v>
      </c>
      <c r="G20" s="62" t="s">
        <v>479</v>
      </c>
      <c r="H20" s="50"/>
      <c r="I20" s="50"/>
      <c r="J20" s="50"/>
      <c r="K20" s="50"/>
      <c r="L20" s="50"/>
      <c r="U20">
        <v>7</v>
      </c>
      <c r="V20">
        <f t="shared" si="0"/>
        <v>686.7857142857143</v>
      </c>
      <c r="W20" s="57">
        <f t="shared" si="1"/>
        <v>0.0006711568818833335</v>
      </c>
      <c r="X20">
        <f t="shared" si="2"/>
        <v>2.7941116234472947</v>
      </c>
    </row>
    <row r="21" spans="1:24" ht="12.75">
      <c r="A21" s="14"/>
      <c r="B21" s="129" t="s">
        <v>331</v>
      </c>
      <c r="C21" s="14">
        <v>9</v>
      </c>
      <c r="D21" s="14"/>
      <c r="E21" s="65" t="s">
        <v>379</v>
      </c>
      <c r="F21" s="65" t="s">
        <v>492</v>
      </c>
      <c r="G21" s="62" t="s">
        <v>480</v>
      </c>
      <c r="H21" s="50"/>
      <c r="I21" s="50"/>
      <c r="J21" s="50"/>
      <c r="K21" s="50"/>
      <c r="L21" s="50"/>
      <c r="U21">
        <v>8</v>
      </c>
      <c r="V21">
        <f t="shared" si="0"/>
        <v>662</v>
      </c>
      <c r="W21" s="57">
        <f t="shared" si="1"/>
        <v>0.0007730413489649103</v>
      </c>
      <c r="X21">
        <f t="shared" si="2"/>
        <v>2.6723525928305074</v>
      </c>
    </row>
    <row r="22" spans="1:24" ht="12.75">
      <c r="A22" s="14"/>
      <c r="B22" s="129" t="s">
        <v>324</v>
      </c>
      <c r="C22" s="14">
        <v>10</v>
      </c>
      <c r="D22" s="14"/>
      <c r="E22" s="65" t="s">
        <v>423</v>
      </c>
      <c r="F22" s="65" t="s">
        <v>508</v>
      </c>
      <c r="G22" s="62" t="s">
        <v>509</v>
      </c>
      <c r="H22" s="50"/>
      <c r="I22" s="50"/>
      <c r="J22" s="50"/>
      <c r="K22" s="50"/>
      <c r="L22" s="50"/>
      <c r="U22">
        <v>9</v>
      </c>
      <c r="V22">
        <f t="shared" si="0"/>
        <v>642.7222222222222</v>
      </c>
      <c r="W22" s="57">
        <f t="shared" si="1"/>
        <v>0.0008756741997300595</v>
      </c>
      <c r="X22">
        <f t="shared" si="2"/>
        <v>2.5767469938155596</v>
      </c>
    </row>
    <row r="23" spans="1:24" ht="12.75">
      <c r="A23" s="14"/>
      <c r="B23" s="129" t="s">
        <v>332</v>
      </c>
      <c r="C23" s="14">
        <v>11</v>
      </c>
      <c r="D23" s="14"/>
      <c r="E23" s="65" t="s">
        <v>380</v>
      </c>
      <c r="F23" s="65" t="s">
        <v>493</v>
      </c>
      <c r="G23" s="62" t="s">
        <v>482</v>
      </c>
      <c r="H23" s="50"/>
      <c r="I23" s="50"/>
      <c r="J23" s="50"/>
      <c r="K23" s="50"/>
      <c r="L23" s="50"/>
      <c r="U23">
        <v>10</v>
      </c>
      <c r="V23">
        <f t="shared" si="0"/>
        <v>627.3</v>
      </c>
      <c r="W23" s="57">
        <f t="shared" si="1"/>
        <v>0.0009789765345157389</v>
      </c>
      <c r="X23">
        <f t="shared" si="2"/>
        <v>2.499490625044847</v>
      </c>
    </row>
    <row r="24" spans="1:24" ht="12.75">
      <c r="A24" s="14"/>
      <c r="B24" s="129" t="s">
        <v>333</v>
      </c>
      <c r="C24" s="14">
        <v>12</v>
      </c>
      <c r="D24" s="14"/>
      <c r="E24" s="65" t="s">
        <v>425</v>
      </c>
      <c r="F24" s="65" t="s">
        <v>494</v>
      </c>
      <c r="G24" s="62" t="s">
        <v>483</v>
      </c>
      <c r="H24" s="50"/>
      <c r="I24" s="50"/>
      <c r="J24" s="50"/>
      <c r="K24" s="50"/>
      <c r="L24" s="50"/>
      <c r="U24">
        <v>20</v>
      </c>
      <c r="V24">
        <f t="shared" si="0"/>
        <v>557.9</v>
      </c>
      <c r="W24" s="57">
        <f t="shared" si="1"/>
        <v>0.0020388366393029453</v>
      </c>
      <c r="X24">
        <f t="shared" si="2"/>
        <v>2.134776602845483</v>
      </c>
    </row>
    <row r="25" spans="1:24" ht="13.5" thickBot="1">
      <c r="A25" s="10"/>
      <c r="B25" s="130" t="s">
        <v>588</v>
      </c>
      <c r="C25" s="131">
        <v>13</v>
      </c>
      <c r="D25" s="132"/>
      <c r="E25" s="133" t="s">
        <v>589</v>
      </c>
      <c r="F25" s="133" t="str">
        <f>VLOOKUP(user_treat_select,name_list,4,FALSE)</f>
        <v>pou_ads_nsf53_parts</v>
      </c>
      <c r="G25" s="63" t="str">
        <f>VLOOKUP(user_treat_select,name_list,5,FALSE)</f>
        <v>pou_ads_nsf53_replace</v>
      </c>
      <c r="H25" s="50"/>
      <c r="I25" s="50"/>
      <c r="J25" s="50"/>
      <c r="K25" s="50"/>
      <c r="U25">
        <v>30</v>
      </c>
      <c r="V25">
        <f t="shared" si="0"/>
        <v>534.7666666666667</v>
      </c>
      <c r="W25" s="57">
        <f t="shared" si="1"/>
        <v>0.003131536068118335</v>
      </c>
      <c r="X25">
        <f t="shared" si="2"/>
        <v>1.9983735466969637</v>
      </c>
    </row>
    <row r="26" spans="1:24" ht="12.75">
      <c r="A26" s="10"/>
      <c r="B26" s="10"/>
      <c r="C26" s="10"/>
      <c r="D26" s="10"/>
      <c r="E26" s="10"/>
      <c r="F26" s="10"/>
      <c r="G26" s="60"/>
      <c r="H26" s="50"/>
      <c r="I26" s="50"/>
      <c r="J26" s="50"/>
      <c r="K26" s="50"/>
      <c r="U26">
        <v>40</v>
      </c>
      <c r="V26">
        <f t="shared" si="0"/>
        <v>523.2</v>
      </c>
      <c r="W26" s="57">
        <f t="shared" si="1"/>
        <v>0.004246123063430076</v>
      </c>
      <c r="X26">
        <f t="shared" si="2"/>
        <v>1.9225766190835683</v>
      </c>
    </row>
    <row r="27" spans="1:24" ht="12.75">
      <c r="A27" s="10"/>
      <c r="B27" s="7" t="s">
        <v>653</v>
      </c>
      <c r="E27" s="10"/>
      <c r="F27" s="10"/>
      <c r="G27" s="60"/>
      <c r="H27" s="50"/>
      <c r="I27" s="50"/>
      <c r="J27" s="50"/>
      <c r="K27" s="50"/>
      <c r="U27">
        <v>50</v>
      </c>
      <c r="V27">
        <f t="shared" si="0"/>
        <v>516.26</v>
      </c>
      <c r="W27" s="57">
        <f t="shared" si="1"/>
        <v>0.005377273605519405</v>
      </c>
      <c r="X27">
        <f t="shared" si="2"/>
        <v>1.8725130515237427</v>
      </c>
    </row>
    <row r="28" spans="1:24" ht="12.75">
      <c r="A28" s="10"/>
      <c r="B28" s="7" t="s">
        <v>170</v>
      </c>
      <c r="C28" s="37" t="s">
        <v>555</v>
      </c>
      <c r="D28" s="21">
        <f>IF(user_I="User-Defined System",1,"")</f>
      </c>
      <c r="E28" s="10"/>
      <c r="F28" s="10"/>
      <c r="G28" s="60"/>
      <c r="H28" s="50"/>
      <c r="I28" s="50"/>
      <c r="J28" s="50"/>
      <c r="K28" s="50"/>
      <c r="U28">
        <v>60</v>
      </c>
      <c r="V28">
        <f t="shared" si="0"/>
        <v>511.6333333333333</v>
      </c>
      <c r="W28" s="57">
        <f t="shared" si="1"/>
        <v>0.006521801338309501</v>
      </c>
      <c r="X28">
        <f t="shared" si="2"/>
        <v>1.8360775606667228</v>
      </c>
    </row>
    <row r="29" spans="2:24" ht="12.75">
      <c r="B29" t="s">
        <v>633</v>
      </c>
      <c r="C29" s="65" t="s">
        <v>652</v>
      </c>
      <c r="D29" t="str">
        <f>IF(user=1,contam_user,contam_stand)</f>
        <v>SOCs</v>
      </c>
      <c r="E29" s="7"/>
      <c r="F29" s="10"/>
      <c r="G29" s="10"/>
      <c r="H29" s="10"/>
      <c r="I29" s="50"/>
      <c r="J29" s="50"/>
      <c r="K29" s="2"/>
      <c r="L29" s="2"/>
      <c r="M29" s="50"/>
      <c r="U29">
        <v>80</v>
      </c>
      <c r="V29">
        <f t="shared" si="0"/>
        <v>505.85</v>
      </c>
      <c r="W29" s="57">
        <f t="shared" si="1"/>
        <v>0.008843063108752503</v>
      </c>
      <c r="X29">
        <f t="shared" si="2"/>
        <v>1.7850793404003287</v>
      </c>
    </row>
    <row r="30" spans="2:24" ht="12.75">
      <c r="B30" s="7" t="s">
        <v>654</v>
      </c>
      <c r="C30" s="37" t="s">
        <v>354</v>
      </c>
      <c r="D30" s="122">
        <f>IF(user=1,13,VLOOKUP(treat,system_assign,2,FALSE))</f>
        <v>5</v>
      </c>
      <c r="E30" s="122"/>
      <c r="U30">
        <v>90</v>
      </c>
      <c r="V30">
        <f t="shared" si="0"/>
        <v>503.9222222222222</v>
      </c>
      <c r="W30" s="57">
        <f t="shared" si="1"/>
        <v>0.010017112566213793</v>
      </c>
      <c r="X30">
        <f t="shared" si="2"/>
        <v>1.7660865073441243</v>
      </c>
    </row>
    <row r="31" spans="2:24" ht="12.75">
      <c r="B31" s="7" t="s">
        <v>203</v>
      </c>
      <c r="C31" s="37" t="s">
        <v>206</v>
      </c>
      <c r="D31" s="122">
        <f>IF(component_level_I="high cost",2,IF(component_level_I="mid cost",1,""))</f>
        <v>1</v>
      </c>
      <c r="E31" s="122"/>
      <c r="U31">
        <v>100</v>
      </c>
      <c r="V31">
        <f t="shared" si="0"/>
        <v>502.38</v>
      </c>
      <c r="W31" s="57">
        <f t="shared" si="1"/>
        <v>0.01119882046193557</v>
      </c>
      <c r="X31">
        <f t="shared" si="2"/>
        <v>1.749881203720762</v>
      </c>
    </row>
    <row r="32" spans="2:24" ht="12.75">
      <c r="B32" t="s">
        <v>655</v>
      </c>
      <c r="C32" s="37" t="s">
        <v>584</v>
      </c>
      <c r="D32" s="122">
        <f>VLOOKUP(user_treat,system_assign,2,FALSE)</f>
        <v>2</v>
      </c>
      <c r="E32" s="122"/>
      <c r="U32">
        <v>110</v>
      </c>
      <c r="V32">
        <f t="shared" si="0"/>
        <v>501.1181818181818</v>
      </c>
      <c r="W32" s="57">
        <f t="shared" si="1"/>
        <v>0.012387460998081088</v>
      </c>
      <c r="X32">
        <f t="shared" si="2"/>
        <v>1.7357974743946656</v>
      </c>
    </row>
    <row r="33" spans="2:24" ht="12.75">
      <c r="B33" s="7" t="s">
        <v>171</v>
      </c>
      <c r="C33" s="37"/>
      <c r="D33" s="135">
        <f>ROUND(IF(user_design="average flow",IF(user_source_select="ground water",(((user_flow/1000)/(0.08558))^(1/1.0584)),(((user_flow/1000)/(0.14004))^(1/0.99703)))/hh_size,user_pop),0)</f>
        <v>25</v>
      </c>
      <c r="E33" s="122"/>
      <c r="U33">
        <v>125</v>
      </c>
      <c r="V33">
        <f t="shared" si="0"/>
        <v>499.604</v>
      </c>
      <c r="W33" s="57">
        <f t="shared" si="1"/>
        <v>0.014182142340987854</v>
      </c>
      <c r="X33">
        <f t="shared" si="2"/>
        <v>1.7176812963509815</v>
      </c>
    </row>
    <row r="34" spans="2:24" ht="12.75">
      <c r="B34" t="s">
        <v>237</v>
      </c>
      <c r="C34" s="37" t="s">
        <v>334</v>
      </c>
      <c r="D34" s="135">
        <f>ROUND(IF(user=1,D33,hh_stand),0)</f>
        <v>24</v>
      </c>
      <c r="U34">
        <v>150</v>
      </c>
      <c r="V34">
        <f t="shared" si="0"/>
        <v>497.75333333333333</v>
      </c>
      <c r="W34" s="57">
        <f t="shared" si="1"/>
        <v>0.01720074552364465</v>
      </c>
      <c r="X34">
        <f t="shared" si="2"/>
        <v>1.6931938102557726</v>
      </c>
    </row>
    <row r="35" spans="2:23" ht="12.75">
      <c r="B35" s="7" t="s">
        <v>79</v>
      </c>
      <c r="C35" s="37" t="s">
        <v>81</v>
      </c>
      <c r="D35" s="135">
        <f>IF(user=1,"",IF(INPUT!D26="MGD",1,2))</f>
        <v>1</v>
      </c>
      <c r="E35" t="s">
        <v>83</v>
      </c>
      <c r="W35" s="57"/>
    </row>
    <row r="36" spans="2:23" ht="12.75">
      <c r="B36" t="s">
        <v>80</v>
      </c>
      <c r="C36" s="37" t="s">
        <v>82</v>
      </c>
      <c r="D36" s="135">
        <f>IF(user=1,"",IF(INPUT!D27="MGD",1,2))</f>
        <v>1</v>
      </c>
      <c r="E36" t="s">
        <v>83</v>
      </c>
      <c r="W36" s="57"/>
    </row>
    <row r="37" spans="3:23" ht="12.75">
      <c r="C37" s="37"/>
      <c r="D37" s="135"/>
      <c r="W37" s="57"/>
    </row>
    <row r="38" spans="3:23" ht="12.75">
      <c r="C38" s="37"/>
      <c r="D38" s="135"/>
      <c r="W38" s="57"/>
    </row>
    <row r="39" spans="3:24" ht="12.75">
      <c r="C39" s="37" t="s">
        <v>645</v>
      </c>
      <c r="D39" s="122"/>
      <c r="U39">
        <v>175</v>
      </c>
      <c r="V39">
        <f t="shared" si="0"/>
        <v>496.43142857142857</v>
      </c>
      <c r="W39" s="57">
        <f t="shared" si="1"/>
        <v>0.020249008042702892</v>
      </c>
      <c r="X39">
        <f t="shared" si="2"/>
        <v>1.6735630205722412</v>
      </c>
    </row>
    <row r="40" spans="3:4" ht="12.75">
      <c r="C40" s="37" t="s">
        <v>45</v>
      </c>
      <c r="D40" s="122">
        <f>IF(contam="nitrate",1,0)</f>
        <v>0</v>
      </c>
    </row>
    <row r="41" ht="12.75">
      <c r="D41" s="122"/>
    </row>
    <row r="42" spans="3:5" ht="12.75">
      <c r="C42" s="37" t="s">
        <v>41</v>
      </c>
      <c r="D42" s="511">
        <f>hh_select*IF(hh_select&lt;500,83000,IF(hh_select&lt;3300,85000,89000))/1000</f>
        <v>1992</v>
      </c>
      <c r="E42" t="s">
        <v>42</v>
      </c>
    </row>
    <row r="43" spans="3:5" ht="12.75">
      <c r="C43" s="37" t="s">
        <v>341</v>
      </c>
      <c r="D43" s="512">
        <f>average_annual_production/365/1000</f>
        <v>0.005457534246575343</v>
      </c>
      <c r="E43" t="s">
        <v>340</v>
      </c>
    </row>
    <row r="44" spans="3:4" ht="12.75">
      <c r="C44" s="37"/>
      <c r="D44" s="512"/>
    </row>
    <row r="45" spans="4:8" ht="12.75">
      <c r="D45" s="10" t="s">
        <v>616</v>
      </c>
      <c r="E45" s="10" t="s">
        <v>617</v>
      </c>
      <c r="F45" s="10" t="s">
        <v>356</v>
      </c>
      <c r="G45" s="5" t="s">
        <v>357</v>
      </c>
      <c r="H45" s="10" t="s">
        <v>358</v>
      </c>
    </row>
    <row r="46" spans="3:8" ht="12.75">
      <c r="C46" s="37" t="s">
        <v>589</v>
      </c>
      <c r="D46" s="10">
        <v>0</v>
      </c>
      <c r="E46" s="10">
        <v>1000</v>
      </c>
      <c r="F46" s="10">
        <f ca="1">IF(user_unit_cost="",VLOOKUP(hh_select,INDIRECT(VLOOKUP(user_treat_select,name_list,3,FALSE)),3),user_unit_cost)</f>
        <v>262.5</v>
      </c>
      <c r="G46" s="5">
        <v>10</v>
      </c>
      <c r="H46" s="10">
        <v>10</v>
      </c>
    </row>
    <row r="47" spans="3:8" ht="12.75">
      <c r="C47" s="37" t="s">
        <v>660</v>
      </c>
      <c r="D47">
        <v>0</v>
      </c>
      <c r="E47">
        <v>1000</v>
      </c>
      <c r="F47" s="10">
        <f>IF(user_uv_cost="0",VLOOKUP(hh_select,pou_uv_equipment,3),user_uv_cost)</f>
        <v>0</v>
      </c>
      <c r="G47">
        <v>10</v>
      </c>
      <c r="H47">
        <v>10</v>
      </c>
    </row>
    <row r="67" spans="2:3" ht="12.75">
      <c r="B67" s="45"/>
      <c r="C67" s="45"/>
    </row>
    <row r="68" spans="2:3" ht="12.75">
      <c r="B68" s="45"/>
      <c r="C68" s="45"/>
    </row>
    <row r="69" spans="2:3" ht="12.75">
      <c r="B69" s="45"/>
      <c r="C69" s="45"/>
    </row>
    <row r="70" spans="2:3" ht="12.75">
      <c r="B70" s="45"/>
      <c r="C70" s="45"/>
    </row>
    <row r="71" spans="2:3" ht="12.75">
      <c r="B71" s="45"/>
      <c r="C71" s="45"/>
    </row>
    <row r="72" spans="2:3" ht="12.75">
      <c r="B72" s="45"/>
      <c r="C72" s="45"/>
    </row>
    <row r="73" spans="2:3" ht="12.75">
      <c r="B73" s="45"/>
      <c r="C73" s="45"/>
    </row>
    <row r="74" spans="2:3" ht="12.75">
      <c r="B74" s="45"/>
      <c r="C74" s="45"/>
    </row>
    <row r="75" spans="2:3" ht="12.75">
      <c r="B75" s="45"/>
      <c r="C75" s="45"/>
    </row>
    <row r="76" spans="2:3" ht="12.75">
      <c r="B76" s="45"/>
      <c r="C76" s="45"/>
    </row>
    <row r="77" spans="2:3" ht="12.75">
      <c r="B77" s="45"/>
      <c r="C77" s="45"/>
    </row>
    <row r="78" spans="2:3" ht="12.75">
      <c r="B78" s="45"/>
      <c r="C78" s="45"/>
    </row>
    <row r="79" spans="2:3" ht="12.75">
      <c r="B79" s="45"/>
      <c r="C79" s="45"/>
    </row>
    <row r="80" spans="2:3" ht="12.75">
      <c r="B80" s="45"/>
      <c r="C80" s="45"/>
    </row>
    <row r="81" spans="2:3" ht="12.75">
      <c r="B81" s="45"/>
      <c r="C81" s="45"/>
    </row>
    <row r="82" spans="2:3" ht="12.75">
      <c r="B82" s="45"/>
      <c r="C82" s="45"/>
    </row>
    <row r="83" spans="2:3" ht="12.75">
      <c r="B83" s="45"/>
      <c r="C83" s="45"/>
    </row>
    <row r="84" spans="2:3" ht="12.75">
      <c r="B84" s="45"/>
      <c r="C84" s="45"/>
    </row>
    <row r="85" spans="2:3" ht="12.75">
      <c r="B85" s="45"/>
      <c r="C85" s="45"/>
    </row>
    <row r="86" spans="2:3" ht="12.75">
      <c r="B86" s="45"/>
      <c r="C86" s="45"/>
    </row>
    <row r="87" spans="2:3" ht="12.75">
      <c r="B87" s="45"/>
      <c r="C87" s="45"/>
    </row>
    <row r="88" spans="2:3" ht="12.75">
      <c r="B88" s="45"/>
      <c r="C88" s="45"/>
    </row>
    <row r="89" spans="2:3" ht="12.75">
      <c r="B89" s="45"/>
      <c r="C89" s="45"/>
    </row>
    <row r="90" spans="2:3" ht="12.75">
      <c r="B90" s="45"/>
      <c r="C90" s="45"/>
    </row>
    <row r="91" spans="2:3" ht="12.75">
      <c r="B91" s="45"/>
      <c r="C91" s="45"/>
    </row>
    <row r="92" spans="2:3" ht="12.75">
      <c r="B92" s="45"/>
      <c r="C92" s="45"/>
    </row>
    <row r="93" spans="2:3" ht="12.75">
      <c r="B93" s="45"/>
      <c r="C93" s="45"/>
    </row>
    <row r="94" spans="2:3" ht="12.75">
      <c r="B94" s="45"/>
      <c r="C94" s="45"/>
    </row>
    <row r="95" spans="2:3" ht="12.75">
      <c r="B95" s="45"/>
      <c r="C95" s="45"/>
    </row>
    <row r="96" spans="2:3" ht="12.75">
      <c r="B96" s="45"/>
      <c r="C96" s="45"/>
    </row>
    <row r="97" spans="2:3" ht="12.75">
      <c r="B97" s="45"/>
      <c r="C97" s="45"/>
    </row>
    <row r="98" spans="2:3" ht="12.75">
      <c r="B98" s="45"/>
      <c r="C98" s="45"/>
    </row>
    <row r="99" spans="2:3" ht="12.75">
      <c r="B99" s="45"/>
      <c r="C99" s="45"/>
    </row>
    <row r="100" spans="2:3" ht="12.75">
      <c r="B100" s="45"/>
      <c r="C100" s="45"/>
    </row>
    <row r="101" spans="2:3" ht="12.75">
      <c r="B101" s="45"/>
      <c r="C101" s="45"/>
    </row>
    <row r="102" spans="2:3" ht="12.75">
      <c r="B102" s="45"/>
      <c r="C102" s="45"/>
    </row>
    <row r="103" spans="2:3" ht="12.75">
      <c r="B103" s="45"/>
      <c r="C103" s="45"/>
    </row>
    <row r="104" spans="2:3" ht="12.75">
      <c r="B104" s="45"/>
      <c r="C104" s="45"/>
    </row>
    <row r="105" spans="2:3" ht="12.75">
      <c r="B105" s="45"/>
      <c r="C105" s="45"/>
    </row>
    <row r="106" spans="2:3" ht="12.75">
      <c r="B106" s="45"/>
      <c r="C106" s="45"/>
    </row>
    <row r="107" spans="2:3" ht="12.75">
      <c r="B107" s="45"/>
      <c r="C107" s="45"/>
    </row>
    <row r="108" spans="2:3" ht="12.75">
      <c r="B108" s="45"/>
      <c r="C108" s="45"/>
    </row>
    <row r="109" spans="2:3" ht="12.75">
      <c r="B109" s="45"/>
      <c r="C109" s="45"/>
    </row>
    <row r="110" spans="2:3" ht="12.75">
      <c r="B110" s="45"/>
      <c r="C110" s="45"/>
    </row>
    <row r="111" spans="2:3" ht="12.75">
      <c r="B111" s="45"/>
      <c r="C111" s="45"/>
    </row>
    <row r="112" spans="2:3" ht="12.75">
      <c r="B112" s="45"/>
      <c r="C112" s="45"/>
    </row>
    <row r="113" spans="2:3" ht="12.75">
      <c r="B113" s="45"/>
      <c r="C113" s="45"/>
    </row>
    <row r="114" spans="2:3" ht="12.75">
      <c r="B114" s="45"/>
      <c r="C114" s="45"/>
    </row>
    <row r="115" spans="2:3" ht="12.75">
      <c r="B115" s="45"/>
      <c r="C115" s="45"/>
    </row>
    <row r="116" spans="2:3" ht="12.75">
      <c r="B116" s="45"/>
      <c r="C116" s="45"/>
    </row>
    <row r="117" spans="2:3" ht="12.75">
      <c r="B117" s="45"/>
      <c r="C117" s="45"/>
    </row>
    <row r="118" spans="2:3" ht="12.75">
      <c r="B118" s="45"/>
      <c r="C118" s="45"/>
    </row>
    <row r="119" spans="2:3" ht="12.75">
      <c r="B119" s="45"/>
      <c r="C119" s="45"/>
    </row>
    <row r="120" spans="2:3" ht="12.75">
      <c r="B120" s="45"/>
      <c r="C120" s="45"/>
    </row>
    <row r="121" spans="2:3" ht="12.75">
      <c r="B121" s="45"/>
      <c r="C121" s="45"/>
    </row>
    <row r="122" spans="2:3" ht="12.75">
      <c r="B122" s="45"/>
      <c r="C122" s="45"/>
    </row>
    <row r="123" spans="2:3" ht="12.75">
      <c r="B123" s="45"/>
      <c r="C123" s="45"/>
    </row>
    <row r="124" spans="2:3" ht="12.75">
      <c r="B124" s="45"/>
      <c r="C124" s="45"/>
    </row>
    <row r="125" spans="2:3" ht="12.75">
      <c r="B125" s="45"/>
      <c r="C125" s="45"/>
    </row>
    <row r="126" spans="2:3" ht="12.75">
      <c r="B126" s="45"/>
      <c r="C126" s="45"/>
    </row>
    <row r="127" spans="2:3" ht="12.75">
      <c r="B127" s="45"/>
      <c r="C127" s="45"/>
    </row>
    <row r="128" spans="2:3" ht="12.75">
      <c r="B128" s="45"/>
      <c r="C128" s="45"/>
    </row>
    <row r="129" spans="2:3" ht="12.75">
      <c r="B129" s="45"/>
      <c r="C129" s="45"/>
    </row>
    <row r="130" spans="2:3" ht="12.75">
      <c r="B130" s="45"/>
      <c r="C130" s="45"/>
    </row>
    <row r="131" spans="2:3" ht="12.75">
      <c r="B131" s="45"/>
      <c r="C131" s="45"/>
    </row>
    <row r="132" spans="2:3" ht="12.75">
      <c r="B132" s="45"/>
      <c r="C132" s="45"/>
    </row>
    <row r="133" spans="2:3" ht="12.75">
      <c r="B133" s="45"/>
      <c r="C133" s="45"/>
    </row>
    <row r="134" spans="2:3" ht="12.75">
      <c r="B134" s="45"/>
      <c r="C134" s="45"/>
    </row>
    <row r="135" spans="2:3" ht="12.75">
      <c r="B135" s="45"/>
      <c r="C135" s="45"/>
    </row>
    <row r="136" spans="2:3" ht="12.75">
      <c r="B136" s="45"/>
      <c r="C136" s="45"/>
    </row>
    <row r="137" spans="2:3" ht="12.75">
      <c r="B137" s="45"/>
      <c r="C137" s="45"/>
    </row>
    <row r="138" spans="2:3" ht="12.75">
      <c r="B138" s="45"/>
      <c r="C138" s="45"/>
    </row>
    <row r="139" spans="2:3" ht="12.75">
      <c r="B139" s="45"/>
      <c r="C139" s="45"/>
    </row>
    <row r="140" spans="2:3" ht="12.75">
      <c r="B140" s="45"/>
      <c r="C140" s="45"/>
    </row>
    <row r="141" spans="2:3" ht="12.75">
      <c r="B141" s="45"/>
      <c r="C141" s="45"/>
    </row>
    <row r="142" spans="2:3" ht="12.75">
      <c r="B142" s="45"/>
      <c r="C142" s="45"/>
    </row>
    <row r="143" spans="2:3" ht="12.75">
      <c r="B143" s="45"/>
      <c r="C143" s="45"/>
    </row>
    <row r="144" spans="2:3" ht="12.75">
      <c r="B144" s="45"/>
      <c r="C144" s="45"/>
    </row>
    <row r="145" spans="2:3" ht="12.75">
      <c r="B145" s="45"/>
      <c r="C145" s="45"/>
    </row>
    <row r="146" spans="2:3" ht="12.75">
      <c r="B146" s="45"/>
      <c r="C146" s="45"/>
    </row>
    <row r="147" spans="2:3" ht="12.75">
      <c r="B147" s="45"/>
      <c r="C147" s="45"/>
    </row>
    <row r="148" spans="2:3" ht="12.75">
      <c r="B148" s="45"/>
      <c r="C148" s="45"/>
    </row>
    <row r="149" spans="2:3" ht="12.75">
      <c r="B149" s="45"/>
      <c r="C149" s="45"/>
    </row>
    <row r="150" spans="2:3" ht="12.75">
      <c r="B150" s="45"/>
      <c r="C150" s="45"/>
    </row>
    <row r="151" spans="2:3" ht="12.75">
      <c r="B151" s="45"/>
      <c r="C151" s="45"/>
    </row>
    <row r="152" spans="2:3" ht="12.75">
      <c r="B152" s="45"/>
      <c r="C152" s="45"/>
    </row>
    <row r="153" spans="2:3" ht="12.75">
      <c r="B153" s="45"/>
      <c r="C153" s="45"/>
    </row>
    <row r="154" spans="2:3" ht="12.75">
      <c r="B154" s="45"/>
      <c r="C154" s="45"/>
    </row>
    <row r="155" spans="2:3" ht="12.75">
      <c r="B155" s="45"/>
      <c r="C155" s="45"/>
    </row>
    <row r="156" spans="2:3" ht="12.75">
      <c r="B156" s="45"/>
      <c r="C156" s="45"/>
    </row>
    <row r="157" spans="2:3" ht="12.75">
      <c r="B157" s="45"/>
      <c r="C157" s="45"/>
    </row>
    <row r="158" spans="2:3" ht="12.75">
      <c r="B158" s="45"/>
      <c r="C158" s="45"/>
    </row>
    <row r="159" spans="2:3" ht="12.75">
      <c r="B159" s="45"/>
      <c r="C159" s="45"/>
    </row>
    <row r="160" spans="2:3" ht="12.75">
      <c r="B160" s="45"/>
      <c r="C160" s="45"/>
    </row>
    <row r="161" spans="2:3" ht="12.75">
      <c r="B161" s="45"/>
      <c r="C161" s="45"/>
    </row>
    <row r="162" spans="2:3" ht="12.75">
      <c r="B162" s="45"/>
      <c r="C162" s="45"/>
    </row>
    <row r="163" spans="2:3" ht="12.75">
      <c r="B163" s="45"/>
      <c r="C163" s="45"/>
    </row>
    <row r="164" spans="2:3" ht="12.75">
      <c r="B164" s="45"/>
      <c r="C164" s="45"/>
    </row>
    <row r="165" spans="2:3" ht="12.75">
      <c r="B165" s="45"/>
      <c r="C165" s="45"/>
    </row>
    <row r="166" spans="2:3" ht="12.75">
      <c r="B166" s="45"/>
      <c r="C166" s="45"/>
    </row>
    <row r="167" spans="2:3" ht="12.75">
      <c r="B167" s="45"/>
      <c r="C167" s="45"/>
    </row>
    <row r="168" spans="2:3" ht="12.75">
      <c r="B168" s="45"/>
      <c r="C168" s="45"/>
    </row>
    <row r="169" spans="2:3" ht="12.75">
      <c r="B169" s="45"/>
      <c r="C169" s="45"/>
    </row>
    <row r="170" spans="2:3" ht="12.75">
      <c r="B170" s="45"/>
      <c r="C170" s="45"/>
    </row>
    <row r="171" spans="2:3" ht="12.75">
      <c r="B171" s="45"/>
      <c r="C171" s="45"/>
    </row>
    <row r="172" spans="2:3" ht="12.75">
      <c r="B172" s="45"/>
      <c r="C172" s="45"/>
    </row>
    <row r="173" spans="2:3" ht="12.75">
      <c r="B173" s="45"/>
      <c r="C173" s="45"/>
    </row>
    <row r="174" spans="2:3" ht="12.75">
      <c r="B174" s="45"/>
      <c r="C174" s="45"/>
    </row>
    <row r="175" spans="2:3" ht="12.75">
      <c r="B175" s="45"/>
      <c r="C175" s="45"/>
    </row>
    <row r="176" spans="2:3" ht="12.75">
      <c r="B176" s="45"/>
      <c r="C176" s="45"/>
    </row>
    <row r="177" spans="2:3" ht="12.75">
      <c r="B177" s="45"/>
      <c r="C177" s="45"/>
    </row>
    <row r="178" spans="2:3" ht="12.75">
      <c r="B178" s="45"/>
      <c r="C178" s="45"/>
    </row>
    <row r="179" spans="2:3" ht="12.75">
      <c r="B179" s="45"/>
      <c r="C179" s="45"/>
    </row>
    <row r="180" spans="2:3" ht="12.75">
      <c r="B180" s="45"/>
      <c r="C180" s="45"/>
    </row>
    <row r="181" spans="2:3" ht="12.75">
      <c r="B181" s="45"/>
      <c r="C181" s="45"/>
    </row>
    <row r="182" spans="2:3" ht="12.75">
      <c r="B182" s="45"/>
      <c r="C182" s="45"/>
    </row>
    <row r="183" spans="2:3" ht="12.75">
      <c r="B183" s="45"/>
      <c r="C183" s="45"/>
    </row>
    <row r="184" spans="2:3" ht="12.75">
      <c r="B184" s="45"/>
      <c r="C184" s="45"/>
    </row>
    <row r="185" spans="2:3" ht="12.75">
      <c r="B185" s="45"/>
      <c r="C185" s="45"/>
    </row>
    <row r="186" spans="2:3" ht="12.75">
      <c r="B186" s="45"/>
      <c r="C186" s="45"/>
    </row>
    <row r="187" spans="2:3" ht="12.75">
      <c r="B187" s="45"/>
      <c r="C187" s="45"/>
    </row>
    <row r="188" spans="2:3" ht="12.75">
      <c r="B188" s="45"/>
      <c r="C188" s="45"/>
    </row>
    <row r="189" spans="2:3" ht="12.75">
      <c r="B189" s="45"/>
      <c r="C189" s="45"/>
    </row>
    <row r="190" spans="2:3" ht="12.75">
      <c r="B190" s="45"/>
      <c r="C190" s="45"/>
    </row>
    <row r="191" spans="2:3" ht="12.75">
      <c r="B191" s="45"/>
      <c r="C191" s="45"/>
    </row>
    <row r="192" spans="2:3" ht="12.75">
      <c r="B192" s="45"/>
      <c r="C192" s="45"/>
    </row>
    <row r="193" spans="2:3" ht="12.75">
      <c r="B193" s="45"/>
      <c r="C193" s="45"/>
    </row>
    <row r="194" spans="2:3" ht="12.75">
      <c r="B194" s="45"/>
      <c r="C194" s="45"/>
    </row>
    <row r="195" spans="2:3" ht="12.75">
      <c r="B195" s="45"/>
      <c r="C195" s="45"/>
    </row>
    <row r="196" spans="2:3" ht="12.75">
      <c r="B196" s="45"/>
      <c r="C196" s="45"/>
    </row>
    <row r="197" spans="2:3" ht="12.75">
      <c r="B197" s="45"/>
      <c r="C197" s="45"/>
    </row>
    <row r="198" spans="2:3" ht="12.75">
      <c r="B198" s="45"/>
      <c r="C198" s="45"/>
    </row>
    <row r="199" spans="2:3" ht="12.75">
      <c r="B199" s="45"/>
      <c r="C199" s="45"/>
    </row>
    <row r="200" spans="2:3" ht="12.75">
      <c r="B200" s="45"/>
      <c r="C200" s="45"/>
    </row>
    <row r="201" spans="2:3" ht="12.75">
      <c r="B201" s="45"/>
      <c r="C201" s="45"/>
    </row>
    <row r="202" spans="2:3" ht="12.75">
      <c r="B202" s="45"/>
      <c r="C202" s="45"/>
    </row>
    <row r="203" spans="2:3" ht="12.75">
      <c r="B203" s="45"/>
      <c r="C203" s="45"/>
    </row>
    <row r="204" spans="2:3" ht="12.75">
      <c r="B204" s="45"/>
      <c r="C204" s="45"/>
    </row>
    <row r="205" spans="2:3" ht="12.75">
      <c r="B205" s="45"/>
      <c r="C205" s="45"/>
    </row>
    <row r="206" spans="2:3" ht="12.75">
      <c r="B206" s="45"/>
      <c r="C206" s="45"/>
    </row>
    <row r="207" spans="2:3" ht="12.75">
      <c r="B207" s="45"/>
      <c r="C207" s="45"/>
    </row>
    <row r="208" spans="2:3" ht="12.75">
      <c r="B208" s="45"/>
      <c r="C208" s="45"/>
    </row>
    <row r="209" spans="2:3" ht="12.75">
      <c r="B209" s="45"/>
      <c r="C209" s="45"/>
    </row>
    <row r="210" spans="2:3" ht="12.75">
      <c r="B210" s="45"/>
      <c r="C210" s="45"/>
    </row>
    <row r="211" spans="2:3" ht="12.75">
      <c r="B211" s="45"/>
      <c r="C211" s="45"/>
    </row>
    <row r="212" spans="2:3" ht="12.75">
      <c r="B212" s="45"/>
      <c r="C212" s="45"/>
    </row>
    <row r="213" spans="2:3" ht="12.75">
      <c r="B213" s="45"/>
      <c r="C213" s="45"/>
    </row>
    <row r="214" spans="2:3" ht="12.75">
      <c r="B214" s="45"/>
      <c r="C214" s="45"/>
    </row>
    <row r="215" spans="2:3" ht="12.75">
      <c r="B215" s="45"/>
      <c r="C215" s="45"/>
    </row>
    <row r="216" spans="2:3" ht="12.75">
      <c r="B216" s="45"/>
      <c r="C216" s="45"/>
    </row>
    <row r="217" spans="2:3" ht="12.75">
      <c r="B217" s="45"/>
      <c r="C217" s="45"/>
    </row>
    <row r="218" spans="2:3" ht="12.75">
      <c r="B218" s="45"/>
      <c r="C218" s="45"/>
    </row>
    <row r="219" spans="2:3" ht="12.75">
      <c r="B219" s="45"/>
      <c r="C219" s="45"/>
    </row>
    <row r="220" spans="2:3" ht="12.75">
      <c r="B220" s="45"/>
      <c r="C220" s="45"/>
    </row>
    <row r="221" spans="2:3" ht="12.75">
      <c r="B221" s="45"/>
      <c r="C221" s="45"/>
    </row>
    <row r="222" spans="2:3" ht="12.75">
      <c r="B222" s="45"/>
      <c r="C222" s="45"/>
    </row>
    <row r="223" spans="2:3" ht="12.75">
      <c r="B223" s="45"/>
      <c r="C223" s="45"/>
    </row>
    <row r="224" spans="2:3" ht="12.75">
      <c r="B224" s="45"/>
      <c r="C224" s="45"/>
    </row>
    <row r="225" spans="2:3" ht="12.75">
      <c r="B225" s="45"/>
      <c r="C225" s="45"/>
    </row>
    <row r="226" spans="2:3" ht="12.75">
      <c r="B226" s="45"/>
      <c r="C226" s="45"/>
    </row>
    <row r="227" spans="2:3" ht="12.75">
      <c r="B227" s="45"/>
      <c r="C227" s="45"/>
    </row>
    <row r="228" spans="2:3" ht="12.75">
      <c r="B228" s="45"/>
      <c r="C228" s="45"/>
    </row>
    <row r="229" spans="2:3" ht="12.75">
      <c r="B229" s="45"/>
      <c r="C229" s="45"/>
    </row>
    <row r="230" spans="2:3" ht="12.75">
      <c r="B230" s="45"/>
      <c r="C230" s="45"/>
    </row>
    <row r="231" spans="2:3" ht="12.75">
      <c r="B231" s="45"/>
      <c r="C231" s="45"/>
    </row>
    <row r="232" spans="2:3" ht="12.75">
      <c r="B232" s="45"/>
      <c r="C232" s="45"/>
    </row>
    <row r="233" spans="2:3" ht="12.75">
      <c r="B233" s="45"/>
      <c r="C233" s="45"/>
    </row>
    <row r="234" spans="2:3" ht="12.75">
      <c r="B234" s="45"/>
      <c r="C234" s="45"/>
    </row>
    <row r="235" spans="2:3" ht="12.75">
      <c r="B235" s="45"/>
      <c r="C235" s="45"/>
    </row>
    <row r="236" spans="2:3" ht="12.75">
      <c r="B236" s="45"/>
      <c r="C236" s="45"/>
    </row>
    <row r="237" spans="2:3" ht="12.75">
      <c r="B237" s="45"/>
      <c r="C237" s="45"/>
    </row>
    <row r="238" spans="2:3" ht="12.75">
      <c r="B238" s="45"/>
      <c r="C238" s="45"/>
    </row>
    <row r="239" spans="2:3" ht="12.75">
      <c r="B239" s="45"/>
      <c r="C239" s="45"/>
    </row>
    <row r="240" spans="2:3" ht="12.75">
      <c r="B240" s="45"/>
      <c r="C240" s="45"/>
    </row>
    <row r="241" spans="2:3" ht="12.75">
      <c r="B241" s="45"/>
      <c r="C241" s="45"/>
    </row>
    <row r="242" spans="2:3" ht="12.75">
      <c r="B242" s="45"/>
      <c r="C242" s="45"/>
    </row>
    <row r="243" spans="2:3" ht="12.75">
      <c r="B243" s="45"/>
      <c r="C243" s="45"/>
    </row>
    <row r="244" spans="2:3" ht="12.75">
      <c r="B244" s="45"/>
      <c r="C244" s="45"/>
    </row>
    <row r="245" spans="2:3" ht="12.75">
      <c r="B245" s="45"/>
      <c r="C245" s="45"/>
    </row>
    <row r="246" spans="2:3" ht="12.75">
      <c r="B246" s="45"/>
      <c r="C246" s="45"/>
    </row>
    <row r="247" spans="2:3" ht="12.75">
      <c r="B247" s="45"/>
      <c r="C247" s="45"/>
    </row>
    <row r="248" spans="2:3" ht="12.75">
      <c r="B248" s="45"/>
      <c r="C248" s="45"/>
    </row>
    <row r="249" spans="2:3" ht="12.75">
      <c r="B249" s="45"/>
      <c r="C249" s="45"/>
    </row>
    <row r="250" spans="2:3" ht="12.75">
      <c r="B250" s="45"/>
      <c r="C250" s="45"/>
    </row>
    <row r="251" spans="2:3" ht="12.75">
      <c r="B251" s="45"/>
      <c r="C251" s="45"/>
    </row>
    <row r="252" spans="2:3" ht="12.75">
      <c r="B252" s="45"/>
      <c r="C252" s="45"/>
    </row>
    <row r="253" spans="2:3" ht="12.75">
      <c r="B253" s="45"/>
      <c r="C253" s="45"/>
    </row>
    <row r="254" spans="2:3" ht="12.75">
      <c r="B254" s="45"/>
      <c r="C254" s="45"/>
    </row>
    <row r="255" spans="2:3" ht="12.75">
      <c r="B255" s="45"/>
      <c r="C255" s="45"/>
    </row>
    <row r="256" spans="2:3" ht="12.75">
      <c r="B256" s="45"/>
      <c r="C256" s="45"/>
    </row>
  </sheetData>
  <sheetProtection/>
  <printOptions/>
  <pageMargins left="0.75" right="0.75" top="1" bottom="1" header="0.5" footer="0.5"/>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codeName="Sheet5"/>
  <dimension ref="A1:AW322"/>
  <sheetViews>
    <sheetView workbookViewId="0" topLeftCell="A1">
      <selection activeCell="A1" sqref="A1"/>
    </sheetView>
  </sheetViews>
  <sheetFormatPr defaultColWidth="9.140625" defaultRowHeight="12.75"/>
  <cols>
    <col min="1" max="1" width="37.57421875" style="0" customWidth="1"/>
    <col min="2" max="2" width="18.7109375" style="0" customWidth="1"/>
    <col min="3" max="3" width="16.8515625" style="0" customWidth="1"/>
    <col min="4" max="4" width="9.140625" style="36" customWidth="1"/>
  </cols>
  <sheetData>
    <row r="1" ht="12.75">
      <c r="A1" s="44" t="s">
        <v>710</v>
      </c>
    </row>
    <row r="2" ht="12.75">
      <c r="A2" s="4" t="s">
        <v>707</v>
      </c>
    </row>
    <row r="3" ht="12.75">
      <c r="A3" s="4" t="str">
        <f>"All prices have been escalated to "&amp;current_year&amp;" dollars using the Consumer Price Index or an Employment Cost Index."</f>
        <v>All prices have been escalated to 2005 dollars using the Consumer Price Index or an Employment Cost Index.</v>
      </c>
    </row>
    <row r="4" ht="12.75">
      <c r="A4" s="44" t="s">
        <v>278</v>
      </c>
    </row>
    <row r="5" spans="1:49" ht="17.25" customHeight="1">
      <c r="A5" s="74"/>
      <c r="B5" s="42" t="s">
        <v>370</v>
      </c>
      <c r="C5" s="46"/>
      <c r="D5" s="46"/>
      <c r="E5" s="46"/>
      <c r="F5" s="46"/>
      <c r="G5" s="46"/>
      <c r="H5" s="46"/>
      <c r="I5" s="46"/>
      <c r="J5" s="46"/>
      <c r="K5" s="46"/>
      <c r="L5" s="46"/>
      <c r="M5" s="46"/>
      <c r="N5" s="47"/>
      <c r="O5" s="47"/>
      <c r="P5" s="47"/>
      <c r="Q5" s="46"/>
      <c r="R5" s="46"/>
      <c r="S5" s="35"/>
      <c r="T5" s="47"/>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row>
    <row r="6" spans="1:49" ht="12.75">
      <c r="A6" s="66"/>
      <c r="B6" s="4" t="s">
        <v>43</v>
      </c>
      <c r="D6" s="48"/>
      <c r="N6" s="9"/>
      <c r="O6" s="9"/>
      <c r="P6" s="9"/>
      <c r="S6" s="49"/>
      <c r="U6" s="9"/>
      <c r="AU6" s="36"/>
      <c r="AW6" s="36"/>
    </row>
    <row r="7" spans="1:48" ht="12.75">
      <c r="A7" s="66"/>
      <c r="B7" t="s">
        <v>371</v>
      </c>
      <c r="C7" t="s">
        <v>371</v>
      </c>
      <c r="D7" t="s">
        <v>356</v>
      </c>
      <c r="E7" t="s">
        <v>357</v>
      </c>
      <c r="F7" t="s">
        <v>358</v>
      </c>
      <c r="G7" t="s">
        <v>359</v>
      </c>
      <c r="H7" t="s">
        <v>360</v>
      </c>
      <c r="I7" t="s">
        <v>361</v>
      </c>
      <c r="J7" t="s">
        <v>362</v>
      </c>
      <c r="K7" t="s">
        <v>138</v>
      </c>
      <c r="L7" t="s">
        <v>363</v>
      </c>
      <c r="M7" s="50" t="s">
        <v>364</v>
      </c>
      <c r="N7" s="51" t="s">
        <v>365</v>
      </c>
      <c r="O7" s="51" t="s">
        <v>366</v>
      </c>
      <c r="P7" s="52" t="s">
        <v>367</v>
      </c>
      <c r="Q7" t="s">
        <v>369</v>
      </c>
      <c r="R7" t="s">
        <v>138</v>
      </c>
      <c r="S7" s="52" t="s">
        <v>368</v>
      </c>
      <c r="T7" s="50" t="s">
        <v>364</v>
      </c>
      <c r="U7" s="51" t="s">
        <v>365</v>
      </c>
      <c r="V7" s="51" t="s">
        <v>366</v>
      </c>
      <c r="W7" s="52" t="s">
        <v>367</v>
      </c>
      <c r="X7" t="s">
        <v>369</v>
      </c>
      <c r="Y7" t="s">
        <v>138</v>
      </c>
      <c r="Z7" s="52" t="s">
        <v>368</v>
      </c>
      <c r="AA7" s="50" t="s">
        <v>364</v>
      </c>
      <c r="AB7" s="51" t="s">
        <v>365</v>
      </c>
      <c r="AC7" s="52" t="s">
        <v>366</v>
      </c>
      <c r="AD7" s="52" t="s">
        <v>367</v>
      </c>
      <c r="AE7" t="s">
        <v>369</v>
      </c>
      <c r="AF7" t="s">
        <v>138</v>
      </c>
      <c r="AG7" s="52" t="s">
        <v>368</v>
      </c>
      <c r="AH7" s="50" t="s">
        <v>364</v>
      </c>
      <c r="AI7" s="51" t="s">
        <v>365</v>
      </c>
      <c r="AJ7" s="51" t="s">
        <v>366</v>
      </c>
      <c r="AK7" s="52" t="s">
        <v>367</v>
      </c>
      <c r="AL7" t="s">
        <v>369</v>
      </c>
      <c r="AM7" t="s">
        <v>138</v>
      </c>
      <c r="AN7" s="52" t="s">
        <v>368</v>
      </c>
      <c r="AO7" t="s">
        <v>139</v>
      </c>
      <c r="AP7" s="51" t="s">
        <v>365</v>
      </c>
      <c r="AQ7" s="51" t="s">
        <v>366</v>
      </c>
      <c r="AR7" s="52" t="s">
        <v>367</v>
      </c>
      <c r="AS7" t="s">
        <v>369</v>
      </c>
      <c r="AT7" t="s">
        <v>138</v>
      </c>
      <c r="AU7" s="52" t="s">
        <v>368</v>
      </c>
      <c r="AV7" t="s">
        <v>139</v>
      </c>
    </row>
    <row r="8" spans="1:49" ht="12.75">
      <c r="A8" s="65" t="s">
        <v>29</v>
      </c>
      <c r="B8" s="367">
        <v>0</v>
      </c>
      <c r="C8" s="367">
        <v>4</v>
      </c>
      <c r="D8" s="505">
        <v>0</v>
      </c>
      <c r="E8">
        <v>10</v>
      </c>
      <c r="F8">
        <v>10</v>
      </c>
      <c r="G8" s="53"/>
      <c r="H8" s="58"/>
      <c r="I8" s="59"/>
      <c r="J8" s="45"/>
      <c r="K8" s="175"/>
      <c r="M8" s="54">
        <v>1</v>
      </c>
      <c r="N8" s="53"/>
      <c r="O8" s="58"/>
      <c r="P8" s="59"/>
      <c r="Q8" s="45"/>
      <c r="R8" s="175"/>
      <c r="T8" s="54"/>
      <c r="U8" s="53"/>
      <c r="V8" s="58"/>
      <c r="W8" s="59"/>
      <c r="X8" s="45"/>
      <c r="Y8" s="175"/>
      <c r="AA8" s="54"/>
      <c r="AH8" s="54"/>
      <c r="AW8" s="36"/>
    </row>
    <row r="9" spans="1:49" ht="12.75">
      <c r="A9" s="65"/>
      <c r="B9" s="367">
        <v>5</v>
      </c>
      <c r="C9" s="367">
        <v>15</v>
      </c>
      <c r="D9" s="505">
        <v>0</v>
      </c>
      <c r="E9">
        <v>10</v>
      </c>
      <c r="F9">
        <v>10</v>
      </c>
      <c r="G9" s="53"/>
      <c r="H9" s="58"/>
      <c r="I9" s="59"/>
      <c r="J9" s="45"/>
      <c r="K9" s="175"/>
      <c r="M9" s="54">
        <v>1</v>
      </c>
      <c r="N9" s="53"/>
      <c r="O9" s="58"/>
      <c r="P9" s="59"/>
      <c r="Q9" s="45"/>
      <c r="R9" s="175"/>
      <c r="T9" s="54"/>
      <c r="U9" s="53"/>
      <c r="V9" s="58"/>
      <c r="W9" s="59"/>
      <c r="X9" s="45"/>
      <c r="Y9" s="175"/>
      <c r="AA9" s="54"/>
      <c r="AH9" s="54"/>
      <c r="AW9" s="36"/>
    </row>
    <row r="10" spans="1:49" ht="12.75">
      <c r="A10" s="23"/>
      <c r="B10" s="367">
        <v>16</v>
      </c>
      <c r="C10" s="367">
        <v>24</v>
      </c>
      <c r="D10" s="505">
        <v>0</v>
      </c>
      <c r="E10">
        <v>10</v>
      </c>
      <c r="F10">
        <v>10</v>
      </c>
      <c r="G10" s="53"/>
      <c r="H10" s="58"/>
      <c r="I10" s="59"/>
      <c r="J10" s="45"/>
      <c r="K10" s="175"/>
      <c r="M10" s="54">
        <f>$M$68</f>
        <v>1</v>
      </c>
      <c r="N10" s="53"/>
      <c r="O10" s="58"/>
      <c r="P10" s="59"/>
      <c r="Q10" s="45"/>
      <c r="R10" s="175"/>
      <c r="T10" s="54"/>
      <c r="U10" s="53"/>
      <c r="V10" s="58"/>
      <c r="W10" s="59"/>
      <c r="X10" s="45"/>
      <c r="Y10" s="175"/>
      <c r="AA10" s="54"/>
      <c r="AH10" s="54"/>
      <c r="AW10" s="36"/>
    </row>
    <row r="11" spans="1:49" ht="12.75">
      <c r="A11" s="65"/>
      <c r="B11" s="367">
        <v>25</v>
      </c>
      <c r="C11" s="367">
        <v>50</v>
      </c>
      <c r="D11" s="505">
        <v>0</v>
      </c>
      <c r="E11">
        <v>10</v>
      </c>
      <c r="F11">
        <v>10</v>
      </c>
      <c r="G11" s="53"/>
      <c r="H11" s="58"/>
      <c r="I11" s="59"/>
      <c r="J11" s="45"/>
      <c r="K11" s="175"/>
      <c r="M11" s="54">
        <f>$M$68</f>
        <v>1</v>
      </c>
      <c r="N11" s="53"/>
      <c r="O11" s="58"/>
      <c r="P11" s="59"/>
      <c r="Q11" s="45"/>
      <c r="R11" s="175"/>
      <c r="T11" s="54"/>
      <c r="U11" s="53"/>
      <c r="V11" s="58"/>
      <c r="W11" s="59"/>
      <c r="X11" s="45"/>
      <c r="Y11" s="175"/>
      <c r="AA11" s="54"/>
      <c r="AH11" s="54"/>
      <c r="AW11" s="36"/>
    </row>
    <row r="12" spans="1:49" ht="12.75">
      <c r="A12" s="23"/>
      <c r="B12" s="367">
        <v>51</v>
      </c>
      <c r="C12" s="367">
        <v>100</v>
      </c>
      <c r="D12" s="505">
        <v>0</v>
      </c>
      <c r="E12">
        <v>10</v>
      </c>
      <c r="F12">
        <v>10</v>
      </c>
      <c r="G12" s="53"/>
      <c r="H12" s="58"/>
      <c r="I12" s="59"/>
      <c r="J12" s="45"/>
      <c r="K12" s="175"/>
      <c r="M12" s="54">
        <f>$M$68</f>
        <v>1</v>
      </c>
      <c r="N12" s="53"/>
      <c r="O12" s="58"/>
      <c r="P12" s="59"/>
      <c r="Q12" s="45"/>
      <c r="R12" s="175"/>
      <c r="T12" s="54"/>
      <c r="U12" s="53"/>
      <c r="V12" s="58"/>
      <c r="W12" s="59"/>
      <c r="X12" s="45"/>
      <c r="Y12" s="175"/>
      <c r="AA12" s="54"/>
      <c r="AH12" s="54"/>
      <c r="AW12" s="36"/>
    </row>
    <row r="13" spans="1:49" ht="12.75">
      <c r="A13" s="23"/>
      <c r="B13" s="367">
        <v>101</v>
      </c>
      <c r="C13" s="367">
        <v>500</v>
      </c>
      <c r="D13" s="505">
        <v>0</v>
      </c>
      <c r="E13">
        <v>10</v>
      </c>
      <c r="F13">
        <v>10</v>
      </c>
      <c r="G13" s="53"/>
      <c r="H13" s="58"/>
      <c r="I13" s="59"/>
      <c r="J13" s="45"/>
      <c r="K13" s="175"/>
      <c r="M13" s="54">
        <f>$M$68</f>
        <v>1</v>
      </c>
      <c r="N13" s="53"/>
      <c r="O13" s="58"/>
      <c r="P13" s="59"/>
      <c r="Q13" s="45"/>
      <c r="R13" s="175"/>
      <c r="T13" s="54"/>
      <c r="U13" s="53"/>
      <c r="V13" s="58"/>
      <c r="W13" s="59"/>
      <c r="X13" s="45"/>
      <c r="Y13" s="175"/>
      <c r="AA13" s="54"/>
      <c r="AH13" s="54"/>
      <c r="AW13" s="36"/>
    </row>
    <row r="14" spans="1:49" ht="12.75">
      <c r="A14" s="65"/>
      <c r="B14" s="367">
        <v>501</v>
      </c>
      <c r="C14" s="367">
        <v>1000</v>
      </c>
      <c r="D14" s="505">
        <v>0</v>
      </c>
      <c r="E14">
        <v>10</v>
      </c>
      <c r="F14">
        <v>10</v>
      </c>
      <c r="G14" s="53"/>
      <c r="H14" s="58"/>
      <c r="I14" s="59"/>
      <c r="J14" s="45"/>
      <c r="K14" s="175"/>
      <c r="M14" s="54">
        <f>$M$68</f>
        <v>1</v>
      </c>
      <c r="N14" s="53"/>
      <c r="O14" s="58"/>
      <c r="P14" s="59"/>
      <c r="Q14" s="45"/>
      <c r="R14" s="175"/>
      <c r="T14" s="54"/>
      <c r="U14" s="53"/>
      <c r="V14" s="58"/>
      <c r="W14" s="59"/>
      <c r="X14" s="45"/>
      <c r="Y14" s="175"/>
      <c r="AA14" s="54"/>
      <c r="AH14" s="54"/>
      <c r="AW14" s="36"/>
    </row>
    <row r="15" spans="2:49" ht="12.75">
      <c r="B15" s="4" t="s">
        <v>44</v>
      </c>
      <c r="C15" s="36"/>
      <c r="D15" s="67"/>
      <c r="E15" s="36"/>
      <c r="F15" s="36"/>
      <c r="G15" s="68"/>
      <c r="H15" s="69"/>
      <c r="I15" s="69"/>
      <c r="J15" s="70"/>
      <c r="K15" s="70"/>
      <c r="L15" s="36"/>
      <c r="M15" s="71"/>
      <c r="N15" s="68"/>
      <c r="O15" s="69"/>
      <c r="P15" s="69"/>
      <c r="R15" s="36"/>
      <c r="S15" s="36" t="s">
        <v>108</v>
      </c>
      <c r="T15" s="71"/>
      <c r="U15" s="55"/>
      <c r="V15" s="56"/>
      <c r="W15" s="56"/>
      <c r="X15" s="36"/>
      <c r="Y15" s="36"/>
      <c r="Z15" s="72" t="s">
        <v>108</v>
      </c>
      <c r="AA15" s="71"/>
      <c r="AB15" s="36"/>
      <c r="AC15" s="36"/>
      <c r="AD15" s="36"/>
      <c r="AE15" s="36"/>
      <c r="AF15" s="36"/>
      <c r="AG15" s="36" t="s">
        <v>108</v>
      </c>
      <c r="AH15" s="71"/>
      <c r="AI15" s="36"/>
      <c r="AJ15" s="36"/>
      <c r="AK15" s="36"/>
      <c r="AL15" s="36"/>
      <c r="AM15" s="36"/>
      <c r="AN15" s="36" t="s">
        <v>108</v>
      </c>
      <c r="AO15" s="36"/>
      <c r="AP15" s="36"/>
      <c r="AQ15" s="36"/>
      <c r="AR15" s="36"/>
      <c r="AU15" s="36" t="s">
        <v>108</v>
      </c>
      <c r="AW15" s="36"/>
    </row>
    <row r="16" spans="1:49" ht="12.75">
      <c r="A16" s="66" t="s">
        <v>30</v>
      </c>
      <c r="B16" s="385" t="s">
        <v>32</v>
      </c>
      <c r="C16" s="498"/>
      <c r="D16" s="505">
        <f>IF(AVERAGE(K16,R16,Y16,AF16,AM16,AT16)=0,"contact vendor",AVERAGE(K16,R16,Y16,AF16,AM16,AT16))</f>
        <v>239.88</v>
      </c>
      <c r="E16" t="s">
        <v>309</v>
      </c>
      <c r="F16" t="s">
        <v>309</v>
      </c>
      <c r="G16" s="53">
        <f>19.99*12</f>
        <v>239.88</v>
      </c>
      <c r="H16" s="58">
        <f>G16*M16</f>
        <v>239.88</v>
      </c>
      <c r="I16" s="59">
        <f>H16</f>
        <v>239.88</v>
      </c>
      <c r="J16" s="45">
        <v>2006</v>
      </c>
      <c r="K16" s="175">
        <f>I16*VLOOKUP(J16,cci_table,3,FALSE)</f>
        <v>239.88</v>
      </c>
      <c r="L16" t="s">
        <v>107</v>
      </c>
      <c r="M16" s="54">
        <v>1</v>
      </c>
      <c r="N16" s="53"/>
      <c r="O16" s="58"/>
      <c r="P16" s="59"/>
      <c r="Q16" s="45"/>
      <c r="R16" s="175"/>
      <c r="T16" s="54"/>
      <c r="U16" s="53"/>
      <c r="V16" s="58"/>
      <c r="W16" s="59"/>
      <c r="X16" s="45"/>
      <c r="Y16" s="175"/>
      <c r="AA16" s="54"/>
      <c r="AB16" s="36"/>
      <c r="AC16" s="36"/>
      <c r="AD16" s="36"/>
      <c r="AE16" s="36"/>
      <c r="AF16" s="36"/>
      <c r="AG16" s="36" t="s">
        <v>108</v>
      </c>
      <c r="AH16" s="54"/>
      <c r="AI16" s="36"/>
      <c r="AJ16" s="36"/>
      <c r="AK16" s="36"/>
      <c r="AL16" s="36"/>
      <c r="AM16" s="36"/>
      <c r="AN16" s="36" t="s">
        <v>108</v>
      </c>
      <c r="AO16" s="36"/>
      <c r="AP16" s="36"/>
      <c r="AQ16" s="36"/>
      <c r="AR16" s="36"/>
      <c r="AU16" s="36" t="s">
        <v>108</v>
      </c>
      <c r="AW16" s="36"/>
    </row>
    <row r="17" spans="1:49" ht="12.75">
      <c r="A17" s="65"/>
      <c r="C17" s="36"/>
      <c r="D17" s="48"/>
      <c r="G17" s="68"/>
      <c r="H17" s="69"/>
      <c r="I17" s="69"/>
      <c r="J17" s="45"/>
      <c r="K17" s="45"/>
      <c r="M17" s="54"/>
      <c r="N17" s="68"/>
      <c r="O17" s="69"/>
      <c r="P17" s="69"/>
      <c r="T17" s="54"/>
      <c r="U17" s="55"/>
      <c r="V17" s="56"/>
      <c r="W17" s="56"/>
      <c r="Z17" s="52" t="s">
        <v>108</v>
      </c>
      <c r="AA17" s="54"/>
      <c r="AH17" s="54"/>
      <c r="AW17" s="36"/>
    </row>
    <row r="18" spans="1:49" ht="12.75">
      <c r="A18" s="65"/>
      <c r="B18" s="4" t="s">
        <v>414</v>
      </c>
      <c r="D18" s="48"/>
      <c r="N18" s="9"/>
      <c r="O18" s="9"/>
      <c r="P18" s="9"/>
      <c r="S18" s="49" t="s">
        <v>108</v>
      </c>
      <c r="U18" s="9"/>
      <c r="AW18" s="36"/>
    </row>
    <row r="19" spans="1:49" ht="12.75">
      <c r="A19" s="65"/>
      <c r="B19" t="s">
        <v>371</v>
      </c>
      <c r="C19" t="s">
        <v>371</v>
      </c>
      <c r="D19" t="s">
        <v>356</v>
      </c>
      <c r="E19" t="s">
        <v>357</v>
      </c>
      <c r="F19" t="s">
        <v>358</v>
      </c>
      <c r="G19" t="s">
        <v>359</v>
      </c>
      <c r="H19" t="s">
        <v>360</v>
      </c>
      <c r="I19" t="s">
        <v>361</v>
      </c>
      <c r="J19" t="s">
        <v>362</v>
      </c>
      <c r="K19" t="s">
        <v>138</v>
      </c>
      <c r="L19" t="s">
        <v>363</v>
      </c>
      <c r="M19" s="50" t="s">
        <v>364</v>
      </c>
      <c r="N19" s="51" t="s">
        <v>365</v>
      </c>
      <c r="O19" s="51" t="s">
        <v>366</v>
      </c>
      <c r="P19" s="52" t="s">
        <v>367</v>
      </c>
      <c r="Q19" t="s">
        <v>369</v>
      </c>
      <c r="R19" t="s">
        <v>138</v>
      </c>
      <c r="S19" s="52" t="s">
        <v>368</v>
      </c>
      <c r="T19" s="50" t="s">
        <v>364</v>
      </c>
      <c r="U19" s="51" t="s">
        <v>365</v>
      </c>
      <c r="V19" s="51" t="s">
        <v>366</v>
      </c>
      <c r="W19" s="52" t="s">
        <v>367</v>
      </c>
      <c r="X19" t="s">
        <v>369</v>
      </c>
      <c r="Y19" t="s">
        <v>138</v>
      </c>
      <c r="Z19" s="52" t="s">
        <v>368</v>
      </c>
      <c r="AA19" s="50" t="s">
        <v>364</v>
      </c>
      <c r="AB19" s="51" t="s">
        <v>365</v>
      </c>
      <c r="AC19" s="52" t="s">
        <v>366</v>
      </c>
      <c r="AD19" s="52" t="s">
        <v>367</v>
      </c>
      <c r="AE19" t="s">
        <v>369</v>
      </c>
      <c r="AG19" s="52" t="s">
        <v>368</v>
      </c>
      <c r="AH19" s="50" t="s">
        <v>364</v>
      </c>
      <c r="AI19" s="51" t="s">
        <v>365</v>
      </c>
      <c r="AJ19" s="51" t="s">
        <v>366</v>
      </c>
      <c r="AK19" s="52" t="s">
        <v>367</v>
      </c>
      <c r="AL19" t="s">
        <v>369</v>
      </c>
      <c r="AN19" s="52" t="s">
        <v>368</v>
      </c>
      <c r="AO19" s="51"/>
      <c r="AP19" s="51"/>
      <c r="AQ19" s="52"/>
      <c r="AR19" s="52"/>
      <c r="AW19" s="36"/>
    </row>
    <row r="20" spans="1:49" ht="12.75">
      <c r="A20" s="65" t="s">
        <v>372</v>
      </c>
      <c r="B20" s="367">
        <v>0</v>
      </c>
      <c r="C20" s="367">
        <v>4</v>
      </c>
      <c r="D20" s="505">
        <f aca="true" t="shared" si="0" ref="D20:D26">IF(AVERAGE(K20,R20,Y20,AF20,AM20,AT20)=0,"contact vendor",AVERAGE(K20,R20,Y20,AF20,AM20,AT20))</f>
        <v>525</v>
      </c>
      <c r="E20">
        <v>10</v>
      </c>
      <c r="F20">
        <v>10</v>
      </c>
      <c r="G20" s="53">
        <v>525</v>
      </c>
      <c r="H20" s="58">
        <f aca="true" t="shared" si="1" ref="H20:H26">G20*M20</f>
        <v>525</v>
      </c>
      <c r="I20" s="59">
        <f>H20</f>
        <v>525</v>
      </c>
      <c r="J20">
        <v>2006</v>
      </c>
      <c r="K20" s="175">
        <f aca="true" t="shared" si="2" ref="K20:K26">I20*VLOOKUP(J20,cci_table,3,FALSE)</f>
        <v>525</v>
      </c>
      <c r="L20" t="s">
        <v>107</v>
      </c>
      <c r="M20" s="54">
        <v>1</v>
      </c>
      <c r="N20" s="53"/>
      <c r="O20" s="58"/>
      <c r="P20" s="59"/>
      <c r="R20" s="175"/>
      <c r="T20" s="54"/>
      <c r="U20" s="53"/>
      <c r="V20" s="58"/>
      <c r="W20" s="59"/>
      <c r="X20" s="45"/>
      <c r="Y20" s="175"/>
      <c r="AA20" s="54"/>
      <c r="AO20" s="36"/>
      <c r="AW20" s="36"/>
    </row>
    <row r="21" spans="1:49" ht="12.75">
      <c r="A21" s="65"/>
      <c r="B21" s="367">
        <v>5</v>
      </c>
      <c r="C21" s="367">
        <v>15</v>
      </c>
      <c r="D21" s="505">
        <f t="shared" si="0"/>
        <v>288.75</v>
      </c>
      <c r="E21">
        <v>10</v>
      </c>
      <c r="F21">
        <v>10</v>
      </c>
      <c r="G21" s="53">
        <v>288.75</v>
      </c>
      <c r="H21" s="58">
        <f t="shared" si="1"/>
        <v>288.75</v>
      </c>
      <c r="I21" s="59">
        <f aca="true" t="shared" si="3" ref="I21:I26">H21</f>
        <v>288.75</v>
      </c>
      <c r="J21">
        <v>2006</v>
      </c>
      <c r="K21" s="175">
        <f t="shared" si="2"/>
        <v>288.75</v>
      </c>
      <c r="L21" t="s">
        <v>107</v>
      </c>
      <c r="M21" s="54">
        <v>1</v>
      </c>
      <c r="N21" s="53"/>
      <c r="O21" s="58"/>
      <c r="P21" s="59"/>
      <c r="R21" s="175"/>
      <c r="T21" s="54"/>
      <c r="U21" s="53"/>
      <c r="V21" s="58"/>
      <c r="W21" s="59"/>
      <c r="X21" s="45"/>
      <c r="Y21" s="175"/>
      <c r="AA21" s="54"/>
      <c r="AO21" s="36"/>
      <c r="AW21" s="36"/>
    </row>
    <row r="22" spans="1:49" ht="12.75">
      <c r="A22" s="65"/>
      <c r="B22" s="367">
        <v>16</v>
      </c>
      <c r="C22" s="367">
        <v>24</v>
      </c>
      <c r="D22" s="505">
        <f t="shared" si="0"/>
        <v>262.5</v>
      </c>
      <c r="E22">
        <v>10</v>
      </c>
      <c r="F22">
        <v>10</v>
      </c>
      <c r="G22" s="53">
        <v>262.5</v>
      </c>
      <c r="H22" s="58">
        <f t="shared" si="1"/>
        <v>262.5</v>
      </c>
      <c r="I22" s="59">
        <f t="shared" si="3"/>
        <v>262.5</v>
      </c>
      <c r="J22">
        <v>2006</v>
      </c>
      <c r="K22" s="175">
        <f t="shared" si="2"/>
        <v>262.5</v>
      </c>
      <c r="L22" t="s">
        <v>107</v>
      </c>
      <c r="M22" s="54">
        <f>$M$68</f>
        <v>1</v>
      </c>
      <c r="N22" s="53"/>
      <c r="O22" s="58"/>
      <c r="P22" s="59"/>
      <c r="R22" s="175"/>
      <c r="T22" s="54"/>
      <c r="U22" s="53"/>
      <c r="V22" s="58"/>
      <c r="W22" s="59"/>
      <c r="X22" s="45"/>
      <c r="Y22" s="175"/>
      <c r="AA22" s="54"/>
      <c r="AO22" s="36"/>
      <c r="AW22" s="36"/>
    </row>
    <row r="23" spans="1:49" ht="12.75">
      <c r="A23" s="65"/>
      <c r="B23" s="367">
        <v>25</v>
      </c>
      <c r="C23" s="367">
        <v>50</v>
      </c>
      <c r="D23" s="505">
        <f t="shared" si="0"/>
        <v>236.25</v>
      </c>
      <c r="E23">
        <v>10</v>
      </c>
      <c r="F23">
        <v>10</v>
      </c>
      <c r="G23" s="53">
        <v>236.25</v>
      </c>
      <c r="H23" s="58">
        <f t="shared" si="1"/>
        <v>236.25</v>
      </c>
      <c r="I23" s="59">
        <f t="shared" si="3"/>
        <v>236.25</v>
      </c>
      <c r="J23">
        <v>2006</v>
      </c>
      <c r="K23" s="175">
        <f t="shared" si="2"/>
        <v>236.25</v>
      </c>
      <c r="L23" t="s">
        <v>107</v>
      </c>
      <c r="M23" s="54">
        <f>$M$68</f>
        <v>1</v>
      </c>
      <c r="N23" s="53"/>
      <c r="O23" s="58"/>
      <c r="P23" s="59"/>
      <c r="R23" s="175"/>
      <c r="T23" s="54"/>
      <c r="U23" s="53"/>
      <c r="V23" s="58"/>
      <c r="W23" s="59"/>
      <c r="X23" s="45"/>
      <c r="Y23" s="175"/>
      <c r="AA23" s="54"/>
      <c r="AO23" s="36"/>
      <c r="AW23" s="36"/>
    </row>
    <row r="24" spans="1:49" ht="12.75">
      <c r="A24" s="65"/>
      <c r="B24" s="367">
        <v>51</v>
      </c>
      <c r="C24" s="367">
        <v>100</v>
      </c>
      <c r="D24" s="505">
        <f t="shared" si="0"/>
        <v>210</v>
      </c>
      <c r="E24">
        <v>10</v>
      </c>
      <c r="F24">
        <v>10</v>
      </c>
      <c r="G24" s="53">
        <v>210</v>
      </c>
      <c r="H24" s="58">
        <f t="shared" si="1"/>
        <v>210</v>
      </c>
      <c r="I24" s="59">
        <f t="shared" si="3"/>
        <v>210</v>
      </c>
      <c r="J24">
        <v>2006</v>
      </c>
      <c r="K24" s="175">
        <f t="shared" si="2"/>
        <v>210</v>
      </c>
      <c r="L24" t="s">
        <v>107</v>
      </c>
      <c r="M24" s="54">
        <f>$M$68</f>
        <v>1</v>
      </c>
      <c r="N24" s="53"/>
      <c r="O24" s="58"/>
      <c r="P24" s="59"/>
      <c r="R24" s="175"/>
      <c r="T24" s="54"/>
      <c r="U24" s="53"/>
      <c r="V24" s="58"/>
      <c r="W24" s="59"/>
      <c r="X24" s="45"/>
      <c r="Y24" s="175"/>
      <c r="AA24" s="54"/>
      <c r="AO24" s="36"/>
      <c r="AW24" s="36"/>
    </row>
    <row r="25" spans="1:49" ht="12.75">
      <c r="A25" s="66"/>
      <c r="B25" s="367">
        <v>101</v>
      </c>
      <c r="C25" s="367">
        <v>500</v>
      </c>
      <c r="D25" s="505">
        <f t="shared" si="0"/>
        <v>210</v>
      </c>
      <c r="E25">
        <v>10</v>
      </c>
      <c r="F25">
        <v>10</v>
      </c>
      <c r="G25" s="53">
        <v>210</v>
      </c>
      <c r="H25" s="58">
        <f t="shared" si="1"/>
        <v>210</v>
      </c>
      <c r="I25" s="59">
        <f t="shared" si="3"/>
        <v>210</v>
      </c>
      <c r="J25">
        <v>2006</v>
      </c>
      <c r="K25" s="175">
        <f t="shared" si="2"/>
        <v>210</v>
      </c>
      <c r="L25" t="s">
        <v>107</v>
      </c>
      <c r="M25" s="54">
        <f>$M$68</f>
        <v>1</v>
      </c>
      <c r="N25" s="53"/>
      <c r="O25" s="58"/>
      <c r="P25" s="59"/>
      <c r="R25" s="175"/>
      <c r="T25" s="54"/>
      <c r="U25" s="53"/>
      <c r="V25" s="58"/>
      <c r="W25" s="59"/>
      <c r="X25" s="45"/>
      <c r="Y25" s="175"/>
      <c r="AA25" s="54"/>
      <c r="AO25" s="36"/>
      <c r="AW25" s="36"/>
    </row>
    <row r="26" spans="1:49" ht="12.75">
      <c r="A26" s="66"/>
      <c r="B26" s="367">
        <v>501</v>
      </c>
      <c r="C26" s="367">
        <v>1000</v>
      </c>
      <c r="D26" s="505">
        <f t="shared" si="0"/>
        <v>170</v>
      </c>
      <c r="E26">
        <v>10</v>
      </c>
      <c r="F26">
        <v>10</v>
      </c>
      <c r="G26" s="53">
        <v>170</v>
      </c>
      <c r="H26" s="58">
        <f t="shared" si="1"/>
        <v>170</v>
      </c>
      <c r="I26" s="59">
        <f t="shared" si="3"/>
        <v>170</v>
      </c>
      <c r="J26">
        <v>2006</v>
      </c>
      <c r="K26" s="175">
        <f t="shared" si="2"/>
        <v>170</v>
      </c>
      <c r="L26" t="s">
        <v>107</v>
      </c>
      <c r="M26" s="54">
        <f>$M$68</f>
        <v>1</v>
      </c>
      <c r="N26" s="53"/>
      <c r="O26" s="58"/>
      <c r="P26" s="59"/>
      <c r="R26" s="175"/>
      <c r="T26" s="54"/>
      <c r="U26" s="53"/>
      <c r="V26" s="58"/>
      <c r="W26" s="59"/>
      <c r="X26" s="45"/>
      <c r="Y26" s="175"/>
      <c r="AA26" s="54"/>
      <c r="AO26" s="36"/>
      <c r="AW26" s="36"/>
    </row>
    <row r="27" spans="2:49" ht="12.75">
      <c r="B27" s="4" t="s">
        <v>504</v>
      </c>
      <c r="C27" s="36"/>
      <c r="D27" s="67"/>
      <c r="E27" s="36"/>
      <c r="F27" s="36"/>
      <c r="G27" s="68"/>
      <c r="H27" s="69"/>
      <c r="I27" s="69"/>
      <c r="J27" s="70"/>
      <c r="K27" s="70"/>
      <c r="L27" s="36" t="s">
        <v>108</v>
      </c>
      <c r="M27" s="71"/>
      <c r="N27" s="68"/>
      <c r="O27" s="69"/>
      <c r="P27" s="69"/>
      <c r="Q27" s="36"/>
      <c r="R27" s="36"/>
      <c r="S27" s="36" t="s">
        <v>108</v>
      </c>
      <c r="T27" s="71"/>
      <c r="U27" s="55"/>
      <c r="V27" s="56"/>
      <c r="W27" s="56"/>
      <c r="X27" s="36"/>
      <c r="Y27" s="36"/>
      <c r="Z27" s="72" t="s">
        <v>108</v>
      </c>
      <c r="AA27" s="71"/>
      <c r="AB27" s="36"/>
      <c r="AC27" s="36"/>
      <c r="AD27" s="36"/>
      <c r="AE27" s="36"/>
      <c r="AF27" s="36"/>
      <c r="AG27" s="36" t="s">
        <v>108</v>
      </c>
      <c r="AH27" s="71"/>
      <c r="AI27" s="36"/>
      <c r="AJ27" s="36"/>
      <c r="AK27" s="36"/>
      <c r="AL27" s="36"/>
      <c r="AM27" s="36"/>
      <c r="AN27" s="36" t="s">
        <v>108</v>
      </c>
      <c r="AO27" s="36"/>
      <c r="AP27" s="36"/>
      <c r="AQ27" s="36"/>
      <c r="AR27" s="36"/>
      <c r="AU27" s="36" t="s">
        <v>108</v>
      </c>
      <c r="AW27" s="36"/>
    </row>
    <row r="28" spans="1:49" ht="12.75">
      <c r="A28" s="66" t="s">
        <v>485</v>
      </c>
      <c r="B28" s="385" t="s">
        <v>502</v>
      </c>
      <c r="C28" s="498"/>
      <c r="D28" s="505">
        <f>IF(AVERAGE(K28,R28,Y28,AF28,AM28,AT28)=0,"contact vendor",AVERAGE(K28,R28,Y28,AF28,AM28,AT28))</f>
        <v>106.08823369565218</v>
      </c>
      <c r="E28" t="s">
        <v>309</v>
      </c>
      <c r="F28" t="s">
        <v>309</v>
      </c>
      <c r="G28" s="53">
        <v>99.95</v>
      </c>
      <c r="H28" s="58">
        <f>G28*M28</f>
        <v>99.95</v>
      </c>
      <c r="I28" s="59">
        <f>H28</f>
        <v>99.95</v>
      </c>
      <c r="J28" s="45">
        <v>2003</v>
      </c>
      <c r="K28" s="175">
        <f>I28*VLOOKUP(J28,cci_table,3,FALSE)</f>
        <v>106.08823369565218</v>
      </c>
      <c r="L28" t="s">
        <v>107</v>
      </c>
      <c r="M28" s="54">
        <v>1</v>
      </c>
      <c r="N28" s="53"/>
      <c r="O28" s="58"/>
      <c r="P28" s="59"/>
      <c r="T28" s="54"/>
      <c r="U28" s="55"/>
      <c r="V28" s="56"/>
      <c r="W28" s="56"/>
      <c r="X28" s="36"/>
      <c r="Y28" s="36"/>
      <c r="Z28" s="72" t="s">
        <v>108</v>
      </c>
      <c r="AA28" s="54"/>
      <c r="AB28" s="36"/>
      <c r="AC28" s="36"/>
      <c r="AD28" s="36"/>
      <c r="AE28" s="36"/>
      <c r="AF28" s="36"/>
      <c r="AG28" s="36" t="s">
        <v>108</v>
      </c>
      <c r="AH28" s="54"/>
      <c r="AI28" s="36"/>
      <c r="AJ28" s="36"/>
      <c r="AK28" s="36"/>
      <c r="AL28" s="36"/>
      <c r="AM28" s="36"/>
      <c r="AN28" s="36" t="s">
        <v>108</v>
      </c>
      <c r="AO28" s="36"/>
      <c r="AP28" s="36"/>
      <c r="AQ28" s="36"/>
      <c r="AR28" s="36"/>
      <c r="AU28" s="36" t="s">
        <v>108</v>
      </c>
      <c r="AW28" s="36"/>
    </row>
    <row r="29" spans="1:49" ht="12.75">
      <c r="A29" s="65"/>
      <c r="C29" s="36"/>
      <c r="D29" s="48"/>
      <c r="G29" s="68"/>
      <c r="H29" s="69"/>
      <c r="I29" s="69"/>
      <c r="J29" s="45"/>
      <c r="K29" s="69"/>
      <c r="M29" s="54"/>
      <c r="N29" s="53"/>
      <c r="O29" s="58"/>
      <c r="P29" s="59"/>
      <c r="T29" s="54"/>
      <c r="U29" s="55"/>
      <c r="V29" s="56"/>
      <c r="W29" s="56"/>
      <c r="Z29" s="52" t="s">
        <v>108</v>
      </c>
      <c r="AA29" s="54"/>
      <c r="AH29" s="54"/>
      <c r="AW29" s="36"/>
    </row>
    <row r="30" spans="1:49" ht="12.75">
      <c r="A30" s="66"/>
      <c r="B30" s="4" t="s">
        <v>415</v>
      </c>
      <c r="D30" s="48"/>
      <c r="N30" s="9"/>
      <c r="O30" s="9"/>
      <c r="P30" s="9"/>
      <c r="S30" s="49" t="s">
        <v>108</v>
      </c>
      <c r="U30" s="9"/>
      <c r="AW30" s="36"/>
    </row>
    <row r="31" spans="1:49" ht="12.75">
      <c r="A31" s="66"/>
      <c r="B31" t="s">
        <v>371</v>
      </c>
      <c r="C31" t="s">
        <v>371</v>
      </c>
      <c r="D31" t="s">
        <v>356</v>
      </c>
      <c r="E31" t="s">
        <v>357</v>
      </c>
      <c r="F31" t="s">
        <v>358</v>
      </c>
      <c r="G31" t="s">
        <v>359</v>
      </c>
      <c r="H31" t="s">
        <v>360</v>
      </c>
      <c r="I31" t="s">
        <v>361</v>
      </c>
      <c r="J31" t="s">
        <v>362</v>
      </c>
      <c r="K31" t="s">
        <v>138</v>
      </c>
      <c r="L31" t="s">
        <v>363</v>
      </c>
      <c r="M31" s="50" t="s">
        <v>364</v>
      </c>
      <c r="N31" s="51" t="s">
        <v>365</v>
      </c>
      <c r="O31" s="51" t="s">
        <v>366</v>
      </c>
      <c r="P31" s="52" t="s">
        <v>367</v>
      </c>
      <c r="Q31" t="s">
        <v>369</v>
      </c>
      <c r="S31" s="52" t="s">
        <v>368</v>
      </c>
      <c r="T31" s="50" t="s">
        <v>364</v>
      </c>
      <c r="U31" s="51" t="s">
        <v>365</v>
      </c>
      <c r="V31" s="51" t="s">
        <v>366</v>
      </c>
      <c r="W31" s="52" t="s">
        <v>367</v>
      </c>
      <c r="X31" t="s">
        <v>369</v>
      </c>
      <c r="Z31" s="52" t="s">
        <v>368</v>
      </c>
      <c r="AA31" s="50" t="s">
        <v>364</v>
      </c>
      <c r="AB31" s="51" t="s">
        <v>365</v>
      </c>
      <c r="AC31" s="52" t="s">
        <v>366</v>
      </c>
      <c r="AD31" s="52" t="s">
        <v>367</v>
      </c>
      <c r="AE31" t="s">
        <v>369</v>
      </c>
      <c r="AG31" s="52" t="s">
        <v>368</v>
      </c>
      <c r="AH31" s="50" t="s">
        <v>364</v>
      </c>
      <c r="AI31" s="51" t="s">
        <v>365</v>
      </c>
      <c r="AJ31" s="51" t="s">
        <v>366</v>
      </c>
      <c r="AK31" s="52" t="s">
        <v>367</v>
      </c>
      <c r="AL31" t="s">
        <v>369</v>
      </c>
      <c r="AN31" s="52" t="s">
        <v>368</v>
      </c>
      <c r="AO31" s="51"/>
      <c r="AP31" s="51"/>
      <c r="AQ31" s="52"/>
      <c r="AR31" s="52"/>
      <c r="AW31" s="36"/>
    </row>
    <row r="32" spans="1:49" ht="12.75">
      <c r="A32" s="66" t="s">
        <v>373</v>
      </c>
      <c r="B32" s="367">
        <v>0</v>
      </c>
      <c r="C32" s="367">
        <v>4</v>
      </c>
      <c r="D32" s="505">
        <v>0</v>
      </c>
      <c r="E32">
        <v>10</v>
      </c>
      <c r="F32">
        <v>10</v>
      </c>
      <c r="G32" s="53">
        <v>0</v>
      </c>
      <c r="H32" s="58"/>
      <c r="I32" s="59"/>
      <c r="J32" s="45"/>
      <c r="K32" s="175"/>
      <c r="M32" s="54">
        <v>1</v>
      </c>
      <c r="N32" s="53"/>
      <c r="O32" s="58"/>
      <c r="P32" s="59"/>
      <c r="T32" s="54"/>
      <c r="U32" s="53"/>
      <c r="V32" s="58"/>
      <c r="W32" s="59"/>
      <c r="Y32" s="175"/>
      <c r="AA32" s="54"/>
      <c r="AH32" s="54"/>
      <c r="AW32" s="36"/>
    </row>
    <row r="33" spans="1:49" ht="12.75">
      <c r="A33" s="66"/>
      <c r="B33" s="367">
        <v>5</v>
      </c>
      <c r="C33" s="367">
        <v>15</v>
      </c>
      <c r="D33" s="505">
        <v>0</v>
      </c>
      <c r="E33">
        <v>10</v>
      </c>
      <c r="F33">
        <v>10</v>
      </c>
      <c r="G33" s="53">
        <v>0</v>
      </c>
      <c r="H33" s="58"/>
      <c r="I33" s="59"/>
      <c r="J33" s="45"/>
      <c r="K33" s="175"/>
      <c r="M33" s="54">
        <v>1</v>
      </c>
      <c r="N33" s="53"/>
      <c r="O33" s="58"/>
      <c r="P33" s="59"/>
      <c r="T33" s="54"/>
      <c r="U33" s="53"/>
      <c r="V33" s="58"/>
      <c r="W33" s="59"/>
      <c r="Y33" s="175"/>
      <c r="AA33" s="54"/>
      <c r="AH33" s="54"/>
      <c r="AW33" s="36"/>
    </row>
    <row r="34" spans="1:49" ht="12.75">
      <c r="A34" s="66"/>
      <c r="B34" s="367">
        <v>16</v>
      </c>
      <c r="C34" s="367">
        <v>24</v>
      </c>
      <c r="D34" s="505">
        <v>0</v>
      </c>
      <c r="E34">
        <v>10</v>
      </c>
      <c r="F34">
        <v>10</v>
      </c>
      <c r="G34" s="53">
        <v>0</v>
      </c>
      <c r="H34" s="58"/>
      <c r="I34" s="59"/>
      <c r="J34" s="45"/>
      <c r="K34" s="175"/>
      <c r="M34" s="54">
        <v>1</v>
      </c>
      <c r="N34" s="53"/>
      <c r="O34" s="58"/>
      <c r="P34" s="59"/>
      <c r="T34" s="54"/>
      <c r="U34" s="53"/>
      <c r="V34" s="58"/>
      <c r="W34" s="59"/>
      <c r="Y34" s="175"/>
      <c r="AA34" s="54"/>
      <c r="AH34" s="54"/>
      <c r="AW34" s="36"/>
    </row>
    <row r="35" spans="1:49" ht="12.75">
      <c r="A35" s="66"/>
      <c r="B35" s="367">
        <v>25</v>
      </c>
      <c r="C35" s="367">
        <v>50</v>
      </c>
      <c r="D35" s="505">
        <v>0</v>
      </c>
      <c r="E35">
        <v>10</v>
      </c>
      <c r="F35">
        <v>10</v>
      </c>
      <c r="G35" s="53">
        <v>0</v>
      </c>
      <c r="H35" s="58"/>
      <c r="I35" s="59"/>
      <c r="J35" s="45"/>
      <c r="K35" s="175"/>
      <c r="M35" s="54">
        <v>1</v>
      </c>
      <c r="N35" s="53"/>
      <c r="O35" s="58"/>
      <c r="P35" s="59"/>
      <c r="T35" s="54"/>
      <c r="U35" s="53"/>
      <c r="V35" s="58"/>
      <c r="W35" s="59"/>
      <c r="Y35" s="175"/>
      <c r="AA35" s="54"/>
      <c r="AH35" s="54"/>
      <c r="AW35" s="36"/>
    </row>
    <row r="36" spans="1:49" ht="12.75">
      <c r="A36" s="66"/>
      <c r="B36" s="367">
        <v>51</v>
      </c>
      <c r="C36" s="367">
        <v>100</v>
      </c>
      <c r="D36" s="505">
        <v>0</v>
      </c>
      <c r="E36">
        <v>10</v>
      </c>
      <c r="F36">
        <v>10</v>
      </c>
      <c r="G36" s="53">
        <v>0</v>
      </c>
      <c r="H36" s="58"/>
      <c r="I36" s="59"/>
      <c r="J36" s="45"/>
      <c r="K36" s="175"/>
      <c r="M36" s="54">
        <v>1</v>
      </c>
      <c r="N36" s="53"/>
      <c r="O36" s="58"/>
      <c r="P36" s="59"/>
      <c r="T36" s="54"/>
      <c r="U36" s="53"/>
      <c r="V36" s="58"/>
      <c r="W36" s="59"/>
      <c r="Y36" s="175"/>
      <c r="AA36" s="54"/>
      <c r="AH36" s="54"/>
      <c r="AW36" s="36"/>
    </row>
    <row r="37" spans="1:49" ht="12.75">
      <c r="A37" s="66"/>
      <c r="B37" s="367">
        <v>101</v>
      </c>
      <c r="C37" s="367">
        <v>500</v>
      </c>
      <c r="D37" s="505">
        <v>0</v>
      </c>
      <c r="E37">
        <v>10</v>
      </c>
      <c r="F37">
        <v>10</v>
      </c>
      <c r="G37" s="53">
        <v>0</v>
      </c>
      <c r="H37" s="58"/>
      <c r="I37" s="59"/>
      <c r="J37" s="45"/>
      <c r="K37" s="175"/>
      <c r="M37" s="54">
        <v>1</v>
      </c>
      <c r="N37" s="53"/>
      <c r="O37" s="58"/>
      <c r="P37" s="59"/>
      <c r="T37" s="54"/>
      <c r="U37" s="53"/>
      <c r="V37" s="58"/>
      <c r="W37" s="59"/>
      <c r="Y37" s="175"/>
      <c r="AA37" s="54"/>
      <c r="AH37" s="54"/>
      <c r="AW37" s="36"/>
    </row>
    <row r="38" spans="1:49" ht="12.75">
      <c r="A38" s="66"/>
      <c r="B38" s="367">
        <v>501</v>
      </c>
      <c r="C38" s="367">
        <v>1000</v>
      </c>
      <c r="D38" s="505">
        <v>0</v>
      </c>
      <c r="E38">
        <v>10</v>
      </c>
      <c r="F38">
        <v>10</v>
      </c>
      <c r="G38" s="53">
        <v>0</v>
      </c>
      <c r="H38" s="58"/>
      <c r="I38" s="59"/>
      <c r="J38" s="45"/>
      <c r="K38" s="175"/>
      <c r="M38" s="54">
        <v>1</v>
      </c>
      <c r="N38" s="53"/>
      <c r="O38" s="58"/>
      <c r="P38" s="59"/>
      <c r="T38" s="54"/>
      <c r="U38" s="53"/>
      <c r="V38" s="58"/>
      <c r="W38" s="59"/>
      <c r="Y38" s="175"/>
      <c r="AA38" s="54"/>
      <c r="AH38" s="54"/>
      <c r="AW38" s="36"/>
    </row>
    <row r="39" spans="2:49" ht="12.75">
      <c r="B39" s="4" t="s">
        <v>505</v>
      </c>
      <c r="C39" s="36"/>
      <c r="D39" s="67"/>
      <c r="E39" s="36"/>
      <c r="F39" s="36"/>
      <c r="G39" s="68"/>
      <c r="H39" s="69"/>
      <c r="I39" s="69"/>
      <c r="J39" s="70"/>
      <c r="K39" s="70"/>
      <c r="L39" s="36" t="s">
        <v>108</v>
      </c>
      <c r="M39" s="71"/>
      <c r="N39" s="68"/>
      <c r="O39" s="69"/>
      <c r="P39" s="69"/>
      <c r="Q39" s="36"/>
      <c r="R39" s="36"/>
      <c r="S39" s="36" t="s">
        <v>108</v>
      </c>
      <c r="T39" s="71"/>
      <c r="U39" s="55"/>
      <c r="V39" s="56"/>
      <c r="W39" s="56"/>
      <c r="X39" s="36"/>
      <c r="Y39" s="36"/>
      <c r="Z39" s="72" t="s">
        <v>108</v>
      </c>
      <c r="AA39" s="71"/>
      <c r="AB39" s="36"/>
      <c r="AC39" s="36"/>
      <c r="AD39" s="36"/>
      <c r="AE39" s="36"/>
      <c r="AF39" s="36"/>
      <c r="AG39" s="36" t="s">
        <v>108</v>
      </c>
      <c r="AH39" s="71"/>
      <c r="AI39" s="36"/>
      <c r="AJ39" s="36"/>
      <c r="AK39" s="36"/>
      <c r="AL39" s="36"/>
      <c r="AM39" s="36"/>
      <c r="AN39" s="36" t="s">
        <v>108</v>
      </c>
      <c r="AO39" s="36"/>
      <c r="AP39" s="36"/>
      <c r="AQ39" s="36"/>
      <c r="AR39" s="36"/>
      <c r="AU39" s="36" t="s">
        <v>108</v>
      </c>
      <c r="AW39" s="36"/>
    </row>
    <row r="40" spans="1:49" ht="12.75">
      <c r="A40" s="66" t="s">
        <v>486</v>
      </c>
      <c r="B40" s="385" t="s">
        <v>468</v>
      </c>
      <c r="C40" s="498"/>
      <c r="D40" s="505">
        <v>0</v>
      </c>
      <c r="E40" t="s">
        <v>309</v>
      </c>
      <c r="F40" t="s">
        <v>309</v>
      </c>
      <c r="G40" s="53">
        <v>0</v>
      </c>
      <c r="H40" s="58"/>
      <c r="I40" s="59"/>
      <c r="J40" s="45"/>
      <c r="K40" s="175"/>
      <c r="M40" s="54">
        <v>1</v>
      </c>
      <c r="N40" s="53"/>
      <c r="O40" s="58"/>
      <c r="P40" s="59"/>
      <c r="T40" s="54"/>
      <c r="U40" s="53"/>
      <c r="V40" s="58"/>
      <c r="W40" s="59"/>
      <c r="Y40" s="175"/>
      <c r="AA40" s="54"/>
      <c r="AB40" s="36"/>
      <c r="AC40" s="36"/>
      <c r="AD40" s="36"/>
      <c r="AE40" s="36"/>
      <c r="AF40" s="36"/>
      <c r="AG40" s="36" t="s">
        <v>108</v>
      </c>
      <c r="AH40" s="54"/>
      <c r="AI40" s="36"/>
      <c r="AJ40" s="36"/>
      <c r="AK40" s="36"/>
      <c r="AL40" s="36"/>
      <c r="AM40" s="36"/>
      <c r="AN40" s="36" t="s">
        <v>108</v>
      </c>
      <c r="AO40" s="36"/>
      <c r="AP40" s="36"/>
      <c r="AQ40" s="36"/>
      <c r="AR40" s="36"/>
      <c r="AU40" s="36" t="s">
        <v>108</v>
      </c>
      <c r="AW40" s="36"/>
    </row>
    <row r="41" spans="1:49" ht="12.75">
      <c r="A41" s="65"/>
      <c r="C41" s="36"/>
      <c r="D41" s="48"/>
      <c r="G41" s="68"/>
      <c r="H41" s="69"/>
      <c r="I41" s="69"/>
      <c r="J41" s="45"/>
      <c r="K41" s="45"/>
      <c r="M41" s="54"/>
      <c r="N41" s="68"/>
      <c r="O41" s="69"/>
      <c r="P41" s="69"/>
      <c r="T41" s="54"/>
      <c r="U41" s="55"/>
      <c r="V41" s="56"/>
      <c r="W41" s="56"/>
      <c r="Z41" s="52" t="s">
        <v>108</v>
      </c>
      <c r="AA41" s="54"/>
      <c r="AH41" s="54"/>
      <c r="AW41" s="36"/>
    </row>
    <row r="42" spans="1:49" ht="12.75">
      <c r="A42" s="66"/>
      <c r="B42" s="4" t="s">
        <v>416</v>
      </c>
      <c r="D42" s="48"/>
      <c r="N42" s="9"/>
      <c r="O42" s="9"/>
      <c r="P42" s="9"/>
      <c r="S42" s="49" t="s">
        <v>108</v>
      </c>
      <c r="U42" s="9"/>
      <c r="AW42" s="36"/>
    </row>
    <row r="43" spans="1:49" ht="12.75">
      <c r="A43" s="66"/>
      <c r="B43" t="s">
        <v>371</v>
      </c>
      <c r="C43" t="s">
        <v>371</v>
      </c>
      <c r="D43" t="s">
        <v>356</v>
      </c>
      <c r="E43" t="s">
        <v>357</v>
      </c>
      <c r="F43" t="s">
        <v>358</v>
      </c>
      <c r="G43" t="s">
        <v>359</v>
      </c>
      <c r="H43" t="s">
        <v>360</v>
      </c>
      <c r="I43" t="s">
        <v>361</v>
      </c>
      <c r="J43" t="s">
        <v>362</v>
      </c>
      <c r="K43" t="s">
        <v>138</v>
      </c>
      <c r="L43" t="s">
        <v>363</v>
      </c>
      <c r="M43" s="50" t="s">
        <v>364</v>
      </c>
      <c r="N43" s="51" t="s">
        <v>365</v>
      </c>
      <c r="O43" s="51" t="s">
        <v>366</v>
      </c>
      <c r="P43" s="52" t="s">
        <v>367</v>
      </c>
      <c r="Q43" t="s">
        <v>369</v>
      </c>
      <c r="S43" s="52" t="s">
        <v>368</v>
      </c>
      <c r="T43" s="50" t="s">
        <v>364</v>
      </c>
      <c r="U43" s="51" t="s">
        <v>365</v>
      </c>
      <c r="V43" s="51" t="s">
        <v>366</v>
      </c>
      <c r="W43" s="52" t="s">
        <v>367</v>
      </c>
      <c r="X43" t="s">
        <v>369</v>
      </c>
      <c r="Z43" s="52" t="s">
        <v>368</v>
      </c>
      <c r="AA43" s="50" t="s">
        <v>364</v>
      </c>
      <c r="AB43" s="51" t="s">
        <v>365</v>
      </c>
      <c r="AC43" s="52" t="s">
        <v>366</v>
      </c>
      <c r="AD43" s="52" t="s">
        <v>367</v>
      </c>
      <c r="AE43" t="s">
        <v>369</v>
      </c>
      <c r="AG43" s="52" t="s">
        <v>368</v>
      </c>
      <c r="AH43" s="50" t="s">
        <v>364</v>
      </c>
      <c r="AI43" s="51" t="s">
        <v>365</v>
      </c>
      <c r="AJ43" s="51" t="s">
        <v>366</v>
      </c>
      <c r="AK43" s="52" t="s">
        <v>367</v>
      </c>
      <c r="AL43" t="s">
        <v>369</v>
      </c>
      <c r="AN43" s="52" t="s">
        <v>368</v>
      </c>
      <c r="AO43" s="51"/>
      <c r="AP43" s="51"/>
      <c r="AQ43" s="52"/>
      <c r="AR43" s="52"/>
      <c r="AW43" s="36"/>
    </row>
    <row r="44" spans="1:49" ht="12.75">
      <c r="A44" s="65" t="s">
        <v>374</v>
      </c>
      <c r="B44" s="367">
        <v>0</v>
      </c>
      <c r="C44" s="367">
        <v>4</v>
      </c>
      <c r="D44" s="505">
        <v>0</v>
      </c>
      <c r="E44">
        <v>10</v>
      </c>
      <c r="F44">
        <v>10</v>
      </c>
      <c r="G44" s="53"/>
      <c r="H44" s="58"/>
      <c r="I44" s="59"/>
      <c r="J44" s="45"/>
      <c r="K44" s="175"/>
      <c r="M44" s="54">
        <v>1</v>
      </c>
      <c r="N44" s="53"/>
      <c r="O44" s="58"/>
      <c r="P44" s="59"/>
      <c r="T44" s="54"/>
      <c r="U44" s="53"/>
      <c r="V44" s="58"/>
      <c r="W44" s="59"/>
      <c r="Y44" s="175"/>
      <c r="AA44" s="54"/>
      <c r="AH44" s="54"/>
      <c r="AW44" s="36"/>
    </row>
    <row r="45" spans="1:49" ht="12.75">
      <c r="A45" s="65"/>
      <c r="B45" s="367">
        <v>5</v>
      </c>
      <c r="C45" s="367">
        <v>15</v>
      </c>
      <c r="D45" s="505">
        <v>0</v>
      </c>
      <c r="E45">
        <v>10</v>
      </c>
      <c r="F45">
        <v>10</v>
      </c>
      <c r="G45" s="53"/>
      <c r="H45" s="58"/>
      <c r="I45" s="59"/>
      <c r="J45" s="45"/>
      <c r="K45" s="175"/>
      <c r="M45" s="54">
        <v>1</v>
      </c>
      <c r="N45" s="53"/>
      <c r="O45" s="58"/>
      <c r="P45" s="59"/>
      <c r="T45" s="54"/>
      <c r="U45" s="53"/>
      <c r="V45" s="58"/>
      <c r="W45" s="59"/>
      <c r="Y45" s="175"/>
      <c r="AA45" s="54"/>
      <c r="AH45" s="54"/>
      <c r="AW45" s="36"/>
    </row>
    <row r="46" spans="1:49" ht="12.75">
      <c r="A46" s="66"/>
      <c r="B46" s="367">
        <v>16</v>
      </c>
      <c r="C46" s="367">
        <v>24</v>
      </c>
      <c r="D46" s="505">
        <v>0</v>
      </c>
      <c r="E46">
        <v>10</v>
      </c>
      <c r="F46">
        <v>10</v>
      </c>
      <c r="G46" s="53"/>
      <c r="H46" s="58"/>
      <c r="I46" s="59"/>
      <c r="J46" s="45"/>
      <c r="K46" s="175"/>
      <c r="M46" s="54">
        <f>$M$68</f>
        <v>1</v>
      </c>
      <c r="N46" s="53"/>
      <c r="O46" s="58"/>
      <c r="P46" s="59"/>
      <c r="T46" s="54"/>
      <c r="U46" s="53"/>
      <c r="V46" s="58"/>
      <c r="W46" s="59"/>
      <c r="Y46" s="175"/>
      <c r="AA46" s="54"/>
      <c r="AH46" s="54"/>
      <c r="AW46" s="36"/>
    </row>
    <row r="47" spans="1:49" ht="12.75">
      <c r="A47" s="66"/>
      <c r="B47" s="367">
        <v>25</v>
      </c>
      <c r="C47" s="367">
        <v>50</v>
      </c>
      <c r="D47" s="505">
        <v>0</v>
      </c>
      <c r="E47">
        <v>10</v>
      </c>
      <c r="F47">
        <v>10</v>
      </c>
      <c r="G47" s="53"/>
      <c r="H47" s="58"/>
      <c r="I47" s="59"/>
      <c r="J47" s="45"/>
      <c r="K47" s="175"/>
      <c r="M47" s="54">
        <f>$M$68</f>
        <v>1</v>
      </c>
      <c r="N47" s="53"/>
      <c r="O47" s="58"/>
      <c r="P47" s="59"/>
      <c r="T47" s="54"/>
      <c r="U47" s="53"/>
      <c r="V47" s="58"/>
      <c r="W47" s="59"/>
      <c r="Y47" s="175"/>
      <c r="AA47" s="54"/>
      <c r="AH47" s="54"/>
      <c r="AW47" s="36"/>
    </row>
    <row r="48" spans="1:49" ht="12.75">
      <c r="A48" s="66"/>
      <c r="B48" s="367">
        <v>51</v>
      </c>
      <c r="C48" s="367">
        <v>100</v>
      </c>
      <c r="D48" s="505">
        <v>0</v>
      </c>
      <c r="E48">
        <v>10</v>
      </c>
      <c r="F48">
        <v>10</v>
      </c>
      <c r="G48" s="53"/>
      <c r="H48" s="58"/>
      <c r="I48" s="59"/>
      <c r="J48" s="45"/>
      <c r="K48" s="175"/>
      <c r="M48" s="54">
        <f>$M$68</f>
        <v>1</v>
      </c>
      <c r="N48" s="53"/>
      <c r="O48" s="58"/>
      <c r="P48" s="59"/>
      <c r="T48" s="54"/>
      <c r="U48" s="53"/>
      <c r="V48" s="58"/>
      <c r="W48" s="59"/>
      <c r="Y48" s="175"/>
      <c r="AA48" s="54"/>
      <c r="AH48" s="54"/>
      <c r="AW48" s="36"/>
    </row>
    <row r="49" spans="1:49" ht="12.75">
      <c r="A49" s="66"/>
      <c r="B49" s="367">
        <v>101</v>
      </c>
      <c r="C49" s="367">
        <v>500</v>
      </c>
      <c r="D49" s="505">
        <v>0</v>
      </c>
      <c r="E49">
        <v>10</v>
      </c>
      <c r="F49">
        <v>10</v>
      </c>
      <c r="G49" s="53"/>
      <c r="H49" s="58"/>
      <c r="I49" s="59"/>
      <c r="J49" s="45"/>
      <c r="K49" s="175"/>
      <c r="M49" s="54">
        <f>$M$68</f>
        <v>1</v>
      </c>
      <c r="N49" s="53"/>
      <c r="O49" s="58"/>
      <c r="P49" s="59"/>
      <c r="T49" s="54"/>
      <c r="U49" s="53"/>
      <c r="V49" s="58"/>
      <c r="W49" s="59"/>
      <c r="Y49" s="175"/>
      <c r="AA49" s="54"/>
      <c r="AH49" s="54"/>
      <c r="AW49" s="36"/>
    </row>
    <row r="50" spans="1:49" ht="12.75">
      <c r="A50" s="66"/>
      <c r="B50" s="367">
        <v>501</v>
      </c>
      <c r="C50" s="367">
        <v>1000</v>
      </c>
      <c r="D50" s="505">
        <v>0</v>
      </c>
      <c r="E50">
        <v>10</v>
      </c>
      <c r="F50">
        <v>10</v>
      </c>
      <c r="G50" s="53"/>
      <c r="H50" s="58"/>
      <c r="I50" s="59"/>
      <c r="J50" s="45"/>
      <c r="K50" s="175"/>
      <c r="M50" s="54">
        <f>$M$68</f>
        <v>1</v>
      </c>
      <c r="N50" s="53"/>
      <c r="O50" s="58"/>
      <c r="P50" s="59"/>
      <c r="T50" s="54"/>
      <c r="U50" s="53"/>
      <c r="V50" s="58"/>
      <c r="W50" s="59"/>
      <c r="Y50" s="175"/>
      <c r="AA50" s="54"/>
      <c r="AH50" s="54"/>
      <c r="AW50" s="36"/>
    </row>
    <row r="51" spans="2:49" ht="12.75">
      <c r="B51" s="4" t="s">
        <v>506</v>
      </c>
      <c r="C51" s="36"/>
      <c r="D51" s="67"/>
      <c r="E51" s="36"/>
      <c r="F51" s="36"/>
      <c r="G51" s="68"/>
      <c r="H51" s="69"/>
      <c r="I51" s="69"/>
      <c r="J51" s="70"/>
      <c r="K51" s="70"/>
      <c r="L51" s="36" t="s">
        <v>108</v>
      </c>
      <c r="M51" s="71"/>
      <c r="N51" s="68"/>
      <c r="O51" s="69"/>
      <c r="P51" s="69"/>
      <c r="Q51" s="36"/>
      <c r="R51" s="36"/>
      <c r="S51" s="36" t="s">
        <v>108</v>
      </c>
      <c r="T51" s="71"/>
      <c r="U51" s="55"/>
      <c r="V51" s="56"/>
      <c r="W51" s="56"/>
      <c r="X51" s="36"/>
      <c r="Y51" s="36"/>
      <c r="Z51" s="72" t="s">
        <v>108</v>
      </c>
      <c r="AA51" s="71"/>
      <c r="AB51" s="36"/>
      <c r="AC51" s="36"/>
      <c r="AD51" s="36"/>
      <c r="AE51" s="36"/>
      <c r="AF51" s="36"/>
      <c r="AG51" s="36" t="s">
        <v>108</v>
      </c>
      <c r="AH51" s="71"/>
      <c r="AI51" s="36"/>
      <c r="AJ51" s="36"/>
      <c r="AK51" s="36"/>
      <c r="AL51" s="36"/>
      <c r="AM51" s="36"/>
      <c r="AN51" s="36" t="s">
        <v>108</v>
      </c>
      <c r="AO51" s="36"/>
      <c r="AP51" s="36"/>
      <c r="AQ51" s="36"/>
      <c r="AR51" s="36"/>
      <c r="AU51" s="36" t="s">
        <v>108</v>
      </c>
      <c r="AW51" s="36"/>
    </row>
    <row r="52" spans="1:49" ht="12.75">
      <c r="A52" s="66" t="s">
        <v>487</v>
      </c>
      <c r="B52" s="10" t="s">
        <v>350</v>
      </c>
      <c r="C52" s="100"/>
      <c r="D52" s="176">
        <v>0</v>
      </c>
      <c r="E52" t="s">
        <v>309</v>
      </c>
      <c r="F52" t="s">
        <v>309</v>
      </c>
      <c r="G52" s="53"/>
      <c r="H52" s="58"/>
      <c r="I52" s="59"/>
      <c r="J52" s="45"/>
      <c r="K52" s="175"/>
      <c r="M52" s="54">
        <v>1</v>
      </c>
      <c r="N52" s="53"/>
      <c r="O52" s="58"/>
      <c r="P52" s="59"/>
      <c r="T52" s="54"/>
      <c r="U52" s="53"/>
      <c r="V52" s="58"/>
      <c r="W52" s="59"/>
      <c r="Y52" s="175"/>
      <c r="AA52" s="54"/>
      <c r="AB52" s="36"/>
      <c r="AC52" s="36"/>
      <c r="AD52" s="36"/>
      <c r="AE52" s="36"/>
      <c r="AF52" s="36"/>
      <c r="AG52" s="36" t="s">
        <v>108</v>
      </c>
      <c r="AH52" s="54"/>
      <c r="AI52" s="36"/>
      <c r="AJ52" s="36"/>
      <c r="AK52" s="36"/>
      <c r="AL52" s="36"/>
      <c r="AM52" s="36"/>
      <c r="AN52" s="36" t="s">
        <v>108</v>
      </c>
      <c r="AO52" s="36"/>
      <c r="AP52" s="36"/>
      <c r="AQ52" s="36"/>
      <c r="AR52" s="36"/>
      <c r="AU52" s="36" t="s">
        <v>108</v>
      </c>
      <c r="AW52" s="36"/>
    </row>
    <row r="53" spans="1:49" ht="12.75">
      <c r="A53" s="65"/>
      <c r="C53" s="36"/>
      <c r="D53" s="48"/>
      <c r="G53" s="68"/>
      <c r="H53" s="69"/>
      <c r="I53" s="69"/>
      <c r="J53" s="45"/>
      <c r="K53" s="45"/>
      <c r="M53" s="54"/>
      <c r="N53" s="68"/>
      <c r="O53" s="69"/>
      <c r="P53" s="69"/>
      <c r="T53" s="54"/>
      <c r="U53" s="55"/>
      <c r="V53" s="56"/>
      <c r="W53" s="56"/>
      <c r="Z53" s="52" t="s">
        <v>108</v>
      </c>
      <c r="AA53" s="54"/>
      <c r="AH53" s="54"/>
      <c r="AW53" s="36"/>
    </row>
    <row r="54" spans="1:49" ht="12.75">
      <c r="A54" s="66"/>
      <c r="B54" s="4" t="s">
        <v>417</v>
      </c>
      <c r="D54" s="48"/>
      <c r="N54" s="9"/>
      <c r="O54" s="9"/>
      <c r="P54" s="9"/>
      <c r="S54" s="49" t="s">
        <v>108</v>
      </c>
      <c r="U54" s="9"/>
      <c r="AW54" s="36"/>
    </row>
    <row r="55" spans="1:49" ht="12.75">
      <c r="A55" s="66"/>
      <c r="B55" t="s">
        <v>371</v>
      </c>
      <c r="C55" t="s">
        <v>371</v>
      </c>
      <c r="D55" t="s">
        <v>356</v>
      </c>
      <c r="E55" t="s">
        <v>357</v>
      </c>
      <c r="F55" t="s">
        <v>358</v>
      </c>
      <c r="G55" t="s">
        <v>359</v>
      </c>
      <c r="H55" t="s">
        <v>360</v>
      </c>
      <c r="I55" t="s">
        <v>361</v>
      </c>
      <c r="J55" t="s">
        <v>362</v>
      </c>
      <c r="K55" t="s">
        <v>138</v>
      </c>
      <c r="L55" t="s">
        <v>363</v>
      </c>
      <c r="M55" s="50" t="s">
        <v>364</v>
      </c>
      <c r="N55" s="51" t="s">
        <v>365</v>
      </c>
      <c r="O55" s="51" t="s">
        <v>366</v>
      </c>
      <c r="P55" s="52" t="s">
        <v>367</v>
      </c>
      <c r="Q55" t="s">
        <v>369</v>
      </c>
      <c r="S55" s="52" t="s">
        <v>368</v>
      </c>
      <c r="T55" s="50" t="s">
        <v>364</v>
      </c>
      <c r="U55" s="51" t="s">
        <v>365</v>
      </c>
      <c r="V55" s="51" t="s">
        <v>366</v>
      </c>
      <c r="W55" s="52" t="s">
        <v>367</v>
      </c>
      <c r="X55" t="s">
        <v>369</v>
      </c>
      <c r="Z55" s="52" t="s">
        <v>368</v>
      </c>
      <c r="AA55" s="50" t="s">
        <v>364</v>
      </c>
      <c r="AB55" s="51" t="s">
        <v>365</v>
      </c>
      <c r="AC55" s="52" t="s">
        <v>366</v>
      </c>
      <c r="AD55" s="52" t="s">
        <v>367</v>
      </c>
      <c r="AE55" t="s">
        <v>369</v>
      </c>
      <c r="AG55" s="52" t="s">
        <v>368</v>
      </c>
      <c r="AH55" s="50" t="s">
        <v>364</v>
      </c>
      <c r="AI55" s="51" t="s">
        <v>365</v>
      </c>
      <c r="AJ55" s="51" t="s">
        <v>366</v>
      </c>
      <c r="AK55" s="52" t="s">
        <v>367</v>
      </c>
      <c r="AL55" t="s">
        <v>369</v>
      </c>
      <c r="AM55" t="s">
        <v>138</v>
      </c>
      <c r="AN55" s="52" t="s">
        <v>368</v>
      </c>
      <c r="AO55" s="50" t="s">
        <v>364</v>
      </c>
      <c r="AP55" s="51" t="s">
        <v>365</v>
      </c>
      <c r="AQ55" s="51" t="s">
        <v>366</v>
      </c>
      <c r="AR55" s="52" t="s">
        <v>367</v>
      </c>
      <c r="AS55" t="s">
        <v>369</v>
      </c>
      <c r="AT55" t="s">
        <v>138</v>
      </c>
      <c r="AU55" s="52" t="s">
        <v>368</v>
      </c>
      <c r="AV55" t="s">
        <v>682</v>
      </c>
      <c r="AW55" s="36"/>
    </row>
    <row r="56" spans="1:49" ht="12.75">
      <c r="A56" s="65" t="s">
        <v>375</v>
      </c>
      <c r="B56" s="367">
        <v>0</v>
      </c>
      <c r="C56" s="367">
        <v>4</v>
      </c>
      <c r="D56" s="505">
        <f aca="true" t="shared" si="4" ref="D56:D62">IF(AVERAGE(K56,R56,Y56,AF56,AM56,AT56)=0,"contact vendor",AVERAGE(K56,R56,Y56,AF56,AM56,AT56))</f>
        <v>421.18199999999996</v>
      </c>
      <c r="E56">
        <v>10</v>
      </c>
      <c r="F56">
        <v>10</v>
      </c>
      <c r="G56" s="53">
        <v>399</v>
      </c>
      <c r="H56" s="58">
        <f aca="true" t="shared" si="5" ref="H56:H62">G56*M56</f>
        <v>399</v>
      </c>
      <c r="I56" s="59">
        <f>H56</f>
        <v>399</v>
      </c>
      <c r="J56">
        <v>2006</v>
      </c>
      <c r="K56" s="175">
        <f aca="true" t="shared" si="6" ref="K56:K62">I56*VLOOKUP(J56,cci_table,3,FALSE)</f>
        <v>399</v>
      </c>
      <c r="L56" t="s">
        <v>107</v>
      </c>
      <c r="M56" s="54">
        <v>1</v>
      </c>
      <c r="N56" s="155">
        <v>159</v>
      </c>
      <c r="O56" s="58">
        <f aca="true" t="shared" si="7" ref="O56:O62">N56*T56</f>
        <v>159</v>
      </c>
      <c r="P56" s="59">
        <f>O56</f>
        <v>159</v>
      </c>
      <c r="Q56">
        <v>2006</v>
      </c>
      <c r="R56" s="175">
        <f aca="true" t="shared" si="8" ref="R56:R62">P56*VLOOKUP(Q56,cci_table,3,FALSE)</f>
        <v>159</v>
      </c>
      <c r="S56" t="s">
        <v>109</v>
      </c>
      <c r="T56">
        <v>1</v>
      </c>
      <c r="U56" s="154">
        <v>609.4</v>
      </c>
      <c r="V56" s="58">
        <f aca="true" t="shared" si="9" ref="V56:V62">U56*AA56</f>
        <v>609.4</v>
      </c>
      <c r="W56" s="59">
        <f>V56</f>
        <v>609.4</v>
      </c>
      <c r="X56">
        <v>2006</v>
      </c>
      <c r="Y56" s="175">
        <f aca="true" t="shared" si="10" ref="Y56:Y62">W56*VLOOKUP(X56,cci_table,3,FALSE)</f>
        <v>609.4</v>
      </c>
      <c r="Z56" s="52" t="s">
        <v>110</v>
      </c>
      <c r="AA56" s="54">
        <v>1</v>
      </c>
      <c r="AB56" s="159">
        <v>565.55</v>
      </c>
      <c r="AC56" s="58">
        <f aca="true" t="shared" si="11" ref="AC56:AC62">AB56*AH56</f>
        <v>565.55</v>
      </c>
      <c r="AD56" s="59">
        <f>AC56</f>
        <v>565.55</v>
      </c>
      <c r="AE56">
        <v>2006</v>
      </c>
      <c r="AF56" s="175">
        <f aca="true" t="shared" si="12" ref="AF56:AF62">AD56*VLOOKUP(AE56,cci_table,3,FALSE)</f>
        <v>565.55</v>
      </c>
      <c r="AG56" t="s">
        <v>111</v>
      </c>
      <c r="AH56" s="54">
        <v>1</v>
      </c>
      <c r="AI56" s="159">
        <v>372.96</v>
      </c>
      <c r="AJ56" s="58">
        <f aca="true" t="shared" si="13" ref="AJ56:AJ62">AI56*AO56</f>
        <v>372.96</v>
      </c>
      <c r="AK56" s="59">
        <f>AJ56</f>
        <v>372.96</v>
      </c>
      <c r="AL56">
        <v>2006</v>
      </c>
      <c r="AM56" s="175">
        <f aca="true" t="shared" si="14" ref="AM56:AM62">AK56*VLOOKUP(AL56,cci_table,3,FALSE)</f>
        <v>372.96</v>
      </c>
      <c r="AN56" t="s">
        <v>112</v>
      </c>
      <c r="AO56" s="54">
        <v>1</v>
      </c>
      <c r="AP56" s="155"/>
      <c r="AQ56" s="58"/>
      <c r="AR56" s="59"/>
      <c r="AT56" s="175"/>
      <c r="AW56" s="36"/>
    </row>
    <row r="57" spans="1:49" ht="12.75">
      <c r="A57" s="65"/>
      <c r="B57" s="367">
        <v>5</v>
      </c>
      <c r="C57" s="367">
        <v>15</v>
      </c>
      <c r="D57" s="505">
        <f t="shared" si="4"/>
        <v>421.18199999999996</v>
      </c>
      <c r="E57">
        <v>10</v>
      </c>
      <c r="F57">
        <v>10</v>
      </c>
      <c r="G57" s="53">
        <v>399</v>
      </c>
      <c r="H57" s="58">
        <f t="shared" si="5"/>
        <v>399</v>
      </c>
      <c r="I57" s="59">
        <f aca="true" t="shared" si="15" ref="I57:I62">H57</f>
        <v>399</v>
      </c>
      <c r="J57">
        <v>2006</v>
      </c>
      <c r="K57" s="175">
        <f t="shared" si="6"/>
        <v>399</v>
      </c>
      <c r="L57" t="s">
        <v>107</v>
      </c>
      <c r="M57" s="54">
        <v>1</v>
      </c>
      <c r="N57" s="155">
        <v>159</v>
      </c>
      <c r="O57" s="58">
        <f t="shared" si="7"/>
        <v>159</v>
      </c>
      <c r="P57" s="59">
        <f aca="true" t="shared" si="16" ref="P57:P62">O57</f>
        <v>159</v>
      </c>
      <c r="Q57">
        <v>2006</v>
      </c>
      <c r="R57" s="175">
        <f t="shared" si="8"/>
        <v>159</v>
      </c>
      <c r="S57" t="s">
        <v>109</v>
      </c>
      <c r="T57">
        <v>1</v>
      </c>
      <c r="U57" s="154">
        <v>609.4</v>
      </c>
      <c r="V57" s="58">
        <f t="shared" si="9"/>
        <v>609.4</v>
      </c>
      <c r="W57" s="59">
        <f aca="true" t="shared" si="17" ref="W57:W62">V57</f>
        <v>609.4</v>
      </c>
      <c r="X57">
        <v>2006</v>
      </c>
      <c r="Y57" s="175">
        <f t="shared" si="10"/>
        <v>609.4</v>
      </c>
      <c r="Z57" s="52" t="s">
        <v>110</v>
      </c>
      <c r="AA57" s="54">
        <v>1</v>
      </c>
      <c r="AB57" s="159">
        <v>565.55</v>
      </c>
      <c r="AC57" s="58">
        <f t="shared" si="11"/>
        <v>565.55</v>
      </c>
      <c r="AD57" s="59">
        <f aca="true" t="shared" si="18" ref="AD57:AD62">AC57</f>
        <v>565.55</v>
      </c>
      <c r="AE57">
        <v>2006</v>
      </c>
      <c r="AF57" s="175">
        <f t="shared" si="12"/>
        <v>565.55</v>
      </c>
      <c r="AG57" t="s">
        <v>111</v>
      </c>
      <c r="AH57" s="54">
        <v>1</v>
      </c>
      <c r="AI57" s="159">
        <v>372.96</v>
      </c>
      <c r="AJ57" s="58">
        <f t="shared" si="13"/>
        <v>372.96</v>
      </c>
      <c r="AK57" s="59">
        <f aca="true" t="shared" si="19" ref="AK57:AK62">AJ57</f>
        <v>372.96</v>
      </c>
      <c r="AL57">
        <v>2006</v>
      </c>
      <c r="AM57" s="175">
        <f t="shared" si="14"/>
        <v>372.96</v>
      </c>
      <c r="AN57" t="s">
        <v>112</v>
      </c>
      <c r="AO57" s="54">
        <v>1</v>
      </c>
      <c r="AP57" s="155"/>
      <c r="AQ57" s="58"/>
      <c r="AR57" s="59"/>
      <c r="AT57" s="175"/>
      <c r="AW57" s="36"/>
    </row>
    <row r="58" spans="1:49" ht="12.75">
      <c r="A58" s="66"/>
      <c r="B58" s="367">
        <v>16</v>
      </c>
      <c r="C58" s="367">
        <v>24</v>
      </c>
      <c r="D58" s="505">
        <f t="shared" si="4"/>
        <v>418.00199999999995</v>
      </c>
      <c r="E58">
        <v>10</v>
      </c>
      <c r="F58">
        <v>10</v>
      </c>
      <c r="G58" s="53">
        <v>399</v>
      </c>
      <c r="H58" s="58">
        <f t="shared" si="5"/>
        <v>399</v>
      </c>
      <c r="I58" s="59">
        <f t="shared" si="15"/>
        <v>399</v>
      </c>
      <c r="J58">
        <v>2006</v>
      </c>
      <c r="K58" s="175">
        <f t="shared" si="6"/>
        <v>399</v>
      </c>
      <c r="L58" t="s">
        <v>107</v>
      </c>
      <c r="M58" s="54">
        <f>$M$68</f>
        <v>1</v>
      </c>
      <c r="N58" s="53">
        <v>143.1</v>
      </c>
      <c r="O58" s="58">
        <f t="shared" si="7"/>
        <v>143.1</v>
      </c>
      <c r="P58" s="59">
        <f t="shared" si="16"/>
        <v>143.1</v>
      </c>
      <c r="Q58">
        <v>2006</v>
      </c>
      <c r="R58" s="175">
        <f t="shared" si="8"/>
        <v>143.1</v>
      </c>
      <c r="S58" t="s">
        <v>109</v>
      </c>
      <c r="T58">
        <v>1</v>
      </c>
      <c r="U58" s="154">
        <v>609.4</v>
      </c>
      <c r="V58" s="58">
        <f t="shared" si="9"/>
        <v>609.4</v>
      </c>
      <c r="W58" s="59">
        <f t="shared" si="17"/>
        <v>609.4</v>
      </c>
      <c r="X58">
        <v>2006</v>
      </c>
      <c r="Y58" s="175">
        <f t="shared" si="10"/>
        <v>609.4</v>
      </c>
      <c r="Z58" s="52" t="s">
        <v>110</v>
      </c>
      <c r="AA58" s="54">
        <f>$M$68</f>
        <v>1</v>
      </c>
      <c r="AB58" s="159">
        <v>565.55</v>
      </c>
      <c r="AC58" s="58">
        <f t="shared" si="11"/>
        <v>565.55</v>
      </c>
      <c r="AD58" s="59">
        <f t="shared" si="18"/>
        <v>565.55</v>
      </c>
      <c r="AE58">
        <v>2006</v>
      </c>
      <c r="AF58" s="175">
        <f t="shared" si="12"/>
        <v>565.55</v>
      </c>
      <c r="AG58" t="s">
        <v>111</v>
      </c>
      <c r="AH58" s="54">
        <f>$M$68</f>
        <v>1</v>
      </c>
      <c r="AI58" s="159">
        <v>372.96</v>
      </c>
      <c r="AJ58" s="58">
        <f t="shared" si="13"/>
        <v>372.96</v>
      </c>
      <c r="AK58" s="59">
        <f t="shared" si="19"/>
        <v>372.96</v>
      </c>
      <c r="AL58">
        <v>2006</v>
      </c>
      <c r="AM58" s="175">
        <f t="shared" si="14"/>
        <v>372.96</v>
      </c>
      <c r="AN58" t="s">
        <v>112</v>
      </c>
      <c r="AO58" s="54">
        <f>$M$68</f>
        <v>1</v>
      </c>
      <c r="AP58" s="53"/>
      <c r="AQ58" s="58"/>
      <c r="AR58" s="59"/>
      <c r="AT58" s="175"/>
      <c r="AW58" s="36"/>
    </row>
    <row r="59" spans="1:49" ht="12.75">
      <c r="A59" s="66"/>
      <c r="B59" s="367">
        <v>25</v>
      </c>
      <c r="C59" s="367">
        <v>50</v>
      </c>
      <c r="D59" s="505">
        <f t="shared" si="4"/>
        <v>416.412</v>
      </c>
      <c r="E59">
        <v>10</v>
      </c>
      <c r="F59">
        <v>10</v>
      </c>
      <c r="G59" s="53">
        <v>399</v>
      </c>
      <c r="H59" s="58">
        <f t="shared" si="5"/>
        <v>399</v>
      </c>
      <c r="I59" s="59">
        <f t="shared" si="15"/>
        <v>399</v>
      </c>
      <c r="J59">
        <v>2006</v>
      </c>
      <c r="K59" s="175">
        <f t="shared" si="6"/>
        <v>399</v>
      </c>
      <c r="L59" t="s">
        <v>107</v>
      </c>
      <c r="M59" s="54">
        <f>$M$68</f>
        <v>1</v>
      </c>
      <c r="N59" s="53">
        <v>135.15</v>
      </c>
      <c r="O59" s="58">
        <f t="shared" si="7"/>
        <v>135.15</v>
      </c>
      <c r="P59" s="59">
        <f t="shared" si="16"/>
        <v>135.15</v>
      </c>
      <c r="Q59">
        <v>2006</v>
      </c>
      <c r="R59" s="175">
        <f t="shared" si="8"/>
        <v>135.15</v>
      </c>
      <c r="S59" t="s">
        <v>109</v>
      </c>
      <c r="T59">
        <v>1</v>
      </c>
      <c r="U59" s="154">
        <v>609.4</v>
      </c>
      <c r="V59" s="58">
        <f t="shared" si="9"/>
        <v>609.4</v>
      </c>
      <c r="W59" s="59">
        <f t="shared" si="17"/>
        <v>609.4</v>
      </c>
      <c r="X59">
        <v>2006</v>
      </c>
      <c r="Y59" s="175">
        <f t="shared" si="10"/>
        <v>609.4</v>
      </c>
      <c r="Z59" s="52" t="s">
        <v>110</v>
      </c>
      <c r="AA59" s="54">
        <f>$M$68</f>
        <v>1</v>
      </c>
      <c r="AB59" s="159">
        <v>565.55</v>
      </c>
      <c r="AC59" s="58">
        <f t="shared" si="11"/>
        <v>565.55</v>
      </c>
      <c r="AD59" s="59">
        <f t="shared" si="18"/>
        <v>565.55</v>
      </c>
      <c r="AE59">
        <v>2006</v>
      </c>
      <c r="AF59" s="175">
        <f t="shared" si="12"/>
        <v>565.55</v>
      </c>
      <c r="AG59" t="s">
        <v>111</v>
      </c>
      <c r="AH59" s="54">
        <f>$M$68</f>
        <v>1</v>
      </c>
      <c r="AI59" s="159">
        <v>372.96</v>
      </c>
      <c r="AJ59" s="58">
        <f t="shared" si="13"/>
        <v>372.96</v>
      </c>
      <c r="AK59" s="59">
        <f t="shared" si="19"/>
        <v>372.96</v>
      </c>
      <c r="AL59">
        <v>2006</v>
      </c>
      <c r="AM59" s="175">
        <f t="shared" si="14"/>
        <v>372.96</v>
      </c>
      <c r="AN59" t="s">
        <v>112</v>
      </c>
      <c r="AO59" s="54">
        <f>$M$68</f>
        <v>1</v>
      </c>
      <c r="AP59" s="53"/>
      <c r="AQ59" s="58"/>
      <c r="AR59" s="59"/>
      <c r="AT59" s="175"/>
      <c r="AW59" s="36"/>
    </row>
    <row r="60" spans="1:49" ht="12.75">
      <c r="A60" s="66"/>
      <c r="B60" s="367">
        <v>51</v>
      </c>
      <c r="C60" s="367">
        <v>100</v>
      </c>
      <c r="D60" s="505">
        <f t="shared" si="4"/>
        <v>410.05199999999996</v>
      </c>
      <c r="E60">
        <v>10</v>
      </c>
      <c r="F60">
        <v>10</v>
      </c>
      <c r="G60" s="53">
        <v>399</v>
      </c>
      <c r="H60" s="58">
        <f t="shared" si="5"/>
        <v>399</v>
      </c>
      <c r="I60" s="59">
        <f t="shared" si="15"/>
        <v>399</v>
      </c>
      <c r="J60">
        <v>2006</v>
      </c>
      <c r="K60" s="175">
        <f t="shared" si="6"/>
        <v>399</v>
      </c>
      <c r="L60" t="s">
        <v>107</v>
      </c>
      <c r="M60" s="54">
        <f>$M$68</f>
        <v>1</v>
      </c>
      <c r="N60" s="53">
        <v>103.35</v>
      </c>
      <c r="O60" s="58">
        <f t="shared" si="7"/>
        <v>103.35</v>
      </c>
      <c r="P60" s="59">
        <f t="shared" si="16"/>
        <v>103.35</v>
      </c>
      <c r="Q60">
        <v>2006</v>
      </c>
      <c r="R60" s="175">
        <f t="shared" si="8"/>
        <v>103.35</v>
      </c>
      <c r="S60" t="s">
        <v>109</v>
      </c>
      <c r="T60">
        <v>1</v>
      </c>
      <c r="U60" s="154">
        <v>609.4</v>
      </c>
      <c r="V60" s="58">
        <f t="shared" si="9"/>
        <v>609.4</v>
      </c>
      <c r="W60" s="59">
        <f t="shared" si="17"/>
        <v>609.4</v>
      </c>
      <c r="X60">
        <v>2006</v>
      </c>
      <c r="Y60" s="175">
        <f t="shared" si="10"/>
        <v>609.4</v>
      </c>
      <c r="Z60" s="52" t="s">
        <v>110</v>
      </c>
      <c r="AA60" s="54">
        <f>$M$68</f>
        <v>1</v>
      </c>
      <c r="AB60" s="159">
        <v>565.55</v>
      </c>
      <c r="AC60" s="58">
        <f t="shared" si="11"/>
        <v>565.55</v>
      </c>
      <c r="AD60" s="59">
        <f t="shared" si="18"/>
        <v>565.55</v>
      </c>
      <c r="AE60">
        <v>2006</v>
      </c>
      <c r="AF60" s="175">
        <f t="shared" si="12"/>
        <v>565.55</v>
      </c>
      <c r="AG60" t="s">
        <v>111</v>
      </c>
      <c r="AH60" s="54">
        <f>$M$68</f>
        <v>1</v>
      </c>
      <c r="AI60" s="159">
        <v>372.96</v>
      </c>
      <c r="AJ60" s="58">
        <f t="shared" si="13"/>
        <v>372.96</v>
      </c>
      <c r="AK60" s="59">
        <f t="shared" si="19"/>
        <v>372.96</v>
      </c>
      <c r="AL60">
        <v>2006</v>
      </c>
      <c r="AM60" s="175">
        <f t="shared" si="14"/>
        <v>372.96</v>
      </c>
      <c r="AN60" t="s">
        <v>112</v>
      </c>
      <c r="AO60" s="54">
        <f>$M$68</f>
        <v>1</v>
      </c>
      <c r="AP60" s="53"/>
      <c r="AQ60" s="58"/>
      <c r="AR60" s="59"/>
      <c r="AT60" s="175"/>
      <c r="AW60" s="36"/>
    </row>
    <row r="61" spans="1:49" ht="12.75">
      <c r="A61" s="66"/>
      <c r="B61" s="367">
        <v>101</v>
      </c>
      <c r="C61" s="367">
        <v>500</v>
      </c>
      <c r="D61" s="505">
        <f t="shared" si="4"/>
        <v>410.05199999999996</v>
      </c>
      <c r="E61">
        <v>10</v>
      </c>
      <c r="F61">
        <v>10</v>
      </c>
      <c r="G61" s="53">
        <v>399</v>
      </c>
      <c r="H61" s="58">
        <f t="shared" si="5"/>
        <v>399</v>
      </c>
      <c r="I61" s="59">
        <f t="shared" si="15"/>
        <v>399</v>
      </c>
      <c r="J61">
        <v>2006</v>
      </c>
      <c r="K61" s="175">
        <f t="shared" si="6"/>
        <v>399</v>
      </c>
      <c r="L61" t="s">
        <v>107</v>
      </c>
      <c r="M61" s="54">
        <f>$M$68</f>
        <v>1</v>
      </c>
      <c r="N61" s="53">
        <v>103.35</v>
      </c>
      <c r="O61" s="58">
        <f t="shared" si="7"/>
        <v>103.35</v>
      </c>
      <c r="P61" s="59">
        <f t="shared" si="16"/>
        <v>103.35</v>
      </c>
      <c r="Q61">
        <v>2006</v>
      </c>
      <c r="R61" s="175">
        <f t="shared" si="8"/>
        <v>103.35</v>
      </c>
      <c r="S61" t="s">
        <v>109</v>
      </c>
      <c r="T61">
        <v>1</v>
      </c>
      <c r="U61" s="154">
        <v>609.4</v>
      </c>
      <c r="V61" s="58">
        <f t="shared" si="9"/>
        <v>609.4</v>
      </c>
      <c r="W61" s="59">
        <f t="shared" si="17"/>
        <v>609.4</v>
      </c>
      <c r="X61">
        <v>2006</v>
      </c>
      <c r="Y61" s="175">
        <f t="shared" si="10"/>
        <v>609.4</v>
      </c>
      <c r="Z61" s="52" t="s">
        <v>110</v>
      </c>
      <c r="AA61" s="54">
        <f>$M$68</f>
        <v>1</v>
      </c>
      <c r="AB61" s="159">
        <v>565.55</v>
      </c>
      <c r="AC61" s="58">
        <f t="shared" si="11"/>
        <v>565.55</v>
      </c>
      <c r="AD61" s="59">
        <f t="shared" si="18"/>
        <v>565.55</v>
      </c>
      <c r="AE61">
        <v>2006</v>
      </c>
      <c r="AF61" s="175">
        <f t="shared" si="12"/>
        <v>565.55</v>
      </c>
      <c r="AG61" t="s">
        <v>111</v>
      </c>
      <c r="AH61" s="54">
        <f>$M$68</f>
        <v>1</v>
      </c>
      <c r="AI61" s="159">
        <v>372.96</v>
      </c>
      <c r="AJ61" s="58">
        <f t="shared" si="13"/>
        <v>372.96</v>
      </c>
      <c r="AK61" s="59">
        <f t="shared" si="19"/>
        <v>372.96</v>
      </c>
      <c r="AL61">
        <v>2006</v>
      </c>
      <c r="AM61" s="175">
        <f t="shared" si="14"/>
        <v>372.96</v>
      </c>
      <c r="AN61" t="s">
        <v>112</v>
      </c>
      <c r="AO61" s="54">
        <f>$M$68</f>
        <v>1</v>
      </c>
      <c r="AP61" s="53"/>
      <c r="AQ61" s="58"/>
      <c r="AR61" s="59"/>
      <c r="AT61" s="175"/>
      <c r="AW61" s="36"/>
    </row>
    <row r="62" spans="1:49" ht="12.75">
      <c r="A62" s="66"/>
      <c r="B62" s="367">
        <v>501</v>
      </c>
      <c r="C62" s="367">
        <v>1000</v>
      </c>
      <c r="D62" s="505">
        <f t="shared" si="4"/>
        <v>403.692</v>
      </c>
      <c r="E62">
        <v>10</v>
      </c>
      <c r="F62">
        <v>10</v>
      </c>
      <c r="G62" s="53">
        <v>399</v>
      </c>
      <c r="H62" s="58">
        <f t="shared" si="5"/>
        <v>399</v>
      </c>
      <c r="I62" s="59">
        <f t="shared" si="15"/>
        <v>399</v>
      </c>
      <c r="J62">
        <v>2006</v>
      </c>
      <c r="K62" s="175">
        <f t="shared" si="6"/>
        <v>399</v>
      </c>
      <c r="L62" t="s">
        <v>107</v>
      </c>
      <c r="M62" s="54">
        <f>$M$68</f>
        <v>1</v>
      </c>
      <c r="N62" s="53">
        <v>71.55</v>
      </c>
      <c r="O62" s="58">
        <f t="shared" si="7"/>
        <v>71.55</v>
      </c>
      <c r="P62" s="59">
        <f t="shared" si="16"/>
        <v>71.55</v>
      </c>
      <c r="Q62">
        <v>2006</v>
      </c>
      <c r="R62" s="175">
        <f t="shared" si="8"/>
        <v>71.55</v>
      </c>
      <c r="S62" t="s">
        <v>109</v>
      </c>
      <c r="T62">
        <v>1</v>
      </c>
      <c r="U62" s="154">
        <v>609.4</v>
      </c>
      <c r="V62" s="58">
        <f t="shared" si="9"/>
        <v>609.4</v>
      </c>
      <c r="W62" s="59">
        <f t="shared" si="17"/>
        <v>609.4</v>
      </c>
      <c r="X62">
        <v>2006</v>
      </c>
      <c r="Y62" s="175">
        <f t="shared" si="10"/>
        <v>609.4</v>
      </c>
      <c r="Z62" s="52" t="s">
        <v>110</v>
      </c>
      <c r="AA62" s="54">
        <f>$M$68</f>
        <v>1</v>
      </c>
      <c r="AB62" s="159">
        <v>565.55</v>
      </c>
      <c r="AC62" s="58">
        <f t="shared" si="11"/>
        <v>565.55</v>
      </c>
      <c r="AD62" s="59">
        <f t="shared" si="18"/>
        <v>565.55</v>
      </c>
      <c r="AE62">
        <v>2006</v>
      </c>
      <c r="AF62" s="175">
        <f t="shared" si="12"/>
        <v>565.55</v>
      </c>
      <c r="AG62" t="s">
        <v>111</v>
      </c>
      <c r="AH62" s="54">
        <f>$M$68</f>
        <v>1</v>
      </c>
      <c r="AI62" s="159">
        <v>372.96</v>
      </c>
      <c r="AJ62" s="58">
        <f t="shared" si="13"/>
        <v>372.96</v>
      </c>
      <c r="AK62" s="59">
        <f t="shared" si="19"/>
        <v>372.96</v>
      </c>
      <c r="AL62">
        <v>2006</v>
      </c>
      <c r="AM62" s="175">
        <f t="shared" si="14"/>
        <v>372.96</v>
      </c>
      <c r="AN62" t="s">
        <v>112</v>
      </c>
      <c r="AO62" s="54">
        <f>$M$68</f>
        <v>1</v>
      </c>
      <c r="AP62" s="53"/>
      <c r="AQ62" s="58"/>
      <c r="AR62" s="59"/>
      <c r="AT62" s="175"/>
      <c r="AW62" s="36"/>
    </row>
    <row r="63" spans="2:49" ht="12.75">
      <c r="B63" s="4" t="s">
        <v>507</v>
      </c>
      <c r="C63" s="36"/>
      <c r="D63" s="67"/>
      <c r="E63" s="36"/>
      <c r="F63" s="36"/>
      <c r="G63" s="68"/>
      <c r="H63" s="69"/>
      <c r="I63" s="69"/>
      <c r="J63" s="70"/>
      <c r="K63" s="70"/>
      <c r="L63" s="36" t="s">
        <v>108</v>
      </c>
      <c r="M63" s="71"/>
      <c r="N63" s="68"/>
      <c r="O63" s="69"/>
      <c r="P63" s="69"/>
      <c r="Q63" s="36"/>
      <c r="R63" s="36"/>
      <c r="S63" s="36" t="s">
        <v>108</v>
      </c>
      <c r="T63" s="71"/>
      <c r="U63" s="55"/>
      <c r="V63" s="56"/>
      <c r="W63" s="56"/>
      <c r="X63" s="36"/>
      <c r="Y63" s="36"/>
      <c r="Z63" s="72" t="s">
        <v>108</v>
      </c>
      <c r="AA63" s="71"/>
      <c r="AB63" s="36"/>
      <c r="AC63" s="36"/>
      <c r="AD63" s="36"/>
      <c r="AE63" s="36"/>
      <c r="AF63" s="36"/>
      <c r="AG63" s="36" t="s">
        <v>108</v>
      </c>
      <c r="AH63" s="71"/>
      <c r="AI63" s="36"/>
      <c r="AJ63" s="36"/>
      <c r="AK63" s="36"/>
      <c r="AL63" s="36"/>
      <c r="AM63" s="36"/>
      <c r="AN63" s="36" t="s">
        <v>108</v>
      </c>
      <c r="AO63" s="71"/>
      <c r="AP63" s="36"/>
      <c r="AQ63" s="36"/>
      <c r="AR63" s="36"/>
      <c r="AS63" s="36"/>
      <c r="AT63" s="36"/>
      <c r="AU63" s="36" t="s">
        <v>108</v>
      </c>
      <c r="AW63" s="36"/>
    </row>
    <row r="64" spans="1:49" ht="12.75">
      <c r="A64" s="66" t="s">
        <v>488</v>
      </c>
      <c r="B64" s="385" t="s">
        <v>502</v>
      </c>
      <c r="C64" s="498"/>
      <c r="D64" s="505">
        <f>IF(AVERAGE(K64,R64,Y64,AF64,AM64,AT64)=0,"contact vendor",AVERAGE(K64,R64,Y64,AF64,AM64,AT64))</f>
        <v>157.1125</v>
      </c>
      <c r="E64" t="s">
        <v>309</v>
      </c>
      <c r="F64" t="s">
        <v>309</v>
      </c>
      <c r="G64" s="53">
        <f>2*94.5</f>
        <v>189</v>
      </c>
      <c r="H64" s="58">
        <f>G64*M64</f>
        <v>189</v>
      </c>
      <c r="I64" s="59">
        <f>H64</f>
        <v>189</v>
      </c>
      <c r="J64">
        <v>2006</v>
      </c>
      <c r="K64" s="175">
        <f>I64*VLOOKUP(J64,cci_table,3,FALSE)</f>
        <v>189</v>
      </c>
      <c r="L64" t="s">
        <v>107</v>
      </c>
      <c r="M64" s="54">
        <v>1</v>
      </c>
      <c r="N64" s="154">
        <v>173.3</v>
      </c>
      <c r="O64" s="58">
        <f>N64*T64</f>
        <v>173.3</v>
      </c>
      <c r="P64" s="59">
        <f>O64</f>
        <v>173.3</v>
      </c>
      <c r="Q64" s="36">
        <v>2006</v>
      </c>
      <c r="R64" s="175">
        <f>P64*VLOOKUP(Q64,cci_table,3,FALSE)</f>
        <v>173.3</v>
      </c>
      <c r="S64" s="72" t="s">
        <v>109</v>
      </c>
      <c r="T64" s="54">
        <v>1</v>
      </c>
      <c r="U64" s="159">
        <v>150.39</v>
      </c>
      <c r="V64" s="58">
        <f>U64*AA64</f>
        <v>150.39</v>
      </c>
      <c r="W64" s="59">
        <f>V64</f>
        <v>150.39</v>
      </c>
      <c r="X64" s="36">
        <v>2006</v>
      </c>
      <c r="Y64" s="175">
        <f>W64*VLOOKUP(X64,cci_table,3,FALSE)</f>
        <v>150.39</v>
      </c>
      <c r="Z64" s="36" t="s">
        <v>110</v>
      </c>
      <c r="AA64" s="54">
        <v>1</v>
      </c>
      <c r="AB64" s="159">
        <v>115.76</v>
      </c>
      <c r="AC64" s="58">
        <f>AB64*AH64</f>
        <v>115.76</v>
      </c>
      <c r="AD64" s="59">
        <f>AC64</f>
        <v>115.76</v>
      </c>
      <c r="AE64" s="36">
        <v>2006</v>
      </c>
      <c r="AF64" s="175">
        <f>AD64*VLOOKUP(AE64,cci_table,3,FALSE)</f>
        <v>115.76</v>
      </c>
      <c r="AG64" s="36" t="s">
        <v>111</v>
      </c>
      <c r="AH64" s="54">
        <v>1</v>
      </c>
      <c r="AI64" s="159"/>
      <c r="AJ64" s="58"/>
      <c r="AK64" s="59"/>
      <c r="AL64" s="36"/>
      <c r="AM64" s="175"/>
      <c r="AN64" s="36" t="s">
        <v>108</v>
      </c>
      <c r="AO64" s="54"/>
      <c r="AP64" s="36"/>
      <c r="AQ64" s="36"/>
      <c r="AR64" s="36"/>
      <c r="AS64" s="36"/>
      <c r="AT64" s="36"/>
      <c r="AU64" s="36" t="s">
        <v>108</v>
      </c>
      <c r="AW64" s="36"/>
    </row>
    <row r="65" spans="1:49" ht="12.75">
      <c r="A65" s="65"/>
      <c r="C65" s="36"/>
      <c r="D65" s="48"/>
      <c r="G65" s="68"/>
      <c r="H65" s="69"/>
      <c r="I65" s="69"/>
      <c r="J65" s="45"/>
      <c r="K65" s="45"/>
      <c r="M65" s="54"/>
      <c r="N65" s="68"/>
      <c r="O65" s="69"/>
      <c r="P65" s="69"/>
      <c r="T65" s="54"/>
      <c r="U65" s="55"/>
      <c r="V65" s="56"/>
      <c r="W65" s="56"/>
      <c r="Z65" s="52" t="s">
        <v>108</v>
      </c>
      <c r="AA65" s="54"/>
      <c r="AH65" s="54"/>
      <c r="AW65" s="36"/>
    </row>
    <row r="66" spans="1:49" ht="12.75">
      <c r="A66" s="66"/>
      <c r="B66" s="4" t="s">
        <v>418</v>
      </c>
      <c r="D66" s="48"/>
      <c r="N66" s="9"/>
      <c r="O66" s="9"/>
      <c r="P66" s="9"/>
      <c r="S66" s="49" t="s">
        <v>108</v>
      </c>
      <c r="U66" s="9"/>
      <c r="AW66" s="36"/>
    </row>
    <row r="67" spans="1:49" ht="12.75">
      <c r="A67" s="66"/>
      <c r="B67" t="s">
        <v>371</v>
      </c>
      <c r="C67" t="s">
        <v>371</v>
      </c>
      <c r="D67" t="s">
        <v>356</v>
      </c>
      <c r="E67" t="s">
        <v>357</v>
      </c>
      <c r="F67" t="s">
        <v>358</v>
      </c>
      <c r="G67" t="s">
        <v>359</v>
      </c>
      <c r="H67" t="s">
        <v>360</v>
      </c>
      <c r="I67" t="s">
        <v>361</v>
      </c>
      <c r="J67" t="s">
        <v>362</v>
      </c>
      <c r="K67" t="s">
        <v>138</v>
      </c>
      <c r="L67" t="s">
        <v>363</v>
      </c>
      <c r="M67" s="50" t="s">
        <v>364</v>
      </c>
      <c r="N67" s="51" t="s">
        <v>365</v>
      </c>
      <c r="O67" s="51" t="s">
        <v>366</v>
      </c>
      <c r="P67" s="52" t="s">
        <v>367</v>
      </c>
      <c r="Q67" t="s">
        <v>369</v>
      </c>
      <c r="S67" s="52" t="s">
        <v>368</v>
      </c>
      <c r="T67" s="50" t="s">
        <v>364</v>
      </c>
      <c r="U67" s="51" t="s">
        <v>365</v>
      </c>
      <c r="V67" s="51" t="s">
        <v>366</v>
      </c>
      <c r="W67" s="52" t="s">
        <v>367</v>
      </c>
      <c r="X67" t="s">
        <v>369</v>
      </c>
      <c r="Z67" s="52" t="s">
        <v>368</v>
      </c>
      <c r="AA67" s="50" t="s">
        <v>364</v>
      </c>
      <c r="AB67" s="51" t="s">
        <v>365</v>
      </c>
      <c r="AC67" s="52" t="s">
        <v>366</v>
      </c>
      <c r="AD67" s="52" t="s">
        <v>367</v>
      </c>
      <c r="AE67" t="s">
        <v>369</v>
      </c>
      <c r="AG67" s="52" t="s">
        <v>368</v>
      </c>
      <c r="AH67" s="50" t="s">
        <v>364</v>
      </c>
      <c r="AI67" s="51" t="s">
        <v>365</v>
      </c>
      <c r="AJ67" s="51" t="s">
        <v>366</v>
      </c>
      <c r="AK67" s="52" t="s">
        <v>367</v>
      </c>
      <c r="AL67" t="s">
        <v>369</v>
      </c>
      <c r="AM67" t="s">
        <v>138</v>
      </c>
      <c r="AN67" s="52" t="s">
        <v>368</v>
      </c>
      <c r="AO67" s="50" t="s">
        <v>364</v>
      </c>
      <c r="AP67" s="51" t="s">
        <v>365</v>
      </c>
      <c r="AQ67" s="51" t="s">
        <v>366</v>
      </c>
      <c r="AR67" s="52" t="s">
        <v>367</v>
      </c>
      <c r="AS67" t="s">
        <v>369</v>
      </c>
      <c r="AT67" t="s">
        <v>138</v>
      </c>
      <c r="AU67" s="52" t="s">
        <v>368</v>
      </c>
      <c r="AV67" t="s">
        <v>682</v>
      </c>
      <c r="AW67" s="36"/>
    </row>
    <row r="68" spans="1:49" ht="12.75">
      <c r="A68" s="66" t="s">
        <v>376</v>
      </c>
      <c r="B68" s="367">
        <v>0</v>
      </c>
      <c r="C68" s="367">
        <v>4</v>
      </c>
      <c r="D68" s="505">
        <f aca="true" t="shared" si="20" ref="D68:D74">IF(AVERAGE(K68,R68,Y68,AF68,AM68,AT68)=0,"contact vendor",AVERAGE(K68,R68,Y68,AF68,AM68,AT68))</f>
        <v>629</v>
      </c>
      <c r="E68">
        <v>10</v>
      </c>
      <c r="F68">
        <v>10</v>
      </c>
      <c r="G68" s="53">
        <v>1025</v>
      </c>
      <c r="H68" s="58">
        <f>G68*M68</f>
        <v>1025</v>
      </c>
      <c r="I68" s="59">
        <f aca="true" t="shared" si="21" ref="I68:I79">H68</f>
        <v>1025</v>
      </c>
      <c r="J68" s="45">
        <v>2006</v>
      </c>
      <c r="K68" s="175">
        <f aca="true" t="shared" si="22" ref="K68:K74">I68*VLOOKUP(J68,cci_table,3,FALSE)</f>
        <v>1025</v>
      </c>
      <c r="L68" t="s">
        <v>107</v>
      </c>
      <c r="M68" s="54">
        <v>1</v>
      </c>
      <c r="N68" s="53">
        <v>600</v>
      </c>
      <c r="O68" s="58">
        <f aca="true" t="shared" si="23" ref="O68:O74">N68*T68</f>
        <v>600</v>
      </c>
      <c r="P68" s="59">
        <f>O68</f>
        <v>600</v>
      </c>
      <c r="Q68">
        <v>2006</v>
      </c>
      <c r="R68" s="175">
        <f aca="true" t="shared" si="24" ref="R68:R74">P68*VLOOKUP(Q68,cci_table,3,FALSE)</f>
        <v>600</v>
      </c>
      <c r="S68" t="s">
        <v>109</v>
      </c>
      <c r="T68" s="54">
        <v>1</v>
      </c>
      <c r="U68" s="154">
        <v>885</v>
      </c>
      <c r="V68" s="58">
        <f aca="true" t="shared" si="25" ref="V68:V74">U68*AA68</f>
        <v>885</v>
      </c>
      <c r="W68" s="59">
        <f>V68</f>
        <v>885</v>
      </c>
      <c r="X68">
        <v>2006</v>
      </c>
      <c r="Y68" s="175">
        <f aca="true" t="shared" si="26" ref="Y68:Y74">W68*VLOOKUP(X68,cci_table,3,FALSE)</f>
        <v>885</v>
      </c>
      <c r="Z68" s="52" t="s">
        <v>110</v>
      </c>
      <c r="AA68" s="54">
        <v>1</v>
      </c>
      <c r="AB68" s="155">
        <v>299</v>
      </c>
      <c r="AC68" s="58">
        <f aca="true" t="shared" si="27" ref="AC68:AC74">AB68*AH68</f>
        <v>299</v>
      </c>
      <c r="AD68" s="59">
        <f>AC68</f>
        <v>299</v>
      </c>
      <c r="AE68">
        <v>2006</v>
      </c>
      <c r="AF68" s="175">
        <f aca="true" t="shared" si="28" ref="AF68:AF74">AD68*VLOOKUP(AE68,cci_table,3,FALSE)</f>
        <v>299</v>
      </c>
      <c r="AG68" t="s">
        <v>111</v>
      </c>
      <c r="AH68" s="54">
        <v>1</v>
      </c>
      <c r="AI68" s="155">
        <v>215</v>
      </c>
      <c r="AJ68" s="58">
        <f aca="true" t="shared" si="29" ref="AJ68:AJ74">AI68*AO68</f>
        <v>215</v>
      </c>
      <c r="AK68" s="59">
        <f>AJ68</f>
        <v>215</v>
      </c>
      <c r="AL68">
        <v>2006</v>
      </c>
      <c r="AM68" s="175">
        <f aca="true" t="shared" si="30" ref="AM68:AM74">AK68*VLOOKUP(AL68,cci_table,3,FALSE)</f>
        <v>215</v>
      </c>
      <c r="AN68" t="s">
        <v>112</v>
      </c>
      <c r="AO68" s="54">
        <v>1</v>
      </c>
      <c r="AP68" s="155">
        <v>750</v>
      </c>
      <c r="AQ68" s="58">
        <f aca="true" t="shared" si="31" ref="AQ68:AQ74">AP68*AV68</f>
        <v>750</v>
      </c>
      <c r="AR68" s="59">
        <f>AQ68</f>
        <v>750</v>
      </c>
      <c r="AS68">
        <v>2006</v>
      </c>
      <c r="AT68" s="175">
        <f aca="true" t="shared" si="32" ref="AT68:AT74">AR68*VLOOKUP(AS68,cci_table,3,FALSE)</f>
        <v>750</v>
      </c>
      <c r="AU68" t="s">
        <v>113</v>
      </c>
      <c r="AV68">
        <v>1</v>
      </c>
      <c r="AW68" s="36"/>
    </row>
    <row r="69" spans="1:49" ht="12.75">
      <c r="A69" s="66"/>
      <c r="B69" s="367">
        <v>5</v>
      </c>
      <c r="C69" s="367">
        <v>15</v>
      </c>
      <c r="D69" s="505">
        <f t="shared" si="20"/>
        <v>599</v>
      </c>
      <c r="E69">
        <v>10</v>
      </c>
      <c r="F69">
        <v>10</v>
      </c>
      <c r="G69" s="53">
        <v>1025</v>
      </c>
      <c r="H69" s="58">
        <f>G69*M69</f>
        <v>1025</v>
      </c>
      <c r="I69" s="59">
        <f t="shared" si="21"/>
        <v>1025</v>
      </c>
      <c r="J69" s="45">
        <v>2006</v>
      </c>
      <c r="K69" s="175">
        <f t="shared" si="22"/>
        <v>1025</v>
      </c>
      <c r="L69" t="s">
        <v>107</v>
      </c>
      <c r="M69" s="54">
        <v>1</v>
      </c>
      <c r="N69" s="53">
        <v>600</v>
      </c>
      <c r="O69" s="58">
        <f t="shared" si="23"/>
        <v>600</v>
      </c>
      <c r="P69" s="59">
        <f aca="true" t="shared" si="33" ref="P69:P74">O69</f>
        <v>600</v>
      </c>
      <c r="Q69">
        <v>2006</v>
      </c>
      <c r="R69" s="175">
        <f t="shared" si="24"/>
        <v>600</v>
      </c>
      <c r="S69" t="s">
        <v>109</v>
      </c>
      <c r="T69" s="54">
        <v>1</v>
      </c>
      <c r="U69" s="154">
        <v>705</v>
      </c>
      <c r="V69" s="58">
        <f t="shared" si="25"/>
        <v>705</v>
      </c>
      <c r="W69" s="59">
        <f aca="true" t="shared" si="34" ref="W69:W74">V69</f>
        <v>705</v>
      </c>
      <c r="X69">
        <v>2006</v>
      </c>
      <c r="Y69" s="175">
        <f t="shared" si="26"/>
        <v>705</v>
      </c>
      <c r="Z69" s="52" t="s">
        <v>110</v>
      </c>
      <c r="AA69" s="54">
        <v>1</v>
      </c>
      <c r="AB69" s="155">
        <v>299</v>
      </c>
      <c r="AC69" s="58">
        <f t="shared" si="27"/>
        <v>299</v>
      </c>
      <c r="AD69" s="59">
        <f aca="true" t="shared" si="35" ref="AD69:AD74">AC69</f>
        <v>299</v>
      </c>
      <c r="AE69">
        <v>2006</v>
      </c>
      <c r="AF69" s="175">
        <f t="shared" si="28"/>
        <v>299</v>
      </c>
      <c r="AG69" t="s">
        <v>111</v>
      </c>
      <c r="AH69" s="54">
        <v>1</v>
      </c>
      <c r="AI69" s="155">
        <v>215</v>
      </c>
      <c r="AJ69" s="58">
        <f t="shared" si="29"/>
        <v>215</v>
      </c>
      <c r="AK69" s="59">
        <f aca="true" t="shared" si="36" ref="AK69:AK74">AJ69</f>
        <v>215</v>
      </c>
      <c r="AL69">
        <v>2006</v>
      </c>
      <c r="AM69" s="175">
        <f t="shared" si="30"/>
        <v>215</v>
      </c>
      <c r="AN69" t="s">
        <v>112</v>
      </c>
      <c r="AO69" s="54">
        <v>1</v>
      </c>
      <c r="AP69" s="155">
        <v>750</v>
      </c>
      <c r="AQ69" s="58">
        <f t="shared" si="31"/>
        <v>750</v>
      </c>
      <c r="AR69" s="59">
        <f aca="true" t="shared" si="37" ref="AR69:AR74">AQ69</f>
        <v>750</v>
      </c>
      <c r="AS69">
        <v>2006</v>
      </c>
      <c r="AT69" s="175">
        <f t="shared" si="32"/>
        <v>750</v>
      </c>
      <c r="AU69" t="s">
        <v>113</v>
      </c>
      <c r="AV69">
        <v>1</v>
      </c>
      <c r="AW69" s="36"/>
    </row>
    <row r="70" spans="1:49" ht="12.75">
      <c r="A70" s="23"/>
      <c r="B70" s="367">
        <v>16</v>
      </c>
      <c r="C70" s="367">
        <v>24</v>
      </c>
      <c r="D70" s="505">
        <f t="shared" si="20"/>
        <v>586.5</v>
      </c>
      <c r="E70">
        <v>10</v>
      </c>
      <c r="F70">
        <v>10</v>
      </c>
      <c r="G70" s="53">
        <v>1025</v>
      </c>
      <c r="H70" s="58">
        <f>G70</f>
        <v>1025</v>
      </c>
      <c r="I70" s="59">
        <f t="shared" si="21"/>
        <v>1025</v>
      </c>
      <c r="J70" s="45">
        <v>2006</v>
      </c>
      <c r="K70" s="175">
        <f t="shared" si="22"/>
        <v>1025</v>
      </c>
      <c r="L70" t="s">
        <v>107</v>
      </c>
      <c r="M70" s="54">
        <f>$M$68</f>
        <v>1</v>
      </c>
      <c r="N70" s="53">
        <v>600</v>
      </c>
      <c r="O70" s="58">
        <f t="shared" si="23"/>
        <v>600</v>
      </c>
      <c r="P70" s="59">
        <f t="shared" si="33"/>
        <v>600</v>
      </c>
      <c r="Q70">
        <v>2006</v>
      </c>
      <c r="R70" s="175">
        <f t="shared" si="24"/>
        <v>600</v>
      </c>
      <c r="S70" t="s">
        <v>109</v>
      </c>
      <c r="T70" s="54">
        <f>$M$68</f>
        <v>1</v>
      </c>
      <c r="U70" s="154">
        <v>705</v>
      </c>
      <c r="V70" s="58">
        <f t="shared" si="25"/>
        <v>705</v>
      </c>
      <c r="W70" s="59">
        <f t="shared" si="34"/>
        <v>705</v>
      </c>
      <c r="X70">
        <v>2006</v>
      </c>
      <c r="Y70" s="175">
        <f t="shared" si="26"/>
        <v>705</v>
      </c>
      <c r="Z70" s="52" t="s">
        <v>110</v>
      </c>
      <c r="AA70" s="54">
        <f>$M$68</f>
        <v>1</v>
      </c>
      <c r="AB70" s="155">
        <v>299</v>
      </c>
      <c r="AC70" s="58">
        <f t="shared" si="27"/>
        <v>299</v>
      </c>
      <c r="AD70" s="59">
        <f t="shared" si="35"/>
        <v>299</v>
      </c>
      <c r="AE70">
        <v>2006</v>
      </c>
      <c r="AF70" s="175">
        <f t="shared" si="28"/>
        <v>299</v>
      </c>
      <c r="AG70" t="s">
        <v>111</v>
      </c>
      <c r="AH70" s="54">
        <f>$M$68</f>
        <v>1</v>
      </c>
      <c r="AI70" s="155">
        <v>215</v>
      </c>
      <c r="AJ70" s="58">
        <f t="shared" si="29"/>
        <v>215</v>
      </c>
      <c r="AK70" s="59">
        <f t="shared" si="36"/>
        <v>215</v>
      </c>
      <c r="AL70">
        <v>2006</v>
      </c>
      <c r="AM70" s="175">
        <f t="shared" si="30"/>
        <v>215</v>
      </c>
      <c r="AN70" t="s">
        <v>112</v>
      </c>
      <c r="AO70" s="54">
        <f>$M$68</f>
        <v>1</v>
      </c>
      <c r="AP70" s="53">
        <v>675</v>
      </c>
      <c r="AQ70" s="58">
        <f t="shared" si="31"/>
        <v>675</v>
      </c>
      <c r="AR70" s="59">
        <f t="shared" si="37"/>
        <v>675</v>
      </c>
      <c r="AS70">
        <v>2006</v>
      </c>
      <c r="AT70" s="175">
        <f t="shared" si="32"/>
        <v>675</v>
      </c>
      <c r="AU70" t="s">
        <v>113</v>
      </c>
      <c r="AV70">
        <v>1</v>
      </c>
      <c r="AW70" s="36"/>
    </row>
    <row r="71" spans="1:49" ht="12.75">
      <c r="A71" s="23"/>
      <c r="B71" s="367">
        <v>25</v>
      </c>
      <c r="C71" s="367">
        <v>50</v>
      </c>
      <c r="D71" s="505">
        <f t="shared" si="20"/>
        <v>560.9166666666666</v>
      </c>
      <c r="E71">
        <v>10</v>
      </c>
      <c r="F71">
        <v>10</v>
      </c>
      <c r="G71" s="53">
        <v>1025</v>
      </c>
      <c r="H71" s="58">
        <f>G71</f>
        <v>1025</v>
      </c>
      <c r="I71" s="59">
        <f t="shared" si="21"/>
        <v>1025</v>
      </c>
      <c r="J71" s="45">
        <v>2006</v>
      </c>
      <c r="K71" s="175">
        <f t="shared" si="22"/>
        <v>1025</v>
      </c>
      <c r="L71" t="s">
        <v>107</v>
      </c>
      <c r="M71" s="54">
        <f>$M$68</f>
        <v>1</v>
      </c>
      <c r="N71" s="53">
        <v>600</v>
      </c>
      <c r="O71" s="58">
        <f t="shared" si="23"/>
        <v>600</v>
      </c>
      <c r="P71" s="59">
        <f t="shared" si="33"/>
        <v>600</v>
      </c>
      <c r="Q71">
        <v>2006</v>
      </c>
      <c r="R71" s="175">
        <f t="shared" si="24"/>
        <v>600</v>
      </c>
      <c r="S71" t="s">
        <v>109</v>
      </c>
      <c r="T71" s="54">
        <f>$M$68</f>
        <v>1</v>
      </c>
      <c r="U71" s="154">
        <v>589</v>
      </c>
      <c r="V71" s="58">
        <f t="shared" si="25"/>
        <v>589</v>
      </c>
      <c r="W71" s="59">
        <f t="shared" si="34"/>
        <v>589</v>
      </c>
      <c r="X71">
        <v>2006</v>
      </c>
      <c r="Y71" s="175">
        <f t="shared" si="26"/>
        <v>589</v>
      </c>
      <c r="Z71" s="52" t="s">
        <v>110</v>
      </c>
      <c r="AA71" s="54">
        <f>$M$68</f>
        <v>1</v>
      </c>
      <c r="AB71" s="155">
        <v>299</v>
      </c>
      <c r="AC71" s="58">
        <f t="shared" si="27"/>
        <v>299</v>
      </c>
      <c r="AD71" s="59">
        <f t="shared" si="35"/>
        <v>299</v>
      </c>
      <c r="AE71">
        <v>2006</v>
      </c>
      <c r="AF71" s="175">
        <f t="shared" si="28"/>
        <v>299</v>
      </c>
      <c r="AG71" t="s">
        <v>111</v>
      </c>
      <c r="AH71" s="54">
        <f>$M$68</f>
        <v>1</v>
      </c>
      <c r="AI71" s="155">
        <v>215</v>
      </c>
      <c r="AJ71" s="58">
        <f t="shared" si="29"/>
        <v>215</v>
      </c>
      <c r="AK71" s="59">
        <f t="shared" si="36"/>
        <v>215</v>
      </c>
      <c r="AL71">
        <v>2006</v>
      </c>
      <c r="AM71" s="175">
        <f t="shared" si="30"/>
        <v>215</v>
      </c>
      <c r="AN71" t="s">
        <v>112</v>
      </c>
      <c r="AO71" s="54">
        <f>$M$68</f>
        <v>1</v>
      </c>
      <c r="AP71" s="53">
        <v>637.5</v>
      </c>
      <c r="AQ71" s="58">
        <f t="shared" si="31"/>
        <v>637.5</v>
      </c>
      <c r="AR71" s="59">
        <f t="shared" si="37"/>
        <v>637.5</v>
      </c>
      <c r="AS71">
        <v>2006</v>
      </c>
      <c r="AT71" s="175">
        <f t="shared" si="32"/>
        <v>637.5</v>
      </c>
      <c r="AU71" t="s">
        <v>113</v>
      </c>
      <c r="AV71">
        <v>1</v>
      </c>
      <c r="AW71" s="36"/>
    </row>
    <row r="72" spans="1:49" ht="12.75">
      <c r="A72" s="23"/>
      <c r="B72" s="367">
        <v>51</v>
      </c>
      <c r="C72" s="367">
        <v>100</v>
      </c>
      <c r="D72" s="505">
        <f t="shared" si="20"/>
        <v>535.9166666666666</v>
      </c>
      <c r="E72">
        <v>10</v>
      </c>
      <c r="F72">
        <v>10</v>
      </c>
      <c r="G72" s="53">
        <v>1025</v>
      </c>
      <c r="H72" s="58">
        <f>G72</f>
        <v>1025</v>
      </c>
      <c r="I72" s="59">
        <f t="shared" si="21"/>
        <v>1025</v>
      </c>
      <c r="J72" s="45">
        <v>2006</v>
      </c>
      <c r="K72" s="175">
        <f t="shared" si="22"/>
        <v>1025</v>
      </c>
      <c r="L72" t="s">
        <v>107</v>
      </c>
      <c r="M72" s="54">
        <f>$M$68</f>
        <v>1</v>
      </c>
      <c r="N72" s="53">
        <v>600</v>
      </c>
      <c r="O72" s="58">
        <f t="shared" si="23"/>
        <v>600</v>
      </c>
      <c r="P72" s="59">
        <f t="shared" si="33"/>
        <v>600</v>
      </c>
      <c r="Q72">
        <v>2006</v>
      </c>
      <c r="R72" s="175">
        <f t="shared" si="24"/>
        <v>600</v>
      </c>
      <c r="S72" t="s">
        <v>109</v>
      </c>
      <c r="T72" s="54">
        <f>$M$68</f>
        <v>1</v>
      </c>
      <c r="U72" s="154">
        <v>589</v>
      </c>
      <c r="V72" s="58">
        <f t="shared" si="25"/>
        <v>589</v>
      </c>
      <c r="W72" s="59">
        <f t="shared" si="34"/>
        <v>589</v>
      </c>
      <c r="X72">
        <v>2006</v>
      </c>
      <c r="Y72" s="175">
        <f t="shared" si="26"/>
        <v>589</v>
      </c>
      <c r="Z72" s="52" t="s">
        <v>110</v>
      </c>
      <c r="AA72" s="54">
        <f>$M$68</f>
        <v>1</v>
      </c>
      <c r="AB72" s="155">
        <v>299</v>
      </c>
      <c r="AC72" s="58">
        <f t="shared" si="27"/>
        <v>299</v>
      </c>
      <c r="AD72" s="59">
        <f t="shared" si="35"/>
        <v>299</v>
      </c>
      <c r="AE72">
        <v>2006</v>
      </c>
      <c r="AF72" s="175">
        <f t="shared" si="28"/>
        <v>299</v>
      </c>
      <c r="AG72" t="s">
        <v>111</v>
      </c>
      <c r="AH72" s="54">
        <f>$M$68</f>
        <v>1</v>
      </c>
      <c r="AI72" s="155">
        <v>215</v>
      </c>
      <c r="AJ72" s="58">
        <f t="shared" si="29"/>
        <v>215</v>
      </c>
      <c r="AK72" s="59">
        <f t="shared" si="36"/>
        <v>215</v>
      </c>
      <c r="AL72">
        <v>2006</v>
      </c>
      <c r="AM72" s="175">
        <f t="shared" si="30"/>
        <v>215</v>
      </c>
      <c r="AN72" t="s">
        <v>112</v>
      </c>
      <c r="AO72" s="54">
        <f>$M$68</f>
        <v>1</v>
      </c>
      <c r="AP72" s="53">
        <v>487.5</v>
      </c>
      <c r="AQ72" s="58">
        <f t="shared" si="31"/>
        <v>487.5</v>
      </c>
      <c r="AR72" s="59">
        <f t="shared" si="37"/>
        <v>487.5</v>
      </c>
      <c r="AS72">
        <v>2006</v>
      </c>
      <c r="AT72" s="175">
        <f t="shared" si="32"/>
        <v>487.5</v>
      </c>
      <c r="AU72" t="s">
        <v>113</v>
      </c>
      <c r="AV72">
        <v>1</v>
      </c>
      <c r="AW72" s="36"/>
    </row>
    <row r="73" spans="1:49" ht="12.75">
      <c r="A73" s="23"/>
      <c r="B73" s="367">
        <v>101</v>
      </c>
      <c r="C73" s="367">
        <v>500</v>
      </c>
      <c r="D73" s="505">
        <f t="shared" si="20"/>
        <v>525.0833333333334</v>
      </c>
      <c r="E73">
        <v>10</v>
      </c>
      <c r="F73">
        <v>10</v>
      </c>
      <c r="G73" s="53">
        <v>1025</v>
      </c>
      <c r="H73" s="58">
        <f>G73</f>
        <v>1025</v>
      </c>
      <c r="I73" s="59">
        <f t="shared" si="21"/>
        <v>1025</v>
      </c>
      <c r="J73" s="45">
        <v>2006</v>
      </c>
      <c r="K73" s="175">
        <f t="shared" si="22"/>
        <v>1025</v>
      </c>
      <c r="L73" t="s">
        <v>107</v>
      </c>
      <c r="M73" s="54">
        <f>$M$68</f>
        <v>1</v>
      </c>
      <c r="N73" s="53">
        <v>600</v>
      </c>
      <c r="O73" s="58">
        <f t="shared" si="23"/>
        <v>600</v>
      </c>
      <c r="P73" s="59">
        <f t="shared" si="33"/>
        <v>600</v>
      </c>
      <c r="Q73">
        <v>2006</v>
      </c>
      <c r="R73" s="175">
        <f t="shared" si="24"/>
        <v>600</v>
      </c>
      <c r="S73" t="s">
        <v>109</v>
      </c>
      <c r="T73" s="54">
        <f>$M$68</f>
        <v>1</v>
      </c>
      <c r="U73" s="154">
        <v>524</v>
      </c>
      <c r="V73" s="58">
        <f t="shared" si="25"/>
        <v>524</v>
      </c>
      <c r="W73" s="59">
        <f t="shared" si="34"/>
        <v>524</v>
      </c>
      <c r="X73">
        <v>2006</v>
      </c>
      <c r="Y73" s="175">
        <f t="shared" si="26"/>
        <v>524</v>
      </c>
      <c r="Z73" s="52" t="s">
        <v>110</v>
      </c>
      <c r="AA73" s="54">
        <f>$M$68</f>
        <v>1</v>
      </c>
      <c r="AB73" s="155">
        <v>299</v>
      </c>
      <c r="AC73" s="58">
        <f t="shared" si="27"/>
        <v>299</v>
      </c>
      <c r="AD73" s="59">
        <f t="shared" si="35"/>
        <v>299</v>
      </c>
      <c r="AE73">
        <v>2006</v>
      </c>
      <c r="AF73" s="175">
        <f t="shared" si="28"/>
        <v>299</v>
      </c>
      <c r="AG73" t="s">
        <v>111</v>
      </c>
      <c r="AH73" s="54">
        <f>$M$68</f>
        <v>1</v>
      </c>
      <c r="AI73" s="155">
        <v>215</v>
      </c>
      <c r="AJ73" s="58">
        <f t="shared" si="29"/>
        <v>215</v>
      </c>
      <c r="AK73" s="59">
        <f t="shared" si="36"/>
        <v>215</v>
      </c>
      <c r="AL73">
        <v>2006</v>
      </c>
      <c r="AM73" s="175">
        <f t="shared" si="30"/>
        <v>215</v>
      </c>
      <c r="AN73" t="s">
        <v>112</v>
      </c>
      <c r="AO73" s="54">
        <f>$M$68</f>
        <v>1</v>
      </c>
      <c r="AP73" s="53">
        <v>487.5</v>
      </c>
      <c r="AQ73" s="58">
        <f t="shared" si="31"/>
        <v>487.5</v>
      </c>
      <c r="AR73" s="59">
        <f t="shared" si="37"/>
        <v>487.5</v>
      </c>
      <c r="AS73">
        <v>2006</v>
      </c>
      <c r="AT73" s="175">
        <f t="shared" si="32"/>
        <v>487.5</v>
      </c>
      <c r="AU73" t="s">
        <v>113</v>
      </c>
      <c r="AV73">
        <v>1</v>
      </c>
      <c r="AW73" s="36"/>
    </row>
    <row r="74" spans="1:49" ht="12.75">
      <c r="A74" s="23"/>
      <c r="B74" s="367">
        <v>501</v>
      </c>
      <c r="C74" s="367">
        <v>1000</v>
      </c>
      <c r="D74" s="505">
        <f t="shared" si="20"/>
        <v>491.5</v>
      </c>
      <c r="E74">
        <v>10</v>
      </c>
      <c r="F74">
        <v>10</v>
      </c>
      <c r="G74" s="53">
        <v>1025</v>
      </c>
      <c r="H74" s="58">
        <f>G74</f>
        <v>1025</v>
      </c>
      <c r="I74" s="59">
        <f t="shared" si="21"/>
        <v>1025</v>
      </c>
      <c r="J74" s="45">
        <v>2006</v>
      </c>
      <c r="K74" s="175">
        <f t="shared" si="22"/>
        <v>1025</v>
      </c>
      <c r="L74" t="s">
        <v>107</v>
      </c>
      <c r="M74" s="54">
        <f>$M$68</f>
        <v>1</v>
      </c>
      <c r="N74" s="53">
        <v>600</v>
      </c>
      <c r="O74" s="58">
        <f t="shared" si="23"/>
        <v>600</v>
      </c>
      <c r="P74" s="59">
        <f t="shared" si="33"/>
        <v>600</v>
      </c>
      <c r="Q74">
        <v>2006</v>
      </c>
      <c r="R74" s="175">
        <f t="shared" si="24"/>
        <v>600</v>
      </c>
      <c r="S74" t="s">
        <v>109</v>
      </c>
      <c r="T74" s="54">
        <f>$M$68</f>
        <v>1</v>
      </c>
      <c r="U74" s="154">
        <v>524</v>
      </c>
      <c r="V74" s="58">
        <f t="shared" si="25"/>
        <v>524</v>
      </c>
      <c r="W74" s="59">
        <f t="shared" si="34"/>
        <v>524</v>
      </c>
      <c r="X74">
        <v>2006</v>
      </c>
      <c r="Y74" s="175">
        <f t="shared" si="26"/>
        <v>524</v>
      </c>
      <c r="Z74" s="52" t="s">
        <v>110</v>
      </c>
      <c r="AA74" s="54">
        <f>$M$68</f>
        <v>1</v>
      </c>
      <c r="AB74" s="155">
        <v>269</v>
      </c>
      <c r="AC74" s="58">
        <f t="shared" si="27"/>
        <v>269</v>
      </c>
      <c r="AD74" s="59">
        <f t="shared" si="35"/>
        <v>269</v>
      </c>
      <c r="AE74">
        <v>2006</v>
      </c>
      <c r="AF74" s="175">
        <f t="shared" si="28"/>
        <v>269</v>
      </c>
      <c r="AG74" t="s">
        <v>111</v>
      </c>
      <c r="AH74" s="54">
        <f>$M$68</f>
        <v>1</v>
      </c>
      <c r="AI74" s="155">
        <f>215*0.9</f>
        <v>193.5</v>
      </c>
      <c r="AJ74" s="58">
        <f t="shared" si="29"/>
        <v>193.5</v>
      </c>
      <c r="AK74" s="59">
        <f t="shared" si="36"/>
        <v>193.5</v>
      </c>
      <c r="AL74">
        <v>2006</v>
      </c>
      <c r="AM74" s="175">
        <f t="shared" si="30"/>
        <v>193.5</v>
      </c>
      <c r="AN74" t="s">
        <v>112</v>
      </c>
      <c r="AO74" s="54">
        <f>$M$68</f>
        <v>1</v>
      </c>
      <c r="AP74" s="53">
        <v>337.5</v>
      </c>
      <c r="AQ74" s="58">
        <f t="shared" si="31"/>
        <v>337.5</v>
      </c>
      <c r="AR74" s="59">
        <f t="shared" si="37"/>
        <v>337.5</v>
      </c>
      <c r="AS74">
        <v>2006</v>
      </c>
      <c r="AT74" s="175">
        <f t="shared" si="32"/>
        <v>337.5</v>
      </c>
      <c r="AU74" t="s">
        <v>113</v>
      </c>
      <c r="AV74">
        <v>1</v>
      </c>
      <c r="AW74" s="36"/>
    </row>
    <row r="75" spans="2:49" ht="12.75">
      <c r="B75" s="4" t="s">
        <v>496</v>
      </c>
      <c r="C75" s="36"/>
      <c r="D75" s="67"/>
      <c r="E75" s="36"/>
      <c r="F75" s="36"/>
      <c r="G75" s="68"/>
      <c r="H75" s="69"/>
      <c r="I75" s="69"/>
      <c r="J75" s="70"/>
      <c r="K75" s="70"/>
      <c r="L75" s="36" t="s">
        <v>108</v>
      </c>
      <c r="M75" s="71"/>
      <c r="N75" s="68"/>
      <c r="O75" s="69"/>
      <c r="P75" s="69"/>
      <c r="Q75" s="36"/>
      <c r="R75" s="36"/>
      <c r="S75" s="36" t="s">
        <v>108</v>
      </c>
      <c r="T75" s="71"/>
      <c r="U75" s="55"/>
      <c r="V75" s="56"/>
      <c r="W75" s="56"/>
      <c r="X75" s="36"/>
      <c r="Y75" s="36"/>
      <c r="Z75" s="72" t="s">
        <v>108</v>
      </c>
      <c r="AA75" s="71"/>
      <c r="AB75" s="36"/>
      <c r="AC75" s="36"/>
      <c r="AD75" s="36"/>
      <c r="AE75" s="36"/>
      <c r="AF75" s="36"/>
      <c r="AG75" s="36" t="s">
        <v>108</v>
      </c>
      <c r="AH75" s="71"/>
      <c r="AI75" s="36"/>
      <c r="AJ75" s="36"/>
      <c r="AK75" s="36"/>
      <c r="AL75" s="36"/>
      <c r="AM75" s="36"/>
      <c r="AN75" s="36" t="s">
        <v>108</v>
      </c>
      <c r="AO75" s="36"/>
      <c r="AP75" s="36"/>
      <c r="AQ75" s="36"/>
      <c r="AR75" s="36"/>
      <c r="AU75" s="36" t="s">
        <v>108</v>
      </c>
      <c r="AW75" s="36"/>
    </row>
    <row r="76" spans="1:49" ht="12.75">
      <c r="A76" s="66" t="s">
        <v>489</v>
      </c>
      <c r="B76" s="385" t="s">
        <v>468</v>
      </c>
      <c r="C76" s="498"/>
      <c r="D76" s="505">
        <f>IF(AVERAGE(K76,R76,Y76,AF76,AM76,AT76)=0,"contact vendor",AVERAGE(K76,R76,Y76,AF76,AM76,AT76))</f>
        <v>31.25</v>
      </c>
      <c r="E76" t="s">
        <v>309</v>
      </c>
      <c r="F76" t="s">
        <v>309</v>
      </c>
      <c r="G76" s="155">
        <v>58</v>
      </c>
      <c r="H76" s="58">
        <f>G76</f>
        <v>58</v>
      </c>
      <c r="I76" s="59">
        <f t="shared" si="21"/>
        <v>58</v>
      </c>
      <c r="J76" s="36">
        <v>2006</v>
      </c>
      <c r="K76" s="175">
        <f>I76*VLOOKUP(J76,cci_table,3,FALSE)</f>
        <v>58</v>
      </c>
      <c r="L76" t="s">
        <v>107</v>
      </c>
      <c r="M76" s="54">
        <v>1</v>
      </c>
      <c r="N76" s="155">
        <v>4.5</v>
      </c>
      <c r="O76" s="58">
        <f>N76*T76</f>
        <v>4.5</v>
      </c>
      <c r="P76" s="59">
        <f>O76</f>
        <v>4.5</v>
      </c>
      <c r="Q76" s="36">
        <v>2006</v>
      </c>
      <c r="R76" s="175">
        <f>P76*VLOOKUP(Q76,cci_table,3,FALSE)</f>
        <v>4.5</v>
      </c>
      <c r="S76" t="s">
        <v>109</v>
      </c>
      <c r="T76" s="54">
        <v>1</v>
      </c>
      <c r="U76" s="154"/>
      <c r="V76" s="58"/>
      <c r="W76" s="59"/>
      <c r="Y76" s="175"/>
      <c r="Z76" s="52" t="s">
        <v>108</v>
      </c>
      <c r="AA76" s="54"/>
      <c r="AB76" s="155"/>
      <c r="AC76" s="58"/>
      <c r="AD76" s="59"/>
      <c r="AF76" s="175"/>
      <c r="AH76" s="54"/>
      <c r="AI76" s="36"/>
      <c r="AK76" s="36"/>
      <c r="AL76" s="36"/>
      <c r="AM76" s="36"/>
      <c r="AN76" s="36" t="s">
        <v>108</v>
      </c>
      <c r="AO76" s="36"/>
      <c r="AP76" s="36"/>
      <c r="AQ76" s="36"/>
      <c r="AR76" s="36"/>
      <c r="AU76" s="36" t="s">
        <v>108</v>
      </c>
      <c r="AW76" s="36"/>
    </row>
    <row r="77" spans="1:49" ht="12.75">
      <c r="A77" s="23"/>
      <c r="B77" s="385" t="s">
        <v>469</v>
      </c>
      <c r="C77" s="498"/>
      <c r="D77" s="505">
        <f>IF(AVERAGE(K77,R77,Y77,AF77,AM77,AT77)=0,"contact vendor",AVERAGE(K77,R77,Y77,AF77,AM77,AT77))</f>
        <v>30.816666666666666</v>
      </c>
      <c r="E77" t="s">
        <v>309</v>
      </c>
      <c r="F77" t="s">
        <v>309</v>
      </c>
      <c r="G77" s="155">
        <v>58</v>
      </c>
      <c r="H77" s="58">
        <f>G77</f>
        <v>58</v>
      </c>
      <c r="I77" s="59">
        <f t="shared" si="21"/>
        <v>58</v>
      </c>
      <c r="J77" s="36">
        <v>2006</v>
      </c>
      <c r="K77" s="175">
        <f>I77*VLOOKUP(J77,cci_table,3,FALSE)</f>
        <v>58</v>
      </c>
      <c r="L77" t="s">
        <v>107</v>
      </c>
      <c r="M77" s="54">
        <f>$M$68</f>
        <v>1</v>
      </c>
      <c r="N77" s="155">
        <v>12.95</v>
      </c>
      <c r="O77" s="58">
        <f>N77*T77</f>
        <v>12.95</v>
      </c>
      <c r="P77" s="59">
        <f>O77</f>
        <v>12.95</v>
      </c>
      <c r="Q77" s="36">
        <v>2006</v>
      </c>
      <c r="R77" s="175">
        <f>P77*VLOOKUP(Q77,cci_table,3,FALSE)</f>
        <v>12.95</v>
      </c>
      <c r="S77" t="s">
        <v>109</v>
      </c>
      <c r="T77" s="54">
        <v>1</v>
      </c>
      <c r="U77" s="155">
        <f>43/2</f>
        <v>21.5</v>
      </c>
      <c r="V77" s="58">
        <f>U77*AA77</f>
        <v>21.5</v>
      </c>
      <c r="W77" s="59">
        <f>V77</f>
        <v>21.5</v>
      </c>
      <c r="X77">
        <v>2006</v>
      </c>
      <c r="Y77" s="175">
        <f>W77*VLOOKUP(X77,cci_table,3,FALSE)</f>
        <v>21.5</v>
      </c>
      <c r="Z77" s="36" t="s">
        <v>110</v>
      </c>
      <c r="AA77" s="54">
        <v>1</v>
      </c>
      <c r="AB77" s="155"/>
      <c r="AC77" s="58"/>
      <c r="AD77" s="59"/>
      <c r="AF77" s="175"/>
      <c r="AH77" s="54"/>
      <c r="AI77" s="36"/>
      <c r="AK77" s="36"/>
      <c r="AL77" s="36"/>
      <c r="AM77" s="36"/>
      <c r="AN77" s="36" t="s">
        <v>108</v>
      </c>
      <c r="AO77" s="36"/>
      <c r="AP77" s="36"/>
      <c r="AQ77" s="36"/>
      <c r="AR77" s="36"/>
      <c r="AU77" s="36" t="s">
        <v>108</v>
      </c>
      <c r="AW77" s="36"/>
    </row>
    <row r="78" spans="1:49" ht="12.75">
      <c r="A78" s="23"/>
      <c r="B78" s="385" t="s">
        <v>470</v>
      </c>
      <c r="C78" s="498"/>
      <c r="D78" s="505">
        <f>IF(AVERAGE(K78,R78,Y78,AF78,AM78,AT78)=0,"contact vendor",AVERAGE(K78,R78,Y78,AF78,AM78,AT78))</f>
        <v>30.816666666666666</v>
      </c>
      <c r="E78" t="s">
        <v>309</v>
      </c>
      <c r="F78" t="s">
        <v>309</v>
      </c>
      <c r="G78" s="155">
        <v>58</v>
      </c>
      <c r="H78" s="58">
        <f>G78</f>
        <v>58</v>
      </c>
      <c r="I78" s="59">
        <f t="shared" si="21"/>
        <v>58</v>
      </c>
      <c r="J78" s="36">
        <v>2006</v>
      </c>
      <c r="K78" s="175">
        <f>I78*VLOOKUP(J78,cci_table,3,FALSE)</f>
        <v>58</v>
      </c>
      <c r="L78" t="s">
        <v>107</v>
      </c>
      <c r="M78" s="54">
        <f>$M$68</f>
        <v>1</v>
      </c>
      <c r="N78" s="155">
        <v>12.95</v>
      </c>
      <c r="O78" s="58">
        <f>N78*T78</f>
        <v>12.95</v>
      </c>
      <c r="P78" s="59">
        <f>O78</f>
        <v>12.95</v>
      </c>
      <c r="Q78" s="36">
        <v>2006</v>
      </c>
      <c r="R78" s="175">
        <f>P78*VLOOKUP(Q78,cci_table,3,FALSE)</f>
        <v>12.95</v>
      </c>
      <c r="S78" t="s">
        <v>109</v>
      </c>
      <c r="T78" s="54">
        <v>1</v>
      </c>
      <c r="U78" s="155">
        <f>43/2</f>
        <v>21.5</v>
      </c>
      <c r="V78" s="58">
        <f>U78*AA78</f>
        <v>21.5</v>
      </c>
      <c r="W78" s="59">
        <f>V78</f>
        <v>21.5</v>
      </c>
      <c r="X78">
        <v>2006</v>
      </c>
      <c r="Y78" s="175">
        <f>W78*VLOOKUP(X78,cci_table,3,FALSE)</f>
        <v>21.5</v>
      </c>
      <c r="Z78" s="36" t="s">
        <v>110</v>
      </c>
      <c r="AA78" s="54">
        <v>1</v>
      </c>
      <c r="AB78" s="155"/>
      <c r="AC78" s="58"/>
      <c r="AD78" s="59"/>
      <c r="AF78" s="175"/>
      <c r="AH78" s="54"/>
      <c r="AI78" s="36"/>
      <c r="AK78" s="36"/>
      <c r="AL78" s="36"/>
      <c r="AM78" s="36"/>
      <c r="AN78" s="36" t="s">
        <v>108</v>
      </c>
      <c r="AO78" s="36"/>
      <c r="AP78" s="36"/>
      <c r="AQ78" s="36"/>
      <c r="AR78" s="36"/>
      <c r="AU78" s="36" t="s">
        <v>108</v>
      </c>
      <c r="AW78" s="36"/>
    </row>
    <row r="79" spans="1:49" ht="12.75">
      <c r="A79" s="23"/>
      <c r="B79" s="385" t="s">
        <v>307</v>
      </c>
      <c r="C79" s="498"/>
      <c r="D79" s="505">
        <f>IF(AVERAGE(K79,R79,Y79,AF79,AM79,AT79)=0,"contact vendor",AVERAGE(K79,R79,Y79,AF79,AM79,AT79))</f>
        <v>83.04642857142856</v>
      </c>
      <c r="E79" t="s">
        <v>309</v>
      </c>
      <c r="F79" t="s">
        <v>309</v>
      </c>
      <c r="G79" s="464">
        <f>150*3/7</f>
        <v>64.28571428571429</v>
      </c>
      <c r="H79" s="58">
        <f>G79</f>
        <v>64.28571428571429</v>
      </c>
      <c r="I79" s="59">
        <f t="shared" si="21"/>
        <v>64.28571428571429</v>
      </c>
      <c r="J79" s="36">
        <v>2006</v>
      </c>
      <c r="K79" s="175">
        <f>I79*VLOOKUP(J79,cci_table,3,FALSE)</f>
        <v>64.28571428571429</v>
      </c>
      <c r="L79" t="s">
        <v>107</v>
      </c>
      <c r="M79" s="54">
        <f>$M$68</f>
        <v>1</v>
      </c>
      <c r="N79" s="155">
        <v>99.95</v>
      </c>
      <c r="O79" s="58">
        <f>N79*T79</f>
        <v>99.95</v>
      </c>
      <c r="P79" s="59">
        <f>O79</f>
        <v>99.95</v>
      </c>
      <c r="Q79" s="36">
        <v>2006</v>
      </c>
      <c r="R79" s="175">
        <f>P79*VLOOKUP(Q79,cci_table,3,FALSE)</f>
        <v>99.95</v>
      </c>
      <c r="S79" t="s">
        <v>109</v>
      </c>
      <c r="T79" s="54">
        <v>1</v>
      </c>
      <c r="U79" s="155">
        <v>103</v>
      </c>
      <c r="V79" s="58">
        <f>U79*AA79</f>
        <v>103</v>
      </c>
      <c r="W79" s="59">
        <f>V79</f>
        <v>103</v>
      </c>
      <c r="X79">
        <v>2006</v>
      </c>
      <c r="Y79" s="175">
        <f>W79*VLOOKUP(X79,cci_table,3,FALSE)</f>
        <v>103</v>
      </c>
      <c r="Z79" s="36" t="s">
        <v>110</v>
      </c>
      <c r="AA79" s="54">
        <f>$M$68</f>
        <v>1</v>
      </c>
      <c r="AB79" s="155">
        <v>64.95</v>
      </c>
      <c r="AC79" s="58">
        <f>AB79*AH79</f>
        <v>64.95</v>
      </c>
      <c r="AD79" s="59">
        <f>AC79</f>
        <v>64.95</v>
      </c>
      <c r="AE79">
        <v>2006</v>
      </c>
      <c r="AF79" s="175">
        <f>AD79*VLOOKUP(AE79,cci_table,3,FALSE)</f>
        <v>64.95</v>
      </c>
      <c r="AG79" t="s">
        <v>111</v>
      </c>
      <c r="AH79" s="114">
        <v>1</v>
      </c>
      <c r="AI79" s="36"/>
      <c r="AK79" s="69"/>
      <c r="AL79" s="36"/>
      <c r="AM79" s="69"/>
      <c r="AO79" s="36"/>
      <c r="AP79" s="36"/>
      <c r="AQ79" s="36"/>
      <c r="AR79" s="36"/>
      <c r="AU79" s="36" t="s">
        <v>108</v>
      </c>
      <c r="AW79" s="36"/>
    </row>
    <row r="80" spans="1:49" ht="12.75">
      <c r="A80" s="23"/>
      <c r="C80" s="36"/>
      <c r="D80" s="48"/>
      <c r="G80" s="68"/>
      <c r="H80" s="69"/>
      <c r="I80" s="69"/>
      <c r="J80" s="70"/>
      <c r="K80" s="70"/>
      <c r="L80" s="36" t="s">
        <v>108</v>
      </c>
      <c r="M80" s="71"/>
      <c r="N80" s="68"/>
      <c r="O80" s="69"/>
      <c r="P80" s="69"/>
      <c r="Q80" s="36"/>
      <c r="R80" s="36"/>
      <c r="S80" s="36" t="s">
        <v>108</v>
      </c>
      <c r="T80" s="71"/>
      <c r="U80" s="55"/>
      <c r="V80" s="56"/>
      <c r="W80" s="56"/>
      <c r="X80" s="36"/>
      <c r="Y80" s="36"/>
      <c r="Z80" s="72" t="s">
        <v>108</v>
      </c>
      <c r="AA80" s="71"/>
      <c r="AB80" s="36"/>
      <c r="AC80" s="36"/>
      <c r="AD80" s="36"/>
      <c r="AE80" s="36"/>
      <c r="AF80" s="36"/>
      <c r="AG80" s="36" t="s">
        <v>108</v>
      </c>
      <c r="AH80" s="71"/>
      <c r="AI80" s="36"/>
      <c r="AJ80" s="36"/>
      <c r="AK80" s="36"/>
      <c r="AL80" s="36"/>
      <c r="AM80" s="36"/>
      <c r="AN80" s="36" t="s">
        <v>108</v>
      </c>
      <c r="AO80" s="36"/>
      <c r="AP80" s="36"/>
      <c r="AQ80" s="36"/>
      <c r="AR80" s="36"/>
      <c r="AU80" s="36" t="s">
        <v>108</v>
      </c>
      <c r="AW80" s="36"/>
    </row>
    <row r="81" spans="1:49" ht="12.75">
      <c r="A81" s="66"/>
      <c r="B81" s="4" t="s">
        <v>426</v>
      </c>
      <c r="D81" s="48"/>
      <c r="N81" s="9"/>
      <c r="O81" s="9"/>
      <c r="P81" s="9"/>
      <c r="S81" s="49" t="s">
        <v>108</v>
      </c>
      <c r="U81" s="9"/>
      <c r="AW81" s="36"/>
    </row>
    <row r="82" spans="1:49" ht="12.75">
      <c r="A82" s="66"/>
      <c r="B82" t="s">
        <v>371</v>
      </c>
      <c r="C82" t="s">
        <v>371</v>
      </c>
      <c r="D82" t="s">
        <v>356</v>
      </c>
      <c r="E82" t="s">
        <v>357</v>
      </c>
      <c r="F82" t="s">
        <v>358</v>
      </c>
      <c r="G82" t="s">
        <v>359</v>
      </c>
      <c r="H82" t="s">
        <v>360</v>
      </c>
      <c r="I82" t="s">
        <v>361</v>
      </c>
      <c r="J82" t="s">
        <v>362</v>
      </c>
      <c r="K82" t="s">
        <v>138</v>
      </c>
      <c r="L82" t="s">
        <v>363</v>
      </c>
      <c r="M82" s="50" t="s">
        <v>364</v>
      </c>
      <c r="N82" s="51" t="s">
        <v>365</v>
      </c>
      <c r="O82" s="51" t="s">
        <v>366</v>
      </c>
      <c r="P82" s="52" t="s">
        <v>367</v>
      </c>
      <c r="Q82" t="s">
        <v>369</v>
      </c>
      <c r="S82" s="52" t="s">
        <v>368</v>
      </c>
      <c r="T82" s="50" t="s">
        <v>364</v>
      </c>
      <c r="U82" s="51" t="s">
        <v>365</v>
      </c>
      <c r="V82" s="51" t="s">
        <v>366</v>
      </c>
      <c r="W82" s="52" t="s">
        <v>367</v>
      </c>
      <c r="X82" t="s">
        <v>369</v>
      </c>
      <c r="Z82" s="52" t="s">
        <v>368</v>
      </c>
      <c r="AA82" s="50" t="s">
        <v>364</v>
      </c>
      <c r="AB82" s="51" t="s">
        <v>365</v>
      </c>
      <c r="AC82" s="52" t="s">
        <v>366</v>
      </c>
      <c r="AD82" s="52" t="s">
        <v>367</v>
      </c>
      <c r="AE82" t="s">
        <v>369</v>
      </c>
      <c r="AG82" s="52" t="s">
        <v>368</v>
      </c>
      <c r="AH82" s="50" t="s">
        <v>364</v>
      </c>
      <c r="AI82" s="51" t="s">
        <v>365</v>
      </c>
      <c r="AJ82" s="51" t="s">
        <v>366</v>
      </c>
      <c r="AK82" s="52" t="s">
        <v>367</v>
      </c>
      <c r="AL82" t="s">
        <v>369</v>
      </c>
      <c r="AN82" s="52" t="s">
        <v>368</v>
      </c>
      <c r="AO82" s="51"/>
      <c r="AP82" s="51"/>
      <c r="AQ82" s="52"/>
      <c r="AR82" s="52"/>
      <c r="AW82" s="36"/>
    </row>
    <row r="83" spans="1:49" ht="12.75">
      <c r="A83" s="65" t="s">
        <v>427</v>
      </c>
      <c r="B83" s="367">
        <v>0</v>
      </c>
      <c r="C83" s="367">
        <v>4</v>
      </c>
      <c r="D83" s="505">
        <f aca="true" t="shared" si="38" ref="D83:D89">IF(AVERAGE(K83,R83,Y83,AF83,AM83,AT83)=0,"contact vendor",AVERAGE(K83,R83,Y83,AF83,AM83,AT83))</f>
        <v>852.8333333333333</v>
      </c>
      <c r="E83">
        <v>10</v>
      </c>
      <c r="F83">
        <v>10</v>
      </c>
      <c r="G83" s="53">
        <f>AVERAGE(795,805,820)</f>
        <v>806.6666666666666</v>
      </c>
      <c r="H83" s="58">
        <f>G83*M83</f>
        <v>806.6666666666666</v>
      </c>
      <c r="I83" s="59">
        <f aca="true" t="shared" si="39" ref="I83:I92">H83</f>
        <v>806.6666666666666</v>
      </c>
      <c r="J83" s="45">
        <v>2006</v>
      </c>
      <c r="K83" s="175">
        <f aca="true" t="shared" si="40" ref="K83:K89">I83*VLOOKUP(J83,cci_table,3,FALSE)</f>
        <v>806.6666666666666</v>
      </c>
      <c r="L83" s="50" t="s">
        <v>107</v>
      </c>
      <c r="M83" s="54">
        <v>1</v>
      </c>
      <c r="N83" s="53">
        <f>AVERAGE(879,899,919)</f>
        <v>899</v>
      </c>
      <c r="O83" s="58">
        <f aca="true" t="shared" si="41" ref="O83:O89">N83*T83</f>
        <v>899</v>
      </c>
      <c r="P83" s="59">
        <f>O83</f>
        <v>899</v>
      </c>
      <c r="Q83" s="36">
        <v>2006</v>
      </c>
      <c r="R83" s="175">
        <f>P83*VLOOKUP(Q83,cci_table,3,FALSE)</f>
        <v>899</v>
      </c>
      <c r="S83" s="45" t="s">
        <v>109</v>
      </c>
      <c r="T83" s="54">
        <v>1</v>
      </c>
      <c r="U83" s="53"/>
      <c r="V83" s="58"/>
      <c r="W83" s="59"/>
      <c r="X83" s="45"/>
      <c r="Y83" s="175"/>
      <c r="Z83" s="45" t="s">
        <v>108</v>
      </c>
      <c r="AA83" s="54">
        <v>1</v>
      </c>
      <c r="AH83" s="54"/>
      <c r="AW83" s="36"/>
    </row>
    <row r="84" spans="1:49" ht="12.75">
      <c r="A84" s="65"/>
      <c r="B84" s="367">
        <v>5</v>
      </c>
      <c r="C84" s="367">
        <v>15</v>
      </c>
      <c r="D84" s="505">
        <f t="shared" si="38"/>
        <v>852.8333333333333</v>
      </c>
      <c r="E84">
        <v>10</v>
      </c>
      <c r="F84">
        <v>10</v>
      </c>
      <c r="G84" s="53">
        <f aca="true" t="shared" si="42" ref="G84:G89">AVERAGE(795,805,820)</f>
        <v>806.6666666666666</v>
      </c>
      <c r="H84" s="58">
        <f>G84*M84</f>
        <v>806.6666666666666</v>
      </c>
      <c r="I84" s="59">
        <f t="shared" si="39"/>
        <v>806.6666666666666</v>
      </c>
      <c r="J84" s="45">
        <v>2006</v>
      </c>
      <c r="K84" s="175">
        <f t="shared" si="40"/>
        <v>806.6666666666666</v>
      </c>
      <c r="L84" s="50" t="s">
        <v>107</v>
      </c>
      <c r="M84" s="54">
        <v>1</v>
      </c>
      <c r="N84" s="53">
        <f aca="true" t="shared" si="43" ref="N84:N89">AVERAGE(879,899,919)</f>
        <v>899</v>
      </c>
      <c r="O84" s="58">
        <f t="shared" si="41"/>
        <v>899</v>
      </c>
      <c r="P84" s="59">
        <f aca="true" t="shared" si="44" ref="P84:P89">O84</f>
        <v>899</v>
      </c>
      <c r="Q84" s="36">
        <v>2006</v>
      </c>
      <c r="R84" s="175">
        <f aca="true" t="shared" si="45" ref="R84:R89">P84*VLOOKUP(Q84,cci_table,3,FALSE)</f>
        <v>899</v>
      </c>
      <c r="S84" s="45" t="s">
        <v>109</v>
      </c>
      <c r="T84" s="54">
        <v>1</v>
      </c>
      <c r="U84" s="53"/>
      <c r="V84" s="58"/>
      <c r="W84" s="59"/>
      <c r="X84" s="45"/>
      <c r="Y84" s="175"/>
      <c r="Z84" s="45" t="s">
        <v>108</v>
      </c>
      <c r="AA84" s="54">
        <v>1</v>
      </c>
      <c r="AH84" s="54"/>
      <c r="AW84" s="36"/>
    </row>
    <row r="85" spans="1:49" ht="12.75">
      <c r="A85" s="66"/>
      <c r="B85" s="367">
        <v>16</v>
      </c>
      <c r="C85" s="367">
        <v>24</v>
      </c>
      <c r="D85" s="505">
        <f t="shared" si="38"/>
        <v>852.8333333333333</v>
      </c>
      <c r="E85">
        <v>10</v>
      </c>
      <c r="F85">
        <v>10</v>
      </c>
      <c r="G85" s="53">
        <f t="shared" si="42"/>
        <v>806.6666666666666</v>
      </c>
      <c r="H85" s="58">
        <f>G85</f>
        <v>806.6666666666666</v>
      </c>
      <c r="I85" s="59">
        <f t="shared" si="39"/>
        <v>806.6666666666666</v>
      </c>
      <c r="J85" s="45">
        <v>2006</v>
      </c>
      <c r="K85" s="175">
        <f t="shared" si="40"/>
        <v>806.6666666666666</v>
      </c>
      <c r="L85" s="50" t="s">
        <v>107</v>
      </c>
      <c r="M85" s="54">
        <f>$M$68</f>
        <v>1</v>
      </c>
      <c r="N85" s="53">
        <f t="shared" si="43"/>
        <v>899</v>
      </c>
      <c r="O85" s="58">
        <f t="shared" si="41"/>
        <v>899</v>
      </c>
      <c r="P85" s="59">
        <f t="shared" si="44"/>
        <v>899</v>
      </c>
      <c r="Q85" s="36">
        <v>2006</v>
      </c>
      <c r="R85" s="175">
        <f t="shared" si="45"/>
        <v>899</v>
      </c>
      <c r="S85" s="45" t="s">
        <v>109</v>
      </c>
      <c r="T85" s="54">
        <v>1</v>
      </c>
      <c r="U85" s="53"/>
      <c r="V85" s="58"/>
      <c r="W85" s="59"/>
      <c r="X85" s="45"/>
      <c r="Y85" s="175"/>
      <c r="Z85" s="45" t="s">
        <v>108</v>
      </c>
      <c r="AA85" s="54">
        <v>1</v>
      </c>
      <c r="AH85" s="54"/>
      <c r="AW85" s="36"/>
    </row>
    <row r="86" spans="1:49" ht="12.75">
      <c r="A86" s="66"/>
      <c r="B86" s="367">
        <v>25</v>
      </c>
      <c r="C86" s="367">
        <v>50</v>
      </c>
      <c r="D86" s="505">
        <f t="shared" si="38"/>
        <v>852.8333333333333</v>
      </c>
      <c r="E86">
        <v>10</v>
      </c>
      <c r="F86">
        <v>10</v>
      </c>
      <c r="G86" s="53">
        <f t="shared" si="42"/>
        <v>806.6666666666666</v>
      </c>
      <c r="H86" s="58">
        <f>G86</f>
        <v>806.6666666666666</v>
      </c>
      <c r="I86" s="59">
        <f t="shared" si="39"/>
        <v>806.6666666666666</v>
      </c>
      <c r="J86" s="45">
        <v>2006</v>
      </c>
      <c r="K86" s="175">
        <f t="shared" si="40"/>
        <v>806.6666666666666</v>
      </c>
      <c r="L86" s="50" t="s">
        <v>107</v>
      </c>
      <c r="M86" s="54">
        <f>$M$68</f>
        <v>1</v>
      </c>
      <c r="N86" s="53">
        <f t="shared" si="43"/>
        <v>899</v>
      </c>
      <c r="O86" s="58">
        <f t="shared" si="41"/>
        <v>899</v>
      </c>
      <c r="P86" s="59">
        <f t="shared" si="44"/>
        <v>899</v>
      </c>
      <c r="Q86" s="36">
        <v>2006</v>
      </c>
      <c r="R86" s="175">
        <f t="shared" si="45"/>
        <v>899</v>
      </c>
      <c r="S86" s="45" t="s">
        <v>109</v>
      </c>
      <c r="T86" s="54">
        <v>1</v>
      </c>
      <c r="U86" s="53"/>
      <c r="V86" s="58"/>
      <c r="W86" s="59"/>
      <c r="X86" s="45"/>
      <c r="Y86" s="175"/>
      <c r="Z86" s="45" t="s">
        <v>108</v>
      </c>
      <c r="AA86" s="54">
        <v>1</v>
      </c>
      <c r="AH86" s="54"/>
      <c r="AW86" s="36"/>
    </row>
    <row r="87" spans="1:49" ht="12.75">
      <c r="A87" s="66"/>
      <c r="B87" s="367">
        <v>51</v>
      </c>
      <c r="C87" s="367">
        <v>100</v>
      </c>
      <c r="D87" s="505">
        <f t="shared" si="38"/>
        <v>852.8333333333333</v>
      </c>
      <c r="E87">
        <v>10</v>
      </c>
      <c r="F87">
        <v>10</v>
      </c>
      <c r="G87" s="53">
        <f t="shared" si="42"/>
        <v>806.6666666666666</v>
      </c>
      <c r="H87" s="58">
        <f>G87</f>
        <v>806.6666666666666</v>
      </c>
      <c r="I87" s="59">
        <f t="shared" si="39"/>
        <v>806.6666666666666</v>
      </c>
      <c r="J87" s="45">
        <v>2006</v>
      </c>
      <c r="K87" s="175">
        <f t="shared" si="40"/>
        <v>806.6666666666666</v>
      </c>
      <c r="L87" s="50" t="s">
        <v>107</v>
      </c>
      <c r="M87" s="54">
        <f>$M$68</f>
        <v>1</v>
      </c>
      <c r="N87" s="53">
        <f t="shared" si="43"/>
        <v>899</v>
      </c>
      <c r="O87" s="58">
        <f t="shared" si="41"/>
        <v>899</v>
      </c>
      <c r="P87" s="59">
        <f t="shared" si="44"/>
        <v>899</v>
      </c>
      <c r="Q87" s="36">
        <v>2006</v>
      </c>
      <c r="R87" s="175">
        <f t="shared" si="45"/>
        <v>899</v>
      </c>
      <c r="S87" s="45" t="s">
        <v>109</v>
      </c>
      <c r="T87" s="54">
        <v>1</v>
      </c>
      <c r="U87" s="53"/>
      <c r="V87" s="58"/>
      <c r="W87" s="59"/>
      <c r="X87" s="45"/>
      <c r="Y87" s="175"/>
      <c r="Z87" s="45" t="s">
        <v>108</v>
      </c>
      <c r="AA87" s="54">
        <v>1</v>
      </c>
      <c r="AH87" s="54"/>
      <c r="AW87" s="36"/>
    </row>
    <row r="88" spans="1:49" ht="12.75">
      <c r="A88" s="66"/>
      <c r="B88" s="367">
        <v>101</v>
      </c>
      <c r="C88" s="367">
        <v>500</v>
      </c>
      <c r="D88" s="505">
        <f t="shared" si="38"/>
        <v>852.8333333333333</v>
      </c>
      <c r="E88">
        <v>10</v>
      </c>
      <c r="F88">
        <v>10</v>
      </c>
      <c r="G88" s="53">
        <f t="shared" si="42"/>
        <v>806.6666666666666</v>
      </c>
      <c r="H88" s="58">
        <f>G88</f>
        <v>806.6666666666666</v>
      </c>
      <c r="I88" s="59">
        <f t="shared" si="39"/>
        <v>806.6666666666666</v>
      </c>
      <c r="J88" s="45">
        <v>2006</v>
      </c>
      <c r="K88" s="175">
        <f t="shared" si="40"/>
        <v>806.6666666666666</v>
      </c>
      <c r="L88" s="50" t="s">
        <v>107</v>
      </c>
      <c r="M88" s="54">
        <f>$M$68</f>
        <v>1</v>
      </c>
      <c r="N88" s="53">
        <f t="shared" si="43"/>
        <v>899</v>
      </c>
      <c r="O88" s="58">
        <f t="shared" si="41"/>
        <v>899</v>
      </c>
      <c r="P88" s="59">
        <f t="shared" si="44"/>
        <v>899</v>
      </c>
      <c r="Q88" s="36">
        <v>2006</v>
      </c>
      <c r="R88" s="175">
        <f t="shared" si="45"/>
        <v>899</v>
      </c>
      <c r="S88" s="45" t="s">
        <v>109</v>
      </c>
      <c r="T88" s="54">
        <v>1</v>
      </c>
      <c r="U88" s="53"/>
      <c r="V88" s="58"/>
      <c r="W88" s="59"/>
      <c r="X88" s="45"/>
      <c r="Y88" s="175"/>
      <c r="Z88" s="45" t="s">
        <v>108</v>
      </c>
      <c r="AA88" s="54">
        <v>1</v>
      </c>
      <c r="AH88" s="54"/>
      <c r="AW88" s="36"/>
    </row>
    <row r="89" spans="1:49" ht="12.75">
      <c r="A89" s="66"/>
      <c r="B89" s="367">
        <v>501</v>
      </c>
      <c r="C89" s="367">
        <v>1000</v>
      </c>
      <c r="D89" s="505">
        <f t="shared" si="38"/>
        <v>852.8333333333333</v>
      </c>
      <c r="E89">
        <v>10</v>
      </c>
      <c r="F89">
        <v>10</v>
      </c>
      <c r="G89" s="53">
        <f t="shared" si="42"/>
        <v>806.6666666666666</v>
      </c>
      <c r="H89" s="58">
        <f>G89</f>
        <v>806.6666666666666</v>
      </c>
      <c r="I89" s="59">
        <f t="shared" si="39"/>
        <v>806.6666666666666</v>
      </c>
      <c r="J89" s="45">
        <v>2006</v>
      </c>
      <c r="K89" s="175">
        <f t="shared" si="40"/>
        <v>806.6666666666666</v>
      </c>
      <c r="L89" s="50" t="s">
        <v>107</v>
      </c>
      <c r="M89" s="54">
        <f>$M$68</f>
        <v>1</v>
      </c>
      <c r="N89" s="53">
        <f t="shared" si="43"/>
        <v>899</v>
      </c>
      <c r="O89" s="58">
        <f t="shared" si="41"/>
        <v>899</v>
      </c>
      <c r="P89" s="59">
        <f t="shared" si="44"/>
        <v>899</v>
      </c>
      <c r="Q89" s="36">
        <v>2006</v>
      </c>
      <c r="R89" s="175">
        <f t="shared" si="45"/>
        <v>899</v>
      </c>
      <c r="S89" s="45" t="s">
        <v>109</v>
      </c>
      <c r="T89" s="54">
        <v>1</v>
      </c>
      <c r="U89" s="53"/>
      <c r="V89" s="58"/>
      <c r="W89" s="59"/>
      <c r="X89" s="45"/>
      <c r="Y89" s="175"/>
      <c r="Z89" s="45" t="s">
        <v>108</v>
      </c>
      <c r="AA89" s="54">
        <v>1</v>
      </c>
      <c r="AH89" s="54"/>
      <c r="AW89" s="36"/>
    </row>
    <row r="90" spans="1:47" s="36" customFormat="1" ht="12.75">
      <c r="A90" s="19"/>
      <c r="B90" s="77" t="s">
        <v>499</v>
      </c>
      <c r="D90" s="67"/>
      <c r="G90" s="68"/>
      <c r="H90" s="69"/>
      <c r="I90" s="69"/>
      <c r="J90" s="70"/>
      <c r="K90" s="70"/>
      <c r="L90" s="36" t="s">
        <v>108</v>
      </c>
      <c r="M90" s="71"/>
      <c r="N90" s="55"/>
      <c r="O90" s="69"/>
      <c r="P90" s="69"/>
      <c r="R90" s="69"/>
      <c r="S90" s="72" t="s">
        <v>108</v>
      </c>
      <c r="T90" s="71"/>
      <c r="U90" s="55"/>
      <c r="V90" s="56"/>
      <c r="W90" s="56"/>
      <c r="Z90" s="72" t="s">
        <v>108</v>
      </c>
      <c r="AA90" s="71"/>
      <c r="AG90" s="36" t="s">
        <v>108</v>
      </c>
      <c r="AH90" s="71"/>
      <c r="AN90" s="36" t="s">
        <v>108</v>
      </c>
      <c r="AU90" s="36" t="s">
        <v>108</v>
      </c>
    </row>
    <row r="91" spans="1:49" ht="12.75">
      <c r="A91" s="66" t="s">
        <v>498</v>
      </c>
      <c r="B91" s="385" t="s">
        <v>471</v>
      </c>
      <c r="C91" s="367"/>
      <c r="D91" s="505">
        <f>IF(AVERAGE(K91,R91,Y91,AF91,AM91,AT91)=0,"contact vendor",AVERAGE(K91,R91,Y91,AF91,AM91,AT91))</f>
        <v>77.5</v>
      </c>
      <c r="E91" t="s">
        <v>309</v>
      </c>
      <c r="F91" t="s">
        <v>309</v>
      </c>
      <c r="G91" s="53">
        <f>AVERAGE(70,70)</f>
        <v>70</v>
      </c>
      <c r="H91" s="58">
        <f>G91</f>
        <v>70</v>
      </c>
      <c r="I91" s="59">
        <f t="shared" si="39"/>
        <v>70</v>
      </c>
      <c r="J91" s="45">
        <v>2006</v>
      </c>
      <c r="K91" s="175">
        <f>I91*VLOOKUP(J91,cci_table,3,FALSE)</f>
        <v>70</v>
      </c>
      <c r="L91" s="463" t="s">
        <v>107</v>
      </c>
      <c r="M91" s="54">
        <v>1</v>
      </c>
      <c r="N91" s="53">
        <v>85</v>
      </c>
      <c r="O91" s="58">
        <f>N91</f>
        <v>85</v>
      </c>
      <c r="P91" s="59">
        <f>O91</f>
        <v>85</v>
      </c>
      <c r="Q91" s="45">
        <v>2006</v>
      </c>
      <c r="R91" s="175">
        <f>P91*VLOOKUP(Q91,cci_table,3,FALSE)</f>
        <v>85</v>
      </c>
      <c r="S91" s="463" t="s">
        <v>109</v>
      </c>
      <c r="T91" s="54">
        <v>1</v>
      </c>
      <c r="U91" s="53"/>
      <c r="V91" s="58"/>
      <c r="W91" s="59"/>
      <c r="X91" s="45"/>
      <c r="Y91" s="175"/>
      <c r="Z91" s="463" t="s">
        <v>108</v>
      </c>
      <c r="AA91" s="54">
        <v>1</v>
      </c>
      <c r="AH91" s="54"/>
      <c r="AW91" s="36"/>
    </row>
    <row r="92" spans="1:49" ht="12.75">
      <c r="A92" s="66"/>
      <c r="B92" s="385" t="s">
        <v>308</v>
      </c>
      <c r="C92" s="367"/>
      <c r="D92" s="505">
        <f>IF(AVERAGE(K92,R92,Y92,AF92,AM92,AT92)=0,"contact vendor",AVERAGE(K92,R92,Y92,AF92,AM92,AT92))</f>
        <v>47.08333333333333</v>
      </c>
      <c r="E92" t="s">
        <v>309</v>
      </c>
      <c r="F92" t="s">
        <v>309</v>
      </c>
      <c r="G92" s="53">
        <f>AVERAGE(50,50)</f>
        <v>50</v>
      </c>
      <c r="H92" s="58">
        <f>G92</f>
        <v>50</v>
      </c>
      <c r="I92" s="59">
        <f t="shared" si="39"/>
        <v>50</v>
      </c>
      <c r="J92" s="45">
        <v>2006</v>
      </c>
      <c r="K92" s="175">
        <f>I92*VLOOKUP(J92,cci_table,3,FALSE)</f>
        <v>50</v>
      </c>
      <c r="L92" s="463" t="s">
        <v>107</v>
      </c>
      <c r="M92" s="54">
        <v>1</v>
      </c>
      <c r="N92" s="53">
        <f>AVERAGE(41,43.5,48)</f>
        <v>44.166666666666664</v>
      </c>
      <c r="O92" s="58">
        <f>N92</f>
        <v>44.166666666666664</v>
      </c>
      <c r="P92" s="59">
        <f>O92</f>
        <v>44.166666666666664</v>
      </c>
      <c r="Q92" s="45">
        <v>2006</v>
      </c>
      <c r="R92" s="175">
        <f>P92*VLOOKUP(Q92,cci_table,3,FALSE)</f>
        <v>44.166666666666664</v>
      </c>
      <c r="S92" s="463" t="s">
        <v>109</v>
      </c>
      <c r="T92" s="54">
        <v>1</v>
      </c>
      <c r="U92" s="53"/>
      <c r="V92" s="58"/>
      <c r="W92" s="59"/>
      <c r="X92" s="45"/>
      <c r="Y92" s="175"/>
      <c r="Z92" s="463" t="s">
        <v>108</v>
      </c>
      <c r="AA92" s="54">
        <v>1</v>
      </c>
      <c r="AH92" s="54"/>
      <c r="AW92" s="36"/>
    </row>
    <row r="93" spans="1:49" ht="12.75">
      <c r="A93" s="66"/>
      <c r="C93" s="36"/>
      <c r="D93" s="67"/>
      <c r="E93" s="36"/>
      <c r="F93" s="36"/>
      <c r="G93" s="68"/>
      <c r="H93" s="69"/>
      <c r="I93" s="69"/>
      <c r="J93" s="70"/>
      <c r="K93" s="70"/>
      <c r="L93" s="36" t="s">
        <v>108</v>
      </c>
      <c r="M93" s="71"/>
      <c r="N93" s="68"/>
      <c r="O93" s="69"/>
      <c r="P93" s="69"/>
      <c r="Q93" s="36"/>
      <c r="R93" s="36"/>
      <c r="S93" s="36" t="s">
        <v>108</v>
      </c>
      <c r="T93" s="71"/>
      <c r="U93" s="55"/>
      <c r="V93" s="56"/>
      <c r="W93" s="56"/>
      <c r="X93" s="36"/>
      <c r="Y93" s="36"/>
      <c r="Z93" s="72" t="s">
        <v>108</v>
      </c>
      <c r="AA93" s="71"/>
      <c r="AB93" s="36"/>
      <c r="AC93" s="36"/>
      <c r="AD93" s="36"/>
      <c r="AE93" s="36"/>
      <c r="AF93" s="36"/>
      <c r="AG93" s="36" t="s">
        <v>108</v>
      </c>
      <c r="AH93" s="71"/>
      <c r="AI93" s="36"/>
      <c r="AJ93" s="36"/>
      <c r="AK93" s="36"/>
      <c r="AL93" s="36"/>
      <c r="AM93" s="36"/>
      <c r="AN93" s="36" t="s">
        <v>108</v>
      </c>
      <c r="AO93" s="36"/>
      <c r="AP93" s="36"/>
      <c r="AQ93" s="36"/>
      <c r="AR93" s="36"/>
      <c r="AU93" s="36" t="s">
        <v>108</v>
      </c>
      <c r="AW93" s="36"/>
    </row>
    <row r="94" spans="1:49" ht="12.75">
      <c r="A94" s="66"/>
      <c r="B94" s="4" t="s">
        <v>420</v>
      </c>
      <c r="D94" s="48"/>
      <c r="N94" s="9"/>
      <c r="O94" s="9"/>
      <c r="P94" s="9"/>
      <c r="S94" s="49" t="s">
        <v>108</v>
      </c>
      <c r="U94" s="9"/>
      <c r="AW94" s="36"/>
    </row>
    <row r="95" spans="1:49" ht="12.75">
      <c r="A95" s="66"/>
      <c r="B95" t="s">
        <v>371</v>
      </c>
      <c r="C95" t="s">
        <v>371</v>
      </c>
      <c r="D95" t="s">
        <v>356</v>
      </c>
      <c r="E95" t="s">
        <v>357</v>
      </c>
      <c r="F95" t="s">
        <v>358</v>
      </c>
      <c r="G95" t="s">
        <v>359</v>
      </c>
      <c r="H95" t="s">
        <v>360</v>
      </c>
      <c r="I95" t="s">
        <v>361</v>
      </c>
      <c r="J95" t="s">
        <v>362</v>
      </c>
      <c r="K95" t="s">
        <v>138</v>
      </c>
      <c r="L95" t="s">
        <v>363</v>
      </c>
      <c r="M95" s="50" t="s">
        <v>364</v>
      </c>
      <c r="N95" s="51" t="s">
        <v>365</v>
      </c>
      <c r="O95" s="51" t="s">
        <v>366</v>
      </c>
      <c r="P95" s="52" t="s">
        <v>367</v>
      </c>
      <c r="Q95" t="s">
        <v>369</v>
      </c>
      <c r="S95" s="52" t="s">
        <v>368</v>
      </c>
      <c r="T95" s="50" t="s">
        <v>364</v>
      </c>
      <c r="U95" s="51" t="s">
        <v>365</v>
      </c>
      <c r="V95" s="51" t="s">
        <v>366</v>
      </c>
      <c r="W95" s="52" t="s">
        <v>367</v>
      </c>
      <c r="X95" t="s">
        <v>369</v>
      </c>
      <c r="Z95" s="52" t="s">
        <v>368</v>
      </c>
      <c r="AA95" s="50" t="s">
        <v>364</v>
      </c>
      <c r="AB95" s="51" t="s">
        <v>365</v>
      </c>
      <c r="AC95" s="52" t="s">
        <v>366</v>
      </c>
      <c r="AD95" s="52" t="s">
        <v>367</v>
      </c>
      <c r="AE95" t="s">
        <v>369</v>
      </c>
      <c r="AG95" s="52" t="s">
        <v>368</v>
      </c>
      <c r="AH95" s="50" t="s">
        <v>364</v>
      </c>
      <c r="AI95" s="51" t="s">
        <v>365</v>
      </c>
      <c r="AJ95" s="51" t="s">
        <v>366</v>
      </c>
      <c r="AK95" s="52" t="s">
        <v>367</v>
      </c>
      <c r="AL95" t="s">
        <v>369</v>
      </c>
      <c r="AN95" s="52" t="s">
        <v>368</v>
      </c>
      <c r="AO95" s="51"/>
      <c r="AP95" s="51"/>
      <c r="AQ95" s="52"/>
      <c r="AR95" s="52"/>
      <c r="AW95" s="36"/>
    </row>
    <row r="96" spans="1:49" ht="12.75">
      <c r="A96" s="65" t="s">
        <v>377</v>
      </c>
      <c r="B96" s="367">
        <v>0</v>
      </c>
      <c r="C96" s="367">
        <v>4</v>
      </c>
      <c r="D96" s="505">
        <v>0</v>
      </c>
      <c r="E96">
        <v>10</v>
      </c>
      <c r="F96">
        <v>10</v>
      </c>
      <c r="G96" s="53"/>
      <c r="H96" s="58"/>
      <c r="I96" s="59"/>
      <c r="J96" s="45"/>
      <c r="K96" s="175"/>
      <c r="M96" s="54"/>
      <c r="N96" s="155"/>
      <c r="O96" s="58"/>
      <c r="P96" s="59"/>
      <c r="Q96" s="36"/>
      <c r="R96" s="175"/>
      <c r="T96" s="54"/>
      <c r="U96" s="154"/>
      <c r="V96" s="58"/>
      <c r="W96" s="59"/>
      <c r="Y96" s="175"/>
      <c r="Z96" s="52" t="s">
        <v>108</v>
      </c>
      <c r="AA96" s="54"/>
      <c r="AH96" s="54"/>
      <c r="AW96" s="36"/>
    </row>
    <row r="97" spans="1:49" ht="12.75">
      <c r="A97" s="65"/>
      <c r="B97" s="367">
        <v>5</v>
      </c>
      <c r="C97" s="367">
        <v>15</v>
      </c>
      <c r="D97" s="505">
        <v>0</v>
      </c>
      <c r="E97">
        <v>10</v>
      </c>
      <c r="F97">
        <v>10</v>
      </c>
      <c r="G97" s="53"/>
      <c r="H97" s="58"/>
      <c r="I97" s="59"/>
      <c r="J97" s="45"/>
      <c r="K97" s="175"/>
      <c r="M97" s="54"/>
      <c r="N97" s="155"/>
      <c r="O97" s="58"/>
      <c r="P97" s="59"/>
      <c r="Q97" s="36"/>
      <c r="R97" s="175"/>
      <c r="T97" s="54"/>
      <c r="U97" s="154"/>
      <c r="V97" s="58"/>
      <c r="W97" s="59"/>
      <c r="Y97" s="175"/>
      <c r="Z97" s="52" t="s">
        <v>108</v>
      </c>
      <c r="AA97" s="54"/>
      <c r="AH97" s="54"/>
      <c r="AW97" s="36"/>
    </row>
    <row r="98" spans="1:49" ht="12.75">
      <c r="A98" s="66"/>
      <c r="B98" s="367">
        <v>16</v>
      </c>
      <c r="C98" s="367">
        <v>24</v>
      </c>
      <c r="D98" s="505">
        <v>0</v>
      </c>
      <c r="E98">
        <v>10</v>
      </c>
      <c r="F98">
        <v>10</v>
      </c>
      <c r="G98" s="53"/>
      <c r="H98" s="58"/>
      <c r="I98" s="59"/>
      <c r="J98" s="45"/>
      <c r="K98" s="175"/>
      <c r="M98" s="54"/>
      <c r="N98" s="155"/>
      <c r="O98" s="58"/>
      <c r="P98" s="59"/>
      <c r="Q98" s="36"/>
      <c r="R98" s="175"/>
      <c r="T98" s="54"/>
      <c r="U98" s="154"/>
      <c r="V98" s="58"/>
      <c r="W98" s="59"/>
      <c r="Y98" s="175"/>
      <c r="Z98" s="52" t="s">
        <v>108</v>
      </c>
      <c r="AA98" s="54"/>
      <c r="AH98" s="54"/>
      <c r="AW98" s="36"/>
    </row>
    <row r="99" spans="1:49" ht="12.75">
      <c r="A99" s="66"/>
      <c r="B99" s="367">
        <v>25</v>
      </c>
      <c r="C99" s="367">
        <v>50</v>
      </c>
      <c r="D99" s="505">
        <v>0</v>
      </c>
      <c r="E99">
        <v>10</v>
      </c>
      <c r="F99">
        <v>10</v>
      </c>
      <c r="G99" s="53"/>
      <c r="H99" s="58"/>
      <c r="I99" s="59"/>
      <c r="J99" s="45"/>
      <c r="K99" s="175"/>
      <c r="M99" s="54"/>
      <c r="N99" s="155"/>
      <c r="O99" s="58"/>
      <c r="P99" s="59"/>
      <c r="Q99" s="36"/>
      <c r="R99" s="175"/>
      <c r="T99" s="54"/>
      <c r="U99" s="154"/>
      <c r="V99" s="58"/>
      <c r="W99" s="59"/>
      <c r="Y99" s="175"/>
      <c r="Z99" s="52" t="s">
        <v>108</v>
      </c>
      <c r="AA99" s="54"/>
      <c r="AH99" s="54"/>
      <c r="AW99" s="36"/>
    </row>
    <row r="100" spans="1:49" ht="12.75">
      <c r="A100" s="66"/>
      <c r="B100" s="367">
        <v>51</v>
      </c>
      <c r="C100" s="367">
        <v>100</v>
      </c>
      <c r="D100" s="505">
        <v>0</v>
      </c>
      <c r="E100">
        <v>10</v>
      </c>
      <c r="F100">
        <v>10</v>
      </c>
      <c r="G100" s="53"/>
      <c r="H100" s="58"/>
      <c r="I100" s="59"/>
      <c r="J100" s="45"/>
      <c r="K100" s="175"/>
      <c r="M100" s="54"/>
      <c r="N100" s="155"/>
      <c r="O100" s="58"/>
      <c r="P100" s="59"/>
      <c r="Q100" s="36"/>
      <c r="R100" s="175"/>
      <c r="T100" s="54"/>
      <c r="U100" s="154"/>
      <c r="V100" s="58"/>
      <c r="W100" s="59"/>
      <c r="Y100" s="175"/>
      <c r="Z100" s="52" t="s">
        <v>108</v>
      </c>
      <c r="AA100" s="54"/>
      <c r="AH100" s="54"/>
      <c r="AW100" s="36"/>
    </row>
    <row r="101" spans="1:49" ht="12.75">
      <c r="A101" s="66"/>
      <c r="B101" s="367">
        <v>101</v>
      </c>
      <c r="C101" s="367">
        <v>500</v>
      </c>
      <c r="D101" s="505">
        <v>0</v>
      </c>
      <c r="E101">
        <v>10</v>
      </c>
      <c r="F101">
        <v>10</v>
      </c>
      <c r="G101" s="53"/>
      <c r="H101" s="58"/>
      <c r="I101" s="59"/>
      <c r="J101" s="45"/>
      <c r="K101" s="175"/>
      <c r="M101" s="54"/>
      <c r="N101" s="155"/>
      <c r="O101" s="58"/>
      <c r="P101" s="59"/>
      <c r="Q101" s="36"/>
      <c r="R101" s="175"/>
      <c r="T101" s="54"/>
      <c r="U101" s="154"/>
      <c r="V101" s="58"/>
      <c r="W101" s="59"/>
      <c r="Y101" s="175"/>
      <c r="Z101" s="52" t="s">
        <v>108</v>
      </c>
      <c r="AA101" s="54"/>
      <c r="AH101" s="54"/>
      <c r="AW101" s="36"/>
    </row>
    <row r="102" spans="1:49" ht="12.75">
      <c r="A102" s="66"/>
      <c r="B102" s="367">
        <v>501</v>
      </c>
      <c r="C102" s="367">
        <v>1000</v>
      </c>
      <c r="D102" s="505">
        <v>0</v>
      </c>
      <c r="E102">
        <v>10</v>
      </c>
      <c r="F102">
        <v>10</v>
      </c>
      <c r="G102" s="53"/>
      <c r="H102" s="58"/>
      <c r="I102" s="59"/>
      <c r="J102" s="45"/>
      <c r="K102" s="175"/>
      <c r="M102" s="54"/>
      <c r="N102" s="155"/>
      <c r="O102" s="58"/>
      <c r="P102" s="59"/>
      <c r="Q102" s="36"/>
      <c r="R102" s="175"/>
      <c r="T102" s="54"/>
      <c r="U102" s="154"/>
      <c r="V102" s="58"/>
      <c r="W102" s="59"/>
      <c r="Y102" s="175"/>
      <c r="Z102" s="52" t="s">
        <v>108</v>
      </c>
      <c r="AA102" s="54"/>
      <c r="AH102" s="54"/>
      <c r="AW102" s="36"/>
    </row>
    <row r="103" spans="2:49" ht="12.75">
      <c r="B103" s="4" t="s">
        <v>503</v>
      </c>
      <c r="C103" s="36"/>
      <c r="D103" s="67"/>
      <c r="E103" s="36"/>
      <c r="F103" s="36"/>
      <c r="G103" s="68"/>
      <c r="H103" s="69"/>
      <c r="I103" s="69"/>
      <c r="J103" s="70"/>
      <c r="K103" s="70"/>
      <c r="L103" s="36" t="s">
        <v>108</v>
      </c>
      <c r="M103" s="71"/>
      <c r="N103" s="68"/>
      <c r="O103" s="69"/>
      <c r="P103" s="69"/>
      <c r="Q103" s="36"/>
      <c r="R103" s="36"/>
      <c r="S103" s="36" t="s">
        <v>108</v>
      </c>
      <c r="T103" s="71"/>
      <c r="U103" s="55"/>
      <c r="V103" s="56"/>
      <c r="W103" s="56"/>
      <c r="X103" s="36"/>
      <c r="Y103" s="36"/>
      <c r="Z103" s="72" t="s">
        <v>108</v>
      </c>
      <c r="AA103" s="71"/>
      <c r="AB103" s="36"/>
      <c r="AC103" s="36"/>
      <c r="AD103" s="36"/>
      <c r="AE103" s="36"/>
      <c r="AF103" s="36"/>
      <c r="AG103" s="36" t="s">
        <v>108</v>
      </c>
      <c r="AH103" s="71"/>
      <c r="AI103" s="36"/>
      <c r="AJ103" s="36"/>
      <c r="AK103" s="36"/>
      <c r="AL103" s="36"/>
      <c r="AM103" s="36"/>
      <c r="AN103" s="36" t="s">
        <v>108</v>
      </c>
      <c r="AO103" s="36"/>
      <c r="AP103" s="36"/>
      <c r="AQ103" s="36"/>
      <c r="AR103" s="36"/>
      <c r="AU103" s="36" t="s">
        <v>108</v>
      </c>
      <c r="AW103" s="36"/>
    </row>
    <row r="104" spans="1:49" ht="12.75">
      <c r="A104" s="66" t="s">
        <v>490</v>
      </c>
      <c r="B104" s="385" t="s">
        <v>468</v>
      </c>
      <c r="C104" s="498"/>
      <c r="D104" s="505">
        <v>0</v>
      </c>
      <c r="E104" t="s">
        <v>309</v>
      </c>
      <c r="F104" t="s">
        <v>309</v>
      </c>
      <c r="G104" s="53"/>
      <c r="H104" s="58"/>
      <c r="I104" s="59"/>
      <c r="J104" s="45"/>
      <c r="K104" s="175"/>
      <c r="M104" s="54"/>
      <c r="N104" s="155"/>
      <c r="O104" s="58"/>
      <c r="P104" s="59"/>
      <c r="Q104" s="36"/>
      <c r="R104" s="175"/>
      <c r="T104" s="54"/>
      <c r="U104" s="154"/>
      <c r="V104" s="58"/>
      <c r="W104" s="59"/>
      <c r="Y104" s="175"/>
      <c r="Z104" s="52" t="s">
        <v>108</v>
      </c>
      <c r="AA104" s="54"/>
      <c r="AB104" s="36"/>
      <c r="AC104" s="36"/>
      <c r="AD104" s="36"/>
      <c r="AE104" s="36"/>
      <c r="AF104" s="36"/>
      <c r="AG104" s="36" t="s">
        <v>108</v>
      </c>
      <c r="AH104" s="54"/>
      <c r="AI104" s="36"/>
      <c r="AJ104" s="36"/>
      <c r="AK104" s="36"/>
      <c r="AL104" s="36"/>
      <c r="AM104" s="36"/>
      <c r="AN104" s="36" t="s">
        <v>108</v>
      </c>
      <c r="AO104" s="36"/>
      <c r="AP104" s="36"/>
      <c r="AQ104" s="36"/>
      <c r="AR104" s="36"/>
      <c r="AU104" s="36" t="s">
        <v>108</v>
      </c>
      <c r="AW104" s="36"/>
    </row>
    <row r="105" spans="1:49" ht="12.75">
      <c r="A105" s="65"/>
      <c r="C105" s="36"/>
      <c r="D105" s="48"/>
      <c r="G105" s="68"/>
      <c r="H105" s="69"/>
      <c r="I105" s="69"/>
      <c r="J105" s="45"/>
      <c r="K105" s="45"/>
      <c r="M105" s="54"/>
      <c r="N105" s="155"/>
      <c r="O105" s="58"/>
      <c r="P105" s="59"/>
      <c r="Q105" s="36"/>
      <c r="R105" s="175"/>
      <c r="T105" s="54"/>
      <c r="U105" s="154"/>
      <c r="V105" s="58"/>
      <c r="W105" s="59"/>
      <c r="Y105" s="175"/>
      <c r="Z105" s="52" t="s">
        <v>108</v>
      </c>
      <c r="AA105" s="54"/>
      <c r="AH105" s="54"/>
      <c r="AW105" s="36"/>
    </row>
    <row r="106" spans="1:49" ht="12.75">
      <c r="A106" s="66"/>
      <c r="B106" s="4" t="s">
        <v>421</v>
      </c>
      <c r="D106" s="48"/>
      <c r="N106" s="9"/>
      <c r="O106" s="9"/>
      <c r="P106" s="9"/>
      <c r="S106" s="49" t="s">
        <v>108</v>
      </c>
      <c r="U106" s="9"/>
      <c r="AW106" s="36"/>
    </row>
    <row r="107" spans="1:49" ht="12.75">
      <c r="A107" s="66"/>
      <c r="B107" t="s">
        <v>371</v>
      </c>
      <c r="C107" t="s">
        <v>371</v>
      </c>
      <c r="D107" t="s">
        <v>356</v>
      </c>
      <c r="E107" t="s">
        <v>357</v>
      </c>
      <c r="F107" t="s">
        <v>358</v>
      </c>
      <c r="G107" t="s">
        <v>359</v>
      </c>
      <c r="H107" t="s">
        <v>360</v>
      </c>
      <c r="I107" t="s">
        <v>361</v>
      </c>
      <c r="J107" t="s">
        <v>362</v>
      </c>
      <c r="K107" t="s">
        <v>138</v>
      </c>
      <c r="L107" t="s">
        <v>363</v>
      </c>
      <c r="M107" s="50" t="s">
        <v>364</v>
      </c>
      <c r="N107" s="51" t="s">
        <v>365</v>
      </c>
      <c r="O107" s="51" t="s">
        <v>366</v>
      </c>
      <c r="P107" s="52" t="s">
        <v>367</v>
      </c>
      <c r="Q107" t="s">
        <v>369</v>
      </c>
      <c r="S107" s="52" t="s">
        <v>368</v>
      </c>
      <c r="T107" s="50" t="s">
        <v>364</v>
      </c>
      <c r="U107" s="51" t="s">
        <v>365</v>
      </c>
      <c r="V107" s="51" t="s">
        <v>366</v>
      </c>
      <c r="W107" s="52" t="s">
        <v>367</v>
      </c>
      <c r="X107" t="s">
        <v>369</v>
      </c>
      <c r="Z107" s="52" t="s">
        <v>368</v>
      </c>
      <c r="AA107" s="50" t="s">
        <v>364</v>
      </c>
      <c r="AB107" s="51" t="s">
        <v>365</v>
      </c>
      <c r="AC107" s="52" t="s">
        <v>366</v>
      </c>
      <c r="AD107" s="52" t="s">
        <v>367</v>
      </c>
      <c r="AE107" t="s">
        <v>369</v>
      </c>
      <c r="AG107" s="52" t="s">
        <v>368</v>
      </c>
      <c r="AH107" s="50" t="s">
        <v>364</v>
      </c>
      <c r="AI107" s="51" t="s">
        <v>365</v>
      </c>
      <c r="AJ107" s="51" t="s">
        <v>366</v>
      </c>
      <c r="AK107" s="52" t="s">
        <v>367</v>
      </c>
      <c r="AL107" t="s">
        <v>369</v>
      </c>
      <c r="AN107" s="52" t="s">
        <v>368</v>
      </c>
      <c r="AO107" s="51"/>
      <c r="AP107" s="51"/>
      <c r="AQ107" s="52"/>
      <c r="AR107" s="52"/>
      <c r="AW107" s="36"/>
    </row>
    <row r="108" spans="1:49" ht="12.75">
      <c r="A108" s="65" t="s">
        <v>378</v>
      </c>
      <c r="B108" s="367">
        <v>0</v>
      </c>
      <c r="C108" s="367">
        <v>4</v>
      </c>
      <c r="D108" s="505">
        <v>0</v>
      </c>
      <c r="E108">
        <v>10</v>
      </c>
      <c r="F108">
        <v>10</v>
      </c>
      <c r="G108" s="53"/>
      <c r="H108" s="58"/>
      <c r="I108" s="59"/>
      <c r="J108" s="45"/>
      <c r="K108" s="175"/>
      <c r="M108" s="54"/>
      <c r="N108" s="155"/>
      <c r="O108" s="58"/>
      <c r="P108" s="59"/>
      <c r="Q108" s="36"/>
      <c r="R108" s="175"/>
      <c r="T108" s="54"/>
      <c r="U108" s="53"/>
      <c r="V108" s="58"/>
      <c r="W108" s="59"/>
      <c r="Y108" s="175"/>
      <c r="AA108" s="54"/>
      <c r="AH108" s="54"/>
      <c r="AW108" s="36"/>
    </row>
    <row r="109" spans="1:49" ht="12.75">
      <c r="A109" s="65"/>
      <c r="B109" s="367">
        <v>5</v>
      </c>
      <c r="C109" s="367">
        <v>15</v>
      </c>
      <c r="D109" s="505">
        <v>0</v>
      </c>
      <c r="E109">
        <v>10</v>
      </c>
      <c r="F109">
        <v>10</v>
      </c>
      <c r="G109" s="53"/>
      <c r="H109" s="58"/>
      <c r="I109" s="59"/>
      <c r="J109" s="45"/>
      <c r="K109" s="175"/>
      <c r="M109" s="54"/>
      <c r="N109" s="155"/>
      <c r="O109" s="58"/>
      <c r="P109" s="59"/>
      <c r="Q109" s="36"/>
      <c r="R109" s="175"/>
      <c r="T109" s="54"/>
      <c r="U109" s="53"/>
      <c r="V109" s="58"/>
      <c r="W109" s="59"/>
      <c r="Y109" s="175"/>
      <c r="AA109" s="54"/>
      <c r="AH109" s="54"/>
      <c r="AW109" s="36"/>
    </row>
    <row r="110" spans="1:49" ht="12.75">
      <c r="A110" s="66"/>
      <c r="B110" s="367">
        <v>16</v>
      </c>
      <c r="C110" s="367">
        <v>24</v>
      </c>
      <c r="D110" s="505">
        <v>0</v>
      </c>
      <c r="E110">
        <v>10</v>
      </c>
      <c r="F110">
        <v>10</v>
      </c>
      <c r="G110" s="53"/>
      <c r="H110" s="58"/>
      <c r="I110" s="59"/>
      <c r="J110" s="45"/>
      <c r="K110" s="175"/>
      <c r="M110" s="54"/>
      <c r="N110" s="155"/>
      <c r="O110" s="58"/>
      <c r="P110" s="59"/>
      <c r="Q110" s="36"/>
      <c r="R110" s="175"/>
      <c r="T110" s="54"/>
      <c r="U110" s="53"/>
      <c r="V110" s="58"/>
      <c r="W110" s="59"/>
      <c r="Y110" s="175"/>
      <c r="AA110" s="54"/>
      <c r="AH110" s="54"/>
      <c r="AW110" s="36"/>
    </row>
    <row r="111" spans="1:49" ht="12.75">
      <c r="A111" s="66"/>
      <c r="B111" s="367">
        <v>25</v>
      </c>
      <c r="C111" s="367">
        <v>50</v>
      </c>
      <c r="D111" s="505">
        <v>0</v>
      </c>
      <c r="E111">
        <v>10</v>
      </c>
      <c r="F111">
        <v>10</v>
      </c>
      <c r="G111" s="53"/>
      <c r="H111" s="58"/>
      <c r="I111" s="59"/>
      <c r="J111" s="45"/>
      <c r="K111" s="175"/>
      <c r="M111" s="54"/>
      <c r="N111" s="155"/>
      <c r="O111" s="58"/>
      <c r="P111" s="59"/>
      <c r="Q111" s="36"/>
      <c r="R111" s="175"/>
      <c r="T111" s="54"/>
      <c r="U111" s="53"/>
      <c r="V111" s="58"/>
      <c r="W111" s="59"/>
      <c r="Y111" s="175"/>
      <c r="AA111" s="54"/>
      <c r="AH111" s="54"/>
      <c r="AW111" s="36"/>
    </row>
    <row r="112" spans="1:49" ht="12.75">
      <c r="A112" s="66"/>
      <c r="B112" s="367">
        <v>51</v>
      </c>
      <c r="C112" s="367">
        <v>100</v>
      </c>
      <c r="D112" s="505">
        <v>0</v>
      </c>
      <c r="E112">
        <v>10</v>
      </c>
      <c r="F112">
        <v>10</v>
      </c>
      <c r="G112" s="53"/>
      <c r="H112" s="58"/>
      <c r="I112" s="59"/>
      <c r="J112" s="45"/>
      <c r="K112" s="175"/>
      <c r="M112" s="54"/>
      <c r="N112" s="155"/>
      <c r="O112" s="58"/>
      <c r="P112" s="59"/>
      <c r="Q112" s="36"/>
      <c r="R112" s="175"/>
      <c r="T112" s="54"/>
      <c r="U112" s="53"/>
      <c r="V112" s="58"/>
      <c r="W112" s="59"/>
      <c r="Y112" s="175"/>
      <c r="AA112" s="54"/>
      <c r="AH112" s="54"/>
      <c r="AW112" s="36"/>
    </row>
    <row r="113" spans="1:49" ht="12.75">
      <c r="A113" s="66"/>
      <c r="B113" s="367">
        <v>101</v>
      </c>
      <c r="C113" s="367">
        <v>500</v>
      </c>
      <c r="D113" s="505">
        <v>0</v>
      </c>
      <c r="E113">
        <v>10</v>
      </c>
      <c r="F113">
        <v>10</v>
      </c>
      <c r="G113" s="53"/>
      <c r="H113" s="58"/>
      <c r="I113" s="59"/>
      <c r="J113" s="45"/>
      <c r="K113" s="175"/>
      <c r="M113" s="54"/>
      <c r="N113" s="155"/>
      <c r="O113" s="58"/>
      <c r="P113" s="59"/>
      <c r="Q113" s="36"/>
      <c r="R113" s="175"/>
      <c r="T113" s="54"/>
      <c r="U113" s="53"/>
      <c r="V113" s="58"/>
      <c r="W113" s="59"/>
      <c r="Y113" s="175"/>
      <c r="AA113" s="54"/>
      <c r="AH113" s="54"/>
      <c r="AW113" s="36"/>
    </row>
    <row r="114" spans="1:49" ht="12.75">
      <c r="A114" s="66"/>
      <c r="B114" s="367">
        <v>501</v>
      </c>
      <c r="C114" s="367">
        <v>1000</v>
      </c>
      <c r="D114" s="505">
        <v>0</v>
      </c>
      <c r="E114">
        <v>10</v>
      </c>
      <c r="F114">
        <v>10</v>
      </c>
      <c r="G114" s="53"/>
      <c r="H114" s="58"/>
      <c r="I114" s="59"/>
      <c r="J114" s="45"/>
      <c r="K114" s="175"/>
      <c r="M114" s="54"/>
      <c r="N114" s="155"/>
      <c r="O114" s="58"/>
      <c r="P114" s="59"/>
      <c r="Q114" s="36"/>
      <c r="R114" s="175"/>
      <c r="T114" s="54"/>
      <c r="U114" s="53"/>
      <c r="V114" s="58"/>
      <c r="W114" s="59"/>
      <c r="Y114" s="175"/>
      <c r="AA114" s="54"/>
      <c r="AH114" s="54"/>
      <c r="AW114" s="36"/>
    </row>
    <row r="115" spans="2:49" ht="12.75">
      <c r="B115" s="4" t="s">
        <v>522</v>
      </c>
      <c r="C115" s="36"/>
      <c r="D115" s="67"/>
      <c r="E115" s="36"/>
      <c r="F115" s="36"/>
      <c r="G115" s="68"/>
      <c r="H115" s="69"/>
      <c r="I115" s="69"/>
      <c r="J115" s="70"/>
      <c r="K115" s="70"/>
      <c r="L115" s="36" t="s">
        <v>108</v>
      </c>
      <c r="M115" s="71"/>
      <c r="N115" s="68"/>
      <c r="O115" s="69"/>
      <c r="P115" s="69"/>
      <c r="Q115" s="36"/>
      <c r="R115" s="36"/>
      <c r="S115" s="36" t="s">
        <v>108</v>
      </c>
      <c r="T115" s="71"/>
      <c r="U115" s="55"/>
      <c r="V115" s="56"/>
      <c r="W115" s="56"/>
      <c r="X115" s="36"/>
      <c r="Y115" s="36"/>
      <c r="Z115" s="72" t="s">
        <v>108</v>
      </c>
      <c r="AA115" s="71"/>
      <c r="AB115" s="36"/>
      <c r="AC115" s="36"/>
      <c r="AD115" s="36"/>
      <c r="AE115" s="36"/>
      <c r="AF115" s="36"/>
      <c r="AG115" s="36" t="s">
        <v>108</v>
      </c>
      <c r="AH115" s="71"/>
      <c r="AI115" s="36"/>
      <c r="AJ115" s="36"/>
      <c r="AK115" s="36"/>
      <c r="AL115" s="36"/>
      <c r="AM115" s="36"/>
      <c r="AN115" s="36" t="s">
        <v>108</v>
      </c>
      <c r="AO115" s="36"/>
      <c r="AP115" s="36"/>
      <c r="AQ115" s="36"/>
      <c r="AR115" s="36"/>
      <c r="AU115" s="36" t="s">
        <v>108</v>
      </c>
      <c r="AW115" s="36"/>
    </row>
    <row r="116" spans="1:49" ht="12.75">
      <c r="A116" s="66" t="s">
        <v>491</v>
      </c>
      <c r="B116" s="385" t="s">
        <v>468</v>
      </c>
      <c r="C116" s="498"/>
      <c r="D116" s="505">
        <v>0</v>
      </c>
      <c r="E116" t="s">
        <v>309</v>
      </c>
      <c r="F116" t="s">
        <v>309</v>
      </c>
      <c r="G116" s="53"/>
      <c r="H116" s="58"/>
      <c r="I116" s="59"/>
      <c r="J116" s="45"/>
      <c r="K116" s="175"/>
      <c r="M116" s="54"/>
      <c r="N116" s="155"/>
      <c r="O116" s="58"/>
      <c r="P116" s="59"/>
      <c r="Q116" s="36"/>
      <c r="R116" s="175"/>
      <c r="T116" s="54"/>
      <c r="U116" s="53"/>
      <c r="V116" s="58"/>
      <c r="W116" s="59"/>
      <c r="Y116" s="175"/>
      <c r="AA116" s="54"/>
      <c r="AB116" s="36"/>
      <c r="AC116" s="36"/>
      <c r="AD116" s="36"/>
      <c r="AE116" s="36"/>
      <c r="AF116" s="36"/>
      <c r="AG116" s="36" t="s">
        <v>108</v>
      </c>
      <c r="AH116" s="54"/>
      <c r="AI116" s="36"/>
      <c r="AJ116" s="36"/>
      <c r="AK116" s="36"/>
      <c r="AL116" s="36"/>
      <c r="AM116" s="36"/>
      <c r="AN116" s="36" t="s">
        <v>108</v>
      </c>
      <c r="AO116" s="36"/>
      <c r="AP116" s="36"/>
      <c r="AQ116" s="36"/>
      <c r="AR116" s="36"/>
      <c r="AU116" s="36" t="s">
        <v>108</v>
      </c>
      <c r="AW116" s="36"/>
    </row>
    <row r="117" spans="1:49" ht="12.75">
      <c r="A117" s="65"/>
      <c r="C117" s="36"/>
      <c r="D117" s="48"/>
      <c r="G117" s="68"/>
      <c r="H117" s="69"/>
      <c r="I117" s="69"/>
      <c r="J117" s="45"/>
      <c r="K117" s="45"/>
      <c r="M117" s="54"/>
      <c r="N117" s="155"/>
      <c r="O117" s="58"/>
      <c r="P117" s="59"/>
      <c r="Q117" s="36"/>
      <c r="R117" s="175"/>
      <c r="T117" s="54"/>
      <c r="U117" s="53"/>
      <c r="V117" s="58"/>
      <c r="W117" s="59"/>
      <c r="Y117" s="175"/>
      <c r="AA117" s="54"/>
      <c r="AH117" s="54"/>
      <c r="AW117" s="36"/>
    </row>
    <row r="118" spans="1:49" ht="12.75">
      <c r="A118" s="66"/>
      <c r="B118" s="4" t="s">
        <v>422</v>
      </c>
      <c r="D118" s="48"/>
      <c r="G118" s="360"/>
      <c r="N118" s="9"/>
      <c r="O118" s="9"/>
      <c r="P118" s="9"/>
      <c r="S118" s="49" t="s">
        <v>108</v>
      </c>
      <c r="U118" s="9"/>
      <c r="AW118" s="36"/>
    </row>
    <row r="119" spans="1:49" ht="12.75">
      <c r="A119" s="23"/>
      <c r="B119" t="s">
        <v>371</v>
      </c>
      <c r="C119" t="s">
        <v>371</v>
      </c>
      <c r="D119" s="176" t="s">
        <v>356</v>
      </c>
      <c r="E119" t="s">
        <v>357</v>
      </c>
      <c r="F119" t="s">
        <v>358</v>
      </c>
      <c r="G119" t="s">
        <v>359</v>
      </c>
      <c r="H119" t="s">
        <v>360</v>
      </c>
      <c r="I119" t="s">
        <v>361</v>
      </c>
      <c r="J119" t="s">
        <v>362</v>
      </c>
      <c r="L119" t="s">
        <v>363</v>
      </c>
      <c r="M119" s="50" t="s">
        <v>364</v>
      </c>
      <c r="N119" s="51" t="s">
        <v>365</v>
      </c>
      <c r="O119" s="51" t="s">
        <v>366</v>
      </c>
      <c r="P119" s="52" t="s">
        <v>367</v>
      </c>
      <c r="Q119" t="s">
        <v>369</v>
      </c>
      <c r="S119" s="52" t="s">
        <v>368</v>
      </c>
      <c r="T119" s="50" t="s">
        <v>364</v>
      </c>
      <c r="U119" s="51" t="s">
        <v>365</v>
      </c>
      <c r="V119" s="51" t="s">
        <v>366</v>
      </c>
      <c r="W119" s="52" t="s">
        <v>367</v>
      </c>
      <c r="X119" t="s">
        <v>369</v>
      </c>
      <c r="Z119" s="52" t="s">
        <v>368</v>
      </c>
      <c r="AA119" s="50" t="s">
        <v>364</v>
      </c>
      <c r="AB119" s="51" t="s">
        <v>365</v>
      </c>
      <c r="AC119" s="52" t="s">
        <v>366</v>
      </c>
      <c r="AD119" s="52" t="s">
        <v>367</v>
      </c>
      <c r="AE119" t="s">
        <v>369</v>
      </c>
      <c r="AG119" s="52" t="s">
        <v>368</v>
      </c>
      <c r="AH119" s="50" t="s">
        <v>364</v>
      </c>
      <c r="AI119" s="51" t="s">
        <v>365</v>
      </c>
      <c r="AJ119" s="51" t="s">
        <v>366</v>
      </c>
      <c r="AK119" s="52" t="s">
        <v>367</v>
      </c>
      <c r="AL119" t="s">
        <v>369</v>
      </c>
      <c r="AN119" s="52" t="s">
        <v>368</v>
      </c>
      <c r="AO119" s="51"/>
      <c r="AP119" s="51"/>
      <c r="AQ119" s="52"/>
      <c r="AR119" s="52"/>
      <c r="AW119" s="36"/>
    </row>
    <row r="120" spans="1:49" ht="12.75">
      <c r="A120" s="65" t="s">
        <v>379</v>
      </c>
      <c r="B120" s="367">
        <v>0</v>
      </c>
      <c r="C120" s="367">
        <v>4</v>
      </c>
      <c r="D120" s="505">
        <f aca="true" t="shared" si="46" ref="D120:D126">IF(AVERAGE(K120,R120,Y120,AF120,AM120,AT120)=0,"contact vendor",AVERAGE(K120,R120,Y120,AF120,AM120,AT120))</f>
        <v>1191.6641666666667</v>
      </c>
      <c r="E120">
        <v>10</v>
      </c>
      <c r="F120">
        <v>10</v>
      </c>
      <c r="G120" s="53">
        <v>2395</v>
      </c>
      <c r="H120" s="58">
        <f aca="true" t="shared" si="47" ref="H120:H126">G120*M120</f>
        <v>2395</v>
      </c>
      <c r="I120" s="59">
        <f>H120</f>
        <v>2395</v>
      </c>
      <c r="J120">
        <v>2006</v>
      </c>
      <c r="K120" s="175">
        <f aca="true" t="shared" si="48" ref="K120:K126">I120*VLOOKUP(J120,cci_table,3,FALSE)</f>
        <v>2395</v>
      </c>
      <c r="L120" t="s">
        <v>107</v>
      </c>
      <c r="M120" s="54">
        <v>1</v>
      </c>
      <c r="N120" s="53">
        <v>1039</v>
      </c>
      <c r="O120" s="58">
        <f aca="true" t="shared" si="49" ref="O120:O126">N120*T120</f>
        <v>1039</v>
      </c>
      <c r="P120" s="59">
        <f>O120</f>
        <v>1039</v>
      </c>
      <c r="Q120">
        <v>2006</v>
      </c>
      <c r="R120" s="175">
        <f>P120*VLOOKUP(Q120,cci_table,3,FALSE)</f>
        <v>1039</v>
      </c>
      <c r="S120" t="s">
        <v>109</v>
      </c>
      <c r="T120" s="54">
        <v>1</v>
      </c>
      <c r="U120" s="53">
        <f>AVERAGE(449,549,600)</f>
        <v>532.6666666666666</v>
      </c>
      <c r="V120" s="58">
        <f aca="true" t="shared" si="50" ref="V120:V126">U120*AA120</f>
        <v>532.6666666666666</v>
      </c>
      <c r="W120" s="59">
        <f>V120</f>
        <v>532.6666666666666</v>
      </c>
      <c r="X120">
        <v>2006</v>
      </c>
      <c r="Y120" s="175">
        <f aca="true" t="shared" si="51" ref="Y120:Y126">W120*VLOOKUP(X120,cci_table,3,FALSE)</f>
        <v>532.6666666666666</v>
      </c>
      <c r="Z120" s="45" t="s">
        <v>110</v>
      </c>
      <c r="AA120" s="54">
        <v>1</v>
      </c>
      <c r="AB120" s="53">
        <v>799.99</v>
      </c>
      <c r="AC120" s="58">
        <f aca="true" t="shared" si="52" ref="AC120:AC126">AB120*AH120</f>
        <v>799.99</v>
      </c>
      <c r="AD120" s="59">
        <f>AC120</f>
        <v>799.99</v>
      </c>
      <c r="AE120">
        <v>2006</v>
      </c>
      <c r="AF120" s="175">
        <f aca="true" t="shared" si="53" ref="AF120:AF126">AD120*VLOOKUP(AE120,cci_table,3,FALSE)</f>
        <v>799.99</v>
      </c>
      <c r="AG120" s="45" t="s">
        <v>111</v>
      </c>
      <c r="AH120" s="54">
        <v>1</v>
      </c>
      <c r="AW120" s="36"/>
    </row>
    <row r="121" spans="1:49" ht="12.75">
      <c r="A121" s="65"/>
      <c r="B121" s="367">
        <v>5</v>
      </c>
      <c r="C121" s="367">
        <v>15</v>
      </c>
      <c r="D121" s="505">
        <f t="shared" si="46"/>
        <v>1069.1641666666667</v>
      </c>
      <c r="E121">
        <v>10</v>
      </c>
      <c r="F121">
        <v>10</v>
      </c>
      <c r="G121" s="53">
        <v>1905</v>
      </c>
      <c r="H121" s="58">
        <f t="shared" si="47"/>
        <v>1905</v>
      </c>
      <c r="I121" s="59">
        <f aca="true" t="shared" si="54" ref="I121:I126">H121</f>
        <v>1905</v>
      </c>
      <c r="J121">
        <v>2006</v>
      </c>
      <c r="K121" s="175">
        <f t="shared" si="48"/>
        <v>1905</v>
      </c>
      <c r="L121" t="s">
        <v>107</v>
      </c>
      <c r="M121" s="54">
        <v>1</v>
      </c>
      <c r="N121" s="53">
        <v>1039</v>
      </c>
      <c r="O121" s="58">
        <f t="shared" si="49"/>
        <v>1039</v>
      </c>
      <c r="P121" s="59">
        <f aca="true" t="shared" si="55" ref="P121:P126">O121</f>
        <v>1039</v>
      </c>
      <c r="Q121">
        <v>2006</v>
      </c>
      <c r="R121" s="175">
        <f aca="true" t="shared" si="56" ref="R121:R126">P121*VLOOKUP(Q121,cci_table,3,FALSE)</f>
        <v>1039</v>
      </c>
      <c r="S121" t="s">
        <v>109</v>
      </c>
      <c r="T121" s="54">
        <v>1</v>
      </c>
      <c r="U121" s="53">
        <f aca="true" t="shared" si="57" ref="U121:U126">AVERAGE(449,549,600)</f>
        <v>532.6666666666666</v>
      </c>
      <c r="V121" s="58">
        <f t="shared" si="50"/>
        <v>532.6666666666666</v>
      </c>
      <c r="W121" s="59">
        <f aca="true" t="shared" si="58" ref="W121:W126">V121</f>
        <v>532.6666666666666</v>
      </c>
      <c r="X121">
        <v>2006</v>
      </c>
      <c r="Y121" s="175">
        <f t="shared" si="51"/>
        <v>532.6666666666666</v>
      </c>
      <c r="Z121" s="45" t="s">
        <v>110</v>
      </c>
      <c r="AA121" s="54">
        <v>1</v>
      </c>
      <c r="AB121" s="53">
        <v>799.99</v>
      </c>
      <c r="AC121" s="58">
        <f t="shared" si="52"/>
        <v>799.99</v>
      </c>
      <c r="AD121" s="59">
        <f aca="true" t="shared" si="59" ref="AD121:AD126">AC121</f>
        <v>799.99</v>
      </c>
      <c r="AE121">
        <v>2006</v>
      </c>
      <c r="AF121" s="175">
        <f t="shared" si="53"/>
        <v>799.99</v>
      </c>
      <c r="AG121" s="45" t="s">
        <v>111</v>
      </c>
      <c r="AH121" s="54">
        <v>1</v>
      </c>
      <c r="AW121" s="36"/>
    </row>
    <row r="122" spans="1:49" ht="12.75">
      <c r="A122" s="66"/>
      <c r="B122" s="367">
        <v>16</v>
      </c>
      <c r="C122" s="367">
        <v>24</v>
      </c>
      <c r="D122" s="505">
        <f t="shared" si="46"/>
        <v>1069.1641666666667</v>
      </c>
      <c r="E122">
        <v>10</v>
      </c>
      <c r="F122">
        <v>10</v>
      </c>
      <c r="G122" s="53">
        <v>1905</v>
      </c>
      <c r="H122" s="58">
        <f t="shared" si="47"/>
        <v>1905</v>
      </c>
      <c r="I122" s="59">
        <f t="shared" si="54"/>
        <v>1905</v>
      </c>
      <c r="J122">
        <v>2006</v>
      </c>
      <c r="K122" s="175">
        <f t="shared" si="48"/>
        <v>1905</v>
      </c>
      <c r="L122" t="s">
        <v>107</v>
      </c>
      <c r="M122" s="54">
        <f>$M$68</f>
        <v>1</v>
      </c>
      <c r="N122" s="53">
        <v>1039</v>
      </c>
      <c r="O122" s="58">
        <f t="shared" si="49"/>
        <v>1039</v>
      </c>
      <c r="P122" s="59">
        <f t="shared" si="55"/>
        <v>1039</v>
      </c>
      <c r="Q122">
        <v>2006</v>
      </c>
      <c r="R122" s="175">
        <f t="shared" si="56"/>
        <v>1039</v>
      </c>
      <c r="S122" t="s">
        <v>109</v>
      </c>
      <c r="T122" s="54">
        <v>1</v>
      </c>
      <c r="U122" s="53">
        <f t="shared" si="57"/>
        <v>532.6666666666666</v>
      </c>
      <c r="V122" s="58">
        <f t="shared" si="50"/>
        <v>532.6666666666666</v>
      </c>
      <c r="W122" s="59">
        <f t="shared" si="58"/>
        <v>532.6666666666666</v>
      </c>
      <c r="X122">
        <v>2006</v>
      </c>
      <c r="Y122" s="175">
        <f t="shared" si="51"/>
        <v>532.6666666666666</v>
      </c>
      <c r="Z122" s="45" t="s">
        <v>110</v>
      </c>
      <c r="AA122" s="54">
        <v>1</v>
      </c>
      <c r="AB122" s="53">
        <v>799.99</v>
      </c>
      <c r="AC122" s="58">
        <f t="shared" si="52"/>
        <v>799.99</v>
      </c>
      <c r="AD122" s="59">
        <f t="shared" si="59"/>
        <v>799.99</v>
      </c>
      <c r="AE122">
        <v>2006</v>
      </c>
      <c r="AF122" s="175">
        <f t="shared" si="53"/>
        <v>799.99</v>
      </c>
      <c r="AG122" s="45" t="s">
        <v>111</v>
      </c>
      <c r="AH122" s="54">
        <v>1</v>
      </c>
      <c r="AW122" s="36"/>
    </row>
    <row r="123" spans="1:49" ht="12.75">
      <c r="A123" s="66"/>
      <c r="B123" s="367">
        <v>25</v>
      </c>
      <c r="C123" s="367">
        <v>50</v>
      </c>
      <c r="D123" s="505">
        <f t="shared" si="46"/>
        <v>989.4141666666667</v>
      </c>
      <c r="E123">
        <v>10</v>
      </c>
      <c r="F123">
        <v>10</v>
      </c>
      <c r="G123" s="53">
        <v>1586</v>
      </c>
      <c r="H123" s="58">
        <f t="shared" si="47"/>
        <v>1586</v>
      </c>
      <c r="I123" s="59">
        <f t="shared" si="54"/>
        <v>1586</v>
      </c>
      <c r="J123">
        <v>2006</v>
      </c>
      <c r="K123" s="175">
        <f t="shared" si="48"/>
        <v>1586</v>
      </c>
      <c r="L123" t="s">
        <v>107</v>
      </c>
      <c r="M123" s="54">
        <f>$M$68</f>
        <v>1</v>
      </c>
      <c r="N123" s="53">
        <v>1039</v>
      </c>
      <c r="O123" s="58">
        <f t="shared" si="49"/>
        <v>1039</v>
      </c>
      <c r="P123" s="59">
        <f t="shared" si="55"/>
        <v>1039</v>
      </c>
      <c r="Q123">
        <v>2006</v>
      </c>
      <c r="R123" s="175">
        <f t="shared" si="56"/>
        <v>1039</v>
      </c>
      <c r="S123" t="s">
        <v>109</v>
      </c>
      <c r="T123" s="54">
        <v>1</v>
      </c>
      <c r="U123" s="53">
        <f t="shared" si="57"/>
        <v>532.6666666666666</v>
      </c>
      <c r="V123" s="58">
        <f t="shared" si="50"/>
        <v>532.6666666666666</v>
      </c>
      <c r="W123" s="59">
        <f t="shared" si="58"/>
        <v>532.6666666666666</v>
      </c>
      <c r="X123">
        <v>2006</v>
      </c>
      <c r="Y123" s="175">
        <f t="shared" si="51"/>
        <v>532.6666666666666</v>
      </c>
      <c r="Z123" s="45" t="s">
        <v>110</v>
      </c>
      <c r="AA123" s="54">
        <v>1</v>
      </c>
      <c r="AB123" s="53">
        <v>799.99</v>
      </c>
      <c r="AC123" s="58">
        <f t="shared" si="52"/>
        <v>799.99</v>
      </c>
      <c r="AD123" s="59">
        <f t="shared" si="59"/>
        <v>799.99</v>
      </c>
      <c r="AE123">
        <v>2006</v>
      </c>
      <c r="AF123" s="175">
        <f t="shared" si="53"/>
        <v>799.99</v>
      </c>
      <c r="AG123" s="45" t="s">
        <v>111</v>
      </c>
      <c r="AH123" s="54">
        <v>1</v>
      </c>
      <c r="AW123" s="36"/>
    </row>
    <row r="124" spans="1:49" ht="12.75">
      <c r="A124" s="66"/>
      <c r="B124" s="367">
        <v>51</v>
      </c>
      <c r="C124" s="367">
        <v>100</v>
      </c>
      <c r="D124" s="505">
        <f t="shared" si="46"/>
        <v>989.4141666666667</v>
      </c>
      <c r="E124">
        <v>10</v>
      </c>
      <c r="F124">
        <v>10</v>
      </c>
      <c r="G124" s="53">
        <v>1586</v>
      </c>
      <c r="H124" s="58">
        <f t="shared" si="47"/>
        <v>1586</v>
      </c>
      <c r="I124" s="59">
        <f t="shared" si="54"/>
        <v>1586</v>
      </c>
      <c r="J124">
        <v>2006</v>
      </c>
      <c r="K124" s="175">
        <f t="shared" si="48"/>
        <v>1586</v>
      </c>
      <c r="L124" t="s">
        <v>107</v>
      </c>
      <c r="M124" s="54">
        <f>$M$68</f>
        <v>1</v>
      </c>
      <c r="N124" s="53">
        <v>1039</v>
      </c>
      <c r="O124" s="58">
        <f t="shared" si="49"/>
        <v>1039</v>
      </c>
      <c r="P124" s="59">
        <f t="shared" si="55"/>
        <v>1039</v>
      </c>
      <c r="Q124">
        <v>2006</v>
      </c>
      <c r="R124" s="175">
        <f t="shared" si="56"/>
        <v>1039</v>
      </c>
      <c r="S124" t="s">
        <v>109</v>
      </c>
      <c r="T124" s="54">
        <v>1</v>
      </c>
      <c r="U124" s="53">
        <f t="shared" si="57"/>
        <v>532.6666666666666</v>
      </c>
      <c r="V124" s="58">
        <f t="shared" si="50"/>
        <v>532.6666666666666</v>
      </c>
      <c r="W124" s="59">
        <f t="shared" si="58"/>
        <v>532.6666666666666</v>
      </c>
      <c r="X124">
        <v>2006</v>
      </c>
      <c r="Y124" s="175">
        <f t="shared" si="51"/>
        <v>532.6666666666666</v>
      </c>
      <c r="Z124" s="45" t="s">
        <v>110</v>
      </c>
      <c r="AA124" s="54">
        <v>1</v>
      </c>
      <c r="AB124" s="53">
        <v>799.99</v>
      </c>
      <c r="AC124" s="58">
        <f t="shared" si="52"/>
        <v>799.99</v>
      </c>
      <c r="AD124" s="59">
        <f t="shared" si="59"/>
        <v>799.99</v>
      </c>
      <c r="AE124">
        <v>2006</v>
      </c>
      <c r="AF124" s="175">
        <f t="shared" si="53"/>
        <v>799.99</v>
      </c>
      <c r="AG124" s="45" t="s">
        <v>111</v>
      </c>
      <c r="AH124" s="54">
        <v>1</v>
      </c>
      <c r="AW124" s="36"/>
    </row>
    <row r="125" spans="1:49" ht="12.75">
      <c r="A125" s="66"/>
      <c r="B125" s="367">
        <v>101</v>
      </c>
      <c r="C125" s="367">
        <v>500</v>
      </c>
      <c r="D125" s="505">
        <f t="shared" si="46"/>
        <v>946.9141666666667</v>
      </c>
      <c r="E125">
        <v>10</v>
      </c>
      <c r="F125">
        <v>10</v>
      </c>
      <c r="G125" s="53">
        <v>1416</v>
      </c>
      <c r="H125" s="58">
        <f t="shared" si="47"/>
        <v>1416</v>
      </c>
      <c r="I125" s="59">
        <f t="shared" si="54"/>
        <v>1416</v>
      </c>
      <c r="J125">
        <v>2006</v>
      </c>
      <c r="K125" s="175">
        <f t="shared" si="48"/>
        <v>1416</v>
      </c>
      <c r="L125" t="s">
        <v>107</v>
      </c>
      <c r="M125" s="54">
        <f>$M$68</f>
        <v>1</v>
      </c>
      <c r="N125" s="53">
        <v>1039</v>
      </c>
      <c r="O125" s="58">
        <f t="shared" si="49"/>
        <v>1039</v>
      </c>
      <c r="P125" s="59">
        <f t="shared" si="55"/>
        <v>1039</v>
      </c>
      <c r="Q125">
        <v>2006</v>
      </c>
      <c r="R125" s="175">
        <f t="shared" si="56"/>
        <v>1039</v>
      </c>
      <c r="S125" t="s">
        <v>109</v>
      </c>
      <c r="T125" s="54">
        <v>1</v>
      </c>
      <c r="U125" s="53">
        <f t="shared" si="57"/>
        <v>532.6666666666666</v>
      </c>
      <c r="V125" s="58">
        <f t="shared" si="50"/>
        <v>532.6666666666666</v>
      </c>
      <c r="W125" s="59">
        <f t="shared" si="58"/>
        <v>532.6666666666666</v>
      </c>
      <c r="X125">
        <v>2006</v>
      </c>
      <c r="Y125" s="175">
        <f t="shared" si="51"/>
        <v>532.6666666666666</v>
      </c>
      <c r="Z125" s="45" t="s">
        <v>110</v>
      </c>
      <c r="AA125" s="54">
        <v>1</v>
      </c>
      <c r="AB125" s="53">
        <v>799.99</v>
      </c>
      <c r="AC125" s="58">
        <f t="shared" si="52"/>
        <v>799.99</v>
      </c>
      <c r="AD125" s="59">
        <f t="shared" si="59"/>
        <v>799.99</v>
      </c>
      <c r="AE125">
        <v>2006</v>
      </c>
      <c r="AF125" s="175">
        <f t="shared" si="53"/>
        <v>799.99</v>
      </c>
      <c r="AG125" s="45" t="s">
        <v>111</v>
      </c>
      <c r="AH125" s="54">
        <v>1</v>
      </c>
      <c r="AW125" s="36"/>
    </row>
    <row r="126" spans="1:49" ht="12.75">
      <c r="A126" s="66"/>
      <c r="B126" s="367">
        <v>501</v>
      </c>
      <c r="C126" s="367">
        <v>1000</v>
      </c>
      <c r="D126" s="505">
        <f t="shared" si="46"/>
        <v>946.9141666666667</v>
      </c>
      <c r="E126">
        <v>10</v>
      </c>
      <c r="F126">
        <v>10</v>
      </c>
      <c r="G126" s="53">
        <v>1416</v>
      </c>
      <c r="H126" s="58">
        <f t="shared" si="47"/>
        <v>1416</v>
      </c>
      <c r="I126" s="59">
        <f t="shared" si="54"/>
        <v>1416</v>
      </c>
      <c r="J126">
        <v>2006</v>
      </c>
      <c r="K126" s="175">
        <f t="shared" si="48"/>
        <v>1416</v>
      </c>
      <c r="L126" t="s">
        <v>107</v>
      </c>
      <c r="M126" s="54">
        <f>$M$68</f>
        <v>1</v>
      </c>
      <c r="N126" s="53">
        <v>1039</v>
      </c>
      <c r="O126" s="58">
        <f t="shared" si="49"/>
        <v>1039</v>
      </c>
      <c r="P126" s="59">
        <f t="shared" si="55"/>
        <v>1039</v>
      </c>
      <c r="Q126">
        <v>2006</v>
      </c>
      <c r="R126" s="175">
        <f t="shared" si="56"/>
        <v>1039</v>
      </c>
      <c r="S126" t="s">
        <v>109</v>
      </c>
      <c r="T126" s="54">
        <v>1</v>
      </c>
      <c r="U126" s="53">
        <f t="shared" si="57"/>
        <v>532.6666666666666</v>
      </c>
      <c r="V126" s="58">
        <f t="shared" si="50"/>
        <v>532.6666666666666</v>
      </c>
      <c r="W126" s="59">
        <f t="shared" si="58"/>
        <v>532.6666666666666</v>
      </c>
      <c r="X126">
        <v>2006</v>
      </c>
      <c r="Y126" s="175">
        <f t="shared" si="51"/>
        <v>532.6666666666666</v>
      </c>
      <c r="Z126" s="45" t="s">
        <v>110</v>
      </c>
      <c r="AA126" s="54">
        <v>1</v>
      </c>
      <c r="AB126" s="53">
        <v>799.99</v>
      </c>
      <c r="AC126" s="58">
        <f t="shared" si="52"/>
        <v>799.99</v>
      </c>
      <c r="AD126" s="59">
        <f t="shared" si="59"/>
        <v>799.99</v>
      </c>
      <c r="AE126">
        <v>2006</v>
      </c>
      <c r="AF126" s="175">
        <f t="shared" si="53"/>
        <v>799.99</v>
      </c>
      <c r="AG126" s="45" t="s">
        <v>111</v>
      </c>
      <c r="AH126" s="54">
        <v>1</v>
      </c>
      <c r="AW126" s="36"/>
    </row>
    <row r="127" spans="2:49" ht="12.75">
      <c r="B127" s="4" t="s">
        <v>523</v>
      </c>
      <c r="C127" s="36"/>
      <c r="D127" s="67"/>
      <c r="E127" s="36"/>
      <c r="F127" s="36"/>
      <c r="G127" s="68"/>
      <c r="H127" s="69"/>
      <c r="I127" s="69"/>
      <c r="J127" s="70"/>
      <c r="K127" s="70"/>
      <c r="L127" s="36" t="s">
        <v>108</v>
      </c>
      <c r="M127" s="71"/>
      <c r="N127" s="68"/>
      <c r="O127" s="69"/>
      <c r="P127" s="69"/>
      <c r="Q127" s="36"/>
      <c r="R127" s="36"/>
      <c r="S127" s="36" t="s">
        <v>108</v>
      </c>
      <c r="T127" s="71"/>
      <c r="U127" s="55"/>
      <c r="V127" s="56"/>
      <c r="W127" s="56"/>
      <c r="X127" s="36"/>
      <c r="Y127" s="36"/>
      <c r="Z127" s="72" t="s">
        <v>108</v>
      </c>
      <c r="AA127" s="71"/>
      <c r="AB127" s="36"/>
      <c r="AC127" s="36"/>
      <c r="AD127" s="36"/>
      <c r="AE127" s="36"/>
      <c r="AF127" s="36"/>
      <c r="AG127" s="36" t="s">
        <v>108</v>
      </c>
      <c r="AH127" s="71"/>
      <c r="AI127" s="36"/>
      <c r="AJ127" s="36"/>
      <c r="AK127" s="36"/>
      <c r="AL127" s="36"/>
      <c r="AM127" s="36"/>
      <c r="AN127" s="36" t="s">
        <v>108</v>
      </c>
      <c r="AO127" s="36"/>
      <c r="AP127" s="36"/>
      <c r="AQ127" s="36"/>
      <c r="AR127" s="36"/>
      <c r="AU127" s="36" t="s">
        <v>108</v>
      </c>
      <c r="AW127" s="36"/>
    </row>
    <row r="128" spans="1:49" ht="12.75">
      <c r="A128" s="66" t="s">
        <v>492</v>
      </c>
      <c r="B128" s="385" t="s">
        <v>532</v>
      </c>
      <c r="C128" s="498" t="s">
        <v>276</v>
      </c>
      <c r="D128" s="506">
        <f>IF(AVERAGE(K128,R128,Y128,AF128,AM128,AT128)=0,"contact vendor",AVERAGE(K128,R128,Y128,AF128,AM128,AT128))</f>
        <v>0.16225</v>
      </c>
      <c r="E128" t="s">
        <v>309</v>
      </c>
      <c r="F128" t="s">
        <v>309</v>
      </c>
      <c r="G128" s="109">
        <f>6.49/40</f>
        <v>0.16225</v>
      </c>
      <c r="H128" s="424">
        <f>G128*M128</f>
        <v>0.16225</v>
      </c>
      <c r="I128" s="425">
        <f>H128</f>
        <v>0.16225</v>
      </c>
      <c r="J128" s="45">
        <v>2006</v>
      </c>
      <c r="K128" s="177">
        <f>I128*VLOOKUP(J128,cci_table,3,FALSE)</f>
        <v>0.16225</v>
      </c>
      <c r="L128" t="s">
        <v>107</v>
      </c>
      <c r="M128" s="54">
        <v>1</v>
      </c>
      <c r="N128" s="155"/>
      <c r="O128" s="58"/>
      <c r="P128" s="59"/>
      <c r="Q128" s="36"/>
      <c r="R128" s="175"/>
      <c r="T128" s="54"/>
      <c r="U128" s="53"/>
      <c r="V128" s="58"/>
      <c r="W128" s="59"/>
      <c r="Y128" s="175"/>
      <c r="AA128" s="54"/>
      <c r="AB128" s="36"/>
      <c r="AC128" s="36"/>
      <c r="AD128" s="36"/>
      <c r="AE128" s="36"/>
      <c r="AF128" s="36"/>
      <c r="AG128" s="36" t="s">
        <v>108</v>
      </c>
      <c r="AH128" s="54"/>
      <c r="AI128" s="36"/>
      <c r="AJ128" s="36"/>
      <c r="AK128" s="36"/>
      <c r="AL128" s="36"/>
      <c r="AM128" s="36"/>
      <c r="AN128" s="36" t="s">
        <v>108</v>
      </c>
      <c r="AO128" s="36"/>
      <c r="AP128" s="36"/>
      <c r="AQ128" s="36"/>
      <c r="AR128" s="36"/>
      <c r="AU128" s="36" t="s">
        <v>108</v>
      </c>
      <c r="AW128" s="36"/>
    </row>
    <row r="129" spans="1:49" ht="12.75">
      <c r="A129" s="65"/>
      <c r="C129" s="36"/>
      <c r="D129" s="48"/>
      <c r="G129" s="68"/>
      <c r="H129" s="69"/>
      <c r="I129" s="69"/>
      <c r="J129" s="45"/>
      <c r="K129" s="45"/>
      <c r="M129" s="54"/>
      <c r="N129" s="155"/>
      <c r="O129" s="58"/>
      <c r="P129" s="59"/>
      <c r="Q129" s="36"/>
      <c r="R129" s="175"/>
      <c r="T129" s="54"/>
      <c r="U129" s="53"/>
      <c r="V129" s="58"/>
      <c r="W129" s="59"/>
      <c r="Y129" s="175"/>
      <c r="AA129" s="54"/>
      <c r="AH129" s="54"/>
      <c r="AW129" s="36"/>
    </row>
    <row r="130" spans="1:49" ht="12.75">
      <c r="A130" s="66"/>
      <c r="B130" s="4" t="s">
        <v>424</v>
      </c>
      <c r="D130" s="48"/>
      <c r="N130" s="9"/>
      <c r="O130" s="9"/>
      <c r="P130" s="9"/>
      <c r="S130" s="49" t="s">
        <v>108</v>
      </c>
      <c r="U130" s="9"/>
      <c r="AW130" s="36"/>
    </row>
    <row r="131" spans="1:49" ht="12.75">
      <c r="A131" s="66"/>
      <c r="B131" t="s">
        <v>371</v>
      </c>
      <c r="C131" t="s">
        <v>371</v>
      </c>
      <c r="D131" s="176" t="s">
        <v>356</v>
      </c>
      <c r="E131" t="s">
        <v>357</v>
      </c>
      <c r="F131" t="s">
        <v>358</v>
      </c>
      <c r="G131" t="s">
        <v>359</v>
      </c>
      <c r="H131" t="s">
        <v>360</v>
      </c>
      <c r="I131" t="s">
        <v>361</v>
      </c>
      <c r="J131" t="s">
        <v>362</v>
      </c>
      <c r="L131" t="s">
        <v>363</v>
      </c>
      <c r="M131" s="50" t="s">
        <v>364</v>
      </c>
      <c r="N131" s="51" t="s">
        <v>365</v>
      </c>
      <c r="O131" s="51" t="s">
        <v>366</v>
      </c>
      <c r="P131" s="52" t="s">
        <v>367</v>
      </c>
      <c r="Q131" t="s">
        <v>369</v>
      </c>
      <c r="S131" s="52" t="s">
        <v>368</v>
      </c>
      <c r="T131" s="50" t="s">
        <v>364</v>
      </c>
      <c r="U131" s="51" t="s">
        <v>365</v>
      </c>
      <c r="V131" s="51" t="s">
        <v>366</v>
      </c>
      <c r="W131" s="52" t="s">
        <v>367</v>
      </c>
      <c r="X131" t="s">
        <v>369</v>
      </c>
      <c r="Z131" s="52" t="s">
        <v>368</v>
      </c>
      <c r="AA131" s="50" t="s">
        <v>364</v>
      </c>
      <c r="AB131" s="51" t="s">
        <v>365</v>
      </c>
      <c r="AC131" s="52" t="s">
        <v>366</v>
      </c>
      <c r="AD131" s="52" t="s">
        <v>367</v>
      </c>
      <c r="AE131" t="s">
        <v>369</v>
      </c>
      <c r="AG131" s="52" t="s">
        <v>368</v>
      </c>
      <c r="AH131" s="50" t="s">
        <v>364</v>
      </c>
      <c r="AI131" s="51" t="s">
        <v>365</v>
      </c>
      <c r="AJ131" s="51" t="s">
        <v>366</v>
      </c>
      <c r="AK131" s="52" t="s">
        <v>367</v>
      </c>
      <c r="AL131" t="s">
        <v>369</v>
      </c>
      <c r="AN131" s="52" t="s">
        <v>368</v>
      </c>
      <c r="AO131" s="51"/>
      <c r="AP131" s="51"/>
      <c r="AQ131" s="52"/>
      <c r="AR131" s="52"/>
      <c r="AW131" s="36"/>
    </row>
    <row r="132" spans="1:49" ht="12.75">
      <c r="A132" s="65" t="s">
        <v>423</v>
      </c>
      <c r="B132" s="367">
        <v>0</v>
      </c>
      <c r="C132" s="367">
        <v>4</v>
      </c>
      <c r="D132" s="505">
        <v>0</v>
      </c>
      <c r="E132">
        <v>10</v>
      </c>
      <c r="F132">
        <v>10</v>
      </c>
      <c r="G132" s="53"/>
      <c r="H132" s="58"/>
      <c r="I132" s="59"/>
      <c r="J132" s="45"/>
      <c r="K132" s="175"/>
      <c r="M132" s="54"/>
      <c r="N132" s="155"/>
      <c r="O132" s="58"/>
      <c r="P132" s="59"/>
      <c r="Q132" s="36"/>
      <c r="R132" s="175"/>
      <c r="T132" s="54"/>
      <c r="U132" s="53"/>
      <c r="V132" s="58"/>
      <c r="W132" s="59"/>
      <c r="Y132" s="175"/>
      <c r="AA132" s="54"/>
      <c r="AH132" s="54"/>
      <c r="AW132" s="36"/>
    </row>
    <row r="133" spans="1:49" ht="12.75">
      <c r="A133" s="65"/>
      <c r="B133" s="367">
        <v>5</v>
      </c>
      <c r="C133" s="367">
        <v>15</v>
      </c>
      <c r="D133" s="505">
        <v>0</v>
      </c>
      <c r="E133">
        <v>10</v>
      </c>
      <c r="F133">
        <v>10</v>
      </c>
      <c r="G133" s="53"/>
      <c r="H133" s="58"/>
      <c r="I133" s="59"/>
      <c r="J133" s="45"/>
      <c r="K133" s="175"/>
      <c r="M133" s="54"/>
      <c r="N133" s="155"/>
      <c r="O133" s="58"/>
      <c r="P133" s="59"/>
      <c r="Q133" s="36"/>
      <c r="R133" s="175"/>
      <c r="T133" s="54"/>
      <c r="U133" s="53"/>
      <c r="V133" s="58"/>
      <c r="W133" s="59"/>
      <c r="Y133" s="175"/>
      <c r="AA133" s="54"/>
      <c r="AH133" s="54"/>
      <c r="AW133" s="36"/>
    </row>
    <row r="134" spans="1:49" ht="12.75">
      <c r="A134" s="23"/>
      <c r="B134" s="367">
        <v>16</v>
      </c>
      <c r="C134" s="367">
        <v>24</v>
      </c>
      <c r="D134" s="505">
        <v>0</v>
      </c>
      <c r="E134">
        <v>10</v>
      </c>
      <c r="F134">
        <v>10</v>
      </c>
      <c r="G134" s="53"/>
      <c r="H134" s="58"/>
      <c r="I134" s="59"/>
      <c r="J134" s="45"/>
      <c r="K134" s="175"/>
      <c r="M134" s="54"/>
      <c r="N134" s="155"/>
      <c r="O134" s="58"/>
      <c r="P134" s="59"/>
      <c r="Q134" s="36"/>
      <c r="R134" s="175"/>
      <c r="T134" s="54"/>
      <c r="U134" s="53"/>
      <c r="V134" s="58"/>
      <c r="W134" s="59"/>
      <c r="Y134" s="175"/>
      <c r="AA134" s="54"/>
      <c r="AH134" s="54"/>
      <c r="AW134" s="36"/>
    </row>
    <row r="135" spans="1:49" ht="12.75">
      <c r="A135" s="23"/>
      <c r="B135" s="367">
        <v>25</v>
      </c>
      <c r="C135" s="367">
        <v>50</v>
      </c>
      <c r="D135" s="505">
        <v>0</v>
      </c>
      <c r="E135">
        <v>10</v>
      </c>
      <c r="F135">
        <v>10</v>
      </c>
      <c r="G135" s="53"/>
      <c r="H135" s="58"/>
      <c r="I135" s="59"/>
      <c r="J135" s="45"/>
      <c r="K135" s="175"/>
      <c r="M135" s="54"/>
      <c r="N135" s="155"/>
      <c r="O135" s="58"/>
      <c r="P135" s="59"/>
      <c r="Q135" s="36"/>
      <c r="R135" s="175"/>
      <c r="T135" s="54"/>
      <c r="U135" s="53"/>
      <c r="V135" s="58"/>
      <c r="W135" s="59"/>
      <c r="Y135" s="175"/>
      <c r="AA135" s="54"/>
      <c r="AH135" s="54"/>
      <c r="AW135" s="36"/>
    </row>
    <row r="136" spans="1:49" ht="12.75">
      <c r="A136" s="23"/>
      <c r="B136" s="367">
        <v>51</v>
      </c>
      <c r="C136" s="367">
        <v>100</v>
      </c>
      <c r="D136" s="505">
        <v>0</v>
      </c>
      <c r="E136">
        <v>10</v>
      </c>
      <c r="F136">
        <v>10</v>
      </c>
      <c r="G136" s="53"/>
      <c r="H136" s="58"/>
      <c r="I136" s="59"/>
      <c r="J136" s="45"/>
      <c r="K136" s="175"/>
      <c r="M136" s="54"/>
      <c r="N136" s="155"/>
      <c r="O136" s="58"/>
      <c r="P136" s="59"/>
      <c r="Q136" s="36"/>
      <c r="R136" s="175"/>
      <c r="T136" s="54"/>
      <c r="U136" s="53"/>
      <c r="V136" s="58"/>
      <c r="W136" s="59"/>
      <c r="Y136" s="175"/>
      <c r="AA136" s="54"/>
      <c r="AH136" s="54"/>
      <c r="AW136" s="36"/>
    </row>
    <row r="137" spans="1:49" ht="12.75">
      <c r="A137" s="66"/>
      <c r="B137" s="367">
        <v>101</v>
      </c>
      <c r="C137" s="367">
        <v>500</v>
      </c>
      <c r="D137" s="505">
        <v>0</v>
      </c>
      <c r="E137">
        <v>10</v>
      </c>
      <c r="F137">
        <v>10</v>
      </c>
      <c r="G137" s="53"/>
      <c r="H137" s="58"/>
      <c r="I137" s="59"/>
      <c r="J137" s="45"/>
      <c r="K137" s="175"/>
      <c r="M137" s="54"/>
      <c r="N137" s="155"/>
      <c r="O137" s="58"/>
      <c r="P137" s="59"/>
      <c r="Q137" s="36"/>
      <c r="R137" s="175"/>
      <c r="T137" s="54"/>
      <c r="U137" s="53"/>
      <c r="V137" s="58"/>
      <c r="W137" s="59"/>
      <c r="Y137" s="175"/>
      <c r="AA137" s="54"/>
      <c r="AH137" s="54"/>
      <c r="AW137" s="36"/>
    </row>
    <row r="138" spans="1:49" ht="12.75">
      <c r="A138" s="66"/>
      <c r="B138" s="367">
        <v>501</v>
      </c>
      <c r="C138" s="367">
        <v>1000</v>
      </c>
      <c r="D138" s="505">
        <v>0</v>
      </c>
      <c r="E138">
        <v>10</v>
      </c>
      <c r="F138">
        <v>10</v>
      </c>
      <c r="G138" s="53"/>
      <c r="H138" s="58"/>
      <c r="I138" s="59"/>
      <c r="J138" s="45"/>
      <c r="K138" s="175"/>
      <c r="M138" s="54"/>
      <c r="N138" s="155"/>
      <c r="O138" s="58"/>
      <c r="P138" s="59"/>
      <c r="Q138" s="36"/>
      <c r="R138" s="175"/>
      <c r="T138" s="54"/>
      <c r="U138" s="53"/>
      <c r="V138" s="58"/>
      <c r="W138" s="59"/>
      <c r="Y138" s="175"/>
      <c r="AA138" s="54"/>
      <c r="AH138" s="54"/>
      <c r="AW138" s="36"/>
    </row>
    <row r="139" spans="2:49" ht="12.75">
      <c r="B139" s="4" t="s">
        <v>524</v>
      </c>
      <c r="C139" s="36"/>
      <c r="D139" s="67"/>
      <c r="E139" s="36"/>
      <c r="F139" s="36"/>
      <c r="G139" s="68"/>
      <c r="H139" s="69"/>
      <c r="I139" s="69"/>
      <c r="J139" s="70"/>
      <c r="K139" s="70"/>
      <c r="L139" s="36" t="s">
        <v>108</v>
      </c>
      <c r="M139" s="71"/>
      <c r="N139" s="68"/>
      <c r="O139" s="69"/>
      <c r="P139" s="69"/>
      <c r="Q139" s="36"/>
      <c r="R139" s="36"/>
      <c r="S139" s="36" t="s">
        <v>108</v>
      </c>
      <c r="T139" s="71"/>
      <c r="U139" s="55"/>
      <c r="V139" s="56"/>
      <c r="W139" s="56"/>
      <c r="X139" s="36"/>
      <c r="Y139" s="36"/>
      <c r="Z139" s="72" t="s">
        <v>108</v>
      </c>
      <c r="AA139" s="71"/>
      <c r="AB139" s="36"/>
      <c r="AC139" s="36"/>
      <c r="AD139" s="36"/>
      <c r="AE139" s="36"/>
      <c r="AF139" s="36"/>
      <c r="AG139" s="36" t="s">
        <v>108</v>
      </c>
      <c r="AH139" s="71"/>
      <c r="AI139" s="36"/>
      <c r="AJ139" s="36"/>
      <c r="AK139" s="36"/>
      <c r="AL139" s="36"/>
      <c r="AM139" s="36"/>
      <c r="AN139" s="36" t="s">
        <v>108</v>
      </c>
      <c r="AO139" s="36"/>
      <c r="AP139" s="36"/>
      <c r="AQ139" s="36"/>
      <c r="AR139" s="36"/>
      <c r="AU139" s="36" t="s">
        <v>108</v>
      </c>
      <c r="AW139" s="36"/>
    </row>
    <row r="140" spans="1:49" ht="12.75">
      <c r="A140" s="66" t="s">
        <v>508</v>
      </c>
      <c r="B140" s="385" t="s">
        <v>468</v>
      </c>
      <c r="C140" s="498"/>
      <c r="D140" s="505">
        <v>0</v>
      </c>
      <c r="E140" t="s">
        <v>309</v>
      </c>
      <c r="F140" t="s">
        <v>309</v>
      </c>
      <c r="G140" s="53"/>
      <c r="H140" s="58"/>
      <c r="I140" s="59"/>
      <c r="J140" s="45"/>
      <c r="K140" s="175"/>
      <c r="M140" s="54"/>
      <c r="N140" s="155"/>
      <c r="O140" s="58"/>
      <c r="P140" s="59"/>
      <c r="Q140" s="36"/>
      <c r="R140" s="175"/>
      <c r="T140" s="54"/>
      <c r="U140" s="53"/>
      <c r="V140" s="58"/>
      <c r="W140" s="59"/>
      <c r="Y140" s="175"/>
      <c r="AA140" s="54"/>
      <c r="AB140" s="36"/>
      <c r="AC140" s="36"/>
      <c r="AD140" s="36"/>
      <c r="AE140" s="36"/>
      <c r="AF140" s="36"/>
      <c r="AG140" s="36" t="s">
        <v>108</v>
      </c>
      <c r="AH140" s="54"/>
      <c r="AI140" s="36"/>
      <c r="AJ140" s="36"/>
      <c r="AK140" s="36"/>
      <c r="AL140" s="36"/>
      <c r="AM140" s="36"/>
      <c r="AN140" s="36" t="s">
        <v>108</v>
      </c>
      <c r="AO140" s="36"/>
      <c r="AP140" s="36"/>
      <c r="AQ140" s="36"/>
      <c r="AR140" s="36"/>
      <c r="AU140" s="36" t="s">
        <v>108</v>
      </c>
      <c r="AW140" s="36"/>
    </row>
    <row r="141" spans="1:49" ht="12.75">
      <c r="A141" s="66"/>
      <c r="B141" s="385" t="s">
        <v>273</v>
      </c>
      <c r="C141" s="498"/>
      <c r="D141" s="505">
        <v>0</v>
      </c>
      <c r="E141" t="s">
        <v>309</v>
      </c>
      <c r="F141" t="s">
        <v>309</v>
      </c>
      <c r="G141" s="53"/>
      <c r="H141" s="58"/>
      <c r="I141" s="59"/>
      <c r="J141" s="45"/>
      <c r="K141" s="175"/>
      <c r="M141" s="54"/>
      <c r="N141" s="155"/>
      <c r="O141" s="58"/>
      <c r="P141" s="59"/>
      <c r="Q141" s="36"/>
      <c r="R141" s="175"/>
      <c r="T141" s="54"/>
      <c r="U141" s="53"/>
      <c r="V141" s="58"/>
      <c r="W141" s="59"/>
      <c r="Y141" s="175"/>
      <c r="AA141" s="54"/>
      <c r="AB141" s="36"/>
      <c r="AC141" s="36"/>
      <c r="AD141" s="36"/>
      <c r="AE141" s="36"/>
      <c r="AF141" s="36"/>
      <c r="AG141" s="36" t="s">
        <v>108</v>
      </c>
      <c r="AH141" s="54"/>
      <c r="AI141" s="36"/>
      <c r="AJ141" s="36"/>
      <c r="AK141" s="36"/>
      <c r="AL141" s="36"/>
      <c r="AM141" s="36"/>
      <c r="AN141" s="36" t="s">
        <v>108</v>
      </c>
      <c r="AO141" s="36"/>
      <c r="AP141" s="36"/>
      <c r="AQ141" s="36"/>
      <c r="AR141" s="36"/>
      <c r="AU141" s="36" t="s">
        <v>108</v>
      </c>
      <c r="AW141" s="36"/>
    </row>
    <row r="142" spans="1:49" ht="12.75">
      <c r="A142" s="65"/>
      <c r="C142" s="36"/>
      <c r="D142" s="48"/>
      <c r="G142" s="68"/>
      <c r="H142" s="69"/>
      <c r="I142" s="69"/>
      <c r="J142" s="45"/>
      <c r="K142" s="45"/>
      <c r="M142" s="54"/>
      <c r="N142" s="36"/>
      <c r="O142" s="69"/>
      <c r="P142" s="69"/>
      <c r="Q142" s="36"/>
      <c r="R142" s="69"/>
      <c r="S142" s="36" t="s">
        <v>108</v>
      </c>
      <c r="T142" s="71"/>
      <c r="U142" s="68"/>
      <c r="V142" s="69"/>
      <c r="W142" s="69"/>
      <c r="X142" s="36"/>
      <c r="Y142" s="69"/>
      <c r="Z142" s="36" t="s">
        <v>108</v>
      </c>
      <c r="AA142" s="71"/>
      <c r="AB142" s="36"/>
      <c r="AC142" s="36"/>
      <c r="AD142" s="36"/>
      <c r="AE142" s="36"/>
      <c r="AF142" s="36"/>
      <c r="AG142" s="36" t="s">
        <v>108</v>
      </c>
      <c r="AH142" s="71"/>
      <c r="AI142" s="36"/>
      <c r="AJ142" s="36"/>
      <c r="AK142" s="36"/>
      <c r="AL142" s="36"/>
      <c r="AM142" s="36"/>
      <c r="AN142" s="36" t="s">
        <v>108</v>
      </c>
      <c r="AO142" s="36"/>
      <c r="AP142" s="36"/>
      <c r="AW142" s="36"/>
    </row>
    <row r="143" spans="1:49" ht="12.75">
      <c r="A143" s="66"/>
      <c r="B143" s="4" t="s">
        <v>525</v>
      </c>
      <c r="D143" s="48"/>
      <c r="N143" s="9"/>
      <c r="O143" s="9"/>
      <c r="P143" s="9"/>
      <c r="S143" s="49" t="s">
        <v>108</v>
      </c>
      <c r="U143" s="9"/>
      <c r="AW143" s="36"/>
    </row>
    <row r="144" spans="1:49" ht="12.75">
      <c r="A144" s="66"/>
      <c r="B144" t="s">
        <v>371</v>
      </c>
      <c r="C144" t="s">
        <v>371</v>
      </c>
      <c r="D144" t="s">
        <v>356</v>
      </c>
      <c r="E144" t="s">
        <v>357</v>
      </c>
      <c r="F144" t="s">
        <v>358</v>
      </c>
      <c r="G144" t="s">
        <v>359</v>
      </c>
      <c r="H144" t="s">
        <v>360</v>
      </c>
      <c r="I144" t="s">
        <v>361</v>
      </c>
      <c r="J144" t="s">
        <v>362</v>
      </c>
      <c r="L144" t="s">
        <v>363</v>
      </c>
      <c r="M144" s="50" t="s">
        <v>364</v>
      </c>
      <c r="N144" s="51" t="s">
        <v>365</v>
      </c>
      <c r="O144" s="51" t="s">
        <v>366</v>
      </c>
      <c r="P144" s="52" t="s">
        <v>367</v>
      </c>
      <c r="Q144" t="s">
        <v>369</v>
      </c>
      <c r="S144" s="52" t="s">
        <v>368</v>
      </c>
      <c r="T144" s="50" t="s">
        <v>364</v>
      </c>
      <c r="U144" s="51" t="s">
        <v>365</v>
      </c>
      <c r="V144" s="51" t="s">
        <v>366</v>
      </c>
      <c r="W144" s="52" t="s">
        <v>367</v>
      </c>
      <c r="X144" t="s">
        <v>369</v>
      </c>
      <c r="Z144" s="52" t="s">
        <v>368</v>
      </c>
      <c r="AA144" s="50" t="s">
        <v>364</v>
      </c>
      <c r="AB144" s="51" t="s">
        <v>365</v>
      </c>
      <c r="AC144" s="52" t="s">
        <v>366</v>
      </c>
      <c r="AD144" s="52" t="s">
        <v>367</v>
      </c>
      <c r="AE144" t="s">
        <v>369</v>
      </c>
      <c r="AG144" s="52" t="s">
        <v>368</v>
      </c>
      <c r="AH144" s="50" t="s">
        <v>364</v>
      </c>
      <c r="AI144" s="51" t="s">
        <v>365</v>
      </c>
      <c r="AJ144" s="51" t="s">
        <v>366</v>
      </c>
      <c r="AK144" s="52" t="s">
        <v>367</v>
      </c>
      <c r="AL144" t="s">
        <v>369</v>
      </c>
      <c r="AN144" s="52" t="s">
        <v>368</v>
      </c>
      <c r="AO144" s="51"/>
      <c r="AP144" s="51"/>
      <c r="AQ144" s="52"/>
      <c r="AR144" s="52"/>
      <c r="AW144" s="36"/>
    </row>
    <row r="145" spans="1:49" ht="12.75">
      <c r="A145" s="65" t="s">
        <v>380</v>
      </c>
      <c r="B145" s="367">
        <v>0</v>
      </c>
      <c r="C145" s="367">
        <v>4</v>
      </c>
      <c r="D145" s="505">
        <v>0</v>
      </c>
      <c r="E145">
        <v>10</v>
      </c>
      <c r="F145">
        <v>10</v>
      </c>
      <c r="G145" s="53"/>
      <c r="H145" s="58"/>
      <c r="I145" s="59"/>
      <c r="K145" s="175"/>
      <c r="M145" s="54"/>
      <c r="N145" s="53"/>
      <c r="O145" s="58"/>
      <c r="P145" s="59"/>
      <c r="R145" s="175"/>
      <c r="T145" s="54"/>
      <c r="U145" s="53"/>
      <c r="V145" s="58"/>
      <c r="W145" s="59"/>
      <c r="Y145" s="175"/>
      <c r="AA145" s="54"/>
      <c r="AH145" s="54"/>
      <c r="AW145" s="36"/>
    </row>
    <row r="146" spans="1:49" ht="12.75">
      <c r="A146" s="65"/>
      <c r="B146" s="367">
        <v>5</v>
      </c>
      <c r="C146" s="367">
        <v>15</v>
      </c>
      <c r="D146" s="505">
        <v>0</v>
      </c>
      <c r="E146">
        <v>10</v>
      </c>
      <c r="F146">
        <v>10</v>
      </c>
      <c r="G146" s="53"/>
      <c r="H146" s="58"/>
      <c r="I146" s="59"/>
      <c r="K146" s="175"/>
      <c r="M146" s="54"/>
      <c r="N146" s="53"/>
      <c r="O146" s="58"/>
      <c r="P146" s="59"/>
      <c r="R146" s="175"/>
      <c r="T146" s="54"/>
      <c r="U146" s="53"/>
      <c r="V146" s="58"/>
      <c r="W146" s="59"/>
      <c r="Y146" s="175"/>
      <c r="AA146" s="54"/>
      <c r="AH146" s="54"/>
      <c r="AW146" s="36"/>
    </row>
    <row r="147" spans="1:49" ht="12.75">
      <c r="A147" s="66"/>
      <c r="B147" s="367">
        <v>16</v>
      </c>
      <c r="C147" s="367">
        <v>24</v>
      </c>
      <c r="D147" s="505">
        <v>0</v>
      </c>
      <c r="E147">
        <v>10</v>
      </c>
      <c r="F147">
        <v>10</v>
      </c>
      <c r="G147" s="53"/>
      <c r="H147" s="58"/>
      <c r="I147" s="59"/>
      <c r="K147" s="175"/>
      <c r="M147" s="54"/>
      <c r="N147" s="53"/>
      <c r="O147" s="58"/>
      <c r="P147" s="59"/>
      <c r="R147" s="175"/>
      <c r="T147" s="54"/>
      <c r="U147" s="53"/>
      <c r="V147" s="58"/>
      <c r="W147" s="59"/>
      <c r="Y147" s="175"/>
      <c r="AA147" s="54"/>
      <c r="AH147" s="54"/>
      <c r="AW147" s="36"/>
    </row>
    <row r="148" spans="1:49" ht="12.75">
      <c r="A148" s="66"/>
      <c r="B148" s="367">
        <v>25</v>
      </c>
      <c r="C148" s="367">
        <v>50</v>
      </c>
      <c r="D148" s="505">
        <v>0</v>
      </c>
      <c r="E148">
        <v>10</v>
      </c>
      <c r="F148">
        <v>10</v>
      </c>
      <c r="G148" s="53"/>
      <c r="H148" s="58"/>
      <c r="I148" s="59"/>
      <c r="K148" s="175"/>
      <c r="M148" s="54"/>
      <c r="N148" s="53"/>
      <c r="O148" s="58"/>
      <c r="P148" s="59"/>
      <c r="R148" s="175"/>
      <c r="T148" s="54"/>
      <c r="U148" s="53"/>
      <c r="V148" s="58"/>
      <c r="W148" s="59"/>
      <c r="Y148" s="175"/>
      <c r="AA148" s="54"/>
      <c r="AH148" s="54"/>
      <c r="AW148" s="36"/>
    </row>
    <row r="149" spans="1:49" ht="12.75">
      <c r="A149" s="66"/>
      <c r="B149" s="367">
        <v>51</v>
      </c>
      <c r="C149" s="367">
        <v>100</v>
      </c>
      <c r="D149" s="505">
        <v>0</v>
      </c>
      <c r="E149">
        <v>10</v>
      </c>
      <c r="F149">
        <v>10</v>
      </c>
      <c r="G149" s="53"/>
      <c r="H149" s="58"/>
      <c r="I149" s="59"/>
      <c r="K149" s="175"/>
      <c r="M149" s="54"/>
      <c r="N149" s="53"/>
      <c r="O149" s="58"/>
      <c r="P149" s="59"/>
      <c r="R149" s="175"/>
      <c r="T149" s="54"/>
      <c r="U149" s="53"/>
      <c r="V149" s="58"/>
      <c r="W149" s="59"/>
      <c r="Y149" s="175"/>
      <c r="AA149" s="54"/>
      <c r="AH149" s="54"/>
      <c r="AW149" s="36"/>
    </row>
    <row r="150" spans="1:49" ht="12.75">
      <c r="A150" s="66"/>
      <c r="B150" s="367">
        <v>101</v>
      </c>
      <c r="C150" s="367">
        <v>500</v>
      </c>
      <c r="D150" s="505">
        <v>0</v>
      </c>
      <c r="E150">
        <v>10</v>
      </c>
      <c r="F150">
        <v>10</v>
      </c>
      <c r="G150" s="53"/>
      <c r="H150" s="58"/>
      <c r="I150" s="59"/>
      <c r="K150" s="175"/>
      <c r="M150" s="54"/>
      <c r="N150" s="53"/>
      <c r="O150" s="58"/>
      <c r="P150" s="59"/>
      <c r="R150" s="175"/>
      <c r="T150" s="54"/>
      <c r="U150" s="53"/>
      <c r="V150" s="58"/>
      <c r="W150" s="59"/>
      <c r="Y150" s="175"/>
      <c r="AA150" s="54"/>
      <c r="AH150" s="54"/>
      <c r="AW150" s="36"/>
    </row>
    <row r="151" spans="1:49" ht="12.75">
      <c r="A151" s="66"/>
      <c r="B151" s="367">
        <v>501</v>
      </c>
      <c r="C151" s="367">
        <v>1000</v>
      </c>
      <c r="D151" s="505">
        <v>0</v>
      </c>
      <c r="E151">
        <v>10</v>
      </c>
      <c r="F151">
        <v>10</v>
      </c>
      <c r="G151" s="53"/>
      <c r="H151" s="58"/>
      <c r="I151" s="59"/>
      <c r="K151" s="175"/>
      <c r="M151" s="54"/>
      <c r="N151" s="53"/>
      <c r="O151" s="58"/>
      <c r="P151" s="59"/>
      <c r="R151" s="175"/>
      <c r="T151" s="54"/>
      <c r="U151" s="53"/>
      <c r="V151" s="58"/>
      <c r="W151" s="59"/>
      <c r="Y151" s="175"/>
      <c r="AA151" s="54"/>
      <c r="AH151" s="54"/>
      <c r="AW151" s="36"/>
    </row>
    <row r="152" spans="2:49" ht="12.75">
      <c r="B152" s="4" t="s">
        <v>526</v>
      </c>
      <c r="C152" s="36"/>
      <c r="D152" s="67"/>
      <c r="E152" s="36"/>
      <c r="F152" s="36"/>
      <c r="G152" s="68"/>
      <c r="H152" s="69"/>
      <c r="I152" s="69"/>
      <c r="J152" s="70"/>
      <c r="K152" s="70"/>
      <c r="L152" s="36" t="s">
        <v>108</v>
      </c>
      <c r="M152" s="71"/>
      <c r="N152" s="68"/>
      <c r="O152" s="69"/>
      <c r="P152" s="69"/>
      <c r="Q152" s="36"/>
      <c r="R152" s="36"/>
      <c r="S152" s="36" t="s">
        <v>108</v>
      </c>
      <c r="T152" s="71"/>
      <c r="U152" s="55"/>
      <c r="V152" s="56"/>
      <c r="W152" s="56"/>
      <c r="X152" s="36"/>
      <c r="Y152" s="36"/>
      <c r="Z152" s="72" t="s">
        <v>108</v>
      </c>
      <c r="AA152" s="71"/>
      <c r="AB152" s="36"/>
      <c r="AC152" s="36"/>
      <c r="AD152" s="36"/>
      <c r="AE152" s="36"/>
      <c r="AF152" s="36"/>
      <c r="AG152" s="36" t="s">
        <v>108</v>
      </c>
      <c r="AH152" s="71"/>
      <c r="AI152" s="36"/>
      <c r="AJ152" s="36"/>
      <c r="AK152" s="36"/>
      <c r="AL152" s="36"/>
      <c r="AM152" s="36"/>
      <c r="AN152" s="36" t="s">
        <v>108</v>
      </c>
      <c r="AO152" s="36"/>
      <c r="AP152" s="36"/>
      <c r="AQ152" s="36"/>
      <c r="AR152" s="36"/>
      <c r="AU152" s="36" t="s">
        <v>108</v>
      </c>
      <c r="AW152" s="36"/>
    </row>
    <row r="153" spans="1:49" ht="12.75">
      <c r="A153" s="66" t="s">
        <v>493</v>
      </c>
      <c r="B153" s="385" t="s">
        <v>468</v>
      </c>
      <c r="C153" s="498"/>
      <c r="D153" s="505">
        <v>0</v>
      </c>
      <c r="E153" t="s">
        <v>309</v>
      </c>
      <c r="F153" t="s">
        <v>309</v>
      </c>
      <c r="G153" s="53"/>
      <c r="H153" s="58"/>
      <c r="I153" s="59"/>
      <c r="J153" s="45"/>
      <c r="K153" s="175"/>
      <c r="M153" s="54"/>
      <c r="N153" s="155"/>
      <c r="O153" s="58"/>
      <c r="P153" s="59"/>
      <c r="Q153" s="36"/>
      <c r="R153" s="175"/>
      <c r="T153" s="54"/>
      <c r="U153" s="53"/>
      <c r="V153" s="58"/>
      <c r="W153" s="59"/>
      <c r="Y153" s="175"/>
      <c r="AA153" s="54"/>
      <c r="AB153" s="36"/>
      <c r="AC153" s="36"/>
      <c r="AD153" s="36"/>
      <c r="AE153" s="36"/>
      <c r="AF153" s="36"/>
      <c r="AG153" s="36" t="s">
        <v>108</v>
      </c>
      <c r="AH153" s="54"/>
      <c r="AI153" s="36"/>
      <c r="AJ153" s="36"/>
      <c r="AK153" s="36"/>
      <c r="AL153" s="36"/>
      <c r="AM153" s="36"/>
      <c r="AN153" s="36" t="s">
        <v>108</v>
      </c>
      <c r="AO153" s="36"/>
      <c r="AP153" s="36"/>
      <c r="AQ153" s="36"/>
      <c r="AR153" s="36"/>
      <c r="AU153" s="36" t="s">
        <v>108</v>
      </c>
      <c r="AW153" s="36"/>
    </row>
    <row r="154" spans="1:49" ht="12.75">
      <c r="A154" s="66"/>
      <c r="B154" s="367" t="s">
        <v>502</v>
      </c>
      <c r="C154" s="498"/>
      <c r="D154" s="505">
        <v>0</v>
      </c>
      <c r="E154" t="s">
        <v>309</v>
      </c>
      <c r="F154" t="s">
        <v>309</v>
      </c>
      <c r="G154" s="53"/>
      <c r="H154" s="58"/>
      <c r="I154" s="59"/>
      <c r="J154" s="45"/>
      <c r="K154" s="175"/>
      <c r="M154" s="54"/>
      <c r="N154" s="155"/>
      <c r="O154" s="58"/>
      <c r="P154" s="59"/>
      <c r="Q154" s="36"/>
      <c r="R154" s="175"/>
      <c r="T154" s="54"/>
      <c r="U154" s="53"/>
      <c r="V154" s="58"/>
      <c r="W154" s="59"/>
      <c r="Y154" s="175"/>
      <c r="AA154" s="54"/>
      <c r="AB154" s="36"/>
      <c r="AC154" s="36"/>
      <c r="AD154" s="36"/>
      <c r="AE154" s="36"/>
      <c r="AF154" s="36"/>
      <c r="AG154" s="36" t="s">
        <v>108</v>
      </c>
      <c r="AH154" s="54"/>
      <c r="AI154" s="36"/>
      <c r="AJ154" s="36"/>
      <c r="AK154" s="36"/>
      <c r="AL154" s="36"/>
      <c r="AM154" s="36"/>
      <c r="AN154" s="36" t="s">
        <v>108</v>
      </c>
      <c r="AO154" s="36"/>
      <c r="AP154" s="36"/>
      <c r="AQ154" s="36"/>
      <c r="AR154" s="36"/>
      <c r="AU154" s="36" t="s">
        <v>108</v>
      </c>
      <c r="AW154" s="36"/>
    </row>
    <row r="155" spans="1:49" ht="12.75">
      <c r="A155" s="65"/>
      <c r="C155" s="36"/>
      <c r="D155" s="48"/>
      <c r="G155" s="68"/>
      <c r="H155" s="69"/>
      <c r="I155" s="69"/>
      <c r="J155" s="70"/>
      <c r="K155" s="70"/>
      <c r="L155" s="36" t="s">
        <v>108</v>
      </c>
      <c r="M155" s="71"/>
      <c r="N155" s="68"/>
      <c r="O155" s="69"/>
      <c r="P155" s="69"/>
      <c r="Q155" s="36"/>
      <c r="R155" s="36"/>
      <c r="S155" s="36" t="s">
        <v>108</v>
      </c>
      <c r="T155" s="71"/>
      <c r="U155" s="55"/>
      <c r="V155" s="56"/>
      <c r="W155" s="56"/>
      <c r="X155" s="36"/>
      <c r="Y155" s="36"/>
      <c r="Z155" s="72" t="s">
        <v>108</v>
      </c>
      <c r="AA155" s="71"/>
      <c r="AB155" s="36"/>
      <c r="AC155" s="36"/>
      <c r="AD155" s="36"/>
      <c r="AE155" s="36"/>
      <c r="AF155" s="36"/>
      <c r="AG155" s="36" t="s">
        <v>108</v>
      </c>
      <c r="AH155" s="71"/>
      <c r="AW155" s="36"/>
    </row>
    <row r="156" spans="1:49" ht="12.75">
      <c r="A156" s="66"/>
      <c r="B156" s="4" t="s">
        <v>527</v>
      </c>
      <c r="D156" s="48"/>
      <c r="N156" s="9"/>
      <c r="O156" s="9"/>
      <c r="P156" s="9"/>
      <c r="S156" s="49" t="s">
        <v>108</v>
      </c>
      <c r="U156" s="9"/>
      <c r="AW156" s="36"/>
    </row>
    <row r="157" spans="1:49" ht="12.75">
      <c r="A157" s="66"/>
      <c r="B157" t="s">
        <v>371</v>
      </c>
      <c r="C157" t="s">
        <v>371</v>
      </c>
      <c r="D157" t="s">
        <v>356</v>
      </c>
      <c r="E157" t="s">
        <v>357</v>
      </c>
      <c r="F157" t="s">
        <v>358</v>
      </c>
      <c r="G157" t="s">
        <v>359</v>
      </c>
      <c r="H157" t="s">
        <v>360</v>
      </c>
      <c r="I157" t="s">
        <v>361</v>
      </c>
      <c r="J157" t="s">
        <v>362</v>
      </c>
      <c r="L157" t="s">
        <v>363</v>
      </c>
      <c r="M157" s="50" t="s">
        <v>364</v>
      </c>
      <c r="N157" s="51" t="s">
        <v>365</v>
      </c>
      <c r="O157" s="51" t="s">
        <v>366</v>
      </c>
      <c r="P157" s="52" t="s">
        <v>367</v>
      </c>
      <c r="Q157" t="s">
        <v>369</v>
      </c>
      <c r="S157" s="52" t="s">
        <v>368</v>
      </c>
      <c r="T157" s="50" t="s">
        <v>364</v>
      </c>
      <c r="U157" s="51" t="s">
        <v>365</v>
      </c>
      <c r="V157" s="51" t="s">
        <v>366</v>
      </c>
      <c r="W157" s="52" t="s">
        <v>367</v>
      </c>
      <c r="X157" t="s">
        <v>369</v>
      </c>
      <c r="Z157" s="52" t="s">
        <v>368</v>
      </c>
      <c r="AA157" s="50" t="s">
        <v>364</v>
      </c>
      <c r="AB157" s="51" t="s">
        <v>365</v>
      </c>
      <c r="AC157" s="52" t="s">
        <v>366</v>
      </c>
      <c r="AD157" s="52" t="s">
        <v>367</v>
      </c>
      <c r="AE157" t="s">
        <v>369</v>
      </c>
      <c r="AG157" s="52" t="s">
        <v>368</v>
      </c>
      <c r="AH157" s="50" t="s">
        <v>364</v>
      </c>
      <c r="AI157" s="51" t="s">
        <v>365</v>
      </c>
      <c r="AJ157" s="51" t="s">
        <v>366</v>
      </c>
      <c r="AK157" s="52" t="s">
        <v>367</v>
      </c>
      <c r="AL157" t="s">
        <v>369</v>
      </c>
      <c r="AN157" s="52" t="s">
        <v>368</v>
      </c>
      <c r="AO157" s="51"/>
      <c r="AP157" s="51"/>
      <c r="AQ157" s="52"/>
      <c r="AR157" s="52"/>
      <c r="AW157" s="36"/>
    </row>
    <row r="158" spans="1:49" ht="12.75">
      <c r="A158" s="65" t="s">
        <v>425</v>
      </c>
      <c r="B158" s="367">
        <v>0</v>
      </c>
      <c r="C158" s="367">
        <v>4</v>
      </c>
      <c r="D158" s="505">
        <v>0</v>
      </c>
      <c r="E158">
        <v>10</v>
      </c>
      <c r="F158">
        <v>10</v>
      </c>
      <c r="G158" s="53"/>
      <c r="H158" s="58"/>
      <c r="I158" s="59"/>
      <c r="J158" s="45"/>
      <c r="K158" s="175"/>
      <c r="M158" s="54"/>
      <c r="N158" s="155"/>
      <c r="O158" s="58"/>
      <c r="P158" s="59"/>
      <c r="Q158" s="36"/>
      <c r="R158" s="175"/>
      <c r="T158" s="54"/>
      <c r="U158" s="53"/>
      <c r="V158" s="58"/>
      <c r="W158" s="59"/>
      <c r="Y158" s="175"/>
      <c r="AA158" s="54"/>
      <c r="AH158" s="54"/>
      <c r="AW158" s="36"/>
    </row>
    <row r="159" spans="1:49" ht="12.75">
      <c r="A159" s="65"/>
      <c r="B159" s="367">
        <v>5</v>
      </c>
      <c r="C159" s="367">
        <v>15</v>
      </c>
      <c r="D159" s="505">
        <v>0</v>
      </c>
      <c r="E159">
        <v>10</v>
      </c>
      <c r="F159">
        <v>10</v>
      </c>
      <c r="G159" s="53"/>
      <c r="H159" s="58"/>
      <c r="I159" s="59"/>
      <c r="J159" s="45"/>
      <c r="K159" s="175"/>
      <c r="M159" s="54"/>
      <c r="N159" s="155"/>
      <c r="O159" s="58"/>
      <c r="P159" s="59"/>
      <c r="Q159" s="36"/>
      <c r="R159" s="175"/>
      <c r="T159" s="54"/>
      <c r="U159" s="53"/>
      <c r="V159" s="58"/>
      <c r="W159" s="59"/>
      <c r="Y159" s="175"/>
      <c r="AA159" s="54"/>
      <c r="AH159" s="54"/>
      <c r="AW159" s="36"/>
    </row>
    <row r="160" spans="1:49" ht="12.75">
      <c r="A160" s="37"/>
      <c r="B160" s="367">
        <v>16</v>
      </c>
      <c r="C160" s="367">
        <v>24</v>
      </c>
      <c r="D160" s="505">
        <v>0</v>
      </c>
      <c r="E160">
        <v>10</v>
      </c>
      <c r="F160">
        <v>10</v>
      </c>
      <c r="G160" s="53"/>
      <c r="H160" s="58"/>
      <c r="I160" s="59"/>
      <c r="J160" s="45"/>
      <c r="K160" s="175"/>
      <c r="M160" s="54"/>
      <c r="N160" s="155"/>
      <c r="O160" s="58"/>
      <c r="P160" s="59"/>
      <c r="Q160" s="36"/>
      <c r="R160" s="175"/>
      <c r="T160" s="54"/>
      <c r="U160" s="53"/>
      <c r="V160" s="58"/>
      <c r="W160" s="59"/>
      <c r="Y160" s="175"/>
      <c r="AA160" s="54"/>
      <c r="AH160" s="54"/>
      <c r="AW160" s="36"/>
    </row>
    <row r="161" spans="1:49" ht="12.75">
      <c r="A161" s="37"/>
      <c r="B161" s="367">
        <v>25</v>
      </c>
      <c r="C161" s="367">
        <v>50</v>
      </c>
      <c r="D161" s="505">
        <v>0</v>
      </c>
      <c r="E161">
        <v>10</v>
      </c>
      <c r="F161">
        <v>10</v>
      </c>
      <c r="G161" s="53"/>
      <c r="H161" s="58"/>
      <c r="I161" s="59"/>
      <c r="J161" s="45"/>
      <c r="K161" s="175"/>
      <c r="M161" s="54"/>
      <c r="N161" s="155"/>
      <c r="O161" s="58"/>
      <c r="P161" s="59"/>
      <c r="Q161" s="36"/>
      <c r="R161" s="175"/>
      <c r="T161" s="54"/>
      <c r="U161" s="53"/>
      <c r="V161" s="58"/>
      <c r="W161" s="59"/>
      <c r="Y161" s="175"/>
      <c r="AA161" s="54"/>
      <c r="AH161" s="54"/>
      <c r="AW161" s="36"/>
    </row>
    <row r="162" spans="1:49" ht="12.75">
      <c r="A162" s="37"/>
      <c r="B162" s="367">
        <v>51</v>
      </c>
      <c r="C162" s="367">
        <v>100</v>
      </c>
      <c r="D162" s="505">
        <v>0</v>
      </c>
      <c r="E162">
        <v>10</v>
      </c>
      <c r="F162">
        <v>10</v>
      </c>
      <c r="G162" s="53"/>
      <c r="H162" s="58"/>
      <c r="I162" s="59"/>
      <c r="J162" s="45"/>
      <c r="K162" s="175"/>
      <c r="M162" s="54"/>
      <c r="N162" s="155"/>
      <c r="O162" s="58"/>
      <c r="P162" s="59"/>
      <c r="Q162" s="36"/>
      <c r="R162" s="175"/>
      <c r="T162" s="54"/>
      <c r="U162" s="53"/>
      <c r="V162" s="58"/>
      <c r="W162" s="59"/>
      <c r="Y162" s="175"/>
      <c r="AA162" s="54"/>
      <c r="AH162" s="54"/>
      <c r="AW162" s="36"/>
    </row>
    <row r="163" spans="1:49" ht="12.75">
      <c r="A163" s="37"/>
      <c r="B163" s="367">
        <v>101</v>
      </c>
      <c r="C163" s="367">
        <v>500</v>
      </c>
      <c r="D163" s="505">
        <v>0</v>
      </c>
      <c r="E163">
        <v>10</v>
      </c>
      <c r="F163">
        <v>10</v>
      </c>
      <c r="G163" s="53"/>
      <c r="H163" s="58"/>
      <c r="I163" s="59"/>
      <c r="J163" s="45"/>
      <c r="K163" s="175"/>
      <c r="M163" s="54"/>
      <c r="N163" s="155"/>
      <c r="O163" s="58"/>
      <c r="P163" s="59"/>
      <c r="Q163" s="36"/>
      <c r="R163" s="175"/>
      <c r="T163" s="54"/>
      <c r="U163" s="53"/>
      <c r="V163" s="58"/>
      <c r="W163" s="59"/>
      <c r="Y163" s="175"/>
      <c r="AA163" s="54"/>
      <c r="AH163" s="54"/>
      <c r="AW163" s="36"/>
    </row>
    <row r="164" spans="1:49" ht="12.75">
      <c r="A164" s="37"/>
      <c r="B164" s="367">
        <v>501</v>
      </c>
      <c r="C164" s="367">
        <v>1000</v>
      </c>
      <c r="D164" s="505">
        <v>0</v>
      </c>
      <c r="E164">
        <v>10</v>
      </c>
      <c r="F164">
        <v>10</v>
      </c>
      <c r="G164" s="53"/>
      <c r="H164" s="58"/>
      <c r="I164" s="59"/>
      <c r="J164" s="45"/>
      <c r="K164" s="175"/>
      <c r="M164" s="54"/>
      <c r="N164" s="155"/>
      <c r="O164" s="58"/>
      <c r="P164" s="59"/>
      <c r="Q164" s="36"/>
      <c r="R164" s="175"/>
      <c r="T164" s="54"/>
      <c r="U164" s="53"/>
      <c r="V164" s="58"/>
      <c r="W164" s="59"/>
      <c r="Y164" s="175"/>
      <c r="AA164" s="54"/>
      <c r="AH164" s="54"/>
      <c r="AW164" s="36"/>
    </row>
    <row r="165" spans="2:49" ht="12.75">
      <c r="B165" s="4" t="s">
        <v>528</v>
      </c>
      <c r="C165" s="36"/>
      <c r="D165" s="67"/>
      <c r="E165" s="36"/>
      <c r="F165" s="36"/>
      <c r="G165" s="68"/>
      <c r="H165" s="69"/>
      <c r="I165" s="69"/>
      <c r="J165" s="70"/>
      <c r="K165" s="70"/>
      <c r="L165" s="36" t="s">
        <v>108</v>
      </c>
      <c r="M165" s="71"/>
      <c r="N165" s="68"/>
      <c r="O165" s="69"/>
      <c r="P165" s="69"/>
      <c r="Q165" s="36"/>
      <c r="R165" s="36"/>
      <c r="S165" s="36" t="s">
        <v>108</v>
      </c>
      <c r="T165" s="71"/>
      <c r="U165" s="55"/>
      <c r="V165" s="56"/>
      <c r="W165" s="56"/>
      <c r="X165" s="36"/>
      <c r="Y165" s="36"/>
      <c r="Z165" s="72" t="s">
        <v>108</v>
      </c>
      <c r="AA165" s="71"/>
      <c r="AB165" s="36"/>
      <c r="AC165" s="36"/>
      <c r="AD165" s="36"/>
      <c r="AE165" s="36"/>
      <c r="AF165" s="36"/>
      <c r="AG165" s="36" t="s">
        <v>108</v>
      </c>
      <c r="AH165" s="71"/>
      <c r="AI165" s="36"/>
      <c r="AJ165" s="36"/>
      <c r="AK165" s="36"/>
      <c r="AL165" s="36"/>
      <c r="AM165" s="36"/>
      <c r="AN165" s="36" t="s">
        <v>108</v>
      </c>
      <c r="AO165" s="36"/>
      <c r="AP165" s="36"/>
      <c r="AQ165" s="36"/>
      <c r="AR165" s="36"/>
      <c r="AU165" s="36" t="s">
        <v>108</v>
      </c>
      <c r="AW165" s="36"/>
    </row>
    <row r="166" spans="1:49" ht="12.75">
      <c r="A166" s="66" t="s">
        <v>494</v>
      </c>
      <c r="B166" s="385" t="s">
        <v>468</v>
      </c>
      <c r="C166" s="498"/>
      <c r="D166" s="505">
        <v>0</v>
      </c>
      <c r="E166" t="s">
        <v>309</v>
      </c>
      <c r="F166" t="s">
        <v>309</v>
      </c>
      <c r="G166" s="53"/>
      <c r="H166" s="58"/>
      <c r="I166" s="59"/>
      <c r="J166" s="45"/>
      <c r="K166" s="175"/>
      <c r="M166" s="54"/>
      <c r="N166" s="155"/>
      <c r="O166" s="58"/>
      <c r="P166" s="59"/>
      <c r="Q166" s="36"/>
      <c r="R166" s="175"/>
      <c r="T166" s="54"/>
      <c r="U166" s="53"/>
      <c r="V166" s="58"/>
      <c r="W166" s="59"/>
      <c r="Y166" s="175"/>
      <c r="AA166" s="54"/>
      <c r="AB166" s="36"/>
      <c r="AC166" s="36"/>
      <c r="AD166" s="36"/>
      <c r="AE166" s="36"/>
      <c r="AF166" s="36"/>
      <c r="AG166" s="36" t="s">
        <v>108</v>
      </c>
      <c r="AH166" s="54"/>
      <c r="AI166" s="36"/>
      <c r="AJ166" s="36"/>
      <c r="AK166" s="36"/>
      <c r="AL166" s="36"/>
      <c r="AM166" s="36"/>
      <c r="AN166" s="36" t="s">
        <v>108</v>
      </c>
      <c r="AO166" s="36"/>
      <c r="AP166" s="36"/>
      <c r="AQ166" s="36"/>
      <c r="AR166" s="36"/>
      <c r="AU166" s="36" t="s">
        <v>108</v>
      </c>
      <c r="AW166" s="36"/>
    </row>
    <row r="167" spans="1:49" ht="12.75">
      <c r="A167" s="65"/>
      <c r="B167" s="367" t="s">
        <v>502</v>
      </c>
      <c r="C167" s="367"/>
      <c r="D167" s="505">
        <v>0</v>
      </c>
      <c r="E167" t="s">
        <v>309</v>
      </c>
      <c r="F167" t="s">
        <v>309</v>
      </c>
      <c r="G167" s="53"/>
      <c r="H167" s="58"/>
      <c r="I167" s="59"/>
      <c r="J167" s="45"/>
      <c r="K167" s="175"/>
      <c r="M167" s="54"/>
      <c r="N167" s="155"/>
      <c r="O167" s="58"/>
      <c r="P167" s="59"/>
      <c r="Q167" s="36"/>
      <c r="R167" s="175"/>
      <c r="T167" s="54"/>
      <c r="U167" s="53"/>
      <c r="V167" s="58"/>
      <c r="W167" s="59"/>
      <c r="Y167" s="175"/>
      <c r="AA167" s="54"/>
      <c r="AH167" s="54"/>
      <c r="AW167" s="36"/>
    </row>
    <row r="168" spans="1:49" ht="12.75">
      <c r="A168" s="65"/>
      <c r="C168" s="36"/>
      <c r="D168" s="48"/>
      <c r="G168" s="68"/>
      <c r="H168" s="69"/>
      <c r="I168" s="69"/>
      <c r="J168" s="70"/>
      <c r="K168" s="70"/>
      <c r="M168" s="54"/>
      <c r="N168" s="68"/>
      <c r="O168" s="69"/>
      <c r="P168" s="69"/>
      <c r="T168" s="54"/>
      <c r="U168" s="55"/>
      <c r="V168" s="56"/>
      <c r="W168" s="56"/>
      <c r="Z168" s="52" t="s">
        <v>108</v>
      </c>
      <c r="AA168" s="54"/>
      <c r="AH168" s="54"/>
      <c r="AW168" s="36"/>
    </row>
    <row r="169" spans="1:49" ht="12.75">
      <c r="A169" s="66"/>
      <c r="B169" s="4" t="s">
        <v>428</v>
      </c>
      <c r="D169" s="48"/>
      <c r="N169" s="9"/>
      <c r="O169" s="9"/>
      <c r="P169" s="9"/>
      <c r="S169" s="49" t="s">
        <v>108</v>
      </c>
      <c r="U169" s="9"/>
      <c r="AW169" s="36"/>
    </row>
    <row r="170" spans="1:49" ht="12.75">
      <c r="A170" s="66"/>
      <c r="B170" t="s">
        <v>371</v>
      </c>
      <c r="C170" t="s">
        <v>371</v>
      </c>
      <c r="D170" t="s">
        <v>356</v>
      </c>
      <c r="E170" t="s">
        <v>357</v>
      </c>
      <c r="F170" t="s">
        <v>358</v>
      </c>
      <c r="G170" t="s">
        <v>359</v>
      </c>
      <c r="H170" t="s">
        <v>360</v>
      </c>
      <c r="I170" t="s">
        <v>361</v>
      </c>
      <c r="J170" t="s">
        <v>362</v>
      </c>
      <c r="L170" t="s">
        <v>363</v>
      </c>
      <c r="M170" s="50" t="s">
        <v>364</v>
      </c>
      <c r="N170" s="51" t="s">
        <v>365</v>
      </c>
      <c r="O170" s="51" t="s">
        <v>366</v>
      </c>
      <c r="P170" s="52" t="s">
        <v>367</v>
      </c>
      <c r="Q170" t="s">
        <v>369</v>
      </c>
      <c r="S170" s="52" t="s">
        <v>368</v>
      </c>
      <c r="T170" s="50" t="s">
        <v>364</v>
      </c>
      <c r="U170" s="51" t="s">
        <v>365</v>
      </c>
      <c r="V170" s="51" t="s">
        <v>366</v>
      </c>
      <c r="W170" s="52" t="s">
        <v>367</v>
      </c>
      <c r="X170" t="s">
        <v>369</v>
      </c>
      <c r="Z170" s="52" t="s">
        <v>368</v>
      </c>
      <c r="AA170" s="50" t="s">
        <v>364</v>
      </c>
      <c r="AB170" s="51" t="s">
        <v>365</v>
      </c>
      <c r="AC170" s="52" t="s">
        <v>366</v>
      </c>
      <c r="AD170" s="52" t="s">
        <v>367</v>
      </c>
      <c r="AE170" t="s">
        <v>369</v>
      </c>
      <c r="AG170" s="52" t="s">
        <v>368</v>
      </c>
      <c r="AH170" s="50" t="s">
        <v>364</v>
      </c>
      <c r="AI170" s="51" t="s">
        <v>365</v>
      </c>
      <c r="AJ170" s="51" t="s">
        <v>366</v>
      </c>
      <c r="AK170" s="52" t="s">
        <v>367</v>
      </c>
      <c r="AL170" t="s">
        <v>369</v>
      </c>
      <c r="AN170" s="52" t="s">
        <v>368</v>
      </c>
      <c r="AO170" s="51"/>
      <c r="AP170" s="51"/>
      <c r="AQ170" s="52"/>
      <c r="AR170" s="52"/>
      <c r="AW170" s="36"/>
    </row>
    <row r="171" spans="1:49" ht="12.75">
      <c r="A171" s="65" t="s">
        <v>429</v>
      </c>
      <c r="B171" s="367">
        <v>0</v>
      </c>
      <c r="C171" s="367">
        <v>4</v>
      </c>
      <c r="D171" s="505">
        <f aca="true" t="shared" si="60" ref="D171:D177">IF(AVERAGE(K171,R171,Y171,AF171,AM171,AT171)=0,"contact vendor",AVERAGE(K171,R171,Y171,AF171,AM171,AT171))</f>
        <v>1225.2222222222222</v>
      </c>
      <c r="E171">
        <v>10</v>
      </c>
      <c r="F171">
        <v>10</v>
      </c>
      <c r="G171" s="154">
        <v>1599</v>
      </c>
      <c r="H171" s="58">
        <f aca="true" t="shared" si="61" ref="H171:H177">G171*M171</f>
        <v>1599</v>
      </c>
      <c r="I171" s="59">
        <f aca="true" t="shared" si="62" ref="I171:I177">H171</f>
        <v>1599</v>
      </c>
      <c r="J171">
        <v>2006</v>
      </c>
      <c r="K171" s="175">
        <f aca="true" t="shared" si="63" ref="K171:K177">I171*VLOOKUP(J171,cci_table,3,FALSE)</f>
        <v>1599</v>
      </c>
      <c r="L171" s="52" t="s">
        <v>107</v>
      </c>
      <c r="M171" s="54">
        <v>1</v>
      </c>
      <c r="N171" s="53">
        <v>1100</v>
      </c>
      <c r="O171" s="58">
        <f aca="true" t="shared" si="64" ref="O171:O177">N171*T171</f>
        <v>1100</v>
      </c>
      <c r="P171" s="59">
        <f aca="true" t="shared" si="65" ref="P171:P177">O171</f>
        <v>1100</v>
      </c>
      <c r="Q171">
        <v>2006</v>
      </c>
      <c r="R171" s="175">
        <f aca="true" t="shared" si="66" ref="R171:R177">P171*VLOOKUP(Q171,cci_table,3,FALSE)</f>
        <v>1100</v>
      </c>
      <c r="S171" t="s">
        <v>109</v>
      </c>
      <c r="T171" s="54">
        <v>1</v>
      </c>
      <c r="U171" s="154">
        <f>AVERAGE(920,980,1030)</f>
        <v>976.6666666666666</v>
      </c>
      <c r="V171" s="58">
        <f aca="true" t="shared" si="67" ref="V171:V177">U171*AA171</f>
        <v>976.6666666666666</v>
      </c>
      <c r="W171" s="59">
        <f aca="true" t="shared" si="68" ref="W171:W180">V171</f>
        <v>976.6666666666666</v>
      </c>
      <c r="X171">
        <v>2006</v>
      </c>
      <c r="Y171" s="175">
        <f>W171*VLOOKUP(X171,cci_table,3,FALSE)</f>
        <v>976.6666666666666</v>
      </c>
      <c r="Z171" s="463" t="s">
        <v>110</v>
      </c>
      <c r="AA171" s="54">
        <v>1</v>
      </c>
      <c r="AB171" s="154"/>
      <c r="AC171" s="58"/>
      <c r="AD171" s="59"/>
      <c r="AF171" s="175"/>
      <c r="AG171" s="463" t="s">
        <v>108</v>
      </c>
      <c r="AH171" s="54"/>
      <c r="AW171" s="36"/>
    </row>
    <row r="172" spans="1:49" ht="12.75">
      <c r="A172" s="65"/>
      <c r="B172" s="367">
        <v>5</v>
      </c>
      <c r="C172" s="367">
        <v>15</v>
      </c>
      <c r="D172" s="505">
        <f t="shared" si="60"/>
        <v>1225.2222222222222</v>
      </c>
      <c r="E172">
        <v>10</v>
      </c>
      <c r="F172">
        <v>10</v>
      </c>
      <c r="G172" s="154">
        <v>1599</v>
      </c>
      <c r="H172" s="58">
        <f t="shared" si="61"/>
        <v>1599</v>
      </c>
      <c r="I172" s="59">
        <f t="shared" si="62"/>
        <v>1599</v>
      </c>
      <c r="J172">
        <v>2006</v>
      </c>
      <c r="K172" s="175">
        <f t="shared" si="63"/>
        <v>1599</v>
      </c>
      <c r="L172" s="52" t="s">
        <v>107</v>
      </c>
      <c r="M172" s="54">
        <v>1</v>
      </c>
      <c r="N172" s="53">
        <v>1100</v>
      </c>
      <c r="O172" s="58">
        <f t="shared" si="64"/>
        <v>1100</v>
      </c>
      <c r="P172" s="59">
        <f t="shared" si="65"/>
        <v>1100</v>
      </c>
      <c r="Q172">
        <v>2006</v>
      </c>
      <c r="R172" s="175">
        <f t="shared" si="66"/>
        <v>1100</v>
      </c>
      <c r="S172" t="s">
        <v>109</v>
      </c>
      <c r="T172" s="54">
        <v>1</v>
      </c>
      <c r="U172" s="154">
        <f aca="true" t="shared" si="69" ref="U172:U177">AVERAGE(920,980,1030)</f>
        <v>976.6666666666666</v>
      </c>
      <c r="V172" s="58">
        <f t="shared" si="67"/>
        <v>976.6666666666666</v>
      </c>
      <c r="W172" s="59">
        <f t="shared" si="68"/>
        <v>976.6666666666666</v>
      </c>
      <c r="X172">
        <v>2006</v>
      </c>
      <c r="Y172" s="175">
        <f aca="true" t="shared" si="70" ref="Y172:Y177">W172*VLOOKUP(X172,cci_table,3,FALSE)</f>
        <v>976.6666666666666</v>
      </c>
      <c r="Z172" s="463" t="s">
        <v>110</v>
      </c>
      <c r="AA172" s="54">
        <v>1</v>
      </c>
      <c r="AB172" s="154"/>
      <c r="AC172" s="58"/>
      <c r="AD172" s="59"/>
      <c r="AF172" s="175"/>
      <c r="AG172" s="463" t="s">
        <v>108</v>
      </c>
      <c r="AH172" s="54"/>
      <c r="AW172" s="36"/>
    </row>
    <row r="173" spans="1:49" ht="12.75">
      <c r="A173" s="37"/>
      <c r="B173" s="367">
        <v>16</v>
      </c>
      <c r="C173" s="367">
        <v>24</v>
      </c>
      <c r="D173" s="505">
        <f t="shared" si="60"/>
        <v>1225.2222222222222</v>
      </c>
      <c r="E173">
        <v>10</v>
      </c>
      <c r="F173">
        <v>10</v>
      </c>
      <c r="G173" s="154">
        <v>1599</v>
      </c>
      <c r="H173" s="58">
        <f t="shared" si="61"/>
        <v>1599</v>
      </c>
      <c r="I173" s="59">
        <f t="shared" si="62"/>
        <v>1599</v>
      </c>
      <c r="J173">
        <v>2006</v>
      </c>
      <c r="K173" s="175">
        <f t="shared" si="63"/>
        <v>1599</v>
      </c>
      <c r="L173" s="52" t="s">
        <v>107</v>
      </c>
      <c r="M173" s="54">
        <f>$M$68</f>
        <v>1</v>
      </c>
      <c r="N173" s="53">
        <v>1100</v>
      </c>
      <c r="O173" s="58">
        <f t="shared" si="64"/>
        <v>1100</v>
      </c>
      <c r="P173" s="59">
        <f t="shared" si="65"/>
        <v>1100</v>
      </c>
      <c r="Q173">
        <v>2006</v>
      </c>
      <c r="R173" s="175">
        <f t="shared" si="66"/>
        <v>1100</v>
      </c>
      <c r="S173" t="s">
        <v>109</v>
      </c>
      <c r="T173" s="54">
        <f>$M$68</f>
        <v>1</v>
      </c>
      <c r="U173" s="154">
        <f t="shared" si="69"/>
        <v>976.6666666666666</v>
      </c>
      <c r="V173" s="58">
        <f t="shared" si="67"/>
        <v>976.6666666666666</v>
      </c>
      <c r="W173" s="59">
        <f t="shared" si="68"/>
        <v>976.6666666666666</v>
      </c>
      <c r="X173">
        <v>2006</v>
      </c>
      <c r="Y173" s="175">
        <f t="shared" si="70"/>
        <v>976.6666666666666</v>
      </c>
      <c r="Z173" s="463" t="s">
        <v>110</v>
      </c>
      <c r="AA173" s="54">
        <v>1</v>
      </c>
      <c r="AB173" s="154"/>
      <c r="AC173" s="58"/>
      <c r="AD173" s="59"/>
      <c r="AF173" s="175"/>
      <c r="AG173" s="463" t="s">
        <v>108</v>
      </c>
      <c r="AH173" s="54"/>
      <c r="AW173" s="36"/>
    </row>
    <row r="174" spans="1:49" ht="12.75">
      <c r="A174" s="37"/>
      <c r="B174" s="367">
        <v>25</v>
      </c>
      <c r="C174" s="367">
        <v>50</v>
      </c>
      <c r="D174" s="505">
        <f t="shared" si="60"/>
        <v>1225.2222222222222</v>
      </c>
      <c r="E174">
        <v>10</v>
      </c>
      <c r="F174">
        <v>10</v>
      </c>
      <c r="G174" s="154">
        <v>1599</v>
      </c>
      <c r="H174" s="58">
        <f t="shared" si="61"/>
        <v>1599</v>
      </c>
      <c r="I174" s="59">
        <f t="shared" si="62"/>
        <v>1599</v>
      </c>
      <c r="J174">
        <v>2006</v>
      </c>
      <c r="K174" s="175">
        <f t="shared" si="63"/>
        <v>1599</v>
      </c>
      <c r="L174" s="52" t="s">
        <v>107</v>
      </c>
      <c r="M174" s="54">
        <f>$M$68</f>
        <v>1</v>
      </c>
      <c r="N174" s="53">
        <v>1100</v>
      </c>
      <c r="O174" s="58">
        <f t="shared" si="64"/>
        <v>1100</v>
      </c>
      <c r="P174" s="59">
        <f t="shared" si="65"/>
        <v>1100</v>
      </c>
      <c r="Q174">
        <v>2006</v>
      </c>
      <c r="R174" s="175">
        <f t="shared" si="66"/>
        <v>1100</v>
      </c>
      <c r="S174" t="s">
        <v>109</v>
      </c>
      <c r="T174" s="54">
        <f>$M$68</f>
        <v>1</v>
      </c>
      <c r="U174" s="154">
        <f t="shared" si="69"/>
        <v>976.6666666666666</v>
      </c>
      <c r="V174" s="58">
        <f t="shared" si="67"/>
        <v>976.6666666666666</v>
      </c>
      <c r="W174" s="59">
        <f t="shared" si="68"/>
        <v>976.6666666666666</v>
      </c>
      <c r="X174">
        <v>2006</v>
      </c>
      <c r="Y174" s="175">
        <f t="shared" si="70"/>
        <v>976.6666666666666</v>
      </c>
      <c r="Z174" s="463" t="s">
        <v>110</v>
      </c>
      <c r="AA174" s="54">
        <v>1</v>
      </c>
      <c r="AB174" s="154"/>
      <c r="AC174" s="58"/>
      <c r="AD174" s="59"/>
      <c r="AF174" s="175"/>
      <c r="AG174" s="463" t="s">
        <v>108</v>
      </c>
      <c r="AH174" s="54"/>
      <c r="AW174" s="36"/>
    </row>
    <row r="175" spans="1:49" ht="12.75">
      <c r="A175" s="37"/>
      <c r="B175" s="367">
        <v>51</v>
      </c>
      <c r="C175" s="367">
        <v>100</v>
      </c>
      <c r="D175" s="505">
        <f t="shared" si="60"/>
        <v>1225.2222222222222</v>
      </c>
      <c r="E175">
        <v>10</v>
      </c>
      <c r="F175">
        <v>10</v>
      </c>
      <c r="G175" s="154">
        <v>1599</v>
      </c>
      <c r="H175" s="58">
        <f t="shared" si="61"/>
        <v>1599</v>
      </c>
      <c r="I175" s="59">
        <f t="shared" si="62"/>
        <v>1599</v>
      </c>
      <c r="J175">
        <v>2006</v>
      </c>
      <c r="K175" s="175">
        <f t="shared" si="63"/>
        <v>1599</v>
      </c>
      <c r="L175" s="52" t="s">
        <v>107</v>
      </c>
      <c r="M175" s="54">
        <f>$M$68</f>
        <v>1</v>
      </c>
      <c r="N175" s="53">
        <v>1100</v>
      </c>
      <c r="O175" s="58">
        <f t="shared" si="64"/>
        <v>1100</v>
      </c>
      <c r="P175" s="59">
        <f t="shared" si="65"/>
        <v>1100</v>
      </c>
      <c r="Q175">
        <v>2006</v>
      </c>
      <c r="R175" s="175">
        <f t="shared" si="66"/>
        <v>1100</v>
      </c>
      <c r="S175" t="s">
        <v>109</v>
      </c>
      <c r="T175" s="54">
        <f>$M$68</f>
        <v>1</v>
      </c>
      <c r="U175" s="154">
        <f t="shared" si="69"/>
        <v>976.6666666666666</v>
      </c>
      <c r="V175" s="58">
        <f t="shared" si="67"/>
        <v>976.6666666666666</v>
      </c>
      <c r="W175" s="59">
        <f t="shared" si="68"/>
        <v>976.6666666666666</v>
      </c>
      <c r="X175">
        <v>2006</v>
      </c>
      <c r="Y175" s="175">
        <f t="shared" si="70"/>
        <v>976.6666666666666</v>
      </c>
      <c r="Z175" s="463" t="s">
        <v>110</v>
      </c>
      <c r="AA175" s="54">
        <v>1</v>
      </c>
      <c r="AB175" s="154"/>
      <c r="AC175" s="58"/>
      <c r="AD175" s="59"/>
      <c r="AF175" s="175"/>
      <c r="AG175" s="463" t="s">
        <v>108</v>
      </c>
      <c r="AH175" s="54"/>
      <c r="AW175" s="36"/>
    </row>
    <row r="176" spans="1:49" ht="12.75">
      <c r="A176" s="37"/>
      <c r="B176" s="367">
        <v>101</v>
      </c>
      <c r="C176" s="367">
        <v>500</v>
      </c>
      <c r="D176" s="505">
        <f t="shared" si="60"/>
        <v>1225.2222222222222</v>
      </c>
      <c r="E176">
        <v>10</v>
      </c>
      <c r="F176">
        <v>10</v>
      </c>
      <c r="G176" s="154">
        <v>1599</v>
      </c>
      <c r="H176" s="58">
        <f t="shared" si="61"/>
        <v>1599</v>
      </c>
      <c r="I176" s="59">
        <f t="shared" si="62"/>
        <v>1599</v>
      </c>
      <c r="J176">
        <v>2006</v>
      </c>
      <c r="K176" s="175">
        <f t="shared" si="63"/>
        <v>1599</v>
      </c>
      <c r="L176" s="52" t="s">
        <v>107</v>
      </c>
      <c r="M176" s="54">
        <f>$M$68</f>
        <v>1</v>
      </c>
      <c r="N176" s="53">
        <v>1100</v>
      </c>
      <c r="O176" s="58">
        <f t="shared" si="64"/>
        <v>1100</v>
      </c>
      <c r="P176" s="59">
        <f t="shared" si="65"/>
        <v>1100</v>
      </c>
      <c r="Q176">
        <v>2006</v>
      </c>
      <c r="R176" s="175">
        <f t="shared" si="66"/>
        <v>1100</v>
      </c>
      <c r="S176" t="s">
        <v>109</v>
      </c>
      <c r="T176" s="54">
        <f>$M$68</f>
        <v>1</v>
      </c>
      <c r="U176" s="154">
        <f t="shared" si="69"/>
        <v>976.6666666666666</v>
      </c>
      <c r="V176" s="58">
        <f t="shared" si="67"/>
        <v>976.6666666666666</v>
      </c>
      <c r="W176" s="59">
        <f t="shared" si="68"/>
        <v>976.6666666666666</v>
      </c>
      <c r="X176">
        <v>2006</v>
      </c>
      <c r="Y176" s="175">
        <f t="shared" si="70"/>
        <v>976.6666666666666</v>
      </c>
      <c r="Z176" s="463" t="s">
        <v>110</v>
      </c>
      <c r="AA176" s="54">
        <v>1</v>
      </c>
      <c r="AB176" s="154"/>
      <c r="AC176" s="58"/>
      <c r="AD176" s="59"/>
      <c r="AF176" s="175"/>
      <c r="AG176" s="463" t="s">
        <v>108</v>
      </c>
      <c r="AH176" s="54"/>
      <c r="AW176" s="36"/>
    </row>
    <row r="177" spans="1:49" ht="12.75">
      <c r="A177" s="37"/>
      <c r="B177" s="367">
        <v>501</v>
      </c>
      <c r="C177" s="367">
        <v>1000</v>
      </c>
      <c r="D177" s="505">
        <f t="shared" si="60"/>
        <v>1225.2222222222222</v>
      </c>
      <c r="E177">
        <v>10</v>
      </c>
      <c r="F177">
        <v>10</v>
      </c>
      <c r="G177" s="154">
        <v>1599</v>
      </c>
      <c r="H177" s="58">
        <f t="shared" si="61"/>
        <v>1599</v>
      </c>
      <c r="I177" s="59">
        <f t="shared" si="62"/>
        <v>1599</v>
      </c>
      <c r="J177">
        <v>2006</v>
      </c>
      <c r="K177" s="175">
        <f t="shared" si="63"/>
        <v>1599</v>
      </c>
      <c r="L177" s="52" t="s">
        <v>107</v>
      </c>
      <c r="M177" s="54">
        <f>$M$68</f>
        <v>1</v>
      </c>
      <c r="N177" s="53">
        <v>1100</v>
      </c>
      <c r="O177" s="58">
        <f t="shared" si="64"/>
        <v>1100</v>
      </c>
      <c r="P177" s="59">
        <f t="shared" si="65"/>
        <v>1100</v>
      </c>
      <c r="Q177">
        <v>2006</v>
      </c>
      <c r="R177" s="175">
        <f t="shared" si="66"/>
        <v>1100</v>
      </c>
      <c r="S177" t="s">
        <v>109</v>
      </c>
      <c r="T177" s="54">
        <f>$M$68</f>
        <v>1</v>
      </c>
      <c r="U177" s="154">
        <f t="shared" si="69"/>
        <v>976.6666666666666</v>
      </c>
      <c r="V177" s="58">
        <f t="shared" si="67"/>
        <v>976.6666666666666</v>
      </c>
      <c r="W177" s="59">
        <f t="shared" si="68"/>
        <v>976.6666666666666</v>
      </c>
      <c r="X177">
        <v>2006</v>
      </c>
      <c r="Y177" s="175">
        <f t="shared" si="70"/>
        <v>976.6666666666666</v>
      </c>
      <c r="Z177" s="463" t="s">
        <v>110</v>
      </c>
      <c r="AA177" s="54">
        <v>1</v>
      </c>
      <c r="AB177" s="154"/>
      <c r="AC177" s="58"/>
      <c r="AD177" s="59"/>
      <c r="AF177" s="175"/>
      <c r="AG177" s="463" t="s">
        <v>108</v>
      </c>
      <c r="AH177" s="54"/>
      <c r="AW177" s="36"/>
    </row>
    <row r="178" spans="2:47" ht="12.75">
      <c r="B178" s="4" t="s">
        <v>530</v>
      </c>
      <c r="C178" s="36"/>
      <c r="D178" s="67"/>
      <c r="E178" t="s">
        <v>357</v>
      </c>
      <c r="F178" t="s">
        <v>358</v>
      </c>
      <c r="G178" s="68"/>
      <c r="H178" s="69"/>
      <c r="I178" s="69"/>
      <c r="J178" s="70"/>
      <c r="K178" s="70"/>
      <c r="L178" s="36" t="s">
        <v>108</v>
      </c>
      <c r="M178" s="71"/>
      <c r="N178" s="68"/>
      <c r="O178" s="69"/>
      <c r="P178" s="69"/>
      <c r="Q178" s="36"/>
      <c r="R178" s="36"/>
      <c r="S178" s="36" t="s">
        <v>108</v>
      </c>
      <c r="T178" s="71"/>
      <c r="U178" s="55"/>
      <c r="V178" s="56"/>
      <c r="W178" s="56"/>
      <c r="Y178" s="36"/>
      <c r="Z178" s="72" t="s">
        <v>108</v>
      </c>
      <c r="AA178" s="36"/>
      <c r="AB178" s="36"/>
      <c r="AC178" s="36"/>
      <c r="AD178" s="36"/>
      <c r="AE178" s="36"/>
      <c r="AF178" s="36"/>
      <c r="AG178" s="36" t="s">
        <v>108</v>
      </c>
      <c r="AH178" s="36"/>
      <c r="AI178" s="36"/>
      <c r="AJ178" s="36"/>
      <c r="AK178" s="36"/>
      <c r="AL178" s="36"/>
      <c r="AM178" s="36"/>
      <c r="AN178" s="36" t="s">
        <v>108</v>
      </c>
      <c r="AO178" s="36"/>
      <c r="AP178" s="36"/>
      <c r="AQ178" s="36"/>
      <c r="AU178" s="36" t="s">
        <v>108</v>
      </c>
    </row>
    <row r="179" spans="1:47" ht="12.75">
      <c r="A179" s="66" t="s">
        <v>529</v>
      </c>
      <c r="B179" s="385" t="s">
        <v>471</v>
      </c>
      <c r="C179" s="498"/>
      <c r="D179" s="505">
        <f>IF(AVERAGE(K179,R179,Y179,AF179,AM179,AT179)=0,"contact vendor",AVERAGE(K179,R179,Y179,AF179,AM179,AT179))</f>
        <v>104</v>
      </c>
      <c r="E179" t="s">
        <v>309</v>
      </c>
      <c r="F179" t="s">
        <v>309</v>
      </c>
      <c r="G179" s="53">
        <v>100</v>
      </c>
      <c r="H179" s="58">
        <f>G179*M179</f>
        <v>100</v>
      </c>
      <c r="I179" s="59">
        <f>H179</f>
        <v>100</v>
      </c>
      <c r="J179" s="45">
        <v>2006</v>
      </c>
      <c r="K179" s="175">
        <f>I179*VLOOKUP(J179,cci_table,3,FALSE)</f>
        <v>100</v>
      </c>
      <c r="L179" t="s">
        <v>107</v>
      </c>
      <c r="M179" s="54">
        <v>1</v>
      </c>
      <c r="N179" s="53">
        <v>127</v>
      </c>
      <c r="O179" s="58">
        <f>N179*T179</f>
        <v>127</v>
      </c>
      <c r="P179" s="59">
        <f>O179</f>
        <v>127</v>
      </c>
      <c r="Q179">
        <v>2006</v>
      </c>
      <c r="R179" s="175">
        <f>P179*VLOOKUP(Q179,cci_table,3,FALSE)</f>
        <v>127</v>
      </c>
      <c r="S179" t="s">
        <v>109</v>
      </c>
      <c r="T179" s="54">
        <v>1</v>
      </c>
      <c r="U179" s="53">
        <f>AVERAGE(80,90)</f>
        <v>85</v>
      </c>
      <c r="V179" s="58">
        <f>U179*AA179</f>
        <v>85</v>
      </c>
      <c r="W179" s="59">
        <f t="shared" si="68"/>
        <v>85</v>
      </c>
      <c r="X179">
        <v>2006</v>
      </c>
      <c r="Y179" s="175">
        <f>W179*VLOOKUP(X179,cci_table,3,FALSE)</f>
        <v>85</v>
      </c>
      <c r="Z179" s="463" t="s">
        <v>110</v>
      </c>
      <c r="AA179" s="71">
        <v>1</v>
      </c>
      <c r="AB179" s="155"/>
      <c r="AC179" s="58"/>
      <c r="AD179" s="59"/>
      <c r="AF179" s="175"/>
      <c r="AG179" s="466" t="s">
        <v>108</v>
      </c>
      <c r="AH179" s="71"/>
      <c r="AI179" s="36"/>
      <c r="AJ179" s="36"/>
      <c r="AK179" s="36"/>
      <c r="AL179" s="36"/>
      <c r="AM179" s="36"/>
      <c r="AN179" s="36" t="s">
        <v>108</v>
      </c>
      <c r="AO179" s="36"/>
      <c r="AP179" s="36"/>
      <c r="AQ179" s="36"/>
      <c r="AU179" s="36" t="s">
        <v>108</v>
      </c>
    </row>
    <row r="180" spans="1:47" ht="12.75">
      <c r="A180" s="66"/>
      <c r="B180" s="385" t="s">
        <v>308</v>
      </c>
      <c r="C180" s="498"/>
      <c r="D180" s="505">
        <f>IF(AVERAGE(K180,R180,Y180,AF180,AM180,AT180)=0,"contact vendor",AVERAGE(K180,R180,Y180,AF180,AM180,AT180))</f>
        <v>61.666666666666664</v>
      </c>
      <c r="E180" t="s">
        <v>309</v>
      </c>
      <c r="F180" t="s">
        <v>309</v>
      </c>
      <c r="G180" s="53">
        <v>60</v>
      </c>
      <c r="H180" s="58">
        <f>G180*M180</f>
        <v>60</v>
      </c>
      <c r="I180" s="59">
        <f>H180</f>
        <v>60</v>
      </c>
      <c r="J180">
        <v>2006</v>
      </c>
      <c r="K180" s="175">
        <f>I180*VLOOKUP(J180,cci_table,3,FALSE)</f>
        <v>60</v>
      </c>
      <c r="L180" t="s">
        <v>107</v>
      </c>
      <c r="M180" s="114">
        <v>1</v>
      </c>
      <c r="N180" s="53">
        <v>75</v>
      </c>
      <c r="O180" s="58">
        <f>N180*T180</f>
        <v>75</v>
      </c>
      <c r="P180" s="59">
        <f>O180</f>
        <v>75</v>
      </c>
      <c r="Q180">
        <v>2006</v>
      </c>
      <c r="R180" s="175">
        <f>P180*VLOOKUP(Q180,cci_table,3,FALSE)</f>
        <v>75</v>
      </c>
      <c r="S180" t="s">
        <v>109</v>
      </c>
      <c r="T180" s="54">
        <v>1</v>
      </c>
      <c r="U180" s="53">
        <f>AVERAGE(50,50)</f>
        <v>50</v>
      </c>
      <c r="V180" s="58">
        <f>U180*AA180</f>
        <v>50</v>
      </c>
      <c r="W180" s="59">
        <f t="shared" si="68"/>
        <v>50</v>
      </c>
      <c r="X180">
        <v>2006</v>
      </c>
      <c r="Y180" s="175">
        <f>W180*VLOOKUP(X180,cci_table,3,FALSE)</f>
        <v>50</v>
      </c>
      <c r="Z180" s="463" t="s">
        <v>110</v>
      </c>
      <c r="AA180" s="71">
        <v>1</v>
      </c>
      <c r="AB180" s="155"/>
      <c r="AC180" s="58"/>
      <c r="AD180" s="59"/>
      <c r="AF180" s="175"/>
      <c r="AG180" s="466" t="s">
        <v>108</v>
      </c>
      <c r="AH180" s="71"/>
      <c r="AI180" s="36"/>
      <c r="AJ180" s="36"/>
      <c r="AK180" s="36"/>
      <c r="AL180" s="36"/>
      <c r="AM180" s="36"/>
      <c r="AN180" s="36" t="s">
        <v>108</v>
      </c>
      <c r="AO180" s="36"/>
      <c r="AP180" s="36"/>
      <c r="AQ180" s="36"/>
      <c r="AU180" s="36" t="s">
        <v>108</v>
      </c>
    </row>
    <row r="181" spans="1:47" ht="12.75">
      <c r="A181" s="66"/>
      <c r="B181" s="10"/>
      <c r="C181" s="100"/>
      <c r="D181" s="48"/>
      <c r="G181" s="68"/>
      <c r="H181" s="69"/>
      <c r="I181" s="69"/>
      <c r="J181" s="45"/>
      <c r="K181" s="45"/>
      <c r="M181" s="54"/>
      <c r="N181" s="68"/>
      <c r="O181" s="69"/>
      <c r="P181" s="69"/>
      <c r="T181" s="54"/>
      <c r="U181" s="55"/>
      <c r="V181" s="56"/>
      <c r="W181" s="56"/>
      <c r="X181" s="36"/>
      <c r="Y181" s="36"/>
      <c r="Z181" s="72" t="s">
        <v>108</v>
      </c>
      <c r="AA181" s="36"/>
      <c r="AB181" s="36"/>
      <c r="AC181" s="36"/>
      <c r="AD181" s="36"/>
      <c r="AE181" s="36"/>
      <c r="AF181" s="36"/>
      <c r="AG181" s="36" t="s">
        <v>108</v>
      </c>
      <c r="AH181" s="36"/>
      <c r="AI181" s="36"/>
      <c r="AJ181" s="36"/>
      <c r="AK181" s="36"/>
      <c r="AL181" s="36"/>
      <c r="AM181" s="36"/>
      <c r="AN181" s="36" t="s">
        <v>108</v>
      </c>
      <c r="AO181" s="36"/>
      <c r="AP181" s="36"/>
      <c r="AQ181" s="36"/>
      <c r="AU181" s="36" t="s">
        <v>108</v>
      </c>
    </row>
    <row r="182" spans="1:47" ht="12.75">
      <c r="A182" s="65"/>
      <c r="B182" t="s">
        <v>533</v>
      </c>
      <c r="C182" s="36"/>
      <c r="D182" s="48"/>
      <c r="E182" t="s">
        <v>357</v>
      </c>
      <c r="F182" t="s">
        <v>358</v>
      </c>
      <c r="G182" s="68"/>
      <c r="H182" s="69"/>
      <c r="I182" s="69"/>
      <c r="J182" s="45"/>
      <c r="K182" s="45"/>
      <c r="M182" s="54"/>
      <c r="N182" s="68"/>
      <c r="O182" s="69"/>
      <c r="P182" s="69"/>
      <c r="T182" s="54"/>
      <c r="U182" s="55"/>
      <c r="V182" s="56"/>
      <c r="W182" s="56"/>
      <c r="Z182" s="52" t="s">
        <v>108</v>
      </c>
      <c r="AU182" s="36" t="s">
        <v>108</v>
      </c>
    </row>
    <row r="183" spans="1:47" ht="12.75">
      <c r="A183" s="65" t="s">
        <v>534</v>
      </c>
      <c r="B183" s="409" t="s">
        <v>392</v>
      </c>
      <c r="C183" s="409" t="s">
        <v>535</v>
      </c>
      <c r="D183" s="505">
        <f>IF(AVERAGE(K183,R183,Y183,AF183,AM183,AT183)=0,"contact vendor",AVERAGE(K183,R183,Y183,AF183,AM183,AT183))</f>
        <v>2.122826086956522</v>
      </c>
      <c r="E183" t="s">
        <v>309</v>
      </c>
      <c r="F183" t="s">
        <v>309</v>
      </c>
      <c r="G183" s="53">
        <v>2</v>
      </c>
      <c r="H183" s="58">
        <f>G183*M183</f>
        <v>2</v>
      </c>
      <c r="I183" s="59">
        <f>H183</f>
        <v>2</v>
      </c>
      <c r="J183" s="45">
        <v>2003</v>
      </c>
      <c r="K183" s="175">
        <f>I183*VLOOKUP(J183,cci_table,3,FALSE)</f>
        <v>2.122826086956522</v>
      </c>
      <c r="L183" t="s">
        <v>107</v>
      </c>
      <c r="M183" s="54">
        <v>1</v>
      </c>
      <c r="N183" s="155"/>
      <c r="O183" s="58"/>
      <c r="P183" s="59"/>
      <c r="Q183" s="36"/>
      <c r="R183" s="175"/>
      <c r="T183" s="54">
        <v>1</v>
      </c>
      <c r="U183" s="53"/>
      <c r="V183" s="56"/>
      <c r="W183" s="56"/>
      <c r="Z183" s="52" t="s">
        <v>108</v>
      </c>
      <c r="AU183" s="36" t="s">
        <v>108</v>
      </c>
    </row>
    <row r="184" spans="1:47" ht="12.75">
      <c r="A184" s="65"/>
      <c r="B184" s="409" t="s">
        <v>393</v>
      </c>
      <c r="C184" s="409" t="s">
        <v>536</v>
      </c>
      <c r="D184" s="505">
        <f>IF(AVERAGE(K184,R184,Y184,AF184,AM184,AT184)=0,"contact vendor",AVERAGE(K184,R184,Y184,AF184,AM184,AT184))</f>
        <v>42.45652173913044</v>
      </c>
      <c r="E184" t="s">
        <v>309</v>
      </c>
      <c r="F184" t="s">
        <v>309</v>
      </c>
      <c r="G184" s="53">
        <v>40</v>
      </c>
      <c r="H184" s="58">
        <f>G184*M184</f>
        <v>40</v>
      </c>
      <c r="I184" s="59">
        <f>H184</f>
        <v>40</v>
      </c>
      <c r="J184" s="45">
        <v>2003</v>
      </c>
      <c r="K184" s="175">
        <f>I184*VLOOKUP(J184,cci_table,3,FALSE)</f>
        <v>42.45652173913044</v>
      </c>
      <c r="L184" t="s">
        <v>107</v>
      </c>
      <c r="M184" s="54">
        <v>1</v>
      </c>
      <c r="N184" s="155"/>
      <c r="O184" s="58"/>
      <c r="P184" s="59"/>
      <c r="Q184" s="36"/>
      <c r="R184" s="175"/>
      <c r="T184" s="54">
        <v>1</v>
      </c>
      <c r="U184" s="53"/>
      <c r="V184" s="56"/>
      <c r="W184" s="56"/>
      <c r="Z184" s="52" t="s">
        <v>108</v>
      </c>
      <c r="AU184" s="36" t="s">
        <v>108</v>
      </c>
    </row>
    <row r="185" spans="1:47" ht="12.75">
      <c r="A185" s="65"/>
      <c r="B185" s="409" t="s">
        <v>554</v>
      </c>
      <c r="C185" s="409" t="s">
        <v>535</v>
      </c>
      <c r="D185" s="505">
        <f>IF(AVERAGE(K185,R185,Y185,AF185,AM185,AT185)=0,"contact vendor",AVERAGE(K185,R185,Y185,AF185,AM185,AT185))</f>
        <v>2.122826086956522</v>
      </c>
      <c r="E185" t="s">
        <v>309</v>
      </c>
      <c r="F185" t="s">
        <v>309</v>
      </c>
      <c r="G185" s="53">
        <v>2</v>
      </c>
      <c r="H185" s="58">
        <f>G185*M185</f>
        <v>2</v>
      </c>
      <c r="I185" s="59">
        <f>H185</f>
        <v>2</v>
      </c>
      <c r="J185" s="45">
        <v>2003</v>
      </c>
      <c r="K185" s="175">
        <f>I185*VLOOKUP(J185,cci_table,3,FALSE)</f>
        <v>2.122826086956522</v>
      </c>
      <c r="L185" t="s">
        <v>107</v>
      </c>
      <c r="M185" s="54">
        <v>1</v>
      </c>
      <c r="N185" s="155"/>
      <c r="O185" s="58"/>
      <c r="P185" s="59"/>
      <c r="Q185" s="36"/>
      <c r="R185" s="175"/>
      <c r="T185" s="54">
        <v>1</v>
      </c>
      <c r="U185" s="53"/>
      <c r="V185" s="56"/>
      <c r="W185" s="56"/>
      <c r="Z185" s="52" t="s">
        <v>108</v>
      </c>
      <c r="AU185" s="36" t="s">
        <v>108</v>
      </c>
    </row>
    <row r="186" spans="1:47" ht="12.75">
      <c r="A186" s="65"/>
      <c r="B186" s="409" t="s">
        <v>394</v>
      </c>
      <c r="C186" s="409" t="s">
        <v>537</v>
      </c>
      <c r="D186" s="506">
        <f>IF(AVERAGE(K186,R186,Y186,AF186,AM186,AT186)=0,"contact vendor",AVERAGE(K186,R186,Y186,AF186,AM186,AT186))</f>
        <v>0.08491304347826088</v>
      </c>
      <c r="E186" t="s">
        <v>309</v>
      </c>
      <c r="F186" t="s">
        <v>309</v>
      </c>
      <c r="G186" s="109">
        <v>0.08</v>
      </c>
      <c r="H186" s="110">
        <f>G186*M186</f>
        <v>0.08</v>
      </c>
      <c r="I186" s="111">
        <f>H186</f>
        <v>0.08</v>
      </c>
      <c r="J186" s="45">
        <v>2003</v>
      </c>
      <c r="K186" s="177">
        <f>I186*VLOOKUP(J186,cci_table,3,FALSE)</f>
        <v>0.08491304347826088</v>
      </c>
      <c r="L186" t="s">
        <v>107</v>
      </c>
      <c r="M186" s="54">
        <v>1</v>
      </c>
      <c r="N186" s="155"/>
      <c r="O186" s="58"/>
      <c r="P186" s="59"/>
      <c r="Q186" s="36"/>
      <c r="R186" s="175"/>
      <c r="T186" s="54">
        <v>1</v>
      </c>
      <c r="U186" s="53"/>
      <c r="V186" s="56"/>
      <c r="W186" s="56"/>
      <c r="Z186" s="52" t="s">
        <v>108</v>
      </c>
      <c r="AU186" s="36" t="s">
        <v>108</v>
      </c>
    </row>
    <row r="187" spans="1:47" ht="12.75">
      <c r="A187" s="37"/>
      <c r="B187" s="409" t="s">
        <v>395</v>
      </c>
      <c r="C187" s="409" t="s">
        <v>537</v>
      </c>
      <c r="D187" s="506">
        <f>IF(AVERAGE(K187,R187,Y187,AF187,AM187,AT187)=0,"contact vendor",AVERAGE(K187,R187,Y187,AF187,AM187,AT187))</f>
        <v>0.08491304347826088</v>
      </c>
      <c r="E187" t="s">
        <v>309</v>
      </c>
      <c r="F187" t="s">
        <v>309</v>
      </c>
      <c r="G187" s="109">
        <v>0.08</v>
      </c>
      <c r="H187" s="110">
        <f>G187*M187</f>
        <v>0.08</v>
      </c>
      <c r="I187" s="111">
        <f>H187</f>
        <v>0.08</v>
      </c>
      <c r="J187" s="45">
        <v>2003</v>
      </c>
      <c r="K187" s="177">
        <f>I187*VLOOKUP(J187,cci_table,3,FALSE)</f>
        <v>0.08491304347826088</v>
      </c>
      <c r="L187" t="s">
        <v>107</v>
      </c>
      <c r="M187" s="54">
        <v>1</v>
      </c>
      <c r="N187" s="155"/>
      <c r="O187" s="58"/>
      <c r="P187" s="59"/>
      <c r="Q187" s="36"/>
      <c r="R187" s="175"/>
      <c r="S187" s="49" t="s">
        <v>108</v>
      </c>
      <c r="T187" s="54">
        <v>1</v>
      </c>
      <c r="U187" s="9"/>
      <c r="AU187" s="36" t="s">
        <v>108</v>
      </c>
    </row>
    <row r="188" spans="1:47" ht="12.75">
      <c r="A188" s="37"/>
      <c r="B188" s="16"/>
      <c r="C188" s="16"/>
      <c r="D188" s="112"/>
      <c r="G188" s="117"/>
      <c r="H188" s="116"/>
      <c r="I188" s="116"/>
      <c r="J188" s="45"/>
      <c r="K188" s="45"/>
      <c r="M188" s="54"/>
      <c r="N188" s="9"/>
      <c r="O188" s="9"/>
      <c r="P188" s="9"/>
      <c r="S188" s="49" t="s">
        <v>108</v>
      </c>
      <c r="T188" s="54"/>
      <c r="U188" s="9"/>
      <c r="AU188" s="36" t="s">
        <v>108</v>
      </c>
    </row>
    <row r="189" spans="1:47" ht="12.75">
      <c r="A189" s="65"/>
      <c r="B189" s="16" t="s">
        <v>541</v>
      </c>
      <c r="C189" s="16"/>
      <c r="D189" s="112"/>
      <c r="G189" s="117"/>
      <c r="H189" s="116"/>
      <c r="I189" s="116"/>
      <c r="J189" s="45"/>
      <c r="K189" s="45"/>
      <c r="M189" s="54"/>
      <c r="N189" s="9"/>
      <c r="O189" s="9"/>
      <c r="P189" s="9"/>
      <c r="S189" s="49" t="s">
        <v>108</v>
      </c>
      <c r="T189" s="54"/>
      <c r="U189" s="9"/>
      <c r="AU189" s="36" t="s">
        <v>108</v>
      </c>
    </row>
    <row r="190" spans="1:47" ht="12.75">
      <c r="A190" s="65" t="s">
        <v>540</v>
      </c>
      <c r="B190" s="372" t="s">
        <v>339</v>
      </c>
      <c r="C190" s="409"/>
      <c r="D190" s="506">
        <f aca="true" t="shared" si="71" ref="D190:D203">IF(AVERAGE(K190,R190,Y190,AF190,AM190,AT190)=0,"contact vendor",AVERAGE(K190,R190,Y190,AF190,AM190,AT190))</f>
        <v>257.5</v>
      </c>
      <c r="E190" t="s">
        <v>309</v>
      </c>
      <c r="F190" t="s">
        <v>309</v>
      </c>
      <c r="G190" s="109">
        <v>215</v>
      </c>
      <c r="H190" s="110">
        <f aca="true" t="shared" si="72" ref="H190:H203">G190*M190</f>
        <v>215</v>
      </c>
      <c r="I190" s="111">
        <f aca="true" t="shared" si="73" ref="I190:I203">H190</f>
        <v>215</v>
      </c>
      <c r="J190" s="45">
        <v>2006</v>
      </c>
      <c r="K190" s="175">
        <f aca="true" t="shared" si="74" ref="K190:K203">I190*VLOOKUP(J190,cci_table,3,FALSE)</f>
        <v>215</v>
      </c>
      <c r="L190" t="s">
        <v>107</v>
      </c>
      <c r="M190" s="54">
        <v>1</v>
      </c>
      <c r="N190" s="109"/>
      <c r="O190" s="110"/>
      <c r="P190" s="111"/>
      <c r="Q190" s="45"/>
      <c r="R190" s="175"/>
      <c r="S190" s="45" t="s">
        <v>108</v>
      </c>
      <c r="T190" s="54"/>
      <c r="U190" s="109"/>
      <c r="V190" s="110"/>
      <c r="W190" s="111"/>
      <c r="Y190" s="175"/>
      <c r="Z190" s="9" t="s">
        <v>110</v>
      </c>
      <c r="AA190" s="54">
        <v>1</v>
      </c>
      <c r="AB190" s="109">
        <v>300</v>
      </c>
      <c r="AC190" s="110">
        <f aca="true" t="shared" si="75" ref="AC190:AC203">AB190*AH190</f>
        <v>300</v>
      </c>
      <c r="AD190" s="111">
        <f aca="true" t="shared" si="76" ref="AD190:AD203">AC190</f>
        <v>300</v>
      </c>
      <c r="AE190">
        <v>2006</v>
      </c>
      <c r="AF190" s="175">
        <f aca="true" t="shared" si="77" ref="AF190:AF203">AD190*VLOOKUP(AE190,cci_table,3,FALSE)</f>
        <v>300</v>
      </c>
      <c r="AG190" s="23" t="s">
        <v>111</v>
      </c>
      <c r="AH190" s="54">
        <v>1</v>
      </c>
      <c r="AU190" s="36" t="s">
        <v>108</v>
      </c>
    </row>
    <row r="191" spans="1:47" ht="12.75">
      <c r="A191" s="65"/>
      <c r="B191" s="372" t="s">
        <v>310</v>
      </c>
      <c r="C191" s="409"/>
      <c r="D191" s="506">
        <f t="shared" si="71"/>
        <v>25.75</v>
      </c>
      <c r="E191" t="s">
        <v>309</v>
      </c>
      <c r="F191" t="s">
        <v>309</v>
      </c>
      <c r="G191" s="109">
        <v>21</v>
      </c>
      <c r="H191" s="110">
        <f t="shared" si="72"/>
        <v>21</v>
      </c>
      <c r="I191" s="111">
        <f t="shared" si="73"/>
        <v>21</v>
      </c>
      <c r="J191" s="45">
        <v>2006</v>
      </c>
      <c r="K191" s="175">
        <f t="shared" si="74"/>
        <v>21</v>
      </c>
      <c r="L191" t="s">
        <v>107</v>
      </c>
      <c r="M191" s="54">
        <v>1</v>
      </c>
      <c r="N191" s="109">
        <v>30</v>
      </c>
      <c r="O191" s="110">
        <f>N191*T191</f>
        <v>30</v>
      </c>
      <c r="P191" s="111">
        <f>O191</f>
        <v>30</v>
      </c>
      <c r="Q191">
        <v>2006</v>
      </c>
      <c r="R191" s="175">
        <f>P191*VLOOKUP(Q191,cci_table,3,FALSE)</f>
        <v>30</v>
      </c>
      <c r="S191" s="45" t="s">
        <v>109</v>
      </c>
      <c r="T191" s="54">
        <v>1</v>
      </c>
      <c r="U191" s="109">
        <v>22</v>
      </c>
      <c r="V191" s="110">
        <f aca="true" t="shared" si="78" ref="V191:V202">U191*AA191</f>
        <v>22</v>
      </c>
      <c r="W191" s="111">
        <f aca="true" t="shared" si="79" ref="W191:W201">V191</f>
        <v>22</v>
      </c>
      <c r="X191">
        <v>2006</v>
      </c>
      <c r="Y191" s="175">
        <f aca="true" t="shared" si="80" ref="Y191:Y202">W191*VLOOKUP(X191,cci_table,3,FALSE)</f>
        <v>22</v>
      </c>
      <c r="Z191" s="9" t="s">
        <v>110</v>
      </c>
      <c r="AA191" s="54">
        <v>1</v>
      </c>
      <c r="AB191" s="109">
        <v>30</v>
      </c>
      <c r="AC191" s="110">
        <f t="shared" si="75"/>
        <v>30</v>
      </c>
      <c r="AD191" s="111">
        <f t="shared" si="76"/>
        <v>30</v>
      </c>
      <c r="AE191">
        <v>2006</v>
      </c>
      <c r="AF191" s="175">
        <f t="shared" si="77"/>
        <v>30</v>
      </c>
      <c r="AG191" s="23" t="s">
        <v>111</v>
      </c>
      <c r="AH191" s="54">
        <v>1</v>
      </c>
      <c r="AU191" s="36" t="s">
        <v>108</v>
      </c>
    </row>
    <row r="192" spans="1:47" ht="12.75">
      <c r="A192" s="65"/>
      <c r="B192" s="372" t="s">
        <v>311</v>
      </c>
      <c r="C192" s="409"/>
      <c r="D192" s="506">
        <f t="shared" si="71"/>
        <v>225</v>
      </c>
      <c r="E192" t="s">
        <v>309</v>
      </c>
      <c r="F192" t="s">
        <v>309</v>
      </c>
      <c r="G192" s="109">
        <v>260</v>
      </c>
      <c r="H192" s="110">
        <f t="shared" si="72"/>
        <v>260</v>
      </c>
      <c r="I192" s="111">
        <f t="shared" si="73"/>
        <v>260</v>
      </c>
      <c r="J192" s="45">
        <v>2006</v>
      </c>
      <c r="K192" s="175">
        <f t="shared" si="74"/>
        <v>260</v>
      </c>
      <c r="L192" t="s">
        <v>107</v>
      </c>
      <c r="M192" s="54">
        <v>1</v>
      </c>
      <c r="N192" s="109"/>
      <c r="O192" s="110"/>
      <c r="P192" s="111"/>
      <c r="R192" s="175"/>
      <c r="S192" s="45" t="s">
        <v>108</v>
      </c>
      <c r="T192" s="54">
        <v>1</v>
      </c>
      <c r="U192" s="109">
        <v>200</v>
      </c>
      <c r="V192" s="110">
        <f t="shared" si="78"/>
        <v>200</v>
      </c>
      <c r="W192" s="111">
        <f t="shared" si="79"/>
        <v>200</v>
      </c>
      <c r="X192">
        <v>2006</v>
      </c>
      <c r="Y192" s="175">
        <f t="shared" si="80"/>
        <v>200</v>
      </c>
      <c r="Z192" s="9" t="s">
        <v>110</v>
      </c>
      <c r="AA192" s="54">
        <v>1</v>
      </c>
      <c r="AB192" s="109">
        <v>215</v>
      </c>
      <c r="AC192" s="110">
        <f t="shared" si="75"/>
        <v>215</v>
      </c>
      <c r="AD192" s="111">
        <f t="shared" si="76"/>
        <v>215</v>
      </c>
      <c r="AE192">
        <v>2006</v>
      </c>
      <c r="AF192" s="175">
        <f t="shared" si="77"/>
        <v>215</v>
      </c>
      <c r="AG192" s="23" t="s">
        <v>111</v>
      </c>
      <c r="AH192" s="54">
        <v>1</v>
      </c>
      <c r="AU192" s="36" t="s">
        <v>108</v>
      </c>
    </row>
    <row r="193" spans="1:47" ht="12.75">
      <c r="A193" s="65"/>
      <c r="B193" s="372" t="s">
        <v>313</v>
      </c>
      <c r="C193" s="409"/>
      <c r="D193" s="506">
        <f t="shared" si="71"/>
        <v>183.33333333333334</v>
      </c>
      <c r="E193" t="s">
        <v>309</v>
      </c>
      <c r="F193" t="s">
        <v>309</v>
      </c>
      <c r="G193" s="109">
        <v>190</v>
      </c>
      <c r="H193" s="110">
        <f t="shared" si="72"/>
        <v>190</v>
      </c>
      <c r="I193" s="111">
        <f t="shared" si="73"/>
        <v>190</v>
      </c>
      <c r="J193" s="45">
        <v>2006</v>
      </c>
      <c r="K193" s="175">
        <f t="shared" si="74"/>
        <v>190</v>
      </c>
      <c r="L193" t="s">
        <v>107</v>
      </c>
      <c r="M193" s="54">
        <v>1</v>
      </c>
      <c r="N193" s="109"/>
      <c r="O193" s="110"/>
      <c r="P193" s="111"/>
      <c r="R193" s="175"/>
      <c r="S193" s="45" t="s">
        <v>108</v>
      </c>
      <c r="T193" s="54">
        <v>1</v>
      </c>
      <c r="U193" s="109">
        <v>200</v>
      </c>
      <c r="V193" s="110">
        <f t="shared" si="78"/>
        <v>200</v>
      </c>
      <c r="W193" s="111">
        <f t="shared" si="79"/>
        <v>200</v>
      </c>
      <c r="X193">
        <v>2006</v>
      </c>
      <c r="Y193" s="175">
        <f t="shared" si="80"/>
        <v>200</v>
      </c>
      <c r="Z193" s="9" t="s">
        <v>110</v>
      </c>
      <c r="AA193" s="54">
        <v>1</v>
      </c>
      <c r="AB193" s="109">
        <v>160</v>
      </c>
      <c r="AC193" s="110">
        <f t="shared" si="75"/>
        <v>160</v>
      </c>
      <c r="AD193" s="111">
        <f t="shared" si="76"/>
        <v>160</v>
      </c>
      <c r="AE193">
        <v>2006</v>
      </c>
      <c r="AF193" s="175">
        <f t="shared" si="77"/>
        <v>160</v>
      </c>
      <c r="AG193" s="23" t="s">
        <v>111</v>
      </c>
      <c r="AH193" s="54">
        <v>1</v>
      </c>
      <c r="AU193" s="36" t="s">
        <v>108</v>
      </c>
    </row>
    <row r="194" spans="1:47" ht="12.75">
      <c r="A194" s="65"/>
      <c r="B194" s="372" t="s">
        <v>312</v>
      </c>
      <c r="C194" s="409"/>
      <c r="D194" s="506">
        <f t="shared" si="71"/>
        <v>24.25</v>
      </c>
      <c r="E194" t="s">
        <v>309</v>
      </c>
      <c r="F194" t="s">
        <v>309</v>
      </c>
      <c r="G194" s="109">
        <v>17</v>
      </c>
      <c r="H194" s="110">
        <f t="shared" si="72"/>
        <v>17</v>
      </c>
      <c r="I194" s="111">
        <f t="shared" si="73"/>
        <v>17</v>
      </c>
      <c r="J194" s="45">
        <v>2006</v>
      </c>
      <c r="K194" s="175">
        <f t="shared" si="74"/>
        <v>17</v>
      </c>
      <c r="L194" t="s">
        <v>107</v>
      </c>
      <c r="M194" s="54">
        <v>1</v>
      </c>
      <c r="N194" s="109">
        <v>20</v>
      </c>
      <c r="O194" s="110">
        <f>N194*T194</f>
        <v>20</v>
      </c>
      <c r="P194" s="111">
        <f>O194</f>
        <v>20</v>
      </c>
      <c r="Q194">
        <v>2006</v>
      </c>
      <c r="R194" s="175">
        <f>P194*VLOOKUP(Q194,cci_table,3,FALSE)</f>
        <v>20</v>
      </c>
      <c r="S194" s="45" t="s">
        <v>109</v>
      </c>
      <c r="T194" s="54">
        <v>1</v>
      </c>
      <c r="U194" s="109">
        <v>18</v>
      </c>
      <c r="V194" s="110">
        <f t="shared" si="78"/>
        <v>18</v>
      </c>
      <c r="W194" s="111">
        <f t="shared" si="79"/>
        <v>18</v>
      </c>
      <c r="X194">
        <v>2006</v>
      </c>
      <c r="Y194" s="175">
        <f t="shared" si="80"/>
        <v>18</v>
      </c>
      <c r="Z194" s="9" t="s">
        <v>110</v>
      </c>
      <c r="AA194" s="54">
        <v>1</v>
      </c>
      <c r="AB194" s="109">
        <v>42</v>
      </c>
      <c r="AC194" s="110">
        <f t="shared" si="75"/>
        <v>42</v>
      </c>
      <c r="AD194" s="111">
        <f t="shared" si="76"/>
        <v>42</v>
      </c>
      <c r="AE194">
        <v>2006</v>
      </c>
      <c r="AF194" s="175">
        <f t="shared" si="77"/>
        <v>42</v>
      </c>
      <c r="AG194" s="23" t="s">
        <v>111</v>
      </c>
      <c r="AH194" s="54">
        <v>1</v>
      </c>
      <c r="AU194" s="36" t="s">
        <v>108</v>
      </c>
    </row>
    <row r="195" spans="1:47" ht="12.75">
      <c r="A195" s="65"/>
      <c r="B195" s="372" t="s">
        <v>319</v>
      </c>
      <c r="C195" s="409"/>
      <c r="D195" s="506">
        <f t="shared" si="71"/>
        <v>19.5</v>
      </c>
      <c r="E195" t="s">
        <v>309</v>
      </c>
      <c r="F195" t="s">
        <v>309</v>
      </c>
      <c r="G195" s="109">
        <v>21</v>
      </c>
      <c r="H195" s="110">
        <f t="shared" si="72"/>
        <v>21</v>
      </c>
      <c r="I195" s="111">
        <f t="shared" si="73"/>
        <v>21</v>
      </c>
      <c r="J195" s="45">
        <v>2006</v>
      </c>
      <c r="K195" s="175">
        <f t="shared" si="74"/>
        <v>21</v>
      </c>
      <c r="L195" t="s">
        <v>107</v>
      </c>
      <c r="M195" s="54">
        <v>1</v>
      </c>
      <c r="N195" s="109">
        <v>15</v>
      </c>
      <c r="O195" s="110">
        <f>N195*T195</f>
        <v>15</v>
      </c>
      <c r="P195" s="111">
        <f>O195</f>
        <v>15</v>
      </c>
      <c r="Q195">
        <v>2006</v>
      </c>
      <c r="R195" s="175">
        <f>P195*VLOOKUP(Q195,cci_table,3,FALSE)</f>
        <v>15</v>
      </c>
      <c r="S195" s="45" t="s">
        <v>109</v>
      </c>
      <c r="T195" s="54">
        <v>1</v>
      </c>
      <c r="U195" s="109">
        <v>18</v>
      </c>
      <c r="V195" s="110">
        <f t="shared" si="78"/>
        <v>18</v>
      </c>
      <c r="W195" s="111">
        <f t="shared" si="79"/>
        <v>18</v>
      </c>
      <c r="X195">
        <v>2006</v>
      </c>
      <c r="Y195" s="175">
        <f t="shared" si="80"/>
        <v>18</v>
      </c>
      <c r="Z195" s="9" t="s">
        <v>110</v>
      </c>
      <c r="AA195" s="54">
        <v>1</v>
      </c>
      <c r="AB195" s="109">
        <v>24</v>
      </c>
      <c r="AC195" s="110">
        <f t="shared" si="75"/>
        <v>24</v>
      </c>
      <c r="AD195" s="111">
        <f t="shared" si="76"/>
        <v>24</v>
      </c>
      <c r="AE195">
        <v>2006</v>
      </c>
      <c r="AF195" s="175">
        <f t="shared" si="77"/>
        <v>24</v>
      </c>
      <c r="AG195" s="23" t="s">
        <v>111</v>
      </c>
      <c r="AH195" s="54">
        <v>1</v>
      </c>
      <c r="AU195" s="36" t="s">
        <v>108</v>
      </c>
    </row>
    <row r="196" spans="1:47" ht="12.75">
      <c r="A196" s="65"/>
      <c r="B196" s="372" t="s">
        <v>685</v>
      </c>
      <c r="C196" s="409"/>
      <c r="D196" s="506">
        <f t="shared" si="71"/>
        <v>22.5</v>
      </c>
      <c r="E196" t="s">
        <v>309</v>
      </c>
      <c r="F196" t="s">
        <v>309</v>
      </c>
      <c r="G196" s="109">
        <v>21</v>
      </c>
      <c r="H196" s="110">
        <f t="shared" si="72"/>
        <v>21</v>
      </c>
      <c r="I196" s="111">
        <f t="shared" si="73"/>
        <v>21</v>
      </c>
      <c r="J196" s="45">
        <v>2006</v>
      </c>
      <c r="K196" s="175">
        <f t="shared" si="74"/>
        <v>21</v>
      </c>
      <c r="L196" t="s">
        <v>107</v>
      </c>
      <c r="M196" s="54">
        <v>1</v>
      </c>
      <c r="N196" s="109">
        <v>15</v>
      </c>
      <c r="O196" s="110">
        <f>N196*T196</f>
        <v>15</v>
      </c>
      <c r="P196" s="111">
        <f>O196</f>
        <v>15</v>
      </c>
      <c r="Q196">
        <v>2006</v>
      </c>
      <c r="R196" s="175">
        <f>P196*VLOOKUP(Q196,cci_table,3,FALSE)</f>
        <v>15</v>
      </c>
      <c r="S196" s="45" t="s">
        <v>109</v>
      </c>
      <c r="T196" s="54">
        <v>1</v>
      </c>
      <c r="U196" s="109">
        <v>18</v>
      </c>
      <c r="V196" s="110">
        <f t="shared" si="78"/>
        <v>18</v>
      </c>
      <c r="W196" s="111">
        <f t="shared" si="79"/>
        <v>18</v>
      </c>
      <c r="X196">
        <v>2006</v>
      </c>
      <c r="Y196" s="175">
        <f t="shared" si="80"/>
        <v>18</v>
      </c>
      <c r="Z196" s="9" t="s">
        <v>110</v>
      </c>
      <c r="AA196" s="54">
        <v>1</v>
      </c>
      <c r="AB196" s="109">
        <v>36</v>
      </c>
      <c r="AC196" s="110">
        <f t="shared" si="75"/>
        <v>36</v>
      </c>
      <c r="AD196" s="111">
        <f t="shared" si="76"/>
        <v>36</v>
      </c>
      <c r="AE196">
        <v>2006</v>
      </c>
      <c r="AF196" s="175">
        <f t="shared" si="77"/>
        <v>36</v>
      </c>
      <c r="AG196" s="23" t="s">
        <v>111</v>
      </c>
      <c r="AH196" s="54">
        <v>1</v>
      </c>
      <c r="AU196" s="36" t="s">
        <v>108</v>
      </c>
    </row>
    <row r="197" spans="1:47" ht="12.75">
      <c r="A197" s="65"/>
      <c r="B197" s="372" t="s">
        <v>684</v>
      </c>
      <c r="C197" s="409"/>
      <c r="D197" s="506">
        <f t="shared" si="71"/>
        <v>25.75</v>
      </c>
      <c r="E197" t="s">
        <v>309</v>
      </c>
      <c r="F197" t="s">
        <v>309</v>
      </c>
      <c r="G197" s="109">
        <v>21</v>
      </c>
      <c r="H197" s="110">
        <f t="shared" si="72"/>
        <v>21</v>
      </c>
      <c r="I197" s="111">
        <f t="shared" si="73"/>
        <v>21</v>
      </c>
      <c r="J197" s="45">
        <v>2006</v>
      </c>
      <c r="K197" s="175">
        <f t="shared" si="74"/>
        <v>21</v>
      </c>
      <c r="L197" t="s">
        <v>107</v>
      </c>
      <c r="M197" s="54">
        <v>1</v>
      </c>
      <c r="N197" s="109">
        <v>30</v>
      </c>
      <c r="O197" s="110">
        <f>N197*T197</f>
        <v>30</v>
      </c>
      <c r="P197" s="111">
        <f>O197</f>
        <v>30</v>
      </c>
      <c r="Q197">
        <v>2006</v>
      </c>
      <c r="R197" s="175">
        <f>P197*VLOOKUP(Q197,cci_table,3,FALSE)</f>
        <v>30</v>
      </c>
      <c r="S197" s="45" t="s">
        <v>109</v>
      </c>
      <c r="T197" s="54">
        <v>1</v>
      </c>
      <c r="U197" s="109">
        <v>22</v>
      </c>
      <c r="V197" s="110">
        <f t="shared" si="78"/>
        <v>22</v>
      </c>
      <c r="W197" s="111">
        <f t="shared" si="79"/>
        <v>22</v>
      </c>
      <c r="X197">
        <v>2006</v>
      </c>
      <c r="Y197" s="175">
        <f t="shared" si="80"/>
        <v>22</v>
      </c>
      <c r="Z197" s="9" t="s">
        <v>110</v>
      </c>
      <c r="AA197" s="54">
        <v>1</v>
      </c>
      <c r="AB197" s="109">
        <v>30</v>
      </c>
      <c r="AC197" s="110">
        <f t="shared" si="75"/>
        <v>30</v>
      </c>
      <c r="AD197" s="111">
        <f t="shared" si="76"/>
        <v>30</v>
      </c>
      <c r="AE197">
        <v>2006</v>
      </c>
      <c r="AF197" s="175">
        <f t="shared" si="77"/>
        <v>30</v>
      </c>
      <c r="AG197" s="23" t="s">
        <v>111</v>
      </c>
      <c r="AH197" s="54">
        <v>1</v>
      </c>
      <c r="AU197" s="36" t="s">
        <v>108</v>
      </c>
    </row>
    <row r="198" spans="1:47" ht="12.75">
      <c r="A198" s="65"/>
      <c r="B198" s="372" t="s">
        <v>686</v>
      </c>
      <c r="C198" s="409"/>
      <c r="D198" s="506">
        <f t="shared" si="71"/>
        <v>22</v>
      </c>
      <c r="E198" t="s">
        <v>309</v>
      </c>
      <c r="F198" t="s">
        <v>309</v>
      </c>
      <c r="G198" s="109">
        <v>21</v>
      </c>
      <c r="H198" s="110">
        <f t="shared" si="72"/>
        <v>21</v>
      </c>
      <c r="I198" s="111">
        <f t="shared" si="73"/>
        <v>21</v>
      </c>
      <c r="J198" s="45">
        <v>2006</v>
      </c>
      <c r="K198" s="175">
        <f t="shared" si="74"/>
        <v>21</v>
      </c>
      <c r="L198" t="s">
        <v>107</v>
      </c>
      <c r="M198" s="54">
        <v>1</v>
      </c>
      <c r="N198" s="109">
        <v>15</v>
      </c>
      <c r="O198" s="110">
        <f>N198*T198</f>
        <v>15</v>
      </c>
      <c r="P198" s="111">
        <f>O198</f>
        <v>15</v>
      </c>
      <c r="Q198">
        <v>2006</v>
      </c>
      <c r="R198" s="175">
        <f>P198*VLOOKUP(Q198,cci_table,3,FALSE)</f>
        <v>15</v>
      </c>
      <c r="S198" s="45" t="s">
        <v>109</v>
      </c>
      <c r="T198" s="54">
        <v>1</v>
      </c>
      <c r="U198" s="109">
        <v>22</v>
      </c>
      <c r="V198" s="110">
        <f t="shared" si="78"/>
        <v>22</v>
      </c>
      <c r="W198" s="111">
        <f t="shared" si="79"/>
        <v>22</v>
      </c>
      <c r="X198">
        <v>2006</v>
      </c>
      <c r="Y198" s="175">
        <f t="shared" si="80"/>
        <v>22</v>
      </c>
      <c r="Z198" s="9" t="s">
        <v>110</v>
      </c>
      <c r="AA198" s="54">
        <v>1</v>
      </c>
      <c r="AB198" s="109">
        <v>30</v>
      </c>
      <c r="AC198" s="110">
        <f t="shared" si="75"/>
        <v>30</v>
      </c>
      <c r="AD198" s="111">
        <f t="shared" si="76"/>
        <v>30</v>
      </c>
      <c r="AE198">
        <v>2006</v>
      </c>
      <c r="AF198" s="175">
        <f t="shared" si="77"/>
        <v>30</v>
      </c>
      <c r="AG198" s="23" t="s">
        <v>111</v>
      </c>
      <c r="AH198" s="54">
        <v>1</v>
      </c>
      <c r="AU198" s="36" t="s">
        <v>108</v>
      </c>
    </row>
    <row r="199" spans="1:47" ht="12.75">
      <c r="A199" s="65"/>
      <c r="B199" s="372" t="s">
        <v>50</v>
      </c>
      <c r="C199" s="409"/>
      <c r="D199" s="506">
        <f t="shared" si="71"/>
        <v>22.333333333333332</v>
      </c>
      <c r="E199" t="s">
        <v>309</v>
      </c>
      <c r="F199" t="s">
        <v>309</v>
      </c>
      <c r="G199" s="109">
        <v>17</v>
      </c>
      <c r="H199" s="110">
        <f t="shared" si="72"/>
        <v>17</v>
      </c>
      <c r="I199" s="111">
        <f t="shared" si="73"/>
        <v>17</v>
      </c>
      <c r="J199" s="45">
        <v>2006</v>
      </c>
      <c r="K199" s="175">
        <f t="shared" si="74"/>
        <v>17</v>
      </c>
      <c r="L199" t="s">
        <v>107</v>
      </c>
      <c r="M199" s="54">
        <v>1</v>
      </c>
      <c r="N199" s="109"/>
      <c r="O199" s="110"/>
      <c r="P199" s="111"/>
      <c r="R199" s="175"/>
      <c r="S199" s="45" t="s">
        <v>108</v>
      </c>
      <c r="T199" s="54">
        <v>1</v>
      </c>
      <c r="U199" s="109">
        <v>20</v>
      </c>
      <c r="V199" s="110">
        <f t="shared" si="78"/>
        <v>20</v>
      </c>
      <c r="W199" s="111">
        <f t="shared" si="79"/>
        <v>20</v>
      </c>
      <c r="X199">
        <v>2006</v>
      </c>
      <c r="Y199" s="175">
        <f t="shared" si="80"/>
        <v>20</v>
      </c>
      <c r="Z199" s="9" t="s">
        <v>110</v>
      </c>
      <c r="AA199" s="54">
        <v>1</v>
      </c>
      <c r="AB199" s="109">
        <v>30</v>
      </c>
      <c r="AC199" s="110">
        <f t="shared" si="75"/>
        <v>30</v>
      </c>
      <c r="AD199" s="111">
        <f t="shared" si="76"/>
        <v>30</v>
      </c>
      <c r="AE199">
        <v>2006</v>
      </c>
      <c r="AF199" s="175">
        <f t="shared" si="77"/>
        <v>30</v>
      </c>
      <c r="AG199" s="23" t="s">
        <v>111</v>
      </c>
      <c r="AH199" s="54">
        <v>1</v>
      </c>
      <c r="AU199" s="36"/>
    </row>
    <row r="200" spans="1:47" ht="12.75">
      <c r="A200" s="65"/>
      <c r="B200" s="372" t="s">
        <v>687</v>
      </c>
      <c r="C200" s="409"/>
      <c r="D200" s="506">
        <f t="shared" si="71"/>
        <v>26.5</v>
      </c>
      <c r="E200" t="s">
        <v>309</v>
      </c>
      <c r="F200" t="s">
        <v>309</v>
      </c>
      <c r="G200" s="109">
        <v>21</v>
      </c>
      <c r="H200" s="110">
        <f t="shared" si="72"/>
        <v>21</v>
      </c>
      <c r="I200" s="111">
        <f t="shared" si="73"/>
        <v>21</v>
      </c>
      <c r="J200" s="45">
        <v>2006</v>
      </c>
      <c r="K200" s="175">
        <f t="shared" si="74"/>
        <v>21</v>
      </c>
      <c r="L200" t="s">
        <v>107</v>
      </c>
      <c r="M200" s="54">
        <v>1</v>
      </c>
      <c r="N200" s="109">
        <v>30</v>
      </c>
      <c r="O200" s="110">
        <f>N200*T200</f>
        <v>30</v>
      </c>
      <c r="P200" s="111">
        <f>O200</f>
        <v>30</v>
      </c>
      <c r="Q200">
        <v>2006</v>
      </c>
      <c r="R200" s="175">
        <f>P200*VLOOKUP(Q200,cci_table,3,FALSE)</f>
        <v>30</v>
      </c>
      <c r="S200" s="45" t="s">
        <v>109</v>
      </c>
      <c r="T200" s="54">
        <v>1</v>
      </c>
      <c r="U200" s="109">
        <v>25</v>
      </c>
      <c r="V200" s="110">
        <f t="shared" si="78"/>
        <v>25</v>
      </c>
      <c r="W200" s="111">
        <f t="shared" si="79"/>
        <v>25</v>
      </c>
      <c r="X200">
        <v>2006</v>
      </c>
      <c r="Y200" s="175">
        <f t="shared" si="80"/>
        <v>25</v>
      </c>
      <c r="Z200" s="9" t="s">
        <v>110</v>
      </c>
      <c r="AA200" s="54">
        <v>1</v>
      </c>
      <c r="AB200" s="109">
        <v>30</v>
      </c>
      <c r="AC200" s="110">
        <f t="shared" si="75"/>
        <v>30</v>
      </c>
      <c r="AD200" s="111">
        <f t="shared" si="76"/>
        <v>30</v>
      </c>
      <c r="AE200">
        <v>2006</v>
      </c>
      <c r="AF200" s="175">
        <f t="shared" si="77"/>
        <v>30</v>
      </c>
      <c r="AG200" s="23" t="s">
        <v>111</v>
      </c>
      <c r="AH200" s="54">
        <v>1</v>
      </c>
      <c r="AU200" s="36"/>
    </row>
    <row r="201" spans="1:47" ht="12.75">
      <c r="A201" s="65"/>
      <c r="B201" s="372" t="s">
        <v>688</v>
      </c>
      <c r="C201" s="409"/>
      <c r="D201" s="506">
        <f t="shared" si="71"/>
        <v>38.25</v>
      </c>
      <c r="E201" t="s">
        <v>309</v>
      </c>
      <c r="F201" t="s">
        <v>309</v>
      </c>
      <c r="G201" s="109">
        <v>43</v>
      </c>
      <c r="H201" s="110">
        <f t="shared" si="72"/>
        <v>43</v>
      </c>
      <c r="I201" s="111">
        <f t="shared" si="73"/>
        <v>43</v>
      </c>
      <c r="J201" s="45">
        <v>2006</v>
      </c>
      <c r="K201" s="175">
        <f t="shared" si="74"/>
        <v>43</v>
      </c>
      <c r="L201" t="s">
        <v>107</v>
      </c>
      <c r="M201" s="54">
        <v>1</v>
      </c>
      <c r="N201" s="109">
        <v>30</v>
      </c>
      <c r="O201" s="110">
        <f>N201*T201</f>
        <v>30</v>
      </c>
      <c r="P201" s="111">
        <f>O201</f>
        <v>30</v>
      </c>
      <c r="Q201">
        <v>2006</v>
      </c>
      <c r="R201" s="175">
        <f>P201*VLOOKUP(Q201,cci_table,3,FALSE)</f>
        <v>30</v>
      </c>
      <c r="S201" s="45" t="s">
        <v>109</v>
      </c>
      <c r="T201" s="54">
        <v>1</v>
      </c>
      <c r="U201" s="109">
        <v>30</v>
      </c>
      <c r="V201" s="110">
        <f t="shared" si="78"/>
        <v>30</v>
      </c>
      <c r="W201" s="111">
        <f t="shared" si="79"/>
        <v>30</v>
      </c>
      <c r="X201">
        <v>2006</v>
      </c>
      <c r="Y201" s="175">
        <f t="shared" si="80"/>
        <v>30</v>
      </c>
      <c r="Z201" s="9" t="s">
        <v>110</v>
      </c>
      <c r="AA201" s="54">
        <v>1</v>
      </c>
      <c r="AB201" s="109">
        <v>50</v>
      </c>
      <c r="AC201" s="110">
        <f t="shared" si="75"/>
        <v>50</v>
      </c>
      <c r="AD201" s="111">
        <f t="shared" si="76"/>
        <v>50</v>
      </c>
      <c r="AE201">
        <v>2006</v>
      </c>
      <c r="AF201" s="175">
        <f t="shared" si="77"/>
        <v>50</v>
      </c>
      <c r="AG201" s="23" t="s">
        <v>111</v>
      </c>
      <c r="AH201" s="54">
        <v>1</v>
      </c>
      <c r="AU201" s="36"/>
    </row>
    <row r="202" spans="1:47" ht="12.75">
      <c r="A202" s="65"/>
      <c r="B202" s="372" t="s">
        <v>220</v>
      </c>
      <c r="C202" s="409"/>
      <c r="D202" s="506">
        <f t="shared" si="71"/>
        <v>16.5</v>
      </c>
      <c r="E202" t="s">
        <v>309</v>
      </c>
      <c r="F202" t="s">
        <v>309</v>
      </c>
      <c r="G202" s="109">
        <v>16</v>
      </c>
      <c r="H202" s="110">
        <f t="shared" si="72"/>
        <v>16</v>
      </c>
      <c r="I202" s="111">
        <f t="shared" si="73"/>
        <v>16</v>
      </c>
      <c r="J202" s="45">
        <v>2006</v>
      </c>
      <c r="K202" s="175">
        <f t="shared" si="74"/>
        <v>16</v>
      </c>
      <c r="L202" t="s">
        <v>107</v>
      </c>
      <c r="M202" s="54">
        <v>1</v>
      </c>
      <c r="N202" s="109">
        <v>15</v>
      </c>
      <c r="O202" s="110">
        <f>N202*T202</f>
        <v>15</v>
      </c>
      <c r="P202" s="111">
        <f>O202</f>
        <v>15</v>
      </c>
      <c r="Q202">
        <v>2006</v>
      </c>
      <c r="R202" s="175">
        <f>P202*VLOOKUP(Q202,cci_table,3,FALSE)</f>
        <v>15</v>
      </c>
      <c r="S202" s="45" t="s">
        <v>109</v>
      </c>
      <c r="T202" s="54">
        <v>1</v>
      </c>
      <c r="U202" s="109">
        <v>18</v>
      </c>
      <c r="V202" s="110">
        <f t="shared" si="78"/>
        <v>18</v>
      </c>
      <c r="W202" s="111">
        <f>V202</f>
        <v>18</v>
      </c>
      <c r="X202">
        <v>2006</v>
      </c>
      <c r="Y202" s="175">
        <f t="shared" si="80"/>
        <v>18</v>
      </c>
      <c r="Z202" s="9" t="s">
        <v>110</v>
      </c>
      <c r="AA202" s="54">
        <v>1</v>
      </c>
      <c r="AB202" s="109">
        <v>17</v>
      </c>
      <c r="AC202" s="110">
        <f t="shared" si="75"/>
        <v>17</v>
      </c>
      <c r="AD202" s="111">
        <f>AC202</f>
        <v>17</v>
      </c>
      <c r="AE202">
        <v>2006</v>
      </c>
      <c r="AF202" s="175">
        <f t="shared" si="77"/>
        <v>17</v>
      </c>
      <c r="AG202" s="23" t="s">
        <v>111</v>
      </c>
      <c r="AH202" s="54">
        <v>1</v>
      </c>
      <c r="AU202" s="36"/>
    </row>
    <row r="203" spans="1:47" ht="12.75">
      <c r="A203" s="37"/>
      <c r="B203" s="372" t="s">
        <v>314</v>
      </c>
      <c r="C203" s="409"/>
      <c r="D203" s="506">
        <f t="shared" si="71"/>
        <v>85.5</v>
      </c>
      <c r="E203" t="s">
        <v>309</v>
      </c>
      <c r="F203" t="s">
        <v>309</v>
      </c>
      <c r="G203" s="109">
        <v>21</v>
      </c>
      <c r="H203" s="110">
        <f t="shared" si="72"/>
        <v>21</v>
      </c>
      <c r="I203" s="111">
        <f t="shared" si="73"/>
        <v>21</v>
      </c>
      <c r="J203" s="45">
        <v>2006</v>
      </c>
      <c r="K203" s="175">
        <f t="shared" si="74"/>
        <v>21</v>
      </c>
      <c r="L203" t="s">
        <v>107</v>
      </c>
      <c r="M203" s="54">
        <v>1</v>
      </c>
      <c r="N203" s="109"/>
      <c r="O203" s="110"/>
      <c r="P203" s="111"/>
      <c r="R203" s="175"/>
      <c r="S203" s="45" t="s">
        <v>108</v>
      </c>
      <c r="T203" s="54">
        <v>1</v>
      </c>
      <c r="U203" s="109"/>
      <c r="V203" s="110"/>
      <c r="W203" s="111"/>
      <c r="Y203" s="175"/>
      <c r="Z203" s="9" t="s">
        <v>110</v>
      </c>
      <c r="AA203" s="54">
        <v>1</v>
      </c>
      <c r="AB203" s="109">
        <v>150</v>
      </c>
      <c r="AC203" s="110">
        <f t="shared" si="75"/>
        <v>150</v>
      </c>
      <c r="AD203" s="111">
        <f t="shared" si="76"/>
        <v>150</v>
      </c>
      <c r="AE203">
        <v>2006</v>
      </c>
      <c r="AF203" s="175">
        <f t="shared" si="77"/>
        <v>150</v>
      </c>
      <c r="AG203" s="23" t="s">
        <v>111</v>
      </c>
      <c r="AH203" s="54">
        <v>1</v>
      </c>
      <c r="AU203" s="36"/>
    </row>
    <row r="204" spans="1:47" ht="12.75">
      <c r="A204" s="37"/>
      <c r="B204" s="7"/>
      <c r="C204" s="16"/>
      <c r="D204" s="112"/>
      <c r="G204" s="117"/>
      <c r="H204" s="116"/>
      <c r="I204" s="116"/>
      <c r="J204" s="70"/>
      <c r="K204" s="70"/>
      <c r="M204" s="54"/>
      <c r="N204" s="9"/>
      <c r="O204" s="9"/>
      <c r="P204" s="9"/>
      <c r="S204" s="49"/>
      <c r="T204" s="54"/>
      <c r="U204" s="9"/>
      <c r="AU204" s="36"/>
    </row>
    <row r="205" spans="1:47" ht="12.75">
      <c r="A205" s="37"/>
      <c r="B205" s="7" t="s">
        <v>543</v>
      </c>
      <c r="C205" s="16"/>
      <c r="D205" s="112"/>
      <c r="G205" s="117"/>
      <c r="H205" s="116"/>
      <c r="I205" s="116"/>
      <c r="J205" s="70"/>
      <c r="K205" s="70"/>
      <c r="M205" s="54"/>
      <c r="N205" s="9"/>
      <c r="O205" s="9"/>
      <c r="P205" s="9"/>
      <c r="S205" s="49"/>
      <c r="T205" s="54"/>
      <c r="U205" s="9"/>
      <c r="AU205" s="36"/>
    </row>
    <row r="206" spans="1:47" ht="12.75">
      <c r="A206" s="37" t="s">
        <v>545</v>
      </c>
      <c r="B206" s="367">
        <v>0</v>
      </c>
      <c r="C206" s="409">
        <v>14</v>
      </c>
      <c r="D206" s="506">
        <f>IF(AVERAGE(K206,R206,Y206,AF206,AM206,AT206)=0,"contact vendor",AVERAGE(K206,R206,Y206,AF206,AM206,AT206))</f>
        <v>11.67554347826087</v>
      </c>
      <c r="E206" t="s">
        <v>309</v>
      </c>
      <c r="F206" t="s">
        <v>309</v>
      </c>
      <c r="G206" s="109">
        <v>11</v>
      </c>
      <c r="H206" s="110">
        <f>G206*M206</f>
        <v>11</v>
      </c>
      <c r="I206" s="111">
        <f>H206</f>
        <v>11</v>
      </c>
      <c r="J206" s="45">
        <v>2003</v>
      </c>
      <c r="K206" s="175">
        <f>I206*VLOOKUP(J206,cci_table,3,FALSE)</f>
        <v>11.67554347826087</v>
      </c>
      <c r="L206" t="s">
        <v>547</v>
      </c>
      <c r="M206" s="54">
        <v>1</v>
      </c>
      <c r="N206" s="9"/>
      <c r="O206" s="9"/>
      <c r="P206" s="9"/>
      <c r="S206" s="49"/>
      <c r="T206" s="54">
        <v>1</v>
      </c>
      <c r="U206" s="9"/>
      <c r="AU206" s="36"/>
    </row>
    <row r="207" spans="1:47" ht="12.75">
      <c r="A207" s="37"/>
      <c r="B207" s="367">
        <v>15</v>
      </c>
      <c r="C207" s="409">
        <v>49</v>
      </c>
      <c r="D207" s="506">
        <f>IF(AVERAGE(K207,R207,Y207,AF207,AM207,AT207)=0,"contact vendor",AVERAGE(K207,R207,Y207,AF207,AM207,AT207))</f>
        <v>25.473913043478262</v>
      </c>
      <c r="E207" t="s">
        <v>309</v>
      </c>
      <c r="F207" t="s">
        <v>309</v>
      </c>
      <c r="G207" s="109">
        <v>24</v>
      </c>
      <c r="H207" s="110">
        <f>G207*M207</f>
        <v>24</v>
      </c>
      <c r="I207" s="111">
        <f>H207</f>
        <v>24</v>
      </c>
      <c r="J207" s="45">
        <v>2003</v>
      </c>
      <c r="K207" s="175">
        <f>I207*VLOOKUP(J207,cci_table,3,FALSE)</f>
        <v>25.473913043478262</v>
      </c>
      <c r="L207" t="s">
        <v>547</v>
      </c>
      <c r="M207" s="54">
        <v>1</v>
      </c>
      <c r="N207" s="9"/>
      <c r="O207" s="9"/>
      <c r="P207" s="9"/>
      <c r="S207" s="49"/>
      <c r="T207" s="54">
        <v>1</v>
      </c>
      <c r="U207" s="9"/>
      <c r="AU207" s="36"/>
    </row>
    <row r="208" spans="1:47" ht="12.75">
      <c r="A208" s="37"/>
      <c r="B208" s="367">
        <v>50</v>
      </c>
      <c r="C208" s="409">
        <v>99</v>
      </c>
      <c r="D208" s="506">
        <f>IF(AVERAGE(K208,R208,Y208,AF208,AM208,AT208)=0,"contact vendor",AVERAGE(K208,R208,Y208,AF208,AM208,AT208))</f>
        <v>50.947826086956525</v>
      </c>
      <c r="E208" t="s">
        <v>309</v>
      </c>
      <c r="F208" t="s">
        <v>309</v>
      </c>
      <c r="G208" s="109">
        <v>48</v>
      </c>
      <c r="H208" s="110">
        <f>G208*M208</f>
        <v>48</v>
      </c>
      <c r="I208" s="111">
        <f>H208</f>
        <v>48</v>
      </c>
      <c r="J208" s="45">
        <v>2003</v>
      </c>
      <c r="K208" s="175">
        <f>I208*VLOOKUP(J208,cci_table,3,FALSE)</f>
        <v>50.947826086956525</v>
      </c>
      <c r="L208" t="s">
        <v>547</v>
      </c>
      <c r="M208" s="54">
        <v>1</v>
      </c>
      <c r="N208" s="9"/>
      <c r="O208" s="9"/>
      <c r="P208" s="9"/>
      <c r="S208" s="49"/>
      <c r="T208" s="54">
        <v>1</v>
      </c>
      <c r="U208" s="9"/>
      <c r="AU208" s="36"/>
    </row>
    <row r="209" spans="1:47" ht="12.75">
      <c r="A209" s="37"/>
      <c r="B209" s="367">
        <v>100</v>
      </c>
      <c r="C209" s="409">
        <v>199</v>
      </c>
      <c r="D209" s="506">
        <f>IF(AVERAGE(K209,R209,Y209,AF209,AM209,AT209)=0,"contact vendor",AVERAGE(K209,R209,Y209,AF209,AM209,AT209))</f>
        <v>101.89565217391305</v>
      </c>
      <c r="E209" t="s">
        <v>309</v>
      </c>
      <c r="F209" t="s">
        <v>309</v>
      </c>
      <c r="G209" s="109">
        <v>96</v>
      </c>
      <c r="H209" s="110">
        <f>G209*M209</f>
        <v>96</v>
      </c>
      <c r="I209" s="111">
        <f>H209</f>
        <v>96</v>
      </c>
      <c r="J209" s="45">
        <v>2003</v>
      </c>
      <c r="K209" s="175">
        <f>I209*VLOOKUP(J209,cci_table,3,FALSE)</f>
        <v>101.89565217391305</v>
      </c>
      <c r="L209" t="s">
        <v>547</v>
      </c>
      <c r="M209" s="54">
        <v>1</v>
      </c>
      <c r="N209" s="9"/>
      <c r="O209" s="9"/>
      <c r="P209" s="9"/>
      <c r="S209" s="49"/>
      <c r="T209" s="54">
        <v>1</v>
      </c>
      <c r="U209" s="9"/>
      <c r="AU209" s="36"/>
    </row>
    <row r="210" spans="1:47" ht="12.75">
      <c r="A210" s="37"/>
      <c r="B210" s="367">
        <v>200</v>
      </c>
      <c r="C210" s="409">
        <v>299</v>
      </c>
      <c r="D210" s="506">
        <f>IF(AVERAGE(K210,R210,Y210,AF210,AM210,AT210)=0,"contact vendor",AVERAGE(K210,R210,Y210,AF210,AM210,AT210))</f>
        <v>265.35326086956525</v>
      </c>
      <c r="E210" t="s">
        <v>309</v>
      </c>
      <c r="F210" t="s">
        <v>309</v>
      </c>
      <c r="G210" s="109">
        <v>250</v>
      </c>
      <c r="H210" s="110">
        <f>G210*M210</f>
        <v>250</v>
      </c>
      <c r="I210" s="111">
        <f>H210</f>
        <v>250</v>
      </c>
      <c r="J210" s="45">
        <v>2003</v>
      </c>
      <c r="K210" s="175">
        <f>I210*VLOOKUP(J210,cci_table,3,FALSE)</f>
        <v>265.35326086956525</v>
      </c>
      <c r="L210" t="s">
        <v>547</v>
      </c>
      <c r="M210" s="54">
        <v>1</v>
      </c>
      <c r="N210" s="9"/>
      <c r="O210" s="9"/>
      <c r="P210" s="9"/>
      <c r="S210" s="49"/>
      <c r="T210" s="54">
        <v>1</v>
      </c>
      <c r="U210" s="9"/>
      <c r="AU210" s="36"/>
    </row>
    <row r="211" spans="1:47" ht="12.75">
      <c r="A211" s="37"/>
      <c r="C211" s="16"/>
      <c r="D211" s="112"/>
      <c r="G211" s="27"/>
      <c r="H211" s="116"/>
      <c r="I211" s="116"/>
      <c r="J211" s="70"/>
      <c r="K211" s="70"/>
      <c r="M211" s="54"/>
      <c r="N211" s="9"/>
      <c r="O211" s="9"/>
      <c r="P211" s="9"/>
      <c r="S211" s="49"/>
      <c r="T211" s="54"/>
      <c r="U211" s="9"/>
      <c r="AU211" s="36"/>
    </row>
    <row r="212" spans="1:47" ht="12.75">
      <c r="A212" s="37"/>
      <c r="B212" t="s">
        <v>544</v>
      </c>
      <c r="C212" s="16"/>
      <c r="D212" s="112"/>
      <c r="G212" s="27"/>
      <c r="H212" s="116"/>
      <c r="I212" s="116"/>
      <c r="J212" s="70"/>
      <c r="K212" s="70"/>
      <c r="M212" s="54"/>
      <c r="N212" s="9"/>
      <c r="O212" s="9"/>
      <c r="P212" s="9"/>
      <c r="S212" s="49"/>
      <c r="T212" s="54"/>
      <c r="U212" s="9"/>
      <c r="AU212" s="36"/>
    </row>
    <row r="213" spans="1:47" ht="12.75">
      <c r="A213" s="37" t="s">
        <v>546</v>
      </c>
      <c r="B213" s="367">
        <v>0</v>
      </c>
      <c r="C213" s="409">
        <v>14</v>
      </c>
      <c r="D213" s="506">
        <f>IF(AVERAGE(K213,R213,Y213,AF213,AM213,AT213)=0,"contact vendor",AVERAGE(K213,R213,Y213,AF213,AM213,AT213))</f>
        <v>9.552717391304348</v>
      </c>
      <c r="E213" t="s">
        <v>309</v>
      </c>
      <c r="F213" t="s">
        <v>309</v>
      </c>
      <c r="G213" s="109">
        <v>9</v>
      </c>
      <c r="H213" s="110">
        <f>G213*M213</f>
        <v>9</v>
      </c>
      <c r="I213" s="111">
        <f>H213</f>
        <v>9</v>
      </c>
      <c r="J213" s="45">
        <v>2003</v>
      </c>
      <c r="K213" s="175">
        <f>I213*VLOOKUP(J213,cci_table,3,FALSE)</f>
        <v>9.552717391304348</v>
      </c>
      <c r="L213" t="s">
        <v>547</v>
      </c>
      <c r="M213" s="54">
        <v>1</v>
      </c>
      <c r="N213" s="9"/>
      <c r="O213" s="9"/>
      <c r="P213" s="9"/>
      <c r="S213" s="49"/>
      <c r="T213" s="54">
        <v>1</v>
      </c>
      <c r="U213" s="9"/>
      <c r="AU213" s="36"/>
    </row>
    <row r="214" spans="1:47" ht="12.75">
      <c r="A214" s="37"/>
      <c r="B214" s="367">
        <v>15</v>
      </c>
      <c r="C214" s="409">
        <v>49</v>
      </c>
      <c r="D214" s="506">
        <f>IF(AVERAGE(K214,R214,Y214,AF214,AM214,AT214)=0,"contact vendor",AVERAGE(K214,R214,Y214,AF214,AM214,AT214))</f>
        <v>11.67554347826087</v>
      </c>
      <c r="E214" t="s">
        <v>309</v>
      </c>
      <c r="F214" t="s">
        <v>309</v>
      </c>
      <c r="G214" s="109">
        <v>11</v>
      </c>
      <c r="H214" s="110">
        <f>G214*M214</f>
        <v>11</v>
      </c>
      <c r="I214" s="111">
        <f>H214</f>
        <v>11</v>
      </c>
      <c r="J214" s="45">
        <v>2003</v>
      </c>
      <c r="K214" s="175">
        <f>I214*VLOOKUP(J214,cci_table,3,FALSE)</f>
        <v>11.67554347826087</v>
      </c>
      <c r="L214" t="s">
        <v>547</v>
      </c>
      <c r="M214" s="54">
        <v>1</v>
      </c>
      <c r="N214" s="9"/>
      <c r="O214" s="9"/>
      <c r="P214" s="9"/>
      <c r="S214" s="49"/>
      <c r="T214" s="54">
        <v>1</v>
      </c>
      <c r="U214" s="9"/>
      <c r="AU214" s="36"/>
    </row>
    <row r="215" spans="1:47" ht="12.75">
      <c r="A215" s="37"/>
      <c r="B215" s="367">
        <v>50</v>
      </c>
      <c r="C215" s="409">
        <v>99</v>
      </c>
      <c r="D215" s="506">
        <f>IF(AVERAGE(K215,R215,Y215,AF215,AM215,AT215)=0,"contact vendor",AVERAGE(K215,R215,Y215,AF215,AM215,AT215))</f>
        <v>22.28967391304348</v>
      </c>
      <c r="E215" t="s">
        <v>309</v>
      </c>
      <c r="F215" t="s">
        <v>309</v>
      </c>
      <c r="G215" s="109">
        <v>21</v>
      </c>
      <c r="H215" s="110">
        <f>G215*M215</f>
        <v>21</v>
      </c>
      <c r="I215" s="111">
        <f>H215</f>
        <v>21</v>
      </c>
      <c r="J215" s="45">
        <v>2003</v>
      </c>
      <c r="K215" s="175">
        <f>I215*VLOOKUP(J215,cci_table,3,FALSE)</f>
        <v>22.28967391304348</v>
      </c>
      <c r="L215" t="s">
        <v>547</v>
      </c>
      <c r="M215" s="54">
        <v>1</v>
      </c>
      <c r="N215" s="9"/>
      <c r="O215" s="9"/>
      <c r="P215" s="9"/>
      <c r="S215" s="49"/>
      <c r="T215" s="54">
        <v>1</v>
      </c>
      <c r="U215" s="9"/>
      <c r="AU215" s="36"/>
    </row>
    <row r="216" spans="1:47" ht="12.75">
      <c r="A216" s="37"/>
      <c r="B216" s="367">
        <v>100</v>
      </c>
      <c r="C216" s="409">
        <v>199</v>
      </c>
      <c r="D216" s="506">
        <f>IF(AVERAGE(K216,R216,Y216,AF216,AM216,AT216)=0,"contact vendor",AVERAGE(K216,R216,Y216,AF216,AM216,AT216))</f>
        <v>44.57934782608696</v>
      </c>
      <c r="E216" t="s">
        <v>309</v>
      </c>
      <c r="F216" t="s">
        <v>309</v>
      </c>
      <c r="G216" s="109">
        <v>42</v>
      </c>
      <c r="H216" s="110">
        <f>G216*M216</f>
        <v>42</v>
      </c>
      <c r="I216" s="111">
        <f>H216</f>
        <v>42</v>
      </c>
      <c r="J216" s="45">
        <v>2003</v>
      </c>
      <c r="K216" s="175">
        <f>I216*VLOOKUP(J216,cci_table,3,FALSE)</f>
        <v>44.57934782608696</v>
      </c>
      <c r="L216" t="s">
        <v>547</v>
      </c>
      <c r="M216" s="54">
        <v>1</v>
      </c>
      <c r="N216" s="9"/>
      <c r="O216" s="9"/>
      <c r="P216" s="9"/>
      <c r="S216" s="49"/>
      <c r="T216" s="54">
        <v>1</v>
      </c>
      <c r="U216" s="9"/>
      <c r="AU216" s="36"/>
    </row>
    <row r="217" spans="1:47" ht="12.75">
      <c r="A217" s="37"/>
      <c r="B217" s="367">
        <v>200</v>
      </c>
      <c r="C217" s="409">
        <v>299</v>
      </c>
      <c r="D217" s="506">
        <f>IF(AVERAGE(K217,R217,Y217,AF217,AM217,AT217)=0,"contact vendor",AVERAGE(K217,R217,Y217,AF217,AM217,AT217))</f>
        <v>106.1413043478261</v>
      </c>
      <c r="E217" t="s">
        <v>309</v>
      </c>
      <c r="F217" t="s">
        <v>309</v>
      </c>
      <c r="G217" s="109">
        <v>100</v>
      </c>
      <c r="H217" s="110">
        <f>G217*M217</f>
        <v>100</v>
      </c>
      <c r="I217" s="111">
        <f>H217</f>
        <v>100</v>
      </c>
      <c r="J217" s="45">
        <v>2003</v>
      </c>
      <c r="K217" s="175">
        <f>I217*VLOOKUP(J217,cci_table,3,FALSE)</f>
        <v>106.1413043478261</v>
      </c>
      <c r="L217" t="s">
        <v>547</v>
      </c>
      <c r="M217" s="54">
        <v>1</v>
      </c>
      <c r="N217" s="9"/>
      <c r="O217" s="9"/>
      <c r="P217" s="9"/>
      <c r="S217" s="49"/>
      <c r="T217" s="54">
        <v>1</v>
      </c>
      <c r="U217" s="9"/>
      <c r="AU217" s="36"/>
    </row>
    <row r="218" spans="1:20" s="21" customFormat="1" ht="12.75">
      <c r="A218" s="19"/>
      <c r="C218" s="16"/>
      <c r="D218" s="145"/>
      <c r="G218" s="149"/>
      <c r="H218" s="150"/>
      <c r="I218" s="150"/>
      <c r="J218" s="151"/>
      <c r="K218" s="151"/>
      <c r="M218" s="152"/>
      <c r="N218" s="6"/>
      <c r="O218" s="6"/>
      <c r="P218" s="6"/>
      <c r="S218" s="153"/>
      <c r="T218" s="6"/>
    </row>
    <row r="219" spans="2:44" ht="12.75">
      <c r="B219" s="21" t="s">
        <v>243</v>
      </c>
      <c r="C219" s="36"/>
      <c r="I219" s="116"/>
      <c r="J219" s="45"/>
      <c r="K219" s="45"/>
      <c r="M219" s="54"/>
      <c r="N219" s="9"/>
      <c r="O219" s="9"/>
      <c r="P219" s="9"/>
      <c r="S219" s="49"/>
      <c r="T219" s="9"/>
      <c r="AR219" s="36"/>
    </row>
    <row r="220" spans="1:44" ht="12.75">
      <c r="A220" s="37" t="s">
        <v>242</v>
      </c>
      <c r="B220" s="499"/>
      <c r="C220" s="367"/>
      <c r="D220" s="506">
        <f>IF(AVERAGE(K220,R220,Y220,AF220,AM220,AT220)=0,"contact vendor",AVERAGE(K220,R220,Y220,AF220,AM220,AT220))</f>
        <v>33.12223384446878</v>
      </c>
      <c r="E220" t="s">
        <v>309</v>
      </c>
      <c r="F220" t="s">
        <v>309</v>
      </c>
      <c r="G220" s="109">
        <f>21.73*1.48</f>
        <v>32.1604</v>
      </c>
      <c r="H220" s="110">
        <f>G220</f>
        <v>32.1604</v>
      </c>
      <c r="I220" s="111">
        <f>G220</f>
        <v>32.1604</v>
      </c>
      <c r="J220" s="45">
        <v>2004</v>
      </c>
      <c r="K220" s="177">
        <f>I220*VLOOKUP(J220,eci_table,3,FALSE)</f>
        <v>33.375661555312156</v>
      </c>
      <c r="L220" s="112" t="s">
        <v>231</v>
      </c>
      <c r="M220" s="54">
        <v>1</v>
      </c>
      <c r="N220" s="109">
        <f>21.4*1.48</f>
        <v>31.671999999999997</v>
      </c>
      <c r="O220" s="110">
        <f>N220</f>
        <v>31.671999999999997</v>
      </c>
      <c r="P220" s="111">
        <f>N220</f>
        <v>31.671999999999997</v>
      </c>
      <c r="Q220" s="45">
        <v>2004</v>
      </c>
      <c r="R220" s="177">
        <f>P220*VLOOKUP(Q220,eci_table,3,FALSE)</f>
        <v>32.868806133625405</v>
      </c>
      <c r="S220" s="112" t="s">
        <v>241</v>
      </c>
      <c r="T220" s="54">
        <v>1</v>
      </c>
      <c r="U220" s="109"/>
      <c r="V220" s="110"/>
      <c r="W220" s="111"/>
      <c r="X220" s="45"/>
      <c r="Y220" s="177"/>
      <c r="Z220" s="112"/>
      <c r="AR220" s="36"/>
    </row>
    <row r="221" spans="1:44" ht="12.75">
      <c r="A221" s="37" t="s">
        <v>249</v>
      </c>
      <c r="B221" s="499"/>
      <c r="C221" s="367"/>
      <c r="D221" s="506">
        <f>IF(AVERAGE(K221,R221,Y221,AF221,AM221,AT221)=0,"contact vendor",AVERAGE(K221,R221,Y221,AF221,AM221,AT221))</f>
        <v>25.07481375358166</v>
      </c>
      <c r="E221" t="s">
        <v>309</v>
      </c>
      <c r="F221" t="s">
        <v>309</v>
      </c>
      <c r="G221" s="109">
        <v>21.44</v>
      </c>
      <c r="H221" s="110">
        <f>G221</f>
        <v>21.44</v>
      </c>
      <c r="I221" s="111">
        <f>H221</f>
        <v>21.44</v>
      </c>
      <c r="J221" s="45">
        <v>2003</v>
      </c>
      <c r="K221" s="177">
        <f>I221*VLOOKUP(J221,eci_table,3,FALSE)</f>
        <v>23.282979942693412</v>
      </c>
      <c r="L221" s="112" t="s">
        <v>295</v>
      </c>
      <c r="M221" s="54">
        <v>1</v>
      </c>
      <c r="N221" s="109">
        <v>23.09</v>
      </c>
      <c r="O221" s="110">
        <f>N221</f>
        <v>23.09</v>
      </c>
      <c r="P221" s="111">
        <f>O221</f>
        <v>23.09</v>
      </c>
      <c r="Q221" s="45">
        <v>2003</v>
      </c>
      <c r="R221" s="177">
        <f>P221*VLOOKUP(Q221,eci_table,3,FALSE)</f>
        <v>25.07481375358166</v>
      </c>
      <c r="S221" s="112" t="s">
        <v>297</v>
      </c>
      <c r="T221" s="54">
        <v>1</v>
      </c>
      <c r="U221" s="109">
        <v>24.74</v>
      </c>
      <c r="V221" s="110">
        <f>U221</f>
        <v>24.74</v>
      </c>
      <c r="W221" s="111">
        <f>V221</f>
        <v>24.74</v>
      </c>
      <c r="X221" s="45">
        <v>2003</v>
      </c>
      <c r="Y221" s="177">
        <f>W221*VLOOKUP(X221,eci_table,3,FALSE)</f>
        <v>26.866647564469915</v>
      </c>
      <c r="Z221" s="112" t="s">
        <v>299</v>
      </c>
      <c r="AR221" s="36"/>
    </row>
    <row r="222" spans="1:44" ht="12.75">
      <c r="A222" s="37" t="s">
        <v>250</v>
      </c>
      <c r="B222" s="499"/>
      <c r="C222" s="367"/>
      <c r="D222" s="506">
        <f>IF(AVERAGE(K222,R222,Y222,AF222,AM222,AT222)=0,"contact vendor",AVERAGE(K222,R222,Y222,AF222,AM222,AT222))</f>
        <v>17.88937917860554</v>
      </c>
      <c r="E222" t="s">
        <v>309</v>
      </c>
      <c r="F222" t="s">
        <v>309</v>
      </c>
      <c r="G222" s="109">
        <v>15.29</v>
      </c>
      <c r="H222" s="110">
        <f>G222</f>
        <v>15.29</v>
      </c>
      <c r="I222" s="111">
        <f>H222</f>
        <v>15.29</v>
      </c>
      <c r="J222" s="45">
        <v>2003</v>
      </c>
      <c r="K222" s="177">
        <f>I222*VLOOKUP(J222,eci_table,3,FALSE)</f>
        <v>16.60432664756447</v>
      </c>
      <c r="L222" s="112" t="s">
        <v>296</v>
      </c>
      <c r="M222" s="54">
        <v>1</v>
      </c>
      <c r="N222" s="109">
        <v>16.47</v>
      </c>
      <c r="O222" s="110">
        <f>N222</f>
        <v>16.47</v>
      </c>
      <c r="P222" s="111">
        <f>O222</f>
        <v>16.47</v>
      </c>
      <c r="Q222" s="45">
        <v>2003</v>
      </c>
      <c r="R222" s="177">
        <f>P222*VLOOKUP(Q222,eci_table,3,FALSE)</f>
        <v>17.885759312320918</v>
      </c>
      <c r="S222" s="112" t="s">
        <v>298</v>
      </c>
      <c r="T222" s="54">
        <v>1</v>
      </c>
      <c r="U222" s="109">
        <v>17.66</v>
      </c>
      <c r="V222" s="110">
        <f>U222</f>
        <v>17.66</v>
      </c>
      <c r="W222" s="111">
        <f>V222</f>
        <v>17.66</v>
      </c>
      <c r="X222" s="45">
        <v>2003</v>
      </c>
      <c r="Y222" s="177">
        <f>W222*VLOOKUP(X222,eci_table,3,FALSE)</f>
        <v>19.17805157593123</v>
      </c>
      <c r="Z222" s="112" t="s">
        <v>300</v>
      </c>
      <c r="AR222" s="36"/>
    </row>
    <row r="223" spans="2:44" ht="12.75">
      <c r="B223" s="21"/>
      <c r="C223" s="36"/>
      <c r="I223" s="116"/>
      <c r="J223" s="45"/>
      <c r="K223" s="45"/>
      <c r="M223" s="54"/>
      <c r="N223" s="9"/>
      <c r="O223" s="9"/>
      <c r="P223" s="9"/>
      <c r="S223" s="49"/>
      <c r="T223" s="9"/>
      <c r="AR223" s="36"/>
    </row>
    <row r="224" spans="2:44" ht="12.75">
      <c r="B224" s="21"/>
      <c r="C224" s="36"/>
      <c r="I224" s="116"/>
      <c r="J224" s="45"/>
      <c r="K224" s="45"/>
      <c r="M224" s="54"/>
      <c r="N224" s="9"/>
      <c r="O224" s="9"/>
      <c r="P224" s="9"/>
      <c r="S224" s="49"/>
      <c r="T224" s="9"/>
      <c r="AR224" s="36"/>
    </row>
    <row r="225" spans="1:44" ht="12.75">
      <c r="A225" s="37" t="s">
        <v>252</v>
      </c>
      <c r="I225" s="116"/>
      <c r="J225" s="45"/>
      <c r="K225" s="45"/>
      <c r="M225" s="54"/>
      <c r="N225" s="9"/>
      <c r="O225" s="9"/>
      <c r="P225" s="9"/>
      <c r="S225" s="49"/>
      <c r="T225" s="9"/>
      <c r="AR225" s="36"/>
    </row>
    <row r="226" spans="1:44" ht="12.75">
      <c r="A226" s="77" t="s">
        <v>251</v>
      </c>
      <c r="B226" s="21"/>
      <c r="C226" s="21"/>
      <c r="D226" s="21"/>
      <c r="E226" s="21"/>
      <c r="F226" s="366"/>
      <c r="G226" s="366"/>
      <c r="H226" s="36"/>
      <c r="I226" s="36"/>
      <c r="J226" s="70"/>
      <c r="K226" s="45"/>
      <c r="M226" s="54"/>
      <c r="N226" s="9"/>
      <c r="O226" s="9"/>
      <c r="P226" s="9"/>
      <c r="S226" s="49"/>
      <c r="T226" s="9"/>
      <c r="AR226" s="36"/>
    </row>
    <row r="227" spans="1:44" ht="12.75">
      <c r="A227" s="362" t="s">
        <v>708</v>
      </c>
      <c r="B227" s="541">
        <v>2005</v>
      </c>
      <c r="C227" s="21"/>
      <c r="D227" s="21"/>
      <c r="E227" s="21"/>
      <c r="F227" s="366"/>
      <c r="G227" s="366"/>
      <c r="H227" s="36"/>
      <c r="I227" s="36"/>
      <c r="J227" s="70"/>
      <c r="K227" s="45"/>
      <c r="M227" s="54"/>
      <c r="N227" s="9"/>
      <c r="O227" s="9"/>
      <c r="P227" s="9"/>
      <c r="S227" s="49"/>
      <c r="T227" s="9"/>
      <c r="AR227" s="36"/>
    </row>
    <row r="228" spans="1:44" ht="12.75">
      <c r="A228" s="66" t="s">
        <v>246</v>
      </c>
      <c r="B228" s="48">
        <f>VLOOKUP(current_year,B230:C244,2,FALSE)</f>
        <v>195.3</v>
      </c>
      <c r="C228" s="37"/>
      <c r="D228"/>
      <c r="G228" s="144">
        <f>VLOOKUP(current_year,G230:H244,2,FALSE)</f>
        <v>189.5</v>
      </c>
      <c r="H228" t="s">
        <v>240</v>
      </c>
      <c r="I228" s="9" t="s">
        <v>646</v>
      </c>
      <c r="M228" s="54"/>
      <c r="N228" s="9"/>
      <c r="O228" s="9"/>
      <c r="P228" s="9"/>
      <c r="S228" s="49"/>
      <c r="T228" s="9"/>
      <c r="AR228" s="36"/>
    </row>
    <row r="229" spans="1:44" ht="12.75">
      <c r="A229" s="66"/>
      <c r="B229" t="s">
        <v>369</v>
      </c>
      <c r="C229" s="362" t="s">
        <v>248</v>
      </c>
      <c r="D229" t="s">
        <v>649</v>
      </c>
      <c r="G229" t="s">
        <v>369</v>
      </c>
      <c r="H229" t="s">
        <v>647</v>
      </c>
      <c r="I229" t="s">
        <v>648</v>
      </c>
      <c r="M229" s="54"/>
      <c r="N229" s="9"/>
      <c r="O229" s="9"/>
      <c r="P229" s="9"/>
      <c r="S229" s="49"/>
      <c r="T229" s="9"/>
      <c r="AR229" s="36"/>
    </row>
    <row r="230" spans="1:44" ht="12.75">
      <c r="A230" s="66" t="s">
        <v>247</v>
      </c>
      <c r="B230">
        <v>1990</v>
      </c>
      <c r="C230" s="36"/>
      <c r="D230" s="57"/>
      <c r="G230" s="9">
        <v>1990</v>
      </c>
      <c r="M230" s="54"/>
      <c r="N230" s="9"/>
      <c r="O230" s="9"/>
      <c r="P230" s="9"/>
      <c r="S230" s="49"/>
      <c r="T230" s="9"/>
      <c r="AR230" s="36"/>
    </row>
    <row r="231" spans="1:44" ht="12.75">
      <c r="A231" s="66"/>
      <c r="B231">
        <v>1995</v>
      </c>
      <c r="C231" s="9">
        <v>152.4</v>
      </c>
      <c r="D231" s="57">
        <f aca="true" t="shared" si="81" ref="D231:D241">current_cci/C231</f>
        <v>1.281496062992126</v>
      </c>
      <c r="G231" s="9">
        <v>1995</v>
      </c>
      <c r="M231" s="54"/>
      <c r="N231" s="9"/>
      <c r="O231" s="9"/>
      <c r="P231" s="9"/>
      <c r="S231" s="49"/>
      <c r="T231" s="9"/>
      <c r="AR231" s="36"/>
    </row>
    <row r="232" spans="1:44" ht="12.75">
      <c r="A232" s="66"/>
      <c r="B232">
        <v>1996</v>
      </c>
      <c r="C232" s="9">
        <v>156.9</v>
      </c>
      <c r="D232" s="57">
        <f t="shared" si="81"/>
        <v>1.2447418738049714</v>
      </c>
      <c r="G232" s="9">
        <v>1996</v>
      </c>
      <c r="M232" s="54"/>
      <c r="N232" s="9"/>
      <c r="O232" s="9"/>
      <c r="P232" s="9"/>
      <c r="S232" s="49"/>
      <c r="T232" s="9"/>
      <c r="AR232" s="36"/>
    </row>
    <row r="233" spans="1:44" ht="12.75">
      <c r="A233" s="66"/>
      <c r="B233">
        <v>1997</v>
      </c>
      <c r="C233" s="9">
        <v>160.5</v>
      </c>
      <c r="D233" s="57">
        <f t="shared" si="81"/>
        <v>1.2168224299065422</v>
      </c>
      <c r="G233" s="9">
        <v>1997</v>
      </c>
      <c r="M233" s="54"/>
      <c r="N233" s="9"/>
      <c r="O233" s="9"/>
      <c r="P233" s="9"/>
      <c r="S233" s="49"/>
      <c r="T233" s="9"/>
      <c r="AR233" s="36"/>
    </row>
    <row r="234" spans="1:44" ht="12.75">
      <c r="A234" s="66"/>
      <c r="B234">
        <v>1998</v>
      </c>
      <c r="C234" s="9">
        <v>163</v>
      </c>
      <c r="D234" s="57">
        <f t="shared" si="81"/>
        <v>1.198159509202454</v>
      </c>
      <c r="G234" s="9">
        <v>1998</v>
      </c>
      <c r="M234" s="54"/>
      <c r="N234" s="9"/>
      <c r="O234" s="9"/>
      <c r="P234" s="9"/>
      <c r="S234" s="49"/>
      <c r="T234" s="9"/>
      <c r="AR234" s="36"/>
    </row>
    <row r="235" spans="1:44" ht="12.75">
      <c r="A235" s="66"/>
      <c r="B235">
        <v>1999</v>
      </c>
      <c r="C235" s="9">
        <v>166.6</v>
      </c>
      <c r="D235" s="57">
        <f t="shared" si="81"/>
        <v>1.1722689075630253</v>
      </c>
      <c r="G235" s="9">
        <v>1999</v>
      </c>
      <c r="AR235" s="36"/>
    </row>
    <row r="236" spans="1:44" s="32" customFormat="1" ht="12.75" customHeight="1">
      <c r="A236" s="66"/>
      <c r="B236">
        <v>2000</v>
      </c>
      <c r="C236" s="9">
        <v>172.2</v>
      </c>
      <c r="D236" s="57">
        <f t="shared" si="81"/>
        <v>1.1341463414634148</v>
      </c>
      <c r="E236"/>
      <c r="F236"/>
      <c r="G236">
        <v>2000</v>
      </c>
      <c r="H236">
        <f>ROUND(AVERAGE(148.6,150.9,153.5,154.1),1)</f>
        <v>151.8</v>
      </c>
      <c r="I236">
        <f aca="true" t="shared" si="82" ref="I236:I241">current_eci/H236</f>
        <v>1.248353096179183</v>
      </c>
      <c r="J236"/>
      <c r="K236"/>
      <c r="AR236" s="114"/>
    </row>
    <row r="237" spans="1:44" ht="12.75">
      <c r="A237" s="66"/>
      <c r="B237">
        <v>2001</v>
      </c>
      <c r="C237" s="9">
        <v>177.1</v>
      </c>
      <c r="D237" s="57">
        <f t="shared" si="81"/>
        <v>1.1027667984189724</v>
      </c>
      <c r="G237">
        <v>2001</v>
      </c>
      <c r="H237">
        <f>ROUND(AVERAGE(157.3,159.8,160.7,161.5),1)</f>
        <v>159.8</v>
      </c>
      <c r="I237">
        <f t="shared" si="82"/>
        <v>1.185857321652065</v>
      </c>
      <c r="AR237" s="36"/>
    </row>
    <row r="238" spans="1:44" ht="12.75">
      <c r="A238" s="66"/>
      <c r="B238">
        <v>2002</v>
      </c>
      <c r="C238" s="144">
        <v>179.9</v>
      </c>
      <c r="D238" s="57">
        <f t="shared" si="81"/>
        <v>1.085603112840467</v>
      </c>
      <c r="G238">
        <v>2002</v>
      </c>
      <c r="H238">
        <f>ROUND(AVERAGE(163.9,165.5,168.2,169.2),1)</f>
        <v>166.7</v>
      </c>
      <c r="I238">
        <f t="shared" si="82"/>
        <v>1.136772645470906</v>
      </c>
      <c r="AR238" s="36"/>
    </row>
    <row r="239" spans="1:44" ht="12.75">
      <c r="A239" s="66"/>
      <c r="B239">
        <v>2003</v>
      </c>
      <c r="C239" s="144">
        <v>184</v>
      </c>
      <c r="D239" s="57">
        <f t="shared" si="81"/>
        <v>1.061413043478261</v>
      </c>
      <c r="G239">
        <v>2003</v>
      </c>
      <c r="H239">
        <f>ROUND(AVERAGE(170.5,174.2,176.4,177),1)</f>
        <v>174.5</v>
      </c>
      <c r="I239">
        <f t="shared" si="82"/>
        <v>1.0859598853868195</v>
      </c>
      <c r="AR239" s="36"/>
    </row>
    <row r="240" spans="1:44" s="32" customFormat="1" ht="14.25" customHeight="1">
      <c r="A240" s="66"/>
      <c r="B240">
        <v>2004</v>
      </c>
      <c r="C240" s="144">
        <v>188.9</v>
      </c>
      <c r="D240" s="57">
        <f t="shared" si="81"/>
        <v>1.0338803599788249</v>
      </c>
      <c r="E240"/>
      <c r="F240"/>
      <c r="G240">
        <v>2004</v>
      </c>
      <c r="H240">
        <f>ROUND(AVERAGE(180.4,183.1,183.6,183.4),1)</f>
        <v>182.6</v>
      </c>
      <c r="I240">
        <f t="shared" si="82"/>
        <v>1.037787513691128</v>
      </c>
      <c r="J240"/>
      <c r="K240"/>
      <c r="AR240" s="114"/>
    </row>
    <row r="241" spans="1:44" ht="12.75">
      <c r="A241" s="66"/>
      <c r="B241">
        <v>2005</v>
      </c>
      <c r="C241" s="67">
        <v>195.3</v>
      </c>
      <c r="D241" s="57">
        <f t="shared" si="81"/>
        <v>1</v>
      </c>
      <c r="G241">
        <v>2005</v>
      </c>
      <c r="H241">
        <f>ROUND(AVERAGE(186.9,189.2,190.4,191.3),1)</f>
        <v>189.5</v>
      </c>
      <c r="I241">
        <f t="shared" si="82"/>
        <v>1</v>
      </c>
      <c r="AR241" s="36"/>
    </row>
    <row r="242" spans="1:44" ht="12.75">
      <c r="A242" s="23"/>
      <c r="B242">
        <v>2006</v>
      </c>
      <c r="C242" s="67">
        <v>195.3</v>
      </c>
      <c r="D242" s="57">
        <v>1</v>
      </c>
      <c r="G242">
        <v>2006</v>
      </c>
      <c r="H242">
        <v>189.5</v>
      </c>
      <c r="I242">
        <v>1</v>
      </c>
      <c r="AR242" s="36"/>
    </row>
    <row r="243" spans="1:44" ht="12.75">
      <c r="A243" s="23"/>
      <c r="C243" s="67"/>
      <c r="D243" s="57"/>
      <c r="AR243" s="36"/>
    </row>
    <row r="244" spans="2:44" ht="12.75">
      <c r="B244" t="s">
        <v>709</v>
      </c>
      <c r="AR244" s="36"/>
    </row>
    <row r="245" ht="12.75">
      <c r="AR245" s="36"/>
    </row>
    <row r="246" spans="1:44" ht="12.75">
      <c r="A246" s="364"/>
      <c r="B246" s="20"/>
      <c r="C246" s="363"/>
      <c r="AR246" s="36"/>
    </row>
    <row r="247" spans="1:44" ht="12.75">
      <c r="A247" s="364"/>
      <c r="B247" s="20"/>
      <c r="C247" s="20"/>
      <c r="AR247" s="36"/>
    </row>
    <row r="248" spans="1:3" ht="12.75">
      <c r="A248" s="364"/>
      <c r="B248" s="20"/>
      <c r="C248" s="20"/>
    </row>
    <row r="249" spans="1:3" ht="12.75">
      <c r="A249" s="364"/>
      <c r="B249" s="20"/>
      <c r="C249" s="363"/>
    </row>
    <row r="250" spans="1:3" ht="12.75">
      <c r="A250" s="364"/>
      <c r="B250" s="20"/>
      <c r="C250" s="363"/>
    </row>
    <row r="251" spans="1:3" ht="12.75">
      <c r="A251" s="20"/>
      <c r="B251" s="20"/>
      <c r="C251" s="365"/>
    </row>
    <row r="252" spans="1:7" ht="12.75">
      <c r="A252" s="20"/>
      <c r="B252" s="20"/>
      <c r="C252" s="365"/>
      <c r="D252" s="21"/>
      <c r="E252" s="23"/>
      <c r="F252" s="23"/>
      <c r="G252" s="23"/>
    </row>
    <row r="253" spans="1:7" ht="12.75">
      <c r="A253" s="115"/>
      <c r="B253" s="115"/>
      <c r="C253" s="115"/>
      <c r="D253" s="115"/>
      <c r="E253" s="3"/>
      <c r="F253" s="2"/>
      <c r="G253" s="2"/>
    </row>
    <row r="254" spans="1:3" ht="12.75">
      <c r="A254" s="36"/>
      <c r="B254" s="36"/>
      <c r="C254" s="36"/>
    </row>
    <row r="255" spans="1:3" ht="12.75">
      <c r="A255" s="36"/>
      <c r="B255" s="36"/>
      <c r="C255" s="36"/>
    </row>
    <row r="256" spans="1:3" ht="12.75">
      <c r="A256" s="34"/>
      <c r="B256" s="36"/>
      <c r="C256" s="36"/>
    </row>
    <row r="257" spans="1:3" ht="12.75">
      <c r="A257" s="28"/>
      <c r="B257" s="28"/>
      <c r="C257" s="36"/>
    </row>
    <row r="258" spans="1:3" ht="12.75">
      <c r="A258" s="118"/>
      <c r="B258" s="118"/>
      <c r="C258" s="36"/>
    </row>
    <row r="259" spans="1:3" ht="12.75">
      <c r="A259" s="36"/>
      <c r="B259" s="27"/>
      <c r="C259" s="36"/>
    </row>
    <row r="260" spans="1:3" ht="12.75">
      <c r="A260" s="36"/>
      <c r="B260" s="27"/>
      <c r="C260" s="36"/>
    </row>
    <row r="261" spans="1:3" ht="12.75">
      <c r="A261" s="36"/>
      <c r="B261" s="27"/>
      <c r="C261" s="36"/>
    </row>
    <row r="262" spans="1:3" ht="12.75">
      <c r="A262" s="36"/>
      <c r="B262" s="27"/>
      <c r="C262" s="36"/>
    </row>
    <row r="263" spans="1:3" ht="12.75">
      <c r="A263" s="36"/>
      <c r="B263" s="27"/>
      <c r="C263" s="36"/>
    </row>
    <row r="264" spans="1:3" ht="12.75">
      <c r="A264" s="36"/>
      <c r="B264" s="36"/>
      <c r="C264" s="36"/>
    </row>
    <row r="265" spans="1:3" ht="12.75">
      <c r="A265" s="36"/>
      <c r="B265" s="36"/>
      <c r="C265" s="36"/>
    </row>
    <row r="266" spans="1:3" ht="12.75">
      <c r="A266" s="36"/>
      <c r="B266" s="36"/>
      <c r="C266" s="36"/>
    </row>
    <row r="267" spans="1:3" ht="12.75">
      <c r="A267" s="36"/>
      <c r="B267" s="36"/>
      <c r="C267" s="36"/>
    </row>
    <row r="268" spans="1:3" ht="12.75">
      <c r="A268" s="36"/>
      <c r="B268" s="36"/>
      <c r="C268" s="36"/>
    </row>
    <row r="269" spans="1:3" ht="12.75">
      <c r="A269" s="36"/>
      <c r="B269" s="36"/>
      <c r="C269" s="36"/>
    </row>
    <row r="270" spans="1:3" ht="12.75">
      <c r="A270" s="36"/>
      <c r="B270" s="36"/>
      <c r="C270" s="36"/>
    </row>
    <row r="271" spans="1:3" ht="12.75">
      <c r="A271" s="36"/>
      <c r="B271" s="36"/>
      <c r="C271" s="36"/>
    </row>
    <row r="272" spans="1:3" ht="12.75">
      <c r="A272" s="36"/>
      <c r="B272" s="36"/>
      <c r="C272" s="36"/>
    </row>
    <row r="273" spans="1:3" ht="12.75">
      <c r="A273" s="36"/>
      <c r="B273" s="36"/>
      <c r="C273" s="36"/>
    </row>
    <row r="274" spans="1:3" ht="12.75">
      <c r="A274" s="36"/>
      <c r="B274" s="36"/>
      <c r="C274" s="36"/>
    </row>
    <row r="275" spans="1:3" ht="12.75">
      <c r="A275" s="36"/>
      <c r="B275" s="36"/>
      <c r="C275" s="36"/>
    </row>
    <row r="276" spans="1:3" ht="12.75">
      <c r="A276" s="36"/>
      <c r="B276" s="36"/>
      <c r="C276" s="36"/>
    </row>
    <row r="277" spans="1:3" ht="12.75">
      <c r="A277" s="36"/>
      <c r="B277" s="36"/>
      <c r="C277" s="36"/>
    </row>
    <row r="278" spans="1:3" ht="12.75">
      <c r="A278" s="36"/>
      <c r="B278" s="36"/>
      <c r="C278" s="36"/>
    </row>
    <row r="279" spans="1:3" ht="12.75">
      <c r="A279" s="36"/>
      <c r="B279" s="36"/>
      <c r="C279" s="36"/>
    </row>
    <row r="280" spans="1:3" ht="12.75">
      <c r="A280" s="36"/>
      <c r="B280" s="36"/>
      <c r="C280" s="36"/>
    </row>
    <row r="281" spans="1:3" ht="12.75">
      <c r="A281" s="36"/>
      <c r="B281" s="36"/>
      <c r="C281" s="36"/>
    </row>
    <row r="282" spans="1:3" ht="12.75">
      <c r="A282" s="36"/>
      <c r="B282" s="36"/>
      <c r="C282" s="36"/>
    </row>
    <row r="283" spans="1:3" ht="12.75">
      <c r="A283" s="36"/>
      <c r="B283" s="36"/>
      <c r="C283" s="36"/>
    </row>
    <row r="284" spans="1:3" ht="12.75">
      <c r="A284" s="36"/>
      <c r="B284" s="36"/>
      <c r="C284" s="36"/>
    </row>
    <row r="285" spans="1:3" ht="12.75">
      <c r="A285" s="36"/>
      <c r="B285" s="36"/>
      <c r="C285" s="36"/>
    </row>
    <row r="286" spans="1:3" ht="12.75">
      <c r="A286" s="36"/>
      <c r="B286" s="36"/>
      <c r="C286" s="36"/>
    </row>
    <row r="287" spans="1:3" ht="12.75">
      <c r="A287" s="36"/>
      <c r="B287" s="36"/>
      <c r="C287" s="36"/>
    </row>
    <row r="288" spans="1:3" ht="12.75">
      <c r="A288" s="36"/>
      <c r="B288" s="36"/>
      <c r="C288" s="36"/>
    </row>
    <row r="289" spans="1:3" ht="12.75">
      <c r="A289" s="36"/>
      <c r="B289" s="36"/>
      <c r="C289" s="36"/>
    </row>
    <row r="290" spans="1:3" ht="12.75">
      <c r="A290" s="36"/>
      <c r="B290" s="36"/>
      <c r="C290" s="36"/>
    </row>
    <row r="291" spans="1:3" ht="12.75">
      <c r="A291" s="36"/>
      <c r="B291" s="36"/>
      <c r="C291" s="36"/>
    </row>
    <row r="292" spans="1:3" ht="12.75">
      <c r="A292" s="36"/>
      <c r="B292" s="36"/>
      <c r="C292" s="36"/>
    </row>
    <row r="293" spans="1:3" ht="12.75">
      <c r="A293" s="36"/>
      <c r="B293" s="36"/>
      <c r="C293" s="36"/>
    </row>
    <row r="294" spans="1:3" ht="12.75">
      <c r="A294" s="36"/>
      <c r="B294" s="36"/>
      <c r="C294" s="36"/>
    </row>
    <row r="295" spans="1:3" ht="12.75">
      <c r="A295" s="36"/>
      <c r="B295" s="36"/>
      <c r="C295" s="36"/>
    </row>
    <row r="296" spans="1:3" ht="12.75">
      <c r="A296" s="36"/>
      <c r="B296" s="36"/>
      <c r="C296" s="36"/>
    </row>
    <row r="297" spans="1:3" ht="12.75">
      <c r="A297" s="36"/>
      <c r="B297" s="36"/>
      <c r="C297" s="36"/>
    </row>
    <row r="298" spans="1:3" ht="12.75">
      <c r="A298" s="36"/>
      <c r="B298" s="36"/>
      <c r="C298" s="36"/>
    </row>
    <row r="299" spans="1:3" ht="12.75">
      <c r="A299" s="36"/>
      <c r="B299" s="36"/>
      <c r="C299" s="36"/>
    </row>
    <row r="300" spans="1:3" ht="12.75">
      <c r="A300" s="36"/>
      <c r="B300" s="36"/>
      <c r="C300" s="36"/>
    </row>
    <row r="301" spans="1:3" ht="12.75">
      <c r="A301" s="36"/>
      <c r="B301" s="36"/>
      <c r="C301" s="36"/>
    </row>
    <row r="302" spans="1:3" ht="12.75">
      <c r="A302" s="36"/>
      <c r="B302" s="36"/>
      <c r="C302" s="36"/>
    </row>
    <row r="303" spans="1:3" ht="12.75">
      <c r="A303" s="36"/>
      <c r="B303" s="36"/>
      <c r="C303" s="36"/>
    </row>
    <row r="304" spans="1:3" ht="12.75">
      <c r="A304" s="36"/>
      <c r="B304" s="36"/>
      <c r="C304" s="36"/>
    </row>
    <row r="305" spans="1:3" ht="12.75">
      <c r="A305" s="36"/>
      <c r="B305" s="36"/>
      <c r="C305" s="36"/>
    </row>
    <row r="306" spans="1:3" ht="12.75">
      <c r="A306" s="36"/>
      <c r="B306" s="36"/>
      <c r="C306" s="36"/>
    </row>
    <row r="307" spans="1:3" ht="12.75">
      <c r="A307" s="36"/>
      <c r="B307" s="36"/>
      <c r="C307" s="36"/>
    </row>
    <row r="308" spans="1:3" ht="12.75">
      <c r="A308" s="36"/>
      <c r="B308" s="36"/>
      <c r="C308" s="36"/>
    </row>
    <row r="309" spans="1:3" ht="12.75">
      <c r="A309" s="36"/>
      <c r="B309" s="36"/>
      <c r="C309" s="36"/>
    </row>
    <row r="310" spans="1:3" ht="12.75">
      <c r="A310" s="36"/>
      <c r="B310" s="36"/>
      <c r="C310" s="36"/>
    </row>
    <row r="311" spans="1:3" ht="12.75">
      <c r="A311" s="36"/>
      <c r="B311" s="36"/>
      <c r="C311" s="36"/>
    </row>
    <row r="312" spans="1:3" ht="12.75">
      <c r="A312" s="36"/>
      <c r="B312" s="36"/>
      <c r="C312" s="36"/>
    </row>
    <row r="313" spans="1:3" ht="12.75">
      <c r="A313" s="36"/>
      <c r="B313" s="36"/>
      <c r="C313" s="36"/>
    </row>
    <row r="314" spans="1:3" ht="12.75">
      <c r="A314" s="36"/>
      <c r="B314" s="36"/>
      <c r="C314" s="36"/>
    </row>
    <row r="315" spans="1:3" ht="12.75">
      <c r="A315" s="36"/>
      <c r="B315" s="36"/>
      <c r="C315" s="36"/>
    </row>
    <row r="316" spans="1:3" ht="12.75">
      <c r="A316" s="36"/>
      <c r="B316" s="36"/>
      <c r="C316" s="36"/>
    </row>
    <row r="317" spans="1:3" ht="12.75">
      <c r="A317" s="36"/>
      <c r="B317" s="36"/>
      <c r="C317" s="36"/>
    </row>
    <row r="318" spans="1:3" ht="12.75">
      <c r="A318" s="36"/>
      <c r="B318" s="36"/>
      <c r="C318" s="36"/>
    </row>
    <row r="319" spans="1:3" ht="12.75">
      <c r="A319" s="36"/>
      <c r="B319" s="36"/>
      <c r="C319" s="36"/>
    </row>
    <row r="320" spans="1:3" ht="12.75">
      <c r="A320" s="36"/>
      <c r="B320" s="36"/>
      <c r="C320" s="36"/>
    </row>
    <row r="321" spans="1:3" ht="12.75">
      <c r="A321" s="36"/>
      <c r="B321" s="36"/>
      <c r="C321" s="36"/>
    </row>
    <row r="322" spans="1:3" ht="12.75">
      <c r="A322" s="36"/>
      <c r="B322" s="36"/>
      <c r="C322" s="36"/>
    </row>
  </sheetData>
  <sheetProtection/>
  <conditionalFormatting sqref="C34:C41 C46:C53 C85:C93 C98:C105 C70:C80 C173:C182 C10:C17 C134:C142 C122:C129 C110:C117 C147:C155 C160:C168 C58:C65">
    <cfRule type="expression" priority="1" dxfId="19" stopIfTrue="1">
      <formula>AND($BC10&gt;=3,$BC10&lt;999)</formula>
    </cfRule>
    <cfRule type="expression" priority="2" dxfId="20" stopIfTrue="1">
      <formula>$BC10=2</formula>
    </cfRule>
    <cfRule type="expression" priority="3" dxfId="21" stopIfTrue="1">
      <formula>$BC10=1</formula>
    </cfRule>
  </conditionalFormatting>
  <conditionalFormatting sqref="C9 C33 C45 C84 C97 C109 C121 C133 C146 C159 C172 C69 C57">
    <cfRule type="expression" priority="4" dxfId="19" stopIfTrue="1">
      <formula>AND($BC8&gt;=3,$BC8&lt;999)</formula>
    </cfRule>
    <cfRule type="expression" priority="5" dxfId="20" stopIfTrue="1">
      <formula>$BC8=2</formula>
    </cfRule>
    <cfRule type="expression" priority="6" dxfId="21" stopIfTrue="1">
      <formula>$BC8=1</formula>
    </cfRule>
  </conditionalFormatting>
  <conditionalFormatting sqref="C21">
    <cfRule type="expression" priority="7" dxfId="19" stopIfTrue="1">
      <formula>AND($AW20&gt;=3,$AW20&lt;999)</formula>
    </cfRule>
    <cfRule type="expression" priority="8" dxfId="20" stopIfTrue="1">
      <formula>$AW20=2</formula>
    </cfRule>
    <cfRule type="expression" priority="9" dxfId="21" stopIfTrue="1">
      <formula>$AW20=1</formula>
    </cfRule>
  </conditionalFormatting>
  <conditionalFormatting sqref="C22:C29">
    <cfRule type="expression" priority="10" dxfId="19" stopIfTrue="1">
      <formula>AND($AW22&gt;=3,$AW22&lt;999)</formula>
    </cfRule>
    <cfRule type="expression" priority="11" dxfId="20" stopIfTrue="1">
      <formula>$AW22=2</formula>
    </cfRule>
    <cfRule type="expression" priority="12" dxfId="21" stopIfTrue="1">
      <formula>$AW22=1</formula>
    </cfRule>
  </conditionalFormatting>
  <conditionalFormatting sqref="C226:C227">
    <cfRule type="expression" priority="13" dxfId="19" stopIfTrue="1">
      <formula>AND($BB217&gt;=3,$BB217&lt;999)</formula>
    </cfRule>
    <cfRule type="expression" priority="14" dxfId="20" stopIfTrue="1">
      <formula>$BB217=2</formula>
    </cfRule>
    <cfRule type="expression" priority="15" dxfId="21" stopIfTrue="1">
      <formula>$BB217=1</formula>
    </cfRule>
  </conditionalFormatting>
  <conditionalFormatting sqref="C228">
    <cfRule type="expression" priority="16" dxfId="19" stopIfTrue="1">
      <formula>AND($BB218&gt;=3,$BB218&lt;999)</formula>
    </cfRule>
    <cfRule type="expression" priority="17" dxfId="20" stopIfTrue="1">
      <formula>$BB218=2</formula>
    </cfRule>
    <cfRule type="expression" priority="18" dxfId="21" stopIfTrue="1">
      <formula>$BB218=1</formula>
    </cfRule>
  </conditionalFormatting>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3">
    <pageSetUpPr fitToPage="1"/>
  </sheetPr>
  <dimension ref="A1:S44"/>
  <sheetViews>
    <sheetView workbookViewId="0" topLeftCell="A1">
      <selection activeCell="A1" sqref="A1"/>
    </sheetView>
  </sheetViews>
  <sheetFormatPr defaultColWidth="9.140625" defaultRowHeight="12.75"/>
  <cols>
    <col min="1" max="1" width="48.57421875" style="10" customWidth="1"/>
    <col min="2" max="3" width="22.00390625" style="10" customWidth="1"/>
    <col min="4" max="4" width="10.57421875" style="10" customWidth="1"/>
    <col min="5" max="5" width="10.57421875" style="5" customWidth="1"/>
    <col min="6" max="6" width="10.57421875" style="10" customWidth="1"/>
    <col min="7" max="7" width="10.57421875" style="60" customWidth="1"/>
    <col min="8" max="16" width="10.57421875" style="50" customWidth="1"/>
    <col min="17" max="16384" width="9.00390625" style="50" customWidth="1"/>
  </cols>
  <sheetData>
    <row r="1" spans="1:15" ht="12.75">
      <c r="A1" s="44" t="s">
        <v>328</v>
      </c>
      <c r="B1" s="5"/>
      <c r="C1" s="5"/>
      <c r="E1" s="60"/>
      <c r="F1" s="60"/>
      <c r="H1" s="60"/>
      <c r="I1" s="60"/>
      <c r="J1" s="60"/>
      <c r="K1" s="60"/>
      <c r="L1" s="60"/>
      <c r="M1" s="60"/>
      <c r="N1" s="60"/>
      <c r="O1" s="60"/>
    </row>
    <row r="2" spans="1:15" ht="12.75">
      <c r="A2" s="44" t="s">
        <v>270</v>
      </c>
      <c r="B2" s="5"/>
      <c r="C2" s="5"/>
      <c r="E2" s="60"/>
      <c r="F2" s="60"/>
      <c r="H2" s="60"/>
      <c r="I2" s="60"/>
      <c r="J2" s="60"/>
      <c r="K2" s="60"/>
      <c r="L2" s="60"/>
      <c r="M2" s="60"/>
      <c r="N2" s="60"/>
      <c r="O2" s="60"/>
    </row>
    <row r="3" spans="1:15" ht="12.75">
      <c r="A3" s="385" t="s">
        <v>650</v>
      </c>
      <c r="B3" s="386" t="s">
        <v>651</v>
      </c>
      <c r="C3" s="399" t="s">
        <v>293</v>
      </c>
      <c r="D3" s="5">
        <v>2.6</v>
      </c>
      <c r="E3" s="60"/>
      <c r="F3" s="60"/>
      <c r="H3" s="60"/>
      <c r="I3" s="60"/>
      <c r="J3" s="60"/>
      <c r="K3" s="60"/>
      <c r="L3" s="60"/>
      <c r="M3" s="60"/>
      <c r="N3" s="60"/>
      <c r="O3" s="60"/>
    </row>
    <row r="4" spans="1:19" ht="51">
      <c r="A4" s="400"/>
      <c r="B4" s="386"/>
      <c r="C4" s="386" t="s">
        <v>381</v>
      </c>
      <c r="D4" s="387" t="s">
        <v>28</v>
      </c>
      <c r="E4" s="387" t="s">
        <v>321</v>
      </c>
      <c r="F4" s="387" t="s">
        <v>322</v>
      </c>
      <c r="G4" s="387" t="s">
        <v>325</v>
      </c>
      <c r="H4" s="387" t="s">
        <v>326</v>
      </c>
      <c r="I4" s="387" t="s">
        <v>327</v>
      </c>
      <c r="J4" s="387" t="s">
        <v>320</v>
      </c>
      <c r="K4" s="387" t="s">
        <v>323</v>
      </c>
      <c r="L4" s="387" t="s">
        <v>331</v>
      </c>
      <c r="M4" s="387" t="s">
        <v>324</v>
      </c>
      <c r="N4" s="387" t="s">
        <v>332</v>
      </c>
      <c r="O4" s="387" t="s">
        <v>333</v>
      </c>
      <c r="P4" s="387" t="s">
        <v>587</v>
      </c>
      <c r="Q4" s="2"/>
      <c r="R4" s="2"/>
      <c r="S4" s="2"/>
    </row>
    <row r="5" spans="1:16" ht="12.75">
      <c r="A5" s="400" t="s">
        <v>382</v>
      </c>
      <c r="B5" s="385"/>
      <c r="C5" s="386"/>
      <c r="D5" s="387"/>
      <c r="E5" s="387"/>
      <c r="F5" s="387"/>
      <c r="G5" s="387"/>
      <c r="H5" s="387"/>
      <c r="I5" s="387"/>
      <c r="J5" s="387"/>
      <c r="K5" s="387"/>
      <c r="L5" s="387"/>
      <c r="M5" s="387"/>
      <c r="N5" s="387"/>
      <c r="O5" s="387"/>
      <c r="P5" s="387"/>
    </row>
    <row r="6" spans="1:17" ht="12.75">
      <c r="A6" s="385" t="s">
        <v>388</v>
      </c>
      <c r="B6" s="386" t="s">
        <v>389</v>
      </c>
      <c r="C6" s="401" t="s">
        <v>383</v>
      </c>
      <c r="D6" s="11">
        <v>0</v>
      </c>
      <c r="E6" s="11">
        <v>1</v>
      </c>
      <c r="F6" s="11">
        <v>1</v>
      </c>
      <c r="G6" s="11">
        <v>1</v>
      </c>
      <c r="H6" s="11">
        <v>1</v>
      </c>
      <c r="I6" s="11">
        <v>2</v>
      </c>
      <c r="J6" s="11">
        <v>2</v>
      </c>
      <c r="K6" s="11">
        <v>2</v>
      </c>
      <c r="L6" s="11">
        <v>2</v>
      </c>
      <c r="M6" s="11">
        <v>2</v>
      </c>
      <c r="N6" s="11">
        <v>2</v>
      </c>
      <c r="O6" s="11">
        <v>2</v>
      </c>
      <c r="P6" s="388">
        <f>IF(user_install="",VLOOKUP(A6,install_hours,user_treat_select+3,FALSE),user_install)</f>
        <v>1</v>
      </c>
      <c r="Q6" s="60"/>
    </row>
    <row r="7" spans="1:17" ht="12.75">
      <c r="A7" s="385" t="s">
        <v>223</v>
      </c>
      <c r="B7" s="386" t="s">
        <v>389</v>
      </c>
      <c r="C7" s="401" t="s">
        <v>383</v>
      </c>
      <c r="D7" s="11">
        <v>0</v>
      </c>
      <c r="E7" s="11">
        <v>0.5</v>
      </c>
      <c r="F7" s="11">
        <v>0.5</v>
      </c>
      <c r="G7" s="11">
        <v>0.5</v>
      </c>
      <c r="H7" s="11">
        <v>0.5</v>
      </c>
      <c r="I7" s="11">
        <v>0.5</v>
      </c>
      <c r="J7" s="11">
        <v>0.5</v>
      </c>
      <c r="K7" s="11">
        <v>0.5</v>
      </c>
      <c r="L7" s="11">
        <v>0.5</v>
      </c>
      <c r="M7" s="11">
        <v>0.5</v>
      </c>
      <c r="N7" s="11">
        <v>0.5</v>
      </c>
      <c r="O7" s="11">
        <v>0.5</v>
      </c>
      <c r="P7" s="388">
        <f>IF(user_install_sched="",VLOOKUP(A7,install_hours,user_treat_select+3,FALSE),user_install_sched)</f>
        <v>0.5</v>
      </c>
      <c r="Q7" s="60"/>
    </row>
    <row r="8" spans="1:17" ht="12.75">
      <c r="A8" s="385" t="s">
        <v>384</v>
      </c>
      <c r="B8" s="386" t="s">
        <v>389</v>
      </c>
      <c r="C8" s="401" t="s">
        <v>383</v>
      </c>
      <c r="D8" s="11">
        <v>0</v>
      </c>
      <c r="E8" s="11">
        <v>0</v>
      </c>
      <c r="F8" s="11">
        <v>1</v>
      </c>
      <c r="G8" s="11">
        <v>1</v>
      </c>
      <c r="H8" s="11">
        <v>1</v>
      </c>
      <c r="I8" s="11">
        <v>1</v>
      </c>
      <c r="J8" s="11">
        <v>2</v>
      </c>
      <c r="K8" s="11">
        <v>2</v>
      </c>
      <c r="L8" s="11">
        <v>2</v>
      </c>
      <c r="M8" s="11">
        <v>2</v>
      </c>
      <c r="N8" s="11">
        <v>2</v>
      </c>
      <c r="O8" s="11">
        <v>2</v>
      </c>
      <c r="P8" s="388">
        <f>IF(user_uv_install="",VLOOKUP(A8,install_hours,user_treat_select+3,FALSE),user_uv_install)</f>
        <v>0</v>
      </c>
      <c r="Q8" s="60"/>
    </row>
    <row r="9" spans="1:17" ht="12.75">
      <c r="A9" s="385"/>
      <c r="B9" s="386"/>
      <c r="C9" s="401"/>
      <c r="D9" s="415"/>
      <c r="E9" s="415"/>
      <c r="F9" s="415"/>
      <c r="G9" s="415"/>
      <c r="H9" s="415"/>
      <c r="I9" s="415"/>
      <c r="J9" s="415"/>
      <c r="K9" s="415"/>
      <c r="L9" s="415"/>
      <c r="M9" s="415"/>
      <c r="N9" s="415"/>
      <c r="O9" s="415"/>
      <c r="P9" s="389"/>
      <c r="Q9" s="60"/>
    </row>
    <row r="10" spans="1:17" ht="12.75">
      <c r="A10" s="402" t="s">
        <v>404</v>
      </c>
      <c r="B10" s="403"/>
      <c r="C10" s="404"/>
      <c r="D10" s="416"/>
      <c r="E10" s="416"/>
      <c r="F10" s="416"/>
      <c r="G10" s="416"/>
      <c r="H10" s="416"/>
      <c r="I10" s="416"/>
      <c r="J10" s="416"/>
      <c r="K10" s="416"/>
      <c r="L10" s="416"/>
      <c r="M10" s="416"/>
      <c r="N10" s="416"/>
      <c r="O10" s="416"/>
      <c r="P10" s="390"/>
      <c r="Q10" s="10"/>
    </row>
    <row r="11" spans="1:17" ht="12.75">
      <c r="A11" s="372" t="s">
        <v>407</v>
      </c>
      <c r="B11" s="386" t="s">
        <v>405</v>
      </c>
      <c r="C11" s="372" t="s">
        <v>318</v>
      </c>
      <c r="D11" s="107">
        <v>10</v>
      </c>
      <c r="E11" s="107">
        <v>10</v>
      </c>
      <c r="F11" s="107">
        <v>10</v>
      </c>
      <c r="G11" s="107">
        <v>10</v>
      </c>
      <c r="H11" s="107">
        <v>10</v>
      </c>
      <c r="I11" s="107">
        <v>10</v>
      </c>
      <c r="J11" s="107">
        <v>10</v>
      </c>
      <c r="K11" s="107">
        <v>10</v>
      </c>
      <c r="L11" s="107">
        <v>10</v>
      </c>
      <c r="M11" s="107">
        <v>10</v>
      </c>
      <c r="N11" s="107">
        <v>10</v>
      </c>
      <c r="O11" s="107">
        <v>10</v>
      </c>
      <c r="P11" s="391">
        <f>IF(user_dev_tech="",VLOOKUP(A11,tech_labor,user_treat_select+3,FALSE),user_dev_tech)</f>
        <v>10</v>
      </c>
      <c r="Q11" s="10"/>
    </row>
    <row r="12" spans="1:17" ht="12" customHeight="1">
      <c r="A12" s="372" t="s">
        <v>408</v>
      </c>
      <c r="B12" s="386" t="s">
        <v>405</v>
      </c>
      <c r="C12" s="372" t="s">
        <v>318</v>
      </c>
      <c r="D12" s="107">
        <v>5</v>
      </c>
      <c r="E12" s="107">
        <v>5</v>
      </c>
      <c r="F12" s="107">
        <v>5</v>
      </c>
      <c r="G12" s="107">
        <v>5</v>
      </c>
      <c r="H12" s="107">
        <v>5</v>
      </c>
      <c r="I12" s="107">
        <v>5</v>
      </c>
      <c r="J12" s="107">
        <v>5</v>
      </c>
      <c r="K12" s="107">
        <v>5</v>
      </c>
      <c r="L12" s="107">
        <v>5</v>
      </c>
      <c r="M12" s="107">
        <v>5</v>
      </c>
      <c r="N12" s="107">
        <v>5</v>
      </c>
      <c r="O12" s="107">
        <v>5</v>
      </c>
      <c r="P12" s="391">
        <f>IF(user_dev_nit="",VLOOKUP(A12,tech_labor,user_treat_select+3,FALSE),user_dev_nit)</f>
        <v>5</v>
      </c>
      <c r="Q12" s="10"/>
    </row>
    <row r="13" spans="1:17" ht="12.75">
      <c r="A13" s="372" t="s">
        <v>409</v>
      </c>
      <c r="B13" s="386" t="s">
        <v>405</v>
      </c>
      <c r="C13" s="405" t="s">
        <v>318</v>
      </c>
      <c r="D13" s="107">
        <v>2</v>
      </c>
      <c r="E13" s="107">
        <v>2</v>
      </c>
      <c r="F13" s="107">
        <v>2</v>
      </c>
      <c r="G13" s="107">
        <v>2</v>
      </c>
      <c r="H13" s="107">
        <v>2</v>
      </c>
      <c r="I13" s="107">
        <v>2</v>
      </c>
      <c r="J13" s="107">
        <v>2</v>
      </c>
      <c r="K13" s="107">
        <v>2</v>
      </c>
      <c r="L13" s="107">
        <v>2</v>
      </c>
      <c r="M13" s="107">
        <v>2</v>
      </c>
      <c r="N13" s="107">
        <v>2</v>
      </c>
      <c r="O13" s="107">
        <v>2</v>
      </c>
      <c r="P13" s="391">
        <f>IF(user_meet_tech="",VLOOKUP(A13,tech_labor,user_treat_select+3,FALSE),user_meet_tech)</f>
        <v>2</v>
      </c>
      <c r="Q13" s="10"/>
    </row>
    <row r="14" spans="1:17" ht="12.75">
      <c r="A14" s="372" t="s">
        <v>410</v>
      </c>
      <c r="B14" s="386" t="s">
        <v>405</v>
      </c>
      <c r="C14" s="405" t="s">
        <v>318</v>
      </c>
      <c r="D14" s="107">
        <v>2</v>
      </c>
      <c r="E14" s="107">
        <v>2</v>
      </c>
      <c r="F14" s="107">
        <v>2</v>
      </c>
      <c r="G14" s="107">
        <v>2</v>
      </c>
      <c r="H14" s="107">
        <v>2</v>
      </c>
      <c r="I14" s="107">
        <v>2</v>
      </c>
      <c r="J14" s="107">
        <v>2</v>
      </c>
      <c r="K14" s="107">
        <v>2</v>
      </c>
      <c r="L14" s="107">
        <v>2</v>
      </c>
      <c r="M14" s="107">
        <v>2</v>
      </c>
      <c r="N14" s="107">
        <v>2</v>
      </c>
      <c r="O14" s="107">
        <v>2</v>
      </c>
      <c r="P14" s="391">
        <f>IF(user_post_tech="",VLOOKUP(A14,tech_labor,user_treat_select+3,FALSE),user_post_tech)</f>
        <v>2</v>
      </c>
      <c r="Q14" s="10"/>
    </row>
    <row r="15" spans="1:17" ht="12.75">
      <c r="A15" s="372" t="s">
        <v>407</v>
      </c>
      <c r="B15" s="386" t="s">
        <v>411</v>
      </c>
      <c r="C15" s="405" t="s">
        <v>318</v>
      </c>
      <c r="D15" s="107">
        <v>6</v>
      </c>
      <c r="E15" s="107">
        <v>6</v>
      </c>
      <c r="F15" s="107">
        <v>6</v>
      </c>
      <c r="G15" s="107">
        <v>6</v>
      </c>
      <c r="H15" s="107">
        <v>6</v>
      </c>
      <c r="I15" s="107">
        <v>6</v>
      </c>
      <c r="J15" s="107">
        <v>6</v>
      </c>
      <c r="K15" s="107">
        <v>6</v>
      </c>
      <c r="L15" s="107">
        <v>6</v>
      </c>
      <c r="M15" s="107">
        <v>6</v>
      </c>
      <c r="N15" s="107">
        <v>6</v>
      </c>
      <c r="O15" s="107">
        <v>6</v>
      </c>
      <c r="P15" s="391">
        <f>IF(user_dev_cler="",VLOOKUP(A15,clerical_labor,user_treat_select+3,FALSE),user_dev_cler)</f>
        <v>6</v>
      </c>
      <c r="Q15" s="10"/>
    </row>
    <row r="16" spans="1:17" ht="12" customHeight="1">
      <c r="A16" s="372" t="s">
        <v>408</v>
      </c>
      <c r="B16" s="386" t="s">
        <v>411</v>
      </c>
      <c r="C16" s="405" t="s">
        <v>318</v>
      </c>
      <c r="D16" s="107">
        <v>5</v>
      </c>
      <c r="E16" s="107">
        <v>5</v>
      </c>
      <c r="F16" s="107">
        <v>5</v>
      </c>
      <c r="G16" s="107">
        <v>5</v>
      </c>
      <c r="H16" s="107">
        <v>5</v>
      </c>
      <c r="I16" s="107">
        <v>5</v>
      </c>
      <c r="J16" s="107">
        <v>5</v>
      </c>
      <c r="K16" s="107">
        <v>5</v>
      </c>
      <c r="L16" s="107">
        <v>5</v>
      </c>
      <c r="M16" s="107">
        <v>5</v>
      </c>
      <c r="N16" s="107">
        <v>5</v>
      </c>
      <c r="O16" s="107">
        <v>5</v>
      </c>
      <c r="P16" s="391">
        <f>IF(user_nitr_cler="",VLOOKUP(A16,clerical_labor,user_treat_select+3,FALSE),user_nitr_cler)</f>
        <v>5</v>
      </c>
      <c r="Q16" s="10"/>
    </row>
    <row r="17" spans="1:17" ht="12.75">
      <c r="A17" s="372" t="s">
        <v>409</v>
      </c>
      <c r="B17" s="386" t="s">
        <v>411</v>
      </c>
      <c r="C17" s="405" t="s">
        <v>318</v>
      </c>
      <c r="D17" s="107">
        <v>2</v>
      </c>
      <c r="E17" s="107">
        <v>2</v>
      </c>
      <c r="F17" s="107">
        <v>2</v>
      </c>
      <c r="G17" s="107">
        <v>2</v>
      </c>
      <c r="H17" s="107">
        <v>2</v>
      </c>
      <c r="I17" s="107">
        <v>2</v>
      </c>
      <c r="J17" s="107">
        <v>2</v>
      </c>
      <c r="K17" s="107">
        <v>2</v>
      </c>
      <c r="L17" s="107">
        <v>2</v>
      </c>
      <c r="M17" s="107">
        <v>2</v>
      </c>
      <c r="N17" s="107">
        <v>2</v>
      </c>
      <c r="O17" s="107">
        <v>2</v>
      </c>
      <c r="P17" s="391">
        <f>IF(user_meet_cler="",VLOOKUP(A17,clerical_labor,user_treat_select+3,FALSE),user_meet_cler)</f>
        <v>2</v>
      </c>
      <c r="Q17" s="10"/>
    </row>
    <row r="18" spans="1:17" ht="12.75">
      <c r="A18" s="372" t="s">
        <v>410</v>
      </c>
      <c r="B18" s="386" t="s">
        <v>411</v>
      </c>
      <c r="C18" s="405" t="s">
        <v>318</v>
      </c>
      <c r="D18" s="107">
        <v>2</v>
      </c>
      <c r="E18" s="107">
        <v>2</v>
      </c>
      <c r="F18" s="107">
        <v>2</v>
      </c>
      <c r="G18" s="107">
        <v>2</v>
      </c>
      <c r="H18" s="107">
        <v>2</v>
      </c>
      <c r="I18" s="107">
        <v>2</v>
      </c>
      <c r="J18" s="107">
        <v>2</v>
      </c>
      <c r="K18" s="107">
        <v>2</v>
      </c>
      <c r="L18" s="107">
        <v>2</v>
      </c>
      <c r="M18" s="107">
        <v>2</v>
      </c>
      <c r="N18" s="107">
        <v>2</v>
      </c>
      <c r="O18" s="107">
        <v>2</v>
      </c>
      <c r="P18" s="391">
        <f>IF(user_post_cler="",VLOOKUP(A18,clerical_labor,user_treat_select+3,FALSE),user_post_cler)</f>
        <v>2</v>
      </c>
      <c r="Q18" s="10"/>
    </row>
    <row r="19" spans="1:17" ht="12.75">
      <c r="A19" s="372" t="s">
        <v>392</v>
      </c>
      <c r="B19" s="386" t="s">
        <v>412</v>
      </c>
      <c r="C19" s="406" t="s">
        <v>391</v>
      </c>
      <c r="D19" s="108">
        <v>10</v>
      </c>
      <c r="E19" s="108">
        <v>10</v>
      </c>
      <c r="F19" s="108">
        <v>10</v>
      </c>
      <c r="G19" s="108">
        <v>10</v>
      </c>
      <c r="H19" s="108">
        <v>10</v>
      </c>
      <c r="I19" s="108">
        <v>10</v>
      </c>
      <c r="J19" s="108">
        <v>10</v>
      </c>
      <c r="K19" s="108">
        <v>10</v>
      </c>
      <c r="L19" s="108">
        <v>10</v>
      </c>
      <c r="M19" s="108">
        <v>10</v>
      </c>
      <c r="N19" s="108">
        <v>10</v>
      </c>
      <c r="O19" s="108">
        <v>10</v>
      </c>
      <c r="P19" s="392">
        <f>IF(user_flyers="",VLOOKUP(A19,ed_material,user_treat_select+3,FALSE),user_flyers)</f>
        <v>10</v>
      </c>
      <c r="Q19" s="10"/>
    </row>
    <row r="20" spans="1:17" ht="12.75">
      <c r="A20" s="372" t="s">
        <v>393</v>
      </c>
      <c r="B20" s="386" t="s">
        <v>412</v>
      </c>
      <c r="C20" s="406" t="s">
        <v>396</v>
      </c>
      <c r="D20" s="108">
        <v>1</v>
      </c>
      <c r="E20" s="108">
        <v>1</v>
      </c>
      <c r="F20" s="108">
        <v>1</v>
      </c>
      <c r="G20" s="108">
        <v>1</v>
      </c>
      <c r="H20" s="108">
        <v>1</v>
      </c>
      <c r="I20" s="108">
        <v>1</v>
      </c>
      <c r="J20" s="108">
        <v>1</v>
      </c>
      <c r="K20" s="108">
        <v>1</v>
      </c>
      <c r="L20" s="108">
        <v>1</v>
      </c>
      <c r="M20" s="108">
        <v>1</v>
      </c>
      <c r="N20" s="108">
        <v>1</v>
      </c>
      <c r="O20" s="108">
        <v>1</v>
      </c>
      <c r="P20" s="392">
        <f>IF(user_ads="",VLOOKUP(A20,ed_material,user_treat_select+3,FALSE),user_ads)</f>
        <v>1</v>
      </c>
      <c r="Q20" s="10"/>
    </row>
    <row r="21" spans="1:17" ht="12.75">
      <c r="A21" s="372" t="s">
        <v>554</v>
      </c>
      <c r="B21" s="386" t="s">
        <v>412</v>
      </c>
      <c r="C21" s="372" t="s">
        <v>391</v>
      </c>
      <c r="D21" s="474">
        <v>10</v>
      </c>
      <c r="E21" s="474">
        <v>10</v>
      </c>
      <c r="F21" s="474">
        <v>10</v>
      </c>
      <c r="G21" s="474">
        <v>10</v>
      </c>
      <c r="H21" s="474">
        <v>10</v>
      </c>
      <c r="I21" s="474">
        <v>10</v>
      </c>
      <c r="J21" s="474">
        <v>10</v>
      </c>
      <c r="K21" s="474">
        <v>10</v>
      </c>
      <c r="L21" s="474">
        <v>10</v>
      </c>
      <c r="M21" s="474">
        <v>10</v>
      </c>
      <c r="N21" s="474">
        <v>10</v>
      </c>
      <c r="O21" s="474">
        <v>10</v>
      </c>
      <c r="P21" s="393">
        <f>IF(user_nitr_flyers="",VLOOKUP(A21,ed_material,user_treat_select+3,FALSE),user_nitr_flyers)</f>
        <v>10</v>
      </c>
      <c r="Q21" s="10"/>
    </row>
    <row r="22" spans="1:17" ht="12.75">
      <c r="A22" s="372" t="s">
        <v>394</v>
      </c>
      <c r="B22" s="386" t="s">
        <v>412</v>
      </c>
      <c r="C22" s="372" t="s">
        <v>397</v>
      </c>
      <c r="D22" s="474">
        <v>3</v>
      </c>
      <c r="E22" s="474">
        <v>3</v>
      </c>
      <c r="F22" s="474">
        <v>3</v>
      </c>
      <c r="G22" s="474">
        <v>3</v>
      </c>
      <c r="H22" s="474">
        <v>3</v>
      </c>
      <c r="I22" s="474">
        <v>3</v>
      </c>
      <c r="J22" s="474">
        <v>3</v>
      </c>
      <c r="K22" s="474">
        <v>3</v>
      </c>
      <c r="L22" s="474">
        <v>3</v>
      </c>
      <c r="M22" s="474">
        <v>3</v>
      </c>
      <c r="N22" s="474">
        <v>3</v>
      </c>
      <c r="O22" s="474">
        <v>3</v>
      </c>
      <c r="P22" s="393">
        <f>IF(user_handout="",VLOOKUP(A22,ed_material,user_treat_select+3,FALSE),user_handout)</f>
        <v>3</v>
      </c>
      <c r="Q22" s="10"/>
    </row>
    <row r="23" spans="1:17" ht="12.75">
      <c r="A23" s="372" t="s">
        <v>395</v>
      </c>
      <c r="B23" s="386" t="s">
        <v>412</v>
      </c>
      <c r="C23" s="372" t="s">
        <v>397</v>
      </c>
      <c r="D23" s="474">
        <v>2</v>
      </c>
      <c r="E23" s="474">
        <v>2</v>
      </c>
      <c r="F23" s="474">
        <v>2</v>
      </c>
      <c r="G23" s="474">
        <v>2</v>
      </c>
      <c r="H23" s="474">
        <v>2</v>
      </c>
      <c r="I23" s="474">
        <v>2</v>
      </c>
      <c r="J23" s="474">
        <v>2</v>
      </c>
      <c r="K23" s="474">
        <v>2</v>
      </c>
      <c r="L23" s="474">
        <v>2</v>
      </c>
      <c r="M23" s="474">
        <v>2</v>
      </c>
      <c r="N23" s="474">
        <v>2</v>
      </c>
      <c r="O23" s="474">
        <v>2</v>
      </c>
      <c r="P23" s="393">
        <f>IF(user_mailers="",VLOOKUP(A23,ed_material,user_treat_select+3,FALSE),user_mailers)</f>
        <v>2</v>
      </c>
      <c r="Q23" s="10"/>
    </row>
    <row r="24" spans="1:17" ht="12.75">
      <c r="A24" s="372"/>
      <c r="B24" s="386"/>
      <c r="C24" s="386"/>
      <c r="D24" s="417"/>
      <c r="E24" s="417"/>
      <c r="F24" s="417"/>
      <c r="G24" s="417"/>
      <c r="H24" s="417"/>
      <c r="I24" s="417"/>
      <c r="J24" s="417"/>
      <c r="K24" s="417"/>
      <c r="L24" s="417"/>
      <c r="M24" s="417"/>
      <c r="N24" s="417"/>
      <c r="O24" s="417"/>
      <c r="P24" s="393"/>
      <c r="Q24" s="10"/>
    </row>
    <row r="25" spans="1:16" ht="12.75">
      <c r="A25" s="407" t="s">
        <v>456</v>
      </c>
      <c r="B25" s="385"/>
      <c r="C25" s="408"/>
      <c r="D25" s="408"/>
      <c r="E25" s="408"/>
      <c r="F25" s="408"/>
      <c r="G25" s="408"/>
      <c r="H25" s="408"/>
      <c r="I25" s="408"/>
      <c r="J25" s="408"/>
      <c r="K25" s="408"/>
      <c r="L25" s="408"/>
      <c r="M25" s="418"/>
      <c r="N25" s="418"/>
      <c r="O25" s="408"/>
      <c r="P25" s="367"/>
    </row>
    <row r="26" spans="1:16" ht="12.75">
      <c r="A26" s="372" t="s">
        <v>457</v>
      </c>
      <c r="B26" s="386" t="s">
        <v>542</v>
      </c>
      <c r="C26" s="408" t="s">
        <v>317</v>
      </c>
      <c r="D26" s="9">
        <v>0.25</v>
      </c>
      <c r="E26" s="9">
        <v>0.25</v>
      </c>
      <c r="F26" s="9">
        <v>0.25</v>
      </c>
      <c r="G26" s="9">
        <v>0.25</v>
      </c>
      <c r="H26" s="9">
        <v>0.25</v>
      </c>
      <c r="I26" s="9">
        <v>0.25</v>
      </c>
      <c r="J26" s="9">
        <v>0.25</v>
      </c>
      <c r="K26" s="9">
        <v>0.25</v>
      </c>
      <c r="L26" s="9">
        <v>0.25</v>
      </c>
      <c r="M26" s="9">
        <v>0.25</v>
      </c>
      <c r="N26" s="9">
        <v>0.25</v>
      </c>
      <c r="O26" s="9">
        <v>0.25</v>
      </c>
      <c r="P26" s="394">
        <f>IF(user_samp_time="",VLOOKUP(A26,initial_sample,user_treat_select+3,FALSE),user_samp_time)</f>
        <v>0.25</v>
      </c>
    </row>
    <row r="27" spans="1:16" ht="12.75">
      <c r="A27" s="372" t="s">
        <v>459</v>
      </c>
      <c r="B27" s="386" t="s">
        <v>542</v>
      </c>
      <c r="C27" s="408" t="s">
        <v>317</v>
      </c>
      <c r="D27" s="9">
        <v>0</v>
      </c>
      <c r="E27" s="9">
        <v>0</v>
      </c>
      <c r="F27" s="9">
        <v>0</v>
      </c>
      <c r="G27" s="9">
        <v>0</v>
      </c>
      <c r="H27" s="9">
        <v>0</v>
      </c>
      <c r="I27" s="9">
        <v>0</v>
      </c>
      <c r="J27" s="9">
        <v>0</v>
      </c>
      <c r="K27" s="9">
        <v>0</v>
      </c>
      <c r="L27" s="9">
        <v>0</v>
      </c>
      <c r="M27" s="9">
        <v>0</v>
      </c>
      <c r="N27" s="9">
        <v>0</v>
      </c>
      <c r="O27" s="9">
        <v>0</v>
      </c>
      <c r="P27" s="394">
        <f>IF(user_samp_sched="",VLOOKUP(A27,initial_sample,user_treat_select+3,FALSE),user_samp_sched)</f>
        <v>0</v>
      </c>
    </row>
    <row r="28" spans="1:16" ht="12.75">
      <c r="A28" s="372" t="s">
        <v>538</v>
      </c>
      <c r="B28" s="386" t="s">
        <v>542</v>
      </c>
      <c r="C28" s="408" t="s">
        <v>662</v>
      </c>
      <c r="D28" s="355">
        <v>1</v>
      </c>
      <c r="E28" s="355">
        <v>1</v>
      </c>
      <c r="F28" s="355">
        <v>1</v>
      </c>
      <c r="G28" s="355">
        <v>1</v>
      </c>
      <c r="H28" s="355">
        <v>1</v>
      </c>
      <c r="I28" s="355">
        <v>1</v>
      </c>
      <c r="J28" s="355">
        <v>1</v>
      </c>
      <c r="K28" s="355">
        <v>1</v>
      </c>
      <c r="L28" s="355">
        <v>1</v>
      </c>
      <c r="M28" s="355">
        <v>1</v>
      </c>
      <c r="N28" s="355">
        <v>1</v>
      </c>
      <c r="O28" s="355">
        <v>1</v>
      </c>
      <c r="P28" s="395">
        <f>IF(user_analysis="",VLOOKUP(A28,initial_sample,user_treat_select+3,FALSE),user_analysis)</f>
        <v>1</v>
      </c>
    </row>
    <row r="29" spans="1:16" ht="12.75">
      <c r="A29" s="372" t="s">
        <v>644</v>
      </c>
      <c r="B29" s="386" t="s">
        <v>542</v>
      </c>
      <c r="C29" s="408" t="s">
        <v>663</v>
      </c>
      <c r="D29" s="356">
        <v>1</v>
      </c>
      <c r="E29" s="356">
        <v>1</v>
      </c>
      <c r="F29" s="356">
        <v>1</v>
      </c>
      <c r="G29" s="356">
        <v>1</v>
      </c>
      <c r="H29" s="356">
        <v>1</v>
      </c>
      <c r="I29" s="356">
        <v>1</v>
      </c>
      <c r="J29" s="356">
        <v>1</v>
      </c>
      <c r="K29" s="356">
        <v>1</v>
      </c>
      <c r="L29" s="356">
        <v>1</v>
      </c>
      <c r="M29" s="356">
        <v>1</v>
      </c>
      <c r="N29" s="356">
        <v>1</v>
      </c>
      <c r="O29" s="356">
        <v>1</v>
      </c>
      <c r="P29" s="396">
        <f>IF(user_hh_sampled="",VLOOKUP(A29,initial_sample,user_treat_select+3,FALSE),user_hh_sampled)</f>
        <v>1</v>
      </c>
    </row>
    <row r="30" spans="1:16" ht="12.75">
      <c r="A30" s="372"/>
      <c r="B30" s="386"/>
      <c r="C30" s="408"/>
      <c r="D30" s="419"/>
      <c r="E30" s="419"/>
      <c r="F30" s="419"/>
      <c r="G30" s="419"/>
      <c r="H30" s="419"/>
      <c r="I30" s="419"/>
      <c r="J30" s="419"/>
      <c r="K30" s="419"/>
      <c r="L30" s="419"/>
      <c r="M30" s="419"/>
      <c r="N30" s="419"/>
      <c r="O30" s="419"/>
      <c r="P30" s="397"/>
    </row>
    <row r="31" spans="1:16" ht="12.75">
      <c r="A31" s="409"/>
      <c r="B31" s="367"/>
      <c r="C31" s="367"/>
      <c r="D31" s="420"/>
      <c r="E31" s="420"/>
      <c r="F31" s="397"/>
      <c r="G31" s="397"/>
      <c r="H31" s="420"/>
      <c r="I31" s="420"/>
      <c r="J31" s="397"/>
      <c r="K31" s="397"/>
      <c r="L31" s="420"/>
      <c r="M31" s="397"/>
      <c r="N31" s="397"/>
      <c r="O31" s="397"/>
      <c r="P31" s="391"/>
    </row>
    <row r="32" spans="1:17" ht="12.75">
      <c r="A32" s="407" t="s">
        <v>656</v>
      </c>
      <c r="B32" s="410"/>
      <c r="C32" s="411"/>
      <c r="D32" s="421"/>
      <c r="E32" s="399"/>
      <c r="F32" s="399"/>
      <c r="G32" s="401"/>
      <c r="H32" s="399"/>
      <c r="I32" s="399"/>
      <c r="J32" s="399"/>
      <c r="K32" s="399"/>
      <c r="L32" s="399"/>
      <c r="M32" s="399"/>
      <c r="N32" s="399"/>
      <c r="O32" s="399"/>
      <c r="P32" s="391"/>
      <c r="Q32" s="10"/>
    </row>
    <row r="33" spans="1:17" ht="12.75">
      <c r="A33" s="385" t="s">
        <v>398</v>
      </c>
      <c r="B33" s="386" t="s">
        <v>657</v>
      </c>
      <c r="C33" s="401" t="s">
        <v>342</v>
      </c>
      <c r="D33" s="12">
        <v>0.03</v>
      </c>
      <c r="E33" s="12">
        <v>0.03</v>
      </c>
      <c r="F33" s="12">
        <v>0.03</v>
      </c>
      <c r="G33" s="12">
        <v>0.03</v>
      </c>
      <c r="H33" s="12">
        <v>0.03</v>
      </c>
      <c r="I33" s="12">
        <v>0.03</v>
      </c>
      <c r="J33" s="12">
        <v>0.03</v>
      </c>
      <c r="K33" s="12">
        <v>0.03</v>
      </c>
      <c r="L33" s="12">
        <v>0.03</v>
      </c>
      <c r="M33" s="12">
        <v>0.03</v>
      </c>
      <c r="N33" s="12">
        <v>0.03</v>
      </c>
      <c r="O33" s="12">
        <v>0.03</v>
      </c>
      <c r="P33" s="398">
        <f>IF(user_permitting="",VLOOKUP(A33,indirect_cost,user_treat_select+3,FALSE),IF('User Input'!D68="% installed equipment cost",user_permitting/100,user_permitting))</f>
        <v>0.03</v>
      </c>
      <c r="Q33" s="10"/>
    </row>
    <row r="34" spans="1:17" ht="12.75">
      <c r="A34" s="385" t="s">
        <v>399</v>
      </c>
      <c r="B34" s="386" t="s">
        <v>657</v>
      </c>
      <c r="C34" s="401" t="s">
        <v>342</v>
      </c>
      <c r="D34" s="12">
        <v>0.03</v>
      </c>
      <c r="E34" s="12">
        <v>0.03</v>
      </c>
      <c r="F34" s="12">
        <v>0.03</v>
      </c>
      <c r="G34" s="12">
        <v>0.03</v>
      </c>
      <c r="H34" s="12">
        <v>0.03</v>
      </c>
      <c r="I34" s="12">
        <v>0.03</v>
      </c>
      <c r="J34" s="12">
        <v>0.03</v>
      </c>
      <c r="K34" s="12">
        <v>0.03</v>
      </c>
      <c r="L34" s="12">
        <v>0.03</v>
      </c>
      <c r="M34" s="12">
        <v>0.03</v>
      </c>
      <c r="N34" s="12">
        <v>0.03</v>
      </c>
      <c r="O34" s="12">
        <v>0.03</v>
      </c>
      <c r="P34" s="398">
        <f>IF(user_pilot="",VLOOKUP(A34,indirect_cost,user_treat_select+3,FALSE),IF('User Input'!D69="% installed equipment cost",user_pilot/100,user_pilot))</f>
        <v>0.03</v>
      </c>
      <c r="Q34" s="10"/>
    </row>
    <row r="35" spans="1:17" ht="12.75">
      <c r="A35" s="385" t="s">
        <v>401</v>
      </c>
      <c r="B35" s="386" t="s">
        <v>657</v>
      </c>
      <c r="C35" s="401" t="s">
        <v>342</v>
      </c>
      <c r="D35" s="12">
        <v>0.03</v>
      </c>
      <c r="E35" s="12">
        <v>0.03</v>
      </c>
      <c r="F35" s="12">
        <v>0.03</v>
      </c>
      <c r="G35" s="12">
        <v>0.03</v>
      </c>
      <c r="H35" s="12">
        <v>0.03</v>
      </c>
      <c r="I35" s="12">
        <v>0.03</v>
      </c>
      <c r="J35" s="12">
        <v>0.03</v>
      </c>
      <c r="K35" s="12">
        <v>0.03</v>
      </c>
      <c r="L35" s="12">
        <v>0.03</v>
      </c>
      <c r="M35" s="12">
        <v>0.03</v>
      </c>
      <c r="N35" s="12">
        <v>0.03</v>
      </c>
      <c r="O35" s="12">
        <v>0.03</v>
      </c>
      <c r="P35" s="398">
        <f>IF(user_legal="",VLOOKUP(A35,indirect_cost,user_treat_select+3,FALSE),IF('User Input'!D70="% installed equipment cost",user_legal/100,user_legal))</f>
        <v>0.03</v>
      </c>
      <c r="Q35" s="10"/>
    </row>
    <row r="36" spans="1:17" ht="12.75">
      <c r="A36" s="385" t="s">
        <v>402</v>
      </c>
      <c r="B36" s="386" t="s">
        <v>657</v>
      </c>
      <c r="C36" s="401" t="s">
        <v>342</v>
      </c>
      <c r="D36" s="12">
        <v>0.15</v>
      </c>
      <c r="E36" s="12">
        <v>0.15</v>
      </c>
      <c r="F36" s="12">
        <v>0.15</v>
      </c>
      <c r="G36" s="12">
        <v>0.15</v>
      </c>
      <c r="H36" s="12">
        <v>0.15</v>
      </c>
      <c r="I36" s="12">
        <v>0.15</v>
      </c>
      <c r="J36" s="12">
        <v>0.15</v>
      </c>
      <c r="K36" s="12">
        <v>0.15</v>
      </c>
      <c r="L36" s="12">
        <v>0.15</v>
      </c>
      <c r="M36" s="12">
        <v>0.15</v>
      </c>
      <c r="N36" s="12">
        <v>0.15</v>
      </c>
      <c r="O36" s="12">
        <v>0.15</v>
      </c>
      <c r="P36" s="398">
        <f>IF(user_eng="",VLOOKUP(A36,indirect_cost,user_treat_select+3,FALSE),IF('User Input'!D71="% installed equipment cost",user_eng/100,user_eng))</f>
        <v>0.15</v>
      </c>
      <c r="Q36" s="10"/>
    </row>
    <row r="37" spans="1:17" ht="12.75">
      <c r="A37" s="385" t="s">
        <v>403</v>
      </c>
      <c r="B37" s="386" t="s">
        <v>657</v>
      </c>
      <c r="C37" s="401" t="s">
        <v>342</v>
      </c>
      <c r="D37" s="13">
        <v>0.1</v>
      </c>
      <c r="E37" s="13">
        <v>0.1</v>
      </c>
      <c r="F37" s="13">
        <v>0.1</v>
      </c>
      <c r="G37" s="13">
        <v>0.1</v>
      </c>
      <c r="H37" s="13">
        <v>0.1</v>
      </c>
      <c r="I37" s="13">
        <v>0.1</v>
      </c>
      <c r="J37" s="13">
        <v>0.1</v>
      </c>
      <c r="K37" s="13">
        <v>0.1</v>
      </c>
      <c r="L37" s="13">
        <v>0.1</v>
      </c>
      <c r="M37" s="13">
        <v>0.1</v>
      </c>
      <c r="N37" s="13">
        <v>0.1</v>
      </c>
      <c r="O37" s="13">
        <v>0.1</v>
      </c>
      <c r="P37" s="398">
        <f>IF(user_cont="",VLOOKUP(A37,indirect_cost,user_treat_select+3,FALSE),IF('User Input'!D72="% installed equipment cost",user_cont/100,user_cont))</f>
        <v>0.1</v>
      </c>
      <c r="Q37" s="60"/>
    </row>
    <row r="38" spans="1:17" ht="12.75">
      <c r="A38" s="385"/>
      <c r="B38" s="386"/>
      <c r="C38" s="401"/>
      <c r="D38" s="385"/>
      <c r="E38" s="399"/>
      <c r="F38" s="399"/>
      <c r="G38" s="401"/>
      <c r="H38" s="399"/>
      <c r="I38" s="399"/>
      <c r="J38" s="399"/>
      <c r="K38" s="399"/>
      <c r="L38" s="399"/>
      <c r="M38" s="399"/>
      <c r="N38" s="399"/>
      <c r="O38" s="399"/>
      <c r="P38" s="399"/>
      <c r="Q38" s="60"/>
    </row>
    <row r="39" spans="1:17" ht="12.75">
      <c r="A39" s="412" t="s">
        <v>33</v>
      </c>
      <c r="B39" s="413"/>
      <c r="C39" s="372"/>
      <c r="D39" s="422"/>
      <c r="E39" s="399"/>
      <c r="F39" s="399"/>
      <c r="G39" s="401"/>
      <c r="H39" s="399"/>
      <c r="I39" s="399"/>
      <c r="J39" s="399"/>
      <c r="K39" s="399"/>
      <c r="L39" s="399"/>
      <c r="M39" s="399"/>
      <c r="N39" s="399"/>
      <c r="O39" s="399"/>
      <c r="P39" s="399"/>
      <c r="Q39" s="10"/>
    </row>
    <row r="40" spans="1:16" ht="12.75">
      <c r="A40" s="385" t="s">
        <v>35</v>
      </c>
      <c r="B40" s="386" t="s">
        <v>38</v>
      </c>
      <c r="C40" s="385" t="s">
        <v>36</v>
      </c>
      <c r="D40" s="157">
        <v>0.07</v>
      </c>
      <c r="E40" s="384" t="s">
        <v>268</v>
      </c>
      <c r="P40" s="399"/>
    </row>
    <row r="41" spans="1:16" ht="12.75">
      <c r="A41" s="385" t="s">
        <v>34</v>
      </c>
      <c r="B41" s="386" t="s">
        <v>39</v>
      </c>
      <c r="C41" s="385" t="s">
        <v>37</v>
      </c>
      <c r="D41" s="10">
        <v>10</v>
      </c>
      <c r="E41" s="384" t="s">
        <v>269</v>
      </c>
      <c r="P41" s="399"/>
    </row>
    <row r="42" spans="1:16" ht="12.75">
      <c r="A42" s="385"/>
      <c r="B42" s="385"/>
      <c r="C42" s="385"/>
      <c r="D42" s="385"/>
      <c r="E42" s="386"/>
      <c r="F42" s="385"/>
      <c r="G42" s="401"/>
      <c r="H42" s="399"/>
      <c r="I42" s="399"/>
      <c r="J42" s="399"/>
      <c r="K42" s="399"/>
      <c r="L42" s="399"/>
      <c r="M42" s="399"/>
      <c r="N42" s="399"/>
      <c r="O42" s="399"/>
      <c r="P42" s="399"/>
    </row>
    <row r="43" spans="1:16" ht="12.75">
      <c r="A43" s="414" t="s">
        <v>96</v>
      </c>
      <c r="B43" s="385"/>
      <c r="C43" s="385"/>
      <c r="D43" s="385"/>
      <c r="E43" s="386"/>
      <c r="F43" s="385"/>
      <c r="G43" s="401"/>
      <c r="H43" s="399"/>
      <c r="I43" s="399"/>
      <c r="J43" s="399"/>
      <c r="K43" s="399"/>
      <c r="L43" s="399"/>
      <c r="M43" s="399"/>
      <c r="N43" s="399"/>
      <c r="O43" s="399"/>
      <c r="P43" s="399"/>
    </row>
    <row r="44" spans="1:16" ht="12.75">
      <c r="A44" s="385" t="s">
        <v>94</v>
      </c>
      <c r="B44" s="386" t="s">
        <v>97</v>
      </c>
      <c r="C44" s="401" t="s">
        <v>95</v>
      </c>
      <c r="D44" s="10">
        <v>1</v>
      </c>
      <c r="E44" s="10">
        <v>1</v>
      </c>
      <c r="F44" s="10">
        <v>1</v>
      </c>
      <c r="G44" s="10">
        <v>1</v>
      </c>
      <c r="H44" s="10">
        <v>1</v>
      </c>
      <c r="I44" s="10">
        <v>1</v>
      </c>
      <c r="J44" s="10">
        <v>1</v>
      </c>
      <c r="K44" s="10">
        <v>1</v>
      </c>
      <c r="L44" s="10">
        <v>1</v>
      </c>
      <c r="M44" s="10">
        <v>1</v>
      </c>
      <c r="N44" s="10">
        <v>1</v>
      </c>
      <c r="O44" s="10">
        <v>1</v>
      </c>
      <c r="P44" s="385">
        <v>1</v>
      </c>
    </row>
  </sheetData>
  <sheetProtection/>
  <printOptions/>
  <pageMargins left="0.75" right="0.75" top="1" bottom="1" header="0.5" footer="0.5"/>
  <pageSetup fitToHeight="1" fitToWidth="1" horizontalDpi="300" verticalDpi="300" orientation="landscape" scale="5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SAIC</cp:lastModifiedBy>
  <cp:lastPrinted>2006-03-12T23:57:47Z</cp:lastPrinted>
  <dcterms:created xsi:type="dcterms:W3CDTF">2005-12-01T17:26:26Z</dcterms:created>
  <dcterms:modified xsi:type="dcterms:W3CDTF">2006-12-19T23:35:06Z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