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56" windowWidth="10545" windowHeight="3090" activeTab="0"/>
  </bookViews>
  <sheets>
    <sheet name="States" sheetId="1" r:id="rId1"/>
    <sheet name="Tribes" sheetId="2" r:id="rId2"/>
  </sheets>
  <definedNames>
    <definedName name="_xlnm.Print_Area" localSheetId="1">'Tribes'!$A$1:$I$99</definedName>
    <definedName name="_xlnm.Print_Area">'Tribes'!$A$1:$I$99</definedName>
    <definedName name="Print_Area_MI" localSheetId="1">'Tribes'!$A$1:$I$99</definedName>
    <definedName name="PRINT_AREA_MI">'Tribes'!$A$1:$I$99</definedName>
    <definedName name="_xlnm.Print_Titles" localSheetId="1">'Tribes'!$8:$10</definedName>
  </definedNames>
  <calcPr fullCalcOnLoad="1" fullPrecision="0"/>
</workbook>
</file>

<file path=xl/sharedStrings.xml><?xml version="1.0" encoding="utf-8"?>
<sst xmlns="http://schemas.openxmlformats.org/spreadsheetml/2006/main" count="202" uniqueCount="129">
  <si>
    <t xml:space="preserve">Gross  </t>
  </si>
  <si>
    <t xml:space="preserve">     Tribal</t>
  </si>
  <si>
    <t xml:space="preserve">         Net</t>
  </si>
  <si>
    <t>State</t>
  </si>
  <si>
    <t xml:space="preserve">   Allotments</t>
  </si>
  <si>
    <t xml:space="preserve">   Set-Aside</t>
  </si>
  <si>
    <t xml:space="preserve">        Allotments</t>
  </si>
  <si>
    <t>Arizona</t>
  </si>
  <si>
    <t>Colorado</t>
  </si>
  <si>
    <t>Connecticut</t>
  </si>
  <si>
    <t>Delaware</t>
  </si>
  <si>
    <t>Dist. of Col.</t>
  </si>
  <si>
    <t>Idaho</t>
  </si>
  <si>
    <t>Illinois</t>
  </si>
  <si>
    <t>Indiana</t>
  </si>
  <si>
    <t>Iowa</t>
  </si>
  <si>
    <t>Kansas</t>
  </si>
  <si>
    <t>Kentucky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</si>
  <si>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</si>
  <si>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</si>
  <si>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</si>
  <si>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</si>
  <si>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</si>
  <si>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</si>
  <si>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</si>
  <si>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</si>
  <si>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Jersey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</si>
  <si>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</si>
  <si>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</si>
  <si>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</si>
  <si>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</si>
  <si>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</si>
  <si>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</si>
  <si>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</si>
  <si>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</si>
  <si>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</si>
  <si>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Utah</t>
  </si>
  <si>
    <t>Virginia</t>
  </si>
  <si>
    <t>West Virginia</t>
  </si>
  <si>
    <t>Wisconsin</t>
  </si>
  <si>
    <t>Wyoming</t>
  </si>
  <si>
    <t>Total</t>
  </si>
  <si>
    <t xml:space="preserve"> </t>
  </si>
  <si>
    <t xml:space="preserve">    A=State/Tribe Agreement On:</t>
  </si>
  <si>
    <t xml:space="preserve">      %=Percent of State Allotment</t>
  </si>
  <si>
    <t xml:space="preserve">      $=Dollar Amount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</si>
  <si>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</si>
  <si>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</si>
  <si>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</si>
  <si>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</si>
  <si>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</si>
  <si>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</si>
  <si>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</si>
  <si>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</si>
  <si>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</si>
  <si>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>TRIBES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</si>
  <si>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</si>
  <si>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</si>
  <si>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</si>
  <si>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</si>
  <si>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</si>
  <si>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</si>
  <si>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</si>
  <si>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</si>
  <si>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>C</t>
  </si>
  <si>
    <t>A/%</t>
  </si>
  <si>
    <t>A/#</t>
  </si>
  <si>
    <t xml:space="preserve">  Cocopah Tribe</t>
  </si>
  <si>
    <t xml:space="preserve">  Colorado River Indian Tribes</t>
  </si>
  <si>
    <t xml:space="preserve">  Navajo Nation</t>
  </si>
  <si>
    <t xml:space="preserve">  Pascua Yaqui Tribe</t>
  </si>
  <si>
    <t xml:space="preserve">  San Carlos Apache Tribe</t>
  </si>
  <si>
    <t xml:space="preserve">  Southern Ute Tribe</t>
  </si>
  <si>
    <t>A/$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</si>
  <si>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</si>
  <si>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</si>
  <si>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</si>
  <si>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</si>
  <si>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</si>
  <si>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</si>
  <si>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</si>
  <si>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Pokagon Band of Potawatomi Indians</t>
  </si>
  <si>
    <t xml:space="preserve">  Sault Ste. Marie Chippewa Tribe</t>
  </si>
  <si>
    <t xml:space="preserve">  Assiniboine &amp; Sioux Tribes (Fort Peck)</t>
  </si>
  <si>
    <t xml:space="preserve">  Blackfeet Tribe</t>
  </si>
  <si>
    <t xml:space="preserve">  Chippewa-Cree Tribe (Rocky Boy's)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</si>
  <si>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</si>
  <si>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</si>
  <si>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</si>
  <si>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</si>
  <si>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</si>
  <si>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Navajo Nation (Ariz.)</t>
  </si>
  <si>
    <t xml:space="preserve">  Seneca Nation</t>
  </si>
  <si>
    <t xml:space="preserve">  St. Regis Mohawk Band</t>
  </si>
  <si>
    <t xml:space="preserve">  Spirit Lake Tribe (Fort Totten)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</si>
  <si>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</si>
  <si>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</si>
  <si>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</si>
  <si>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</si>
  <si>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</si>
  <si>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</si>
  <si>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</si>
  <si>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</si>
  <si>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 (Pine Ridge)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</si>
  <si>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</si>
  <si>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</si>
  <si>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</si>
  <si>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</si>
  <si>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</si>
  <si>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</si>
  <si>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Little River Band of Ottawa Indians</t>
  </si>
  <si>
    <t xml:space="preserve">  White Mountain Apache Tribe</t>
  </si>
  <si>
    <t>LOW INCOME HOME ENERGY ASSISTANCE PROGRAM (LIHEAP) - FY 2002 ALLOTMENTS FOR TRIBES FUNDED DIRECTLY BY HHS</t>
  </si>
  <si>
    <t xml:space="preserve">  Quechan Tribe </t>
  </si>
  <si>
    <t xml:space="preserve">  Gila River </t>
  </si>
  <si>
    <t xml:space="preserve">  Salt River </t>
  </si>
  <si>
    <t xml:space="preserve">  Lumbee Regional Development Assoc.</t>
  </si>
  <si>
    <t xml:space="preserve">  Fort Mojave (Calif-ITCC)</t>
  </si>
  <si>
    <t>Released</t>
  </si>
  <si>
    <t>To Date</t>
  </si>
  <si>
    <t>Share of</t>
  </si>
  <si>
    <t>Net Allot</t>
  </si>
  <si>
    <t>Released as</t>
  </si>
  <si>
    <t>of 4/1/02</t>
  </si>
  <si>
    <t>Tribes would get same % as they got from $1.7B approp</t>
  </si>
  <si>
    <t xml:space="preserve">LOW INCOME HOME ENERGY ASSISTANCE PROGRAM (LIHEAP) - FY 2002 CONTINGENCY     </t>
  </si>
  <si>
    <t>$100 Million Contingency Fund Distribution</t>
  </si>
  <si>
    <t>08-August-02</t>
  </si>
  <si>
    <t>08-Aug-02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</si>
</sst>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0.000000%"/>
    <numFmt numFmtId="167" formatCode="General_)"/>
    <numFmt numFmtId="168" formatCode="0.0000%"/>
    <numFmt numFmtId="169" formatCode="0.00000000%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>
      <alignment/>
    </xf>
    <xf numFmtId="37" fontId="5" fillId="0" borderId="0" xfId="0" applyFont="1" applyAlignment="1">
      <alignment horizontal="center"/>
    </xf>
    <xf numFmtId="168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/>
      <protection/>
    </xf>
    <xf numFmtId="37" fontId="8" fillId="0" borderId="0" xfId="0" applyFont="1" applyAlignment="1">
      <alignment/>
    </xf>
    <xf numFmtId="37" fontId="7" fillId="0" borderId="0" xfId="0" applyFont="1" applyAlignment="1">
      <alignment horizontal="center"/>
    </xf>
    <xf numFmtId="5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9" fillId="0" borderId="0" xfId="19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 applyProtection="1" quotePrefix="1">
      <alignment/>
      <protection/>
    </xf>
    <xf numFmtId="165" fontId="7" fillId="0" borderId="0" xfId="0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3.125" style="18" customWidth="1"/>
    <col min="2" max="2" width="16.50390625" style="18" customWidth="1"/>
    <col min="3" max="3" width="11.875" style="18" customWidth="1"/>
    <col min="4" max="4" width="15.00390625" style="18" customWidth="1"/>
    <col min="5" max="5" width="16.375" style="18" hidden="1" customWidth="1"/>
    <col min="6" max="6" width="10.375" style="18" hidden="1" customWidth="1"/>
    <col min="7" max="16384" width="8.875" style="18" customWidth="1"/>
  </cols>
  <sheetData>
    <row r="1" spans="1:3" ht="15">
      <c r="A1" s="17" t="s">
        <v>125</v>
      </c>
      <c r="C1" s="19"/>
    </row>
    <row r="2" spans="1:4" ht="15">
      <c r="A2" s="22" t="s">
        <v>126</v>
      </c>
      <c r="B2" s="17"/>
      <c r="D2" s="29" t="s">
        <v>128</v>
      </c>
    </row>
    <row r="3" ht="15">
      <c r="A3" s="22"/>
    </row>
    <row r="4" spans="1:6" ht="15">
      <c r="A4" s="3"/>
      <c r="F4" s="23" t="s">
        <v>120</v>
      </c>
    </row>
    <row r="5" spans="1:6" ht="15">
      <c r="A5" s="20"/>
      <c r="F5" s="23" t="s">
        <v>121</v>
      </c>
    </row>
    <row r="6" spans="2:6" ht="15">
      <c r="B6" s="20" t="s">
        <v>0</v>
      </c>
      <c r="C6" s="20" t="s">
        <v>1</v>
      </c>
      <c r="D6" s="20" t="s">
        <v>2</v>
      </c>
      <c r="E6" s="23" t="s">
        <v>118</v>
      </c>
      <c r="F6" s="23" t="s">
        <v>122</v>
      </c>
    </row>
    <row r="7" spans="1:6" ht="15">
      <c r="A7" s="23" t="s">
        <v>3</v>
      </c>
      <c r="B7" s="20" t="s">
        <v>4</v>
      </c>
      <c r="C7" s="20" t="s">
        <v>5</v>
      </c>
      <c r="D7" s="20" t="s">
        <v>6</v>
      </c>
      <c r="E7" s="23" t="s">
        <v>119</v>
      </c>
      <c r="F7" s="23" t="s">
        <v>123</v>
      </c>
    </row>
    <row r="8" spans="2:6" ht="15">
      <c r="B8" s="17"/>
      <c r="F8" s="23"/>
    </row>
    <row r="9" spans="1:6" ht="15">
      <c r="A9" s="17" t="s">
        <v>7</v>
      </c>
      <c r="B9" s="21">
        <v>1822338</v>
      </c>
      <c r="C9" s="21">
        <f>Tribes!$H13</f>
        <v>148817</v>
      </c>
      <c r="D9" s="21">
        <f>B9-C9</f>
        <v>1673521</v>
      </c>
      <c r="E9" s="24">
        <f aca="true" t="shared" si="0" ref="E9:E42">SUM(D9*F9)</f>
        <v>1255141</v>
      </c>
      <c r="F9" s="26">
        <v>0.75</v>
      </c>
    </row>
    <row r="10" spans="1:6" ht="15">
      <c r="A10" s="17" t="s">
        <v>8</v>
      </c>
      <c r="B10" s="21">
        <v>1996587</v>
      </c>
      <c r="C10" s="21">
        <f>Tribes!H25</f>
        <v>1858</v>
      </c>
      <c r="D10" s="21">
        <f>B10-C10</f>
        <v>1994729</v>
      </c>
      <c r="E10" s="24">
        <f t="shared" si="0"/>
        <v>1795256</v>
      </c>
      <c r="F10" s="26">
        <v>0.9</v>
      </c>
    </row>
    <row r="11" spans="1:6" ht="15">
      <c r="A11" s="17" t="s">
        <v>9</v>
      </c>
      <c r="B11" s="21">
        <v>1604928</v>
      </c>
      <c r="C11" s="21"/>
      <c r="D11" s="21">
        <f aca="true" t="shared" si="1" ref="D11:D17">B11-C11</f>
        <v>1604928</v>
      </c>
      <c r="E11" s="24">
        <f t="shared" si="0"/>
        <v>1604928</v>
      </c>
      <c r="F11" s="26">
        <v>1</v>
      </c>
    </row>
    <row r="12" spans="1:6" ht="15">
      <c r="A12" s="17" t="s">
        <v>10</v>
      </c>
      <c r="B12" s="21">
        <v>353989</v>
      </c>
      <c r="C12" s="21"/>
      <c r="D12" s="21">
        <f>B12-C12</f>
        <v>353989</v>
      </c>
      <c r="E12" s="24">
        <f t="shared" si="0"/>
        <v>353989</v>
      </c>
      <c r="F12" s="26">
        <v>1</v>
      </c>
    </row>
    <row r="13" spans="1:6" ht="15">
      <c r="A13" s="17" t="s">
        <v>11</v>
      </c>
      <c r="B13" s="21">
        <v>299513</v>
      </c>
      <c r="C13" s="21"/>
      <c r="D13" s="21">
        <f t="shared" si="1"/>
        <v>299513</v>
      </c>
      <c r="E13" s="24">
        <f t="shared" si="0"/>
        <v>299513</v>
      </c>
      <c r="F13" s="26">
        <v>1</v>
      </c>
    </row>
    <row r="14" spans="1:6" ht="15">
      <c r="A14" s="17" t="s">
        <v>12</v>
      </c>
      <c r="B14" s="21">
        <v>892679</v>
      </c>
      <c r="C14" s="21">
        <f>Tribes!H28</f>
        <v>14640</v>
      </c>
      <c r="D14" s="21">
        <f t="shared" si="1"/>
        <v>878039</v>
      </c>
      <c r="E14" s="24">
        <f t="shared" si="0"/>
        <v>878039</v>
      </c>
      <c r="F14" s="26">
        <v>1</v>
      </c>
    </row>
    <row r="15" spans="1:6" ht="15">
      <c r="A15" s="17" t="s">
        <v>13</v>
      </c>
      <c r="B15" s="21">
        <v>8173095</v>
      </c>
      <c r="C15" s="21"/>
      <c r="D15" s="21">
        <f t="shared" si="1"/>
        <v>8173095</v>
      </c>
      <c r="E15" s="24">
        <f t="shared" si="0"/>
        <v>8173095</v>
      </c>
      <c r="F15" s="26">
        <v>1</v>
      </c>
    </row>
    <row r="16" spans="1:6" ht="15">
      <c r="A16" s="17" t="s">
        <v>14</v>
      </c>
      <c r="B16" s="21">
        <v>3712499</v>
      </c>
      <c r="C16" s="21">
        <f>Tribes!H32</f>
        <v>837</v>
      </c>
      <c r="D16" s="21">
        <f>B16-C16</f>
        <v>3711662</v>
      </c>
      <c r="E16" s="24">
        <f t="shared" si="0"/>
        <v>3340496</v>
      </c>
      <c r="F16" s="26">
        <v>0.9</v>
      </c>
    </row>
    <row r="17" spans="1:6" ht="15">
      <c r="A17" s="17" t="s">
        <v>15</v>
      </c>
      <c r="B17" s="21">
        <v>1118669</v>
      </c>
      <c r="C17" s="21"/>
      <c r="D17" s="21">
        <f t="shared" si="1"/>
        <v>1118669</v>
      </c>
      <c r="E17" s="24">
        <f t="shared" si="0"/>
        <v>1062736</v>
      </c>
      <c r="F17" s="26">
        <v>0.95</v>
      </c>
    </row>
    <row r="18" spans="1:6" ht="15">
      <c r="A18" s="17" t="s">
        <v>16</v>
      </c>
      <c r="B18" s="21">
        <v>1009352</v>
      </c>
      <c r="C18" s="21">
        <f>Tribes!H36</f>
        <v>837</v>
      </c>
      <c r="D18" s="21">
        <f aca="true" t="shared" si="2" ref="D18:D28">B18-C18</f>
        <v>1008515</v>
      </c>
      <c r="E18" s="24">
        <f t="shared" si="0"/>
        <v>958089</v>
      </c>
      <c r="F18" s="26">
        <v>0.95</v>
      </c>
    </row>
    <row r="19" spans="1:6" ht="15">
      <c r="A19" s="17" t="s">
        <v>17</v>
      </c>
      <c r="B19" s="21">
        <v>3196722</v>
      </c>
      <c r="C19" s="21"/>
      <c r="D19" s="21">
        <f>B19-C19</f>
        <v>3196722</v>
      </c>
      <c r="E19" s="24">
        <f t="shared" si="0"/>
        <v>3196722</v>
      </c>
      <c r="F19" s="26">
        <v>1</v>
      </c>
    </row>
    <row r="20" spans="1:6" ht="15">
      <c r="A20" s="17" t="s">
        <v>18</v>
      </c>
      <c r="B20" s="21">
        <v>1579579</v>
      </c>
      <c r="C20" s="21"/>
      <c r="D20" s="21">
        <f t="shared" si="2"/>
        <v>1579579</v>
      </c>
      <c r="E20" s="24">
        <f t="shared" si="0"/>
        <v>1500600</v>
      </c>
      <c r="F20" s="26">
        <v>0.95</v>
      </c>
    </row>
    <row r="21" spans="1:6" ht="15">
      <c r="A21" s="17" t="s">
        <v>19</v>
      </c>
      <c r="B21" s="21">
        <v>4197135</v>
      </c>
      <c r="C21" s="21">
        <f>Tribes!H40</f>
        <v>1679</v>
      </c>
      <c r="D21" s="21">
        <f t="shared" si="2"/>
        <v>4195456</v>
      </c>
      <c r="E21" s="24">
        <f t="shared" si="0"/>
        <v>4195456</v>
      </c>
      <c r="F21" s="26">
        <v>1</v>
      </c>
    </row>
    <row r="22" spans="1:6" ht="15">
      <c r="A22" s="17" t="s">
        <v>20</v>
      </c>
      <c r="B22" s="21">
        <v>7728714</v>
      </c>
      <c r="C22" s="21">
        <f>Tribes!H43</f>
        <v>34709</v>
      </c>
      <c r="D22" s="21">
        <f t="shared" si="2"/>
        <v>7694005</v>
      </c>
      <c r="E22" s="24">
        <f t="shared" si="0"/>
        <v>6924605</v>
      </c>
      <c r="F22" s="26">
        <v>0.9</v>
      </c>
    </row>
    <row r="23" spans="1:6" ht="15">
      <c r="A23" s="17" t="s">
        <v>21</v>
      </c>
      <c r="B23" s="21">
        <v>2257327</v>
      </c>
      <c r="C23" s="21"/>
      <c r="D23" s="21">
        <f t="shared" si="2"/>
        <v>2257327</v>
      </c>
      <c r="E23" s="24">
        <f t="shared" si="0"/>
        <v>2257327</v>
      </c>
      <c r="F23" s="26">
        <v>1</v>
      </c>
    </row>
    <row r="24" spans="1:6" ht="15">
      <c r="A24" s="17" t="s">
        <v>22</v>
      </c>
      <c r="B24" s="21">
        <v>2308716</v>
      </c>
      <c r="C24" s="21"/>
      <c r="D24" s="21">
        <f t="shared" si="2"/>
        <v>2308716</v>
      </c>
      <c r="E24" s="24">
        <f t="shared" si="0"/>
        <v>2193280</v>
      </c>
      <c r="F24" s="26">
        <v>0.95</v>
      </c>
    </row>
    <row r="25" spans="1:6" ht="15">
      <c r="A25" s="17" t="s">
        <v>23</v>
      </c>
      <c r="B25" s="21">
        <v>587648</v>
      </c>
      <c r="C25" s="21">
        <f>Tribes!H51</f>
        <v>88973</v>
      </c>
      <c r="D25" s="21">
        <f t="shared" si="2"/>
        <v>498675</v>
      </c>
      <c r="E25" s="24">
        <f t="shared" si="0"/>
        <v>448808</v>
      </c>
      <c r="F25" s="26">
        <v>0.9</v>
      </c>
    </row>
    <row r="26" spans="1:6" ht="15">
      <c r="A26" s="17" t="s">
        <v>24</v>
      </c>
      <c r="B26" s="21">
        <v>1400468</v>
      </c>
      <c r="C26" s="21">
        <f>Tribes!H59</f>
        <v>328</v>
      </c>
      <c r="D26" s="21">
        <f t="shared" si="2"/>
        <v>1400140</v>
      </c>
      <c r="E26" s="24">
        <f t="shared" si="0"/>
        <v>1225123</v>
      </c>
      <c r="F26" s="26">
        <v>0.875</v>
      </c>
    </row>
    <row r="27" spans="1:6" ht="15">
      <c r="A27" s="17" t="s">
        <v>25</v>
      </c>
      <c r="B27" s="21">
        <v>1312645</v>
      </c>
      <c r="C27" s="21"/>
      <c r="D27" s="21">
        <f t="shared" si="2"/>
        <v>1312645</v>
      </c>
      <c r="E27" s="24">
        <f t="shared" si="0"/>
        <v>1181381</v>
      </c>
      <c r="F27" s="26">
        <v>0.9</v>
      </c>
    </row>
    <row r="28" spans="1:6" ht="15">
      <c r="A28" s="17" t="s">
        <v>26</v>
      </c>
      <c r="B28" s="21">
        <v>4798972</v>
      </c>
      <c r="C28" s="21">
        <f>Tribes!H62</f>
        <v>11998</v>
      </c>
      <c r="D28" s="21">
        <f t="shared" si="2"/>
        <v>4786974</v>
      </c>
      <c r="E28" s="24">
        <f t="shared" si="0"/>
        <v>4786974</v>
      </c>
      <c r="F28" s="26">
        <v>1</v>
      </c>
    </row>
    <row r="29" spans="1:6" ht="15">
      <c r="A29" s="17" t="s">
        <v>27</v>
      </c>
      <c r="B29" s="21">
        <v>15853393</v>
      </c>
      <c r="C29" s="21">
        <f>Tribes!H65</f>
        <v>27591</v>
      </c>
      <c r="D29" s="21">
        <f>B29-C29</f>
        <v>15825802</v>
      </c>
      <c r="E29" s="24">
        <f t="shared" si="0"/>
        <v>15825802</v>
      </c>
      <c r="F29" s="26">
        <v>1</v>
      </c>
    </row>
    <row r="30" spans="1:6" ht="15">
      <c r="A30" s="17" t="s">
        <v>28</v>
      </c>
      <c r="B30" s="21">
        <v>4084970</v>
      </c>
      <c r="C30" s="21">
        <f>Tribes!H69</f>
        <v>65657</v>
      </c>
      <c r="D30" s="21">
        <f aca="true" t="shared" si="3" ref="D30:D39">B30-C30</f>
        <v>4019313</v>
      </c>
      <c r="E30" s="24">
        <f t="shared" si="0"/>
        <v>3617382</v>
      </c>
      <c r="F30" s="26">
        <v>0.9</v>
      </c>
    </row>
    <row r="31" spans="1:6" ht="15">
      <c r="A31" s="17" t="s">
        <v>29</v>
      </c>
      <c r="B31" s="21">
        <v>470675</v>
      </c>
      <c r="C31" s="21">
        <f>Tribes!H72</f>
        <v>85662</v>
      </c>
      <c r="D31" s="21">
        <f t="shared" si="3"/>
        <v>385013</v>
      </c>
      <c r="E31" s="24">
        <f t="shared" si="0"/>
        <v>385013</v>
      </c>
      <c r="F31" s="26">
        <v>1</v>
      </c>
    </row>
    <row r="32" spans="1:6" ht="15">
      <c r="A32" s="17" t="s">
        <v>30</v>
      </c>
      <c r="B32" s="21">
        <v>8732990</v>
      </c>
      <c r="C32" s="21"/>
      <c r="D32" s="21">
        <f t="shared" si="3"/>
        <v>8732990</v>
      </c>
      <c r="E32" s="24">
        <f t="shared" si="0"/>
        <v>8296341</v>
      </c>
      <c r="F32" s="26">
        <v>0.95</v>
      </c>
    </row>
    <row r="33" spans="1:6" ht="15">
      <c r="A33" s="17" t="s">
        <v>31</v>
      </c>
      <c r="B33" s="21">
        <v>1636835</v>
      </c>
      <c r="C33" s="21">
        <f>Tribes!H78</f>
        <v>8569</v>
      </c>
      <c r="D33" s="21">
        <f t="shared" si="3"/>
        <v>1628266</v>
      </c>
      <c r="E33" s="24">
        <f t="shared" si="0"/>
        <v>1628266</v>
      </c>
      <c r="F33" s="26">
        <v>1</v>
      </c>
    </row>
    <row r="34" spans="1:6" ht="15">
      <c r="A34" s="17" t="s">
        <v>32</v>
      </c>
      <c r="B34" s="21">
        <v>7244772</v>
      </c>
      <c r="C34" s="21"/>
      <c r="D34" s="21">
        <f t="shared" si="3"/>
        <v>7244772</v>
      </c>
      <c r="E34" s="24">
        <f t="shared" si="0"/>
        <v>6882533</v>
      </c>
      <c r="F34" s="26">
        <v>0.95</v>
      </c>
    </row>
    <row r="35" spans="1:6" ht="15">
      <c r="A35" s="17" t="s">
        <v>33</v>
      </c>
      <c r="B35" s="21">
        <v>788828</v>
      </c>
      <c r="C35" s="21">
        <f>Tribes!H82</f>
        <v>2235</v>
      </c>
      <c r="D35" s="21">
        <f t="shared" si="3"/>
        <v>786593</v>
      </c>
      <c r="E35" s="24">
        <f t="shared" si="0"/>
        <v>786593</v>
      </c>
      <c r="F35" s="26">
        <v>1</v>
      </c>
    </row>
    <row r="36" spans="1:6" ht="15">
      <c r="A36" s="17" t="s">
        <v>34</v>
      </c>
      <c r="B36" s="21">
        <v>1940719</v>
      </c>
      <c r="C36" s="21"/>
      <c r="D36" s="21">
        <f t="shared" si="3"/>
        <v>1940719</v>
      </c>
      <c r="E36" s="24">
        <f t="shared" si="0"/>
        <v>1940719</v>
      </c>
      <c r="F36" s="26">
        <v>1</v>
      </c>
    </row>
    <row r="37" spans="1:6" ht="15">
      <c r="A37" s="17" t="s">
        <v>35</v>
      </c>
      <c r="B37" s="21">
        <v>560185</v>
      </c>
      <c r="C37" s="21">
        <f>Tribes!H85</f>
        <v>99601</v>
      </c>
      <c r="D37" s="21">
        <f t="shared" si="3"/>
        <v>460584</v>
      </c>
      <c r="E37" s="24">
        <f t="shared" si="0"/>
        <v>446766</v>
      </c>
      <c r="F37" s="26">
        <v>0.97</v>
      </c>
    </row>
    <row r="38" spans="1:6" ht="15">
      <c r="A38" s="17" t="s">
        <v>36</v>
      </c>
      <c r="B38" s="21">
        <v>954211</v>
      </c>
      <c r="C38" s="21">
        <f>Tribes!H94</f>
        <v>18517</v>
      </c>
      <c r="D38" s="21">
        <f t="shared" si="3"/>
        <v>935694</v>
      </c>
      <c r="E38" s="24">
        <f t="shared" si="0"/>
        <v>888909</v>
      </c>
      <c r="F38" s="26">
        <v>0.95</v>
      </c>
    </row>
    <row r="39" spans="1:6" ht="15">
      <c r="A39" s="17" t="s">
        <v>37</v>
      </c>
      <c r="B39" s="21">
        <v>3139645</v>
      </c>
      <c r="C39" s="21"/>
      <c r="D39" s="21">
        <f t="shared" si="3"/>
        <v>3139645</v>
      </c>
      <c r="E39" s="24">
        <f t="shared" si="0"/>
        <v>2888473</v>
      </c>
      <c r="F39" s="26">
        <v>0.92</v>
      </c>
    </row>
    <row r="40" spans="1:6" ht="15">
      <c r="A40" s="17" t="s">
        <v>38</v>
      </c>
      <c r="B40" s="21">
        <v>1210876</v>
      </c>
      <c r="C40" s="21"/>
      <c r="D40" s="21">
        <f>B40-C40</f>
        <v>1210876</v>
      </c>
      <c r="E40" s="24">
        <f t="shared" si="0"/>
        <v>1210876</v>
      </c>
      <c r="F40" s="26">
        <v>1</v>
      </c>
    </row>
    <row r="41" spans="1:6" ht="15">
      <c r="A41" s="17" t="s">
        <v>39</v>
      </c>
      <c r="B41" s="21">
        <v>2702967</v>
      </c>
      <c r="C41" s="21"/>
      <c r="D41" s="21">
        <f>B41-C41</f>
        <v>2702967</v>
      </c>
      <c r="E41" s="24">
        <f t="shared" si="0"/>
        <v>2405641</v>
      </c>
      <c r="F41" s="26">
        <v>0.89</v>
      </c>
    </row>
    <row r="42" spans="1:6" ht="15">
      <c r="A42" s="17" t="s">
        <v>40</v>
      </c>
      <c r="B42" s="21">
        <v>327359</v>
      </c>
      <c r="C42" s="21"/>
      <c r="D42" s="21">
        <f>B42-C42</f>
        <v>327359</v>
      </c>
      <c r="E42" s="24">
        <f t="shared" si="0"/>
        <v>294623</v>
      </c>
      <c r="F42" s="26">
        <v>0.9</v>
      </c>
    </row>
    <row r="44" spans="1:6" ht="15">
      <c r="A44" s="20" t="s">
        <v>41</v>
      </c>
      <c r="B44" s="21">
        <f>SUM(B9:B42)</f>
        <v>100000000</v>
      </c>
      <c r="C44" s="21">
        <f>SUM(C9:C42)</f>
        <v>612508</v>
      </c>
      <c r="D44" s="21">
        <f>SUM(D9:D42)</f>
        <v>99387492</v>
      </c>
      <c r="E44" s="21">
        <f>SUM(E9:E42)</f>
        <v>95129495</v>
      </c>
      <c r="F44" s="25">
        <f>(E44/D44)</f>
        <v>0.96</v>
      </c>
    </row>
    <row r="45" ht="15">
      <c r="B45" s="20" t="s">
        <v>42</v>
      </c>
    </row>
  </sheetData>
  <sheetProtection password="E68A" sheet="1" objects="1" scenarios="1"/>
  <printOptions/>
  <pageMargins left="1.31" right="0.75" top="0.75" bottom="0.5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19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5.625" defaultRowHeight="12.75"/>
  <cols>
    <col min="1" max="1" width="40.625" style="2" customWidth="1"/>
    <col min="2" max="2" width="12.625" style="2" customWidth="1"/>
    <col min="3" max="4" width="10.625" style="2" customWidth="1"/>
    <col min="5" max="6" width="14.625" style="2" customWidth="1"/>
    <col min="7" max="8" width="12.625" style="2" customWidth="1"/>
    <col min="9" max="9" width="13.625" style="2" customWidth="1"/>
    <col min="10" max="10" width="11.125" style="2" customWidth="1"/>
    <col min="11" max="16384" width="15.625" style="2" customWidth="1"/>
  </cols>
  <sheetData>
    <row r="1" spans="1:10" ht="12.75">
      <c r="A1" s="1" t="s">
        <v>112</v>
      </c>
      <c r="J1" s="1" t="s">
        <v>42</v>
      </c>
    </row>
    <row r="2" spans="1:6" ht="14.25">
      <c r="A2" s="22" t="s">
        <v>126</v>
      </c>
      <c r="C2" s="1"/>
      <c r="F2" s="28" t="s">
        <v>127</v>
      </c>
    </row>
    <row r="4" spans="1:6" ht="12.75">
      <c r="A4" s="1"/>
      <c r="B4" s="1" t="s">
        <v>43</v>
      </c>
      <c r="F4" s="3" t="s">
        <v>42</v>
      </c>
    </row>
    <row r="5" ht="12.75">
      <c r="A5" s="3" t="s">
        <v>124</v>
      </c>
    </row>
    <row r="6" spans="1:2" ht="12.75">
      <c r="A6" s="1"/>
      <c r="B6" s="1" t="s">
        <v>44</v>
      </c>
    </row>
    <row r="7" spans="1:2" ht="12.75">
      <c r="A7" s="1"/>
      <c r="B7" s="1" t="s">
        <v>45</v>
      </c>
    </row>
    <row r="8" spans="1:8" ht="12.75">
      <c r="A8" s="3"/>
      <c r="G8" s="4" t="s">
        <v>46</v>
      </c>
      <c r="H8" s="4" t="s">
        <v>47</v>
      </c>
    </row>
    <row r="9" spans="2:9" ht="12.75">
      <c r="B9" s="4" t="s">
        <v>48</v>
      </c>
      <c r="C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</row>
    <row r="10" spans="1:9" ht="12.75">
      <c r="A10" s="4" t="s">
        <v>55</v>
      </c>
      <c r="B10" s="4" t="s">
        <v>56</v>
      </c>
      <c r="C10" s="4" t="s">
        <v>57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</row>
    <row r="11" ht="12" customHeight="1"/>
    <row r="13" spans="1:9" ht="12.75">
      <c r="A13" s="1" t="s">
        <v>7</v>
      </c>
      <c r="E13" s="5">
        <f>States!B9</f>
        <v>1822338</v>
      </c>
      <c r="F13" s="7">
        <f>SUM(F14:F22)</f>
        <v>0.07584085</v>
      </c>
      <c r="H13" s="5">
        <f>SUM(G14:G23)</f>
        <v>148817</v>
      </c>
      <c r="I13" s="5">
        <f>E13-H13</f>
        <v>1673521</v>
      </c>
    </row>
    <row r="14" spans="1:7" ht="12.75">
      <c r="A14" s="1" t="s">
        <v>67</v>
      </c>
      <c r="B14" s="6">
        <v>343522</v>
      </c>
      <c r="C14" s="8">
        <v>228</v>
      </c>
      <c r="D14" s="4" t="s">
        <v>66</v>
      </c>
      <c r="F14" s="7">
        <f>C14/B14</f>
        <v>0.00066371</v>
      </c>
      <c r="G14" s="5">
        <f>ROUND(+$E$13*F14,0)</f>
        <v>1210</v>
      </c>
    </row>
    <row r="15" spans="1:7" ht="12.75">
      <c r="A15" s="1" t="s">
        <v>68</v>
      </c>
      <c r="B15" s="6">
        <v>343522</v>
      </c>
      <c r="C15" s="8">
        <v>680</v>
      </c>
      <c r="D15" s="4" t="s">
        <v>66</v>
      </c>
      <c r="E15" s="5"/>
      <c r="F15" s="7">
        <f>C15/B15</f>
        <v>0.00197949</v>
      </c>
      <c r="G15" s="5">
        <f>ROUND(+$E$13*F15,0)</f>
        <v>3607</v>
      </c>
    </row>
    <row r="16" spans="1:7" ht="12.75">
      <c r="A16" s="1" t="s">
        <v>117</v>
      </c>
      <c r="B16" s="6">
        <v>343522</v>
      </c>
      <c r="C16" s="8">
        <v>142</v>
      </c>
      <c r="D16" s="4" t="s">
        <v>66</v>
      </c>
      <c r="E16" s="5"/>
      <c r="F16" s="7">
        <f>C16/B16</f>
        <v>0.00041337</v>
      </c>
      <c r="G16" s="5">
        <f>ROUND(+$E$13*F16,0)</f>
        <v>753</v>
      </c>
    </row>
    <row r="17" spans="1:7" ht="12.75">
      <c r="A17" s="1" t="s">
        <v>114</v>
      </c>
      <c r="B17" s="6">
        <v>343522</v>
      </c>
      <c r="C17" s="8">
        <v>2301</v>
      </c>
      <c r="D17" s="4" t="s">
        <v>66</v>
      </c>
      <c r="E17" s="5"/>
      <c r="F17" s="7">
        <f aca="true" t="shared" si="0" ref="F17:F22">C17/B17</f>
        <v>0.00669826</v>
      </c>
      <c r="G17" s="5">
        <f aca="true" t="shared" si="1" ref="G17:G23">ROUND(+$E$13*F17,0)</f>
        <v>12206</v>
      </c>
    </row>
    <row r="18" spans="1:7" ht="12.75">
      <c r="A18" s="1" t="s">
        <v>69</v>
      </c>
      <c r="B18" s="6">
        <v>343522</v>
      </c>
      <c r="C18" s="8">
        <v>19524</v>
      </c>
      <c r="D18" s="4" t="s">
        <v>66</v>
      </c>
      <c r="E18" s="5"/>
      <c r="F18" s="7">
        <f t="shared" si="0"/>
        <v>0.05683479</v>
      </c>
      <c r="G18" s="5">
        <f t="shared" si="1"/>
        <v>103572</v>
      </c>
    </row>
    <row r="19" spans="1:7" ht="12.75">
      <c r="A19" s="1" t="s">
        <v>70</v>
      </c>
      <c r="B19" s="6">
        <v>343522</v>
      </c>
      <c r="C19" s="8">
        <v>879</v>
      </c>
      <c r="D19" s="4" t="s">
        <v>66</v>
      </c>
      <c r="E19" s="5"/>
      <c r="F19" s="7">
        <f t="shared" si="0"/>
        <v>0.00255879</v>
      </c>
      <c r="G19" s="5">
        <f t="shared" si="1"/>
        <v>4663</v>
      </c>
    </row>
    <row r="20" spans="1:7" ht="12.75">
      <c r="A20" s="1" t="s">
        <v>113</v>
      </c>
      <c r="B20" s="6">
        <v>343522</v>
      </c>
      <c r="C20" s="8">
        <v>50</v>
      </c>
      <c r="D20" s="4" t="s">
        <v>66</v>
      </c>
      <c r="E20" s="5"/>
      <c r="F20" s="7">
        <f t="shared" si="0"/>
        <v>0.00014555</v>
      </c>
      <c r="G20" s="5">
        <f t="shared" si="1"/>
        <v>265</v>
      </c>
    </row>
    <row r="21" spans="1:7" ht="12.75">
      <c r="A21" s="1" t="s">
        <v>115</v>
      </c>
      <c r="B21" s="6">
        <v>343522</v>
      </c>
      <c r="C21" s="8">
        <v>849</v>
      </c>
      <c r="D21" s="4" t="s">
        <v>66</v>
      </c>
      <c r="E21" s="5"/>
      <c r="F21" s="7">
        <f t="shared" si="0"/>
        <v>0.00247146</v>
      </c>
      <c r="G21" s="5">
        <f t="shared" si="1"/>
        <v>4504</v>
      </c>
    </row>
    <row r="22" spans="1:7" ht="12.75">
      <c r="A22" s="1" t="s">
        <v>71</v>
      </c>
      <c r="B22" s="6">
        <v>343522</v>
      </c>
      <c r="C22" s="8">
        <v>1400</v>
      </c>
      <c r="D22" s="4" t="s">
        <v>66</v>
      </c>
      <c r="F22" s="7">
        <f t="shared" si="0"/>
        <v>0.00407543</v>
      </c>
      <c r="G22" s="5">
        <f t="shared" si="1"/>
        <v>7427</v>
      </c>
    </row>
    <row r="23" spans="1:7" ht="12.75">
      <c r="A23" s="1" t="s">
        <v>111</v>
      </c>
      <c r="B23" s="6">
        <v>343522</v>
      </c>
      <c r="C23" s="8">
        <v>2000</v>
      </c>
      <c r="D23" s="4" t="s">
        <v>66</v>
      </c>
      <c r="F23" s="7">
        <f>C23/B23</f>
        <v>0.00582204</v>
      </c>
      <c r="G23" s="5">
        <f t="shared" si="1"/>
        <v>10610</v>
      </c>
    </row>
    <row r="24" spans="1:7" ht="12.75">
      <c r="A24" s="1"/>
      <c r="B24" s="6"/>
      <c r="C24" s="9"/>
      <c r="D24" s="4"/>
      <c r="E24" s="5"/>
      <c r="F24" s="7"/>
      <c r="G24" s="5"/>
    </row>
    <row r="25" spans="1:9" ht="12.75">
      <c r="A25" s="1" t="s">
        <v>8</v>
      </c>
      <c r="B25" s="6" t="s">
        <v>42</v>
      </c>
      <c r="C25" s="8"/>
      <c r="D25" s="4"/>
      <c r="E25" s="5">
        <f>+States!B10</f>
        <v>1996587</v>
      </c>
      <c r="F25" s="7"/>
      <c r="G25" s="5"/>
      <c r="H25" s="10">
        <f>G26</f>
        <v>1858</v>
      </c>
      <c r="I25" s="5">
        <f>$E25-$H25</f>
        <v>1994729</v>
      </c>
    </row>
    <row r="26" spans="1:7" ht="12.75">
      <c r="A26" s="2" t="s">
        <v>72</v>
      </c>
      <c r="B26" s="2">
        <v>303357</v>
      </c>
      <c r="C26" s="2">
        <v>165</v>
      </c>
      <c r="D26" s="11" t="s">
        <v>73</v>
      </c>
      <c r="F26" s="7">
        <f>(25000/26864584)</f>
        <v>0.00093059</v>
      </c>
      <c r="G26" s="5">
        <f>ROUND(+$E$25*F26,0)</f>
        <v>1858</v>
      </c>
    </row>
    <row r="27" spans="4:7" ht="12.75">
      <c r="D27" s="11"/>
      <c r="G27" s="10"/>
    </row>
    <row r="28" spans="1:9" ht="12.75">
      <c r="A28" s="1" t="s">
        <v>12</v>
      </c>
      <c r="D28" s="1" t="s">
        <v>42</v>
      </c>
      <c r="E28" s="5">
        <f>States!B14</f>
        <v>892679</v>
      </c>
      <c r="F28" s="7">
        <f>SUM(F29:F30)</f>
        <v>0.0164</v>
      </c>
      <c r="H28" s="5">
        <f>SUM(G29:G30)</f>
        <v>14640</v>
      </c>
      <c r="I28" s="5">
        <f>E28-H28</f>
        <v>878039</v>
      </c>
    </row>
    <row r="29" spans="1:9" ht="12.75">
      <c r="A29" s="1" t="s">
        <v>74</v>
      </c>
      <c r="B29" s="6">
        <v>84047</v>
      </c>
      <c r="C29" s="6">
        <v>593</v>
      </c>
      <c r="D29" s="4" t="s">
        <v>65</v>
      </c>
      <c r="E29" s="5"/>
      <c r="F29" s="12">
        <v>0.007</v>
      </c>
      <c r="G29" s="5">
        <f>ROUND(+$E$28*F29,0)</f>
        <v>6249</v>
      </c>
      <c r="I29" s="5"/>
    </row>
    <row r="30" spans="1:9" ht="12.75">
      <c r="A30" s="1" t="s">
        <v>75</v>
      </c>
      <c r="B30" s="6">
        <v>84047</v>
      </c>
      <c r="C30" s="6">
        <v>796</v>
      </c>
      <c r="D30" s="4" t="s">
        <v>65</v>
      </c>
      <c r="E30" s="5"/>
      <c r="F30" s="12">
        <v>0.0094</v>
      </c>
      <c r="G30" s="5">
        <f>ROUND(+$E$28*F30,0)</f>
        <v>8391</v>
      </c>
      <c r="I30" s="5"/>
    </row>
    <row r="32" spans="1:9" ht="12.75">
      <c r="A32" s="1" t="s">
        <v>14</v>
      </c>
      <c r="E32" s="5">
        <f>States!B16</f>
        <v>3712499</v>
      </c>
      <c r="H32" s="5">
        <f>G33</f>
        <v>837</v>
      </c>
      <c r="I32" s="5">
        <f>E32-H32</f>
        <v>3711662</v>
      </c>
    </row>
    <row r="33" spans="1:9" ht="12.75">
      <c r="A33" s="1" t="s">
        <v>76</v>
      </c>
      <c r="B33" s="6">
        <v>434091</v>
      </c>
      <c r="C33" s="6">
        <v>0</v>
      </c>
      <c r="D33" s="4" t="s">
        <v>73</v>
      </c>
      <c r="F33" s="7">
        <f>(9900/43919200)</f>
        <v>0.00022541</v>
      </c>
      <c r="G33" s="5">
        <f>ROUND(+$E$32*F33,0)</f>
        <v>837</v>
      </c>
      <c r="I33" s="5"/>
    </row>
    <row r="35" ht="12.75">
      <c r="I35" s="5"/>
    </row>
    <row r="36" spans="1:9" ht="12.75">
      <c r="A36" s="1" t="s">
        <v>16</v>
      </c>
      <c r="D36" s="1" t="s">
        <v>42</v>
      </c>
      <c r="E36" s="5">
        <f>States!B18</f>
        <v>1009352</v>
      </c>
      <c r="F36" s="12"/>
      <c r="H36" s="5">
        <f>G37</f>
        <v>837</v>
      </c>
      <c r="I36" s="5">
        <f>$E36-$H36</f>
        <v>1008515</v>
      </c>
    </row>
    <row r="37" spans="1:9" ht="12.75">
      <c r="A37" s="1" t="s">
        <v>77</v>
      </c>
      <c r="B37" s="6">
        <v>222152</v>
      </c>
      <c r="C37" s="6">
        <v>20</v>
      </c>
      <c r="D37" s="4" t="s">
        <v>73</v>
      </c>
      <c r="E37" s="5"/>
      <c r="F37" s="12">
        <f>(11850/14294513)</f>
        <v>0.000829</v>
      </c>
      <c r="G37" s="5">
        <f>ROUND(+$E$36*F37,0)</f>
        <v>837</v>
      </c>
      <c r="I37" s="5"/>
    </row>
    <row r="38" ht="12.75">
      <c r="I38" s="5"/>
    </row>
    <row r="39" ht="12.75">
      <c r="I39" s="5"/>
    </row>
    <row r="40" spans="1:9" ht="12.75">
      <c r="A40" s="1" t="s">
        <v>19</v>
      </c>
      <c r="E40" s="5">
        <f>States!B21</f>
        <v>4197135</v>
      </c>
      <c r="H40" s="5">
        <f>G41</f>
        <v>1679</v>
      </c>
      <c r="I40" s="5">
        <f>SUM(E40-H40)</f>
        <v>4195456</v>
      </c>
    </row>
    <row r="41" spans="1:9" ht="12.75">
      <c r="A41" s="1" t="s">
        <v>78</v>
      </c>
      <c r="B41" s="6">
        <v>531692</v>
      </c>
      <c r="C41" s="6">
        <v>127</v>
      </c>
      <c r="D41" s="4" t="s">
        <v>65</v>
      </c>
      <c r="E41" s="5"/>
      <c r="F41" s="7">
        <v>0.0004</v>
      </c>
      <c r="G41" s="5">
        <f>ROUND(+$E$40*F41,0)</f>
        <v>1679</v>
      </c>
      <c r="I41" s="5"/>
    </row>
    <row r="42" spans="7:9" ht="12.75">
      <c r="G42" s="5"/>
      <c r="I42" s="5"/>
    </row>
    <row r="43" spans="1:9" ht="12.75">
      <c r="A43" s="1" t="s">
        <v>20</v>
      </c>
      <c r="E43" s="5">
        <f>States!B22</f>
        <v>7728714</v>
      </c>
      <c r="H43" s="5">
        <f>SUM(G44:G48)</f>
        <v>34709</v>
      </c>
      <c r="I43" s="5">
        <f>E43-H43</f>
        <v>7694005</v>
      </c>
    </row>
    <row r="44" spans="1:9" ht="12.75">
      <c r="A44" s="1" t="s">
        <v>79</v>
      </c>
      <c r="B44" s="6">
        <v>856399</v>
      </c>
      <c r="C44" s="6">
        <v>335</v>
      </c>
      <c r="D44" s="4" t="s">
        <v>66</v>
      </c>
      <c r="E44" s="5"/>
      <c r="F44" s="7">
        <f>$C44/$B44</f>
        <v>0.00039117</v>
      </c>
      <c r="G44" s="5">
        <f>ROUND(+$E$43*F44,0)</f>
        <v>3023</v>
      </c>
      <c r="I44" s="5"/>
    </row>
    <row r="45" spans="1:7" ht="12.75">
      <c r="A45" s="1" t="s">
        <v>80</v>
      </c>
      <c r="B45" s="6">
        <v>856399</v>
      </c>
      <c r="C45" s="6">
        <v>1050</v>
      </c>
      <c r="D45" s="4" t="s">
        <v>64</v>
      </c>
      <c r="E45" s="5"/>
      <c r="F45" s="7">
        <f>(112912/92093679)</f>
        <v>0.00122606</v>
      </c>
      <c r="G45" s="5">
        <f>ROUND(+$E$43*F45,0)</f>
        <v>9476</v>
      </c>
    </row>
    <row r="46" spans="1:7" ht="12.75">
      <c r="A46" s="1" t="s">
        <v>110</v>
      </c>
      <c r="B46" s="6">
        <v>856399</v>
      </c>
      <c r="C46" s="6">
        <v>162</v>
      </c>
      <c r="D46" s="4" t="s">
        <v>66</v>
      </c>
      <c r="E46" s="5"/>
      <c r="F46" s="7">
        <f>$C46/$B46</f>
        <v>0.00018916</v>
      </c>
      <c r="G46" s="5">
        <f>ROUND(+$E$43*F46,0)</f>
        <v>1462</v>
      </c>
    </row>
    <row r="47" spans="1:7" ht="12.75">
      <c r="A47" s="1" t="s">
        <v>81</v>
      </c>
      <c r="B47" s="6">
        <v>856399</v>
      </c>
      <c r="C47" s="6">
        <v>555</v>
      </c>
      <c r="D47" s="4" t="s">
        <v>66</v>
      </c>
      <c r="E47" s="5"/>
      <c r="F47" s="7">
        <f>$C47/$B47</f>
        <v>0.00064806</v>
      </c>
      <c r="G47" s="5">
        <f>ROUND(+$E$43*F47,0)</f>
        <v>5009</v>
      </c>
    </row>
    <row r="48" spans="1:9" ht="12.75">
      <c r="A48" s="1" t="s">
        <v>82</v>
      </c>
      <c r="B48" s="6">
        <v>856399</v>
      </c>
      <c r="C48" s="6">
        <v>1744</v>
      </c>
      <c r="D48" s="4" t="s">
        <v>66</v>
      </c>
      <c r="E48" s="5"/>
      <c r="F48" s="7">
        <f>$C48/$B48</f>
        <v>0.00203643</v>
      </c>
      <c r="G48" s="5">
        <f>ROUND(+$E$43*F48,0)</f>
        <v>15739</v>
      </c>
      <c r="I48" s="5"/>
    </row>
    <row r="49" spans="5:9" ht="12.75">
      <c r="E49" s="5"/>
      <c r="G49" s="5"/>
      <c r="I49" s="5"/>
    </row>
    <row r="50" spans="5:9" ht="12.75">
      <c r="E50" s="5"/>
      <c r="G50" s="5"/>
      <c r="I50" s="5"/>
    </row>
    <row r="51" spans="1:9" ht="12.75">
      <c r="A51" s="1" t="s">
        <v>23</v>
      </c>
      <c r="E51" s="5">
        <f>States!B25</f>
        <v>587648</v>
      </c>
      <c r="F51" s="12">
        <f>SUM(F52:F57)</f>
        <v>0.151407</v>
      </c>
      <c r="H51" s="5">
        <f>SUM($G52:$G57)</f>
        <v>88973</v>
      </c>
      <c r="I51" s="5">
        <f>$E51-$H51</f>
        <v>498675</v>
      </c>
    </row>
    <row r="52" spans="1:9" ht="12.75">
      <c r="A52" s="1" t="s">
        <v>83</v>
      </c>
      <c r="C52" s="2">
        <v>928</v>
      </c>
      <c r="D52" s="4" t="s">
        <v>65</v>
      </c>
      <c r="E52" s="5"/>
      <c r="F52" s="12">
        <v>0.029637</v>
      </c>
      <c r="G52" s="5">
        <f aca="true" t="shared" si="2" ref="G52:G57">ROUND(+$E$51*F52,0)</f>
        <v>17416</v>
      </c>
      <c r="I52" s="12"/>
    </row>
    <row r="53" spans="1:7" ht="12.75">
      <c r="A53" s="1" t="s">
        <v>84</v>
      </c>
      <c r="C53" s="2">
        <v>1135</v>
      </c>
      <c r="D53" s="4" t="s">
        <v>65</v>
      </c>
      <c r="E53" s="5"/>
      <c r="F53" s="12">
        <v>0.047916</v>
      </c>
      <c r="G53" s="5">
        <f t="shared" si="2"/>
        <v>28158</v>
      </c>
    </row>
    <row r="54" spans="1:7" ht="12.75">
      <c r="A54" s="1" t="s">
        <v>85</v>
      </c>
      <c r="C54" s="2">
        <v>246</v>
      </c>
      <c r="D54" s="4" t="s">
        <v>65</v>
      </c>
      <c r="E54" s="5"/>
      <c r="F54" s="12">
        <v>0.013682</v>
      </c>
      <c r="G54" s="5">
        <f t="shared" si="2"/>
        <v>8040</v>
      </c>
    </row>
    <row r="55" spans="1:7" ht="12.75">
      <c r="A55" s="1" t="s">
        <v>86</v>
      </c>
      <c r="C55" s="2">
        <v>871</v>
      </c>
      <c r="D55" s="4" t="s">
        <v>65</v>
      </c>
      <c r="E55" s="5"/>
      <c r="F55" s="12">
        <v>0.027471</v>
      </c>
      <c r="G55" s="5">
        <f t="shared" si="2"/>
        <v>16143</v>
      </c>
    </row>
    <row r="56" spans="1:7" ht="12.75">
      <c r="A56" s="1" t="s">
        <v>87</v>
      </c>
      <c r="C56" s="2">
        <v>381</v>
      </c>
      <c r="D56" s="4" t="s">
        <v>65</v>
      </c>
      <c r="E56" s="5"/>
      <c r="F56" s="12">
        <v>0.014598</v>
      </c>
      <c r="G56" s="5">
        <f t="shared" si="2"/>
        <v>8578</v>
      </c>
    </row>
    <row r="57" spans="1:7" ht="12.75">
      <c r="A57" s="1" t="s">
        <v>88</v>
      </c>
      <c r="C57" s="2">
        <v>536</v>
      </c>
      <c r="D57" s="4" t="s">
        <v>65</v>
      </c>
      <c r="E57" s="5"/>
      <c r="F57" s="12">
        <v>0.018103</v>
      </c>
      <c r="G57" s="5">
        <f t="shared" si="2"/>
        <v>10638</v>
      </c>
    </row>
    <row r="58" spans="1:7" ht="12.75">
      <c r="A58" s="1"/>
      <c r="D58" s="4"/>
      <c r="E58" s="5"/>
      <c r="F58" s="12"/>
      <c r="G58" s="5"/>
    </row>
    <row r="59" spans="1:9" ht="12.75">
      <c r="A59" s="1" t="s">
        <v>24</v>
      </c>
      <c r="D59" s="4"/>
      <c r="E59" s="5">
        <f>States!B26</f>
        <v>1400468</v>
      </c>
      <c r="F59" s="12"/>
      <c r="G59" s="5"/>
      <c r="H59" s="10">
        <f>G60</f>
        <v>328</v>
      </c>
      <c r="I59" s="5">
        <f>$E59-$H59</f>
        <v>1400140</v>
      </c>
    </row>
    <row r="60" spans="1:7" ht="12.75">
      <c r="A60" s="1" t="s">
        <v>89</v>
      </c>
      <c r="B60" s="2">
        <v>136572</v>
      </c>
      <c r="D60" s="4" t="s">
        <v>73</v>
      </c>
      <c r="E60" s="5"/>
      <c r="F60" s="13">
        <f>3600/15393063</f>
        <v>0.00023387</v>
      </c>
      <c r="G60" s="5">
        <f>ROUND(+$E$59*F60,0)</f>
        <v>328</v>
      </c>
    </row>
    <row r="61" spans="5:9" ht="12.75">
      <c r="E61" s="5"/>
      <c r="F61" s="12"/>
      <c r="G61" s="5"/>
      <c r="I61" s="5"/>
    </row>
    <row r="62" spans="1:9" ht="12.75">
      <c r="A62" s="1" t="s">
        <v>26</v>
      </c>
      <c r="E62" s="5">
        <f>States!B28</f>
        <v>4798972</v>
      </c>
      <c r="F62" s="27"/>
      <c r="H62" s="5">
        <f>SUM($G63:G63)</f>
        <v>11998</v>
      </c>
      <c r="I62" s="5">
        <f>$E62-$H62</f>
        <v>4786974</v>
      </c>
    </row>
    <row r="63" spans="1:9" ht="12.75">
      <c r="A63" s="1" t="s">
        <v>90</v>
      </c>
      <c r="B63" s="6">
        <v>602367</v>
      </c>
      <c r="C63" s="6">
        <v>1506</v>
      </c>
      <c r="D63" s="4" t="s">
        <v>64</v>
      </c>
      <c r="E63" s="5"/>
      <c r="F63" s="27">
        <f>(162709/65079920)</f>
        <v>0.00250014</v>
      </c>
      <c r="G63" s="5">
        <f>ROUND(+$E$62*F63,0)</f>
        <v>11998</v>
      </c>
      <c r="I63" s="5"/>
    </row>
    <row r="64" spans="5:9" ht="12.75">
      <c r="E64" s="5"/>
      <c r="G64" s="5"/>
      <c r="I64" s="5"/>
    </row>
    <row r="65" spans="1:9" ht="12.75">
      <c r="A65" s="1" t="s">
        <v>27</v>
      </c>
      <c r="E65" s="5">
        <f>States!B29</f>
        <v>15853393</v>
      </c>
      <c r="H65" s="5">
        <f>SUM($G66:$G67)</f>
        <v>27591</v>
      </c>
      <c r="I65" s="5">
        <f>$E65-$H65</f>
        <v>15825802</v>
      </c>
    </row>
    <row r="66" spans="1:9" ht="12.75">
      <c r="A66" s="1" t="s">
        <v>92</v>
      </c>
      <c r="B66" s="6">
        <v>1622237</v>
      </c>
      <c r="C66" s="6">
        <v>547</v>
      </c>
      <c r="D66" s="4" t="s">
        <v>73</v>
      </c>
      <c r="E66" s="5"/>
      <c r="F66" s="7">
        <f>(182827/212495786)</f>
        <v>0.00086038</v>
      </c>
      <c r="G66" s="5">
        <f>ROUND(+$E$65*$F66,0)</f>
        <v>13640</v>
      </c>
      <c r="I66" s="5"/>
    </row>
    <row r="67" spans="1:9" ht="12.75">
      <c r="A67" s="1" t="s">
        <v>93</v>
      </c>
      <c r="B67" s="6">
        <v>1622237</v>
      </c>
      <c r="C67" s="6">
        <v>317</v>
      </c>
      <c r="D67" s="4" t="s">
        <v>73</v>
      </c>
      <c r="E67" s="5"/>
      <c r="F67" s="7">
        <f>(186994/212495786)</f>
        <v>0.00087999</v>
      </c>
      <c r="G67" s="5">
        <f>ROUND(+$E$65*$F67,0)</f>
        <v>13951</v>
      </c>
      <c r="I67" s="5"/>
    </row>
    <row r="68" spans="5:9" ht="12.75">
      <c r="E68" s="5"/>
      <c r="F68" s="12"/>
      <c r="G68" s="5"/>
      <c r="I68" s="5"/>
    </row>
    <row r="69" spans="1:9" ht="12.75">
      <c r="A69" s="1" t="s">
        <v>28</v>
      </c>
      <c r="E69" s="5">
        <f>States!B30</f>
        <v>4084970</v>
      </c>
      <c r="H69" s="5">
        <f>$G70</f>
        <v>65657</v>
      </c>
      <c r="I69" s="5">
        <f>E69-H69</f>
        <v>4019313</v>
      </c>
    </row>
    <row r="70" spans="1:9" ht="12.75">
      <c r="A70" s="1" t="s">
        <v>116</v>
      </c>
      <c r="B70" s="6">
        <v>618221</v>
      </c>
      <c r="C70" s="6">
        <v>6441</v>
      </c>
      <c r="D70" s="4" t="s">
        <v>73</v>
      </c>
      <c r="E70" s="5"/>
      <c r="F70" s="7">
        <v>0.01607278</v>
      </c>
      <c r="G70" s="5">
        <f>ROUND(+$E$69*$F70,0)</f>
        <v>65657</v>
      </c>
      <c r="I70" s="5"/>
    </row>
    <row r="72" spans="1:9" ht="12.75">
      <c r="A72" s="1" t="s">
        <v>29</v>
      </c>
      <c r="D72" s="1" t="s">
        <v>42</v>
      </c>
      <c r="E72" s="5">
        <f>States!B31</f>
        <v>470675</v>
      </c>
      <c r="F72" s="12">
        <f>SUM(F73:F76)</f>
        <v>0.182</v>
      </c>
      <c r="H72" s="5">
        <f>SUM(G73:G76)</f>
        <v>85662</v>
      </c>
      <c r="I72" s="5">
        <f>E72-H72</f>
        <v>385013</v>
      </c>
    </row>
    <row r="73" spans="1:9" ht="12.75">
      <c r="A73" s="1" t="s">
        <v>94</v>
      </c>
      <c r="D73" s="4" t="s">
        <v>65</v>
      </c>
      <c r="E73" s="5"/>
      <c r="F73" s="14">
        <v>0.0368</v>
      </c>
      <c r="G73" s="5">
        <f>ROUND(+$E$72*F73,0)</f>
        <v>17321</v>
      </c>
      <c r="I73" s="5"/>
    </row>
    <row r="74" spans="1:9" ht="12.75">
      <c r="A74" s="1" t="s">
        <v>95</v>
      </c>
      <c r="D74" s="4" t="s">
        <v>65</v>
      </c>
      <c r="E74" s="5"/>
      <c r="F74" s="14">
        <v>0.0317</v>
      </c>
      <c r="G74" s="5">
        <f>ROUND(+$E$72*F74,0)</f>
        <v>14920</v>
      </c>
      <c r="I74" s="5"/>
    </row>
    <row r="75" spans="1:9" ht="12.75">
      <c r="A75" s="1" t="s">
        <v>96</v>
      </c>
      <c r="D75" s="4" t="s">
        <v>65</v>
      </c>
      <c r="E75" s="5"/>
      <c r="F75" s="14">
        <v>0.0343</v>
      </c>
      <c r="G75" s="5">
        <f>ROUND(+$E$72*F75,0)</f>
        <v>16144</v>
      </c>
      <c r="I75" s="5"/>
    </row>
    <row r="76" spans="1:9" ht="12.75">
      <c r="A76" s="1" t="s">
        <v>97</v>
      </c>
      <c r="D76" s="4" t="s">
        <v>65</v>
      </c>
      <c r="E76" s="5"/>
      <c r="F76" s="14">
        <v>0.0792</v>
      </c>
      <c r="G76" s="5">
        <f>ROUND(+$E$72*F76,0)</f>
        <v>37277</v>
      </c>
      <c r="I76" s="5"/>
    </row>
    <row r="77" spans="5:9" ht="12.75">
      <c r="E77" s="5"/>
      <c r="F77" s="12"/>
      <c r="G77" s="5"/>
      <c r="I77" s="5"/>
    </row>
    <row r="78" spans="1:9" ht="12.75">
      <c r="A78" s="1" t="s">
        <v>31</v>
      </c>
      <c r="D78" s="1" t="s">
        <v>42</v>
      </c>
      <c r="E78" s="5">
        <f>States!B33</f>
        <v>1636835</v>
      </c>
      <c r="F78" s="7" t="s">
        <v>42</v>
      </c>
      <c r="H78" s="5">
        <f>SUM(G79:G80)</f>
        <v>8569</v>
      </c>
      <c r="I78" s="5">
        <f>E78-H78</f>
        <v>1628266</v>
      </c>
    </row>
    <row r="79" spans="1:9" ht="12.75">
      <c r="A79" s="1" t="s">
        <v>98</v>
      </c>
      <c r="B79" s="6">
        <v>239405</v>
      </c>
      <c r="D79" s="4" t="s">
        <v>73</v>
      </c>
      <c r="E79" s="5"/>
      <c r="F79" s="13">
        <f>12000/20821188</f>
        <v>0.00057634</v>
      </c>
      <c r="G79" s="5">
        <f>ROUND(+$E$78*F79,0)</f>
        <v>943</v>
      </c>
      <c r="H79" s="5"/>
      <c r="I79" s="5"/>
    </row>
    <row r="80" spans="1:9" ht="12.75">
      <c r="A80" s="1" t="s">
        <v>99</v>
      </c>
      <c r="B80" s="6">
        <v>239405</v>
      </c>
      <c r="D80" s="4" t="s">
        <v>73</v>
      </c>
      <c r="E80" s="5"/>
      <c r="F80" s="13">
        <f>97000/20821188</f>
        <v>0.00465872</v>
      </c>
      <c r="G80" s="5">
        <f>ROUND(+$E$78*F80,0)</f>
        <v>7626</v>
      </c>
      <c r="H80" s="5"/>
      <c r="I80" s="5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1" t="s">
        <v>33</v>
      </c>
      <c r="E82" s="5">
        <f>States!B35</f>
        <v>788828</v>
      </c>
      <c r="H82" s="5">
        <f>$G83</f>
        <v>2235</v>
      </c>
      <c r="I82" s="5">
        <f>SUM($E82-$H82)</f>
        <v>786593</v>
      </c>
    </row>
    <row r="83" spans="1:7" ht="12.75">
      <c r="A83" s="1" t="s">
        <v>100</v>
      </c>
      <c r="B83" s="6">
        <v>84702</v>
      </c>
      <c r="C83" s="15">
        <v>240</v>
      </c>
      <c r="D83" s="4" t="s">
        <v>66</v>
      </c>
      <c r="E83" s="5"/>
      <c r="F83" s="7">
        <f>$C83/$B83</f>
        <v>0.00283346</v>
      </c>
      <c r="G83" s="5">
        <f>ROUND(+$E$82*F83,0)</f>
        <v>2235</v>
      </c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1" t="s">
        <v>35</v>
      </c>
      <c r="D85" s="1" t="s">
        <v>42</v>
      </c>
      <c r="E85" s="5">
        <f>States!B37</f>
        <v>560185</v>
      </c>
      <c r="F85" s="12">
        <f>SUM(F86:F92)</f>
        <v>0.1778</v>
      </c>
      <c r="H85" s="5">
        <f>SUM(G86:G92)</f>
        <v>99601</v>
      </c>
      <c r="I85" s="5">
        <f>E85-H85</f>
        <v>460584</v>
      </c>
    </row>
    <row r="86" spans="1:9" ht="12.75">
      <c r="A86" s="1" t="s">
        <v>101</v>
      </c>
      <c r="D86" s="4" t="s">
        <v>65</v>
      </c>
      <c r="E86" s="5"/>
      <c r="F86" s="12">
        <v>0.0282</v>
      </c>
      <c r="G86" s="5">
        <f aca="true" t="shared" si="3" ref="G86:G92">ROUND(+$E$85*F86,0)</f>
        <v>15797</v>
      </c>
      <c r="I86" s="5"/>
    </row>
    <row r="87" spans="1:9" ht="12.75">
      <c r="A87" s="1" t="s">
        <v>102</v>
      </c>
      <c r="D87" s="4" t="s">
        <v>65</v>
      </c>
      <c r="E87" s="5"/>
      <c r="F87" s="12">
        <v>0.0038</v>
      </c>
      <c r="G87" s="5">
        <f t="shared" si="3"/>
        <v>2129</v>
      </c>
      <c r="I87" s="5"/>
    </row>
    <row r="88" spans="1:9" ht="12.75">
      <c r="A88" s="1" t="s">
        <v>103</v>
      </c>
      <c r="D88" s="4" t="s">
        <v>65</v>
      </c>
      <c r="E88" s="5"/>
      <c r="F88" s="12">
        <v>0.0584</v>
      </c>
      <c r="G88" s="5">
        <f t="shared" si="3"/>
        <v>32715</v>
      </c>
      <c r="I88" s="5"/>
    </row>
    <row r="89" spans="1:9" ht="12.75">
      <c r="A89" s="1" t="s">
        <v>104</v>
      </c>
      <c r="D89" s="4" t="s">
        <v>65</v>
      </c>
      <c r="E89" s="5"/>
      <c r="F89" s="12">
        <v>0.046</v>
      </c>
      <c r="G89" s="5">
        <f t="shared" si="3"/>
        <v>25769</v>
      </c>
      <c r="I89" s="5"/>
    </row>
    <row r="90" spans="1:9" ht="12.75">
      <c r="A90" s="1" t="s">
        <v>105</v>
      </c>
      <c r="D90" s="4" t="s">
        <v>65</v>
      </c>
      <c r="E90" s="5"/>
      <c r="F90" s="12">
        <v>0.0186</v>
      </c>
      <c r="G90" s="5">
        <f t="shared" si="3"/>
        <v>10419</v>
      </c>
      <c r="I90" s="5"/>
    </row>
    <row r="91" spans="1:9" ht="12.75">
      <c r="A91" s="1" t="s">
        <v>106</v>
      </c>
      <c r="D91" s="4" t="s">
        <v>65</v>
      </c>
      <c r="E91" s="5"/>
      <c r="F91" s="12">
        <v>0.0116</v>
      </c>
      <c r="G91" s="5">
        <f t="shared" si="3"/>
        <v>6498</v>
      </c>
      <c r="I91" s="5"/>
    </row>
    <row r="92" spans="1:9" ht="12.75">
      <c r="A92" s="1" t="s">
        <v>107</v>
      </c>
      <c r="D92" s="4" t="s">
        <v>65</v>
      </c>
      <c r="E92" s="5"/>
      <c r="F92" s="12">
        <v>0.0112</v>
      </c>
      <c r="G92" s="5">
        <f t="shared" si="3"/>
        <v>6274</v>
      </c>
      <c r="I92" s="5"/>
    </row>
    <row r="93" spans="1:9" ht="12.75">
      <c r="A93" s="1"/>
      <c r="D93" s="4"/>
      <c r="E93" s="5"/>
      <c r="F93" s="12"/>
      <c r="G93" s="5"/>
      <c r="I93" s="5"/>
    </row>
    <row r="94" spans="1:9" ht="12.75">
      <c r="A94" s="1" t="s">
        <v>36</v>
      </c>
      <c r="D94" s="1" t="s">
        <v>42</v>
      </c>
      <c r="E94" s="5">
        <f>States!B38</f>
        <v>954211</v>
      </c>
      <c r="F94" s="7">
        <f>SUM(F95:F97)</f>
        <v>0.0194047</v>
      </c>
      <c r="H94" s="5">
        <f>SUM(G95:G97)</f>
        <v>18517</v>
      </c>
      <c r="I94" s="5">
        <f>E94-H94</f>
        <v>935694</v>
      </c>
    </row>
    <row r="95" spans="1:9" ht="12.75">
      <c r="A95" s="1" t="s">
        <v>91</v>
      </c>
      <c r="B95" s="6">
        <v>110884</v>
      </c>
      <c r="C95" s="6">
        <v>997</v>
      </c>
      <c r="D95" s="4" t="s">
        <v>64</v>
      </c>
      <c r="E95" s="5"/>
      <c r="F95" s="7">
        <f>(112249/12484036)</f>
        <v>0.0089914</v>
      </c>
      <c r="G95" s="5">
        <f>ROUND(+$E$94*F95,0)</f>
        <v>8580</v>
      </c>
      <c r="I95" s="5"/>
    </row>
    <row r="96" spans="1:7" ht="12.75">
      <c r="A96" s="1" t="s">
        <v>108</v>
      </c>
      <c r="B96" s="6">
        <v>110884</v>
      </c>
      <c r="D96" s="4" t="s">
        <v>73</v>
      </c>
      <c r="E96" s="5"/>
      <c r="F96" s="13">
        <f>50000/12484036</f>
        <v>0.00400512</v>
      </c>
      <c r="G96" s="5">
        <f>ROUND(+$E$94*F96,0)</f>
        <v>3822</v>
      </c>
    </row>
    <row r="97" spans="1:9" ht="12.75">
      <c r="A97" s="1" t="s">
        <v>109</v>
      </c>
      <c r="B97" s="6">
        <v>110884</v>
      </c>
      <c r="D97" s="4" t="s">
        <v>73</v>
      </c>
      <c r="E97" s="5"/>
      <c r="F97" s="13">
        <f>80000/12484036</f>
        <v>0.00640818</v>
      </c>
      <c r="G97" s="5">
        <f>ROUND(+$E$94*F97,0)</f>
        <v>6115</v>
      </c>
      <c r="I97" s="5"/>
    </row>
    <row r="98" spans="5:9" ht="12.75">
      <c r="E98" s="5"/>
      <c r="G98" s="5"/>
      <c r="I98" s="5"/>
    </row>
    <row r="99" spans="1:9" ht="12.75">
      <c r="A99" s="1"/>
      <c r="B99" s="5"/>
      <c r="D99" s="4"/>
      <c r="E99" s="5"/>
      <c r="F99" s="7"/>
      <c r="G99" s="5"/>
      <c r="H99" s="2">
        <f>SUM(H13:H97)</f>
        <v>612508</v>
      </c>
      <c r="I99" s="2">
        <f>SUM(I13:I97)</f>
        <v>51882981</v>
      </c>
    </row>
    <row r="351" ht="12.75">
      <c r="H351" s="16"/>
    </row>
    <row r="353" ht="12.75">
      <c r="E353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spans="5:8" ht="12.75">
      <c r="E408" s="16"/>
      <c r="G408" s="5"/>
      <c r="H408" s="5"/>
    </row>
    <row r="410" spans="5:8" ht="12.75">
      <c r="E410" s="5"/>
      <c r="H410" s="5"/>
    </row>
    <row r="412" ht="12.75">
      <c r="H412" s="5"/>
    </row>
    <row r="413" spans="5:8" ht="12.75">
      <c r="E413" s="5"/>
      <c r="H413" s="5"/>
    </row>
    <row r="414" spans="5:8" ht="12.75">
      <c r="E414" s="5"/>
      <c r="H414" s="5"/>
    </row>
    <row r="415" spans="5:8" ht="12.75">
      <c r="E415" s="5"/>
      <c r="H415" s="5"/>
    </row>
    <row r="416" spans="5:8" ht="12.75">
      <c r="E416" s="5"/>
      <c r="H416" s="5"/>
    </row>
    <row r="417" spans="5:8" ht="12.75">
      <c r="E417" s="5"/>
      <c r="H417" s="5"/>
    </row>
    <row r="418" spans="5:8" ht="12.75">
      <c r="E418" s="5"/>
      <c r="H418" s="5"/>
    </row>
    <row r="419" spans="5:8" ht="12.75">
      <c r="E419" s="5"/>
      <c r="H419" s="5"/>
    </row>
  </sheetData>
  <sheetProtection password="E68A" sheet="1" objects="1" scenarios="1"/>
  <printOptions/>
  <pageMargins left="0.75" right="0.75" top="0.75" bottom="0.5" header="0.5" footer="0.5"/>
  <pageSetup horizontalDpi="300" verticalDpi="300" orientation="landscape" scale="70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ACF</cp:lastModifiedBy>
  <cp:lastPrinted>2002-08-08T16:59:45Z</cp:lastPrinted>
  <dcterms:created xsi:type="dcterms:W3CDTF">1999-09-24T20:32:34Z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