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95" windowWidth="14325" windowHeight="4080" tabRatio="981" activeTab="6"/>
  </bookViews>
  <sheets>
    <sheet name="Definitions" sheetId="1" r:id="rId1"/>
    <sheet name="Current Emissions" sheetId="2" r:id="rId2"/>
    <sheet name="Well Pad Assumptions" sheetId="3" r:id="rId3"/>
    <sheet name="Fug Dust Assumptions" sheetId="4" r:id="rId4"/>
    <sheet name="Emission Factors" sheetId="5" r:id="rId5"/>
    <sheet name="Moab Fug Dust calc" sheetId="6" r:id="rId6"/>
    <sheet name="Moab Projected Emissions" sheetId="7" r:id="rId7"/>
    <sheet name="Moab Percent Increase" sheetId="8" r:id="rId8"/>
    <sheet name="Moab Alt Compare" sheetId="9" r:id="rId9"/>
  </sheets>
  <externalReferences>
    <externalReference r:id="rId12"/>
    <externalReference r:id="rId13"/>
  </externalReferences>
  <definedNames>
    <definedName name="c_cv_exh">#REF!</definedName>
    <definedName name="c_he_exh">#REF!</definedName>
    <definedName name="ra">#REF!</definedName>
    <definedName name="rang">#REF!</definedName>
    <definedName name="range">#REF!</definedName>
    <definedName name="rangee">#REF!</definedName>
    <definedName name="type">'[2]Op_Comp (OLD)'!#REF!</definedName>
  </definedNames>
  <calcPr fullCalcOnLoad="1"/>
</workbook>
</file>

<file path=xl/comments5.xml><?xml version="1.0" encoding="utf-8"?>
<comments xmlns="http://schemas.openxmlformats.org/spreadsheetml/2006/main">
  <authors>
    <author>egaddis</author>
  </authors>
  <commentList>
    <comment ref="D8" authorId="0">
      <text>
        <r>
          <rPr>
            <b/>
            <sz val="8"/>
            <rFont val="Tahoma"/>
            <family val="0"/>
          </rPr>
          <t>Utah specific. Based on a BACT limit of .7 g/hp-hr</t>
        </r>
      </text>
    </comment>
    <comment ref="D72" authorId="0">
      <text>
        <r>
          <rPr>
            <b/>
            <sz val="8"/>
            <rFont val="Tahoma"/>
            <family val="0"/>
          </rPr>
          <t>Original source NPS 1998</t>
        </r>
      </text>
    </comment>
    <comment ref="F8" authorId="0">
      <text>
        <r>
          <rPr>
            <b/>
            <sz val="8"/>
            <rFont val="Tahoma"/>
            <family val="0"/>
          </rPr>
          <t>Utah specific. Based on a BACT limit of .7 g/hp-hr</t>
        </r>
      </text>
    </comment>
    <comment ref="F72" authorId="0">
      <text>
        <r>
          <rPr>
            <b/>
            <sz val="8"/>
            <rFont val="Tahoma"/>
            <family val="0"/>
          </rPr>
          <t>Original source NPS 1998</t>
        </r>
      </text>
    </comment>
    <comment ref="G8" authorId="0">
      <text>
        <r>
          <rPr>
            <b/>
            <sz val="8"/>
            <rFont val="Tahoma"/>
            <family val="0"/>
          </rPr>
          <t>egaddis:</t>
        </r>
        <r>
          <rPr>
            <sz val="8"/>
            <rFont val="Tahoma"/>
            <family val="0"/>
          </rPr>
          <t xml:space="preserve">
Assumed &lt;90% load</t>
        </r>
      </text>
    </comment>
    <comment ref="G7" authorId="0">
      <text>
        <r>
          <rPr>
            <b/>
            <sz val="8"/>
            <rFont val="Tahoma"/>
            <family val="0"/>
          </rPr>
          <t>egaddis:</t>
        </r>
        <r>
          <rPr>
            <sz val="8"/>
            <rFont val="Tahoma"/>
            <family val="0"/>
          </rPr>
          <t xml:space="preserve">
Assumes &lt;90% load</t>
        </r>
      </text>
    </comment>
    <comment ref="G10" authorId="0">
      <text>
        <r>
          <rPr>
            <b/>
            <sz val="8"/>
            <rFont val="Tahoma"/>
            <family val="0"/>
          </rPr>
          <t>egaddis:</t>
        </r>
        <r>
          <rPr>
            <sz val="8"/>
            <rFont val="Tahoma"/>
            <family val="0"/>
          </rPr>
          <t xml:space="preserve">
condensable</t>
        </r>
      </text>
    </comment>
    <comment ref="G11" authorId="0">
      <text>
        <r>
          <rPr>
            <b/>
            <sz val="8"/>
            <rFont val="Tahoma"/>
            <family val="0"/>
          </rPr>
          <t>egaddis:</t>
        </r>
        <r>
          <rPr>
            <sz val="8"/>
            <rFont val="Tahoma"/>
            <family val="0"/>
          </rPr>
          <t xml:space="preserve">
condensable</t>
        </r>
      </text>
    </comment>
    <comment ref="I4" authorId="0">
      <text>
        <r>
          <rPr>
            <b/>
            <sz val="8"/>
            <rFont val="Tahoma"/>
            <family val="0"/>
          </rPr>
          <t>Kathy to check.</t>
        </r>
      </text>
    </comment>
  </commentList>
</comments>
</file>

<file path=xl/comments6.xml><?xml version="1.0" encoding="utf-8"?>
<comments xmlns="http://schemas.openxmlformats.org/spreadsheetml/2006/main">
  <authors>
    <author>egaddis</author>
  </authors>
  <commentList>
    <comment ref="D7" authorId="0">
      <text>
        <r>
          <rPr>
            <b/>
            <sz val="8"/>
            <rFont val="Tahoma"/>
            <family val="0"/>
          </rPr>
          <t>egaddis:</t>
        </r>
        <r>
          <rPr>
            <sz val="8"/>
            <rFont val="Tahoma"/>
            <family val="0"/>
          </rPr>
          <t xml:space="preserve">
15 acres per well/15 years (construction only 1 year)</t>
        </r>
      </text>
    </comment>
    <comment ref="C9" authorId="0">
      <text>
        <r>
          <rPr>
            <b/>
            <sz val="8"/>
            <rFont val="Tahoma"/>
            <family val="0"/>
          </rPr>
          <t>egaddis:</t>
        </r>
        <r>
          <rPr>
            <sz val="8"/>
            <rFont val="Tahoma"/>
            <family val="0"/>
          </rPr>
          <t xml:space="preserve">
BLM Field Office provided information that a significant percentage of their proposed new wells would require flaring (60%). Same assumption made for Monticello and Moab.</t>
        </r>
      </text>
    </comment>
  </commentList>
</comments>
</file>

<file path=xl/comments7.xml><?xml version="1.0" encoding="utf-8"?>
<comments xmlns="http://schemas.openxmlformats.org/spreadsheetml/2006/main">
  <authors>
    <author>egaddis</author>
  </authors>
  <commentList>
    <comment ref="E40" authorId="0">
      <text>
        <r>
          <rPr>
            <b/>
            <sz val="8"/>
            <rFont val="Tahoma"/>
            <family val="0"/>
          </rPr>
          <t xml:space="preserve">Multiply by all seconds/year. </t>
        </r>
        <r>
          <rPr>
            <sz val="8"/>
            <rFont val="Tahoma"/>
            <family val="0"/>
          </rPr>
          <t xml:space="preserve">
</t>
        </r>
      </text>
    </comment>
    <comment ref="F7" authorId="0">
      <text>
        <r>
          <rPr>
            <b/>
            <sz val="8"/>
            <rFont val="Tahoma"/>
            <family val="0"/>
          </rPr>
          <t>egaddis:</t>
        </r>
        <r>
          <rPr>
            <sz val="8"/>
            <rFont val="Tahoma"/>
            <family val="0"/>
          </rPr>
          <t xml:space="preserve">
15 acres per well/15 years (construction only 1 year)</t>
        </r>
      </text>
    </comment>
    <comment ref="E9" authorId="0">
      <text>
        <r>
          <rPr>
            <b/>
            <sz val="8"/>
            <rFont val="Tahoma"/>
            <family val="0"/>
          </rPr>
          <t>egaddis:</t>
        </r>
        <r>
          <rPr>
            <sz val="8"/>
            <rFont val="Tahoma"/>
            <family val="0"/>
          </rPr>
          <t xml:space="preserve">
BLM Field Office provided information that a significant percentage of their proposed new wells would require flaring (60%). Same assumption made for Monticello and Moab.</t>
        </r>
      </text>
    </comment>
    <comment ref="D86" authorId="0">
      <text>
        <r>
          <rPr>
            <b/>
            <sz val="8"/>
            <rFont val="Tahoma"/>
            <family val="0"/>
          </rPr>
          <t>Original source NPS 1998</t>
        </r>
      </text>
    </comment>
  </commentList>
</comments>
</file>

<file path=xl/sharedStrings.xml><?xml version="1.0" encoding="utf-8"?>
<sst xmlns="http://schemas.openxmlformats.org/spreadsheetml/2006/main" count="578" uniqueCount="222">
  <si>
    <t>CO</t>
  </si>
  <si>
    <t>PM10</t>
  </si>
  <si>
    <t>VOC</t>
  </si>
  <si>
    <t>HAPs</t>
  </si>
  <si>
    <t>SO x</t>
  </si>
  <si>
    <t>NO x</t>
  </si>
  <si>
    <t>San Juan County</t>
  </si>
  <si>
    <t>Regional Total</t>
  </si>
  <si>
    <t>Emission Rate (gram/sec)</t>
  </si>
  <si>
    <t>tpy/unit</t>
  </si>
  <si>
    <t>PM 2.5</t>
  </si>
  <si>
    <t>Calculate Compressor Emissions</t>
  </si>
  <si>
    <t>Alt A</t>
  </si>
  <si>
    <t>Alt B</t>
  </si>
  <si>
    <t>Alt C</t>
  </si>
  <si>
    <t>Alt D</t>
  </si>
  <si>
    <t>Compressors</t>
  </si>
  <si>
    <t>Well Pads</t>
  </si>
  <si>
    <t>Glycol Dehydrators</t>
  </si>
  <si>
    <t>Calculate Glycol Dehydrator Emissions</t>
  </si>
  <si>
    <t>Percent Increase Over Regional Total</t>
  </si>
  <si>
    <t>Summary of Total Emissions</t>
  </si>
  <si>
    <t>H2S</t>
  </si>
  <si>
    <t>Summary of Current Emissions in Grand and San Juan County, UT</t>
  </si>
  <si>
    <t>Grand County</t>
  </si>
  <si>
    <t>TOTALS</t>
  </si>
  <si>
    <t>Calculation of Projected Emissions Percent Increase over Current</t>
  </si>
  <si>
    <t>Notes and References</t>
  </si>
  <si>
    <t>Emission Rate Used</t>
  </si>
  <si>
    <t>Alternative Emission Rates</t>
  </si>
  <si>
    <t>Benzene</t>
  </si>
  <si>
    <t>Ethylbenzene</t>
  </si>
  <si>
    <t>Toluene</t>
  </si>
  <si>
    <t>Xylenes</t>
  </si>
  <si>
    <r>
      <t>An average emission rate of 1.45 x 10</t>
    </r>
    <r>
      <rPr>
        <vertAlign val="superscript"/>
        <sz val="10"/>
        <rFont val="Times New Roman"/>
        <family val="1"/>
      </rPr>
      <t>-7</t>
    </r>
    <r>
      <rPr>
        <sz val="10"/>
        <rFont val="Times New Roman"/>
        <family val="1"/>
      </rPr>
      <t xml:space="preserve"> grams per second (g/s) of hydrogen sulfide (H</t>
    </r>
    <r>
      <rPr>
        <vertAlign val="subscript"/>
        <sz val="10"/>
        <rFont val="Times New Roman"/>
        <family val="1"/>
      </rPr>
      <t>2</t>
    </r>
    <r>
      <rPr>
        <sz val="10"/>
        <rFont val="Times New Roman"/>
        <family val="1"/>
      </rPr>
      <t>S) was assumed for all glycol dehydrators (Trinity and Nicholls 2006). All H</t>
    </r>
    <r>
      <rPr>
        <vertAlign val="subscript"/>
        <sz val="10"/>
        <rFont val="Times New Roman"/>
        <family val="1"/>
      </rPr>
      <t>2</t>
    </r>
    <r>
      <rPr>
        <sz val="10"/>
        <rFont val="Times New Roman"/>
        <family val="1"/>
      </rPr>
      <t>S was assumed to convert to SO</t>
    </r>
    <r>
      <rPr>
        <vertAlign val="subscript"/>
        <sz val="10"/>
        <rFont val="Times New Roman"/>
        <family val="1"/>
      </rPr>
      <t>2</t>
    </r>
    <r>
      <rPr>
        <sz val="10"/>
        <rFont val="Times New Roman"/>
        <family val="1"/>
      </rPr>
      <t xml:space="preserve"> for the purposes of this assessment (ATSDR 1999).</t>
    </r>
  </si>
  <si>
    <t>Alternative Reference</t>
  </si>
  <si>
    <t>tpy/unit assumptions</t>
  </si>
  <si>
    <t>g/sec x sec/year</t>
  </si>
  <si>
    <t>Biogenics</t>
  </si>
  <si>
    <t>Area source</t>
  </si>
  <si>
    <t>Non-road mobile</t>
  </si>
  <si>
    <t>On-road mobile</t>
  </si>
  <si>
    <t>PM2.5</t>
  </si>
  <si>
    <t>SOx</t>
  </si>
  <si>
    <t>NOx</t>
  </si>
  <si>
    <t>Point source</t>
  </si>
  <si>
    <t>Source: 2005 State Summary of Emissions by Source</t>
  </si>
  <si>
    <t>http://www.airquality.utah.gov/Planning/Emission-Inventory/2005_State/05_State_List.htm</t>
  </si>
  <si>
    <t>Calculate Flare Emissions</t>
  </si>
  <si>
    <t>Pollutant</t>
  </si>
  <si>
    <t>Source</t>
  </si>
  <si>
    <t>Trinity and Nicholls 2006</t>
  </si>
  <si>
    <t>SO2</t>
  </si>
  <si>
    <t>Oil and gas wells with flaring</t>
  </si>
  <si>
    <t>Flare Emissions</t>
  </si>
  <si>
    <t>Assumptions</t>
  </si>
  <si>
    <t>Trinity et al 2003</t>
  </si>
  <si>
    <t>Formaldehyde</t>
  </si>
  <si>
    <t>AP-42 Fifth Edition</t>
  </si>
  <si>
    <t>Emission Rate (lb/MMBtu fuel input)</t>
  </si>
  <si>
    <t>TOC</t>
  </si>
  <si>
    <t>CO2</t>
  </si>
  <si>
    <t>Emission Rate (lbs/hour)</t>
  </si>
  <si>
    <t>Emission Rate (grams/second)</t>
  </si>
  <si>
    <t>Calculation of Projected Emissions in MoabFO</t>
  </si>
  <si>
    <t>Percent Increase Over Grand County Total</t>
  </si>
  <si>
    <t>miles</t>
  </si>
  <si>
    <t>acres</t>
  </si>
  <si>
    <t>Surface Disturbance (Construction of well pads in acres)</t>
  </si>
  <si>
    <t xml:space="preserve"> Acenaphthylene</t>
  </si>
  <si>
    <t xml:space="preserve"> Acetaldehyde</t>
  </si>
  <si>
    <t xml:space="preserve"> Acrolein</t>
  </si>
  <si>
    <t xml:space="preserve"> Benzo(e)pyrene</t>
  </si>
  <si>
    <t xml:space="preserve"> Biphenyl</t>
  </si>
  <si>
    <t xml:space="preserve"> Carbon Tetrachloride</t>
  </si>
  <si>
    <t xml:space="preserve"> Chlorobenzene</t>
  </si>
  <si>
    <t xml:space="preserve"> Chloroform</t>
  </si>
  <si>
    <t xml:space="preserve"> Chrysene</t>
  </si>
  <si>
    <t xml:space="preserve"> Ethylene Dibromide</t>
  </si>
  <si>
    <t xml:space="preserve"> Fluroanthene</t>
  </si>
  <si>
    <t xml:space="preserve"> Methanol</t>
  </si>
  <si>
    <t xml:space="preserve"> Methylene Chloride</t>
  </si>
  <si>
    <t xml:space="preserve"> n-Hexane</t>
  </si>
  <si>
    <t xml:space="preserve"> Naphthalene</t>
  </si>
  <si>
    <t xml:space="preserve"> Phenanthrene</t>
  </si>
  <si>
    <t xml:space="preserve"> Phenol</t>
  </si>
  <si>
    <t xml:space="preserve"> Pyrene</t>
  </si>
  <si>
    <t xml:space="preserve"> Styrene</t>
  </si>
  <si>
    <t xml:space="preserve"> Tetrachloroethane</t>
  </si>
  <si>
    <t xml:space="preserve"> Toluene</t>
  </si>
  <si>
    <t xml:space="preserve"> Vinyl Chloride</t>
  </si>
  <si>
    <t xml:space="preserve"> Xylene</t>
  </si>
  <si>
    <t xml:space="preserve"> Benzo(g,h,i)perylene</t>
  </si>
  <si>
    <t>Other HAPS</t>
  </si>
  <si>
    <t xml:space="preserve"> Benzo(b)fluoranthene</t>
  </si>
  <si>
    <t xml:space="preserve"> Fluorene</t>
  </si>
  <si>
    <t>Oil and gas wells producing</t>
  </si>
  <si>
    <t>AP-42</t>
  </si>
  <si>
    <t>Acetaldehyde</t>
  </si>
  <si>
    <t>Acrolein</t>
  </si>
  <si>
    <t>1,3-Butadiene</t>
  </si>
  <si>
    <t>Hexane</t>
  </si>
  <si>
    <t>NAPHTHALENE</t>
  </si>
  <si>
    <t xml:space="preserve">Grand (lbs/yr) </t>
  </si>
  <si>
    <t>San Juan (lbs/year)</t>
  </si>
  <si>
    <t>Assumptions for all Alternatives</t>
  </si>
  <si>
    <t>Heavy Equipment Fugitive Dust</t>
  </si>
  <si>
    <t>Moab</t>
  </si>
  <si>
    <t>Units</t>
  </si>
  <si>
    <t>Period of Operations</t>
  </si>
  <si>
    <t>days</t>
  </si>
  <si>
    <t>DRMP assumption</t>
  </si>
  <si>
    <t>Disturbed Area - Resource Roads</t>
  </si>
  <si>
    <t>From field offices via Lisa Bryant. Email 5/13/2008</t>
  </si>
  <si>
    <t>Disturbed Area - Well Pad</t>
  </si>
  <si>
    <t>Control Efficiency - Watering</t>
  </si>
  <si>
    <t>TSP Emission Factor</t>
  </si>
  <si>
    <t>Conversion factor for TSP to PM-10</t>
  </si>
  <si>
    <t>BLM 2003x</t>
  </si>
  <si>
    <t>Conversion factor for PM-10 to PM2.5</t>
  </si>
  <si>
    <t>BLM, 2003x</t>
  </si>
  <si>
    <t>Commuting Vehicles Fugitive Dust</t>
  </si>
  <si>
    <t>Notes</t>
  </si>
  <si>
    <t>PM10 k</t>
  </si>
  <si>
    <t>PM10 a</t>
  </si>
  <si>
    <t>PM10 b</t>
  </si>
  <si>
    <t>PM2.5 k</t>
  </si>
  <si>
    <t>PM2.5 a</t>
  </si>
  <si>
    <t>PM2.5 b</t>
  </si>
  <si>
    <t>Surface Material Silt Content</t>
  </si>
  <si>
    <t>%</t>
  </si>
  <si>
    <t>Previous default value used (Trinity, 2003a)</t>
  </si>
  <si>
    <t>Surface Material Moisture Content</t>
  </si>
  <si>
    <t>default value from AP-42, section 13.2.2</t>
  </si>
  <si>
    <t>Note a; = 50%/2</t>
  </si>
  <si>
    <t>Control Efficiency - Graveling</t>
  </si>
  <si>
    <t>Seladcek, 2004</t>
  </si>
  <si>
    <t>Percent of Roads Watered</t>
  </si>
  <si>
    <t>BLM, 2004x</t>
  </si>
  <si>
    <t>Percent of roads Graveled</t>
  </si>
  <si>
    <t>Percent not treated</t>
  </si>
  <si>
    <t>Round Trip Distance</t>
  </si>
  <si>
    <t>a - 50% control of dust from watering from Control of Open Fugitive Dust Sources, EPA-450/3-88-008 by</t>
  </si>
  <si>
    <t xml:space="preserve">    C. Cowherd, et al., Midwest Research Institute, 425 Volker Boulevard, Kansas City, MO 64110, </t>
  </si>
  <si>
    <t xml:space="preserve">    as quoted in Montana Oil and Gas FEIS, Technical Support Document, table APP_a21.  Value of 25%</t>
  </si>
  <si>
    <t xml:space="preserve">    reflects once daily watering.</t>
  </si>
  <si>
    <t>Moab/Monticello Construction vehicle traffic</t>
  </si>
  <si>
    <t>Vehicle Type</t>
  </si>
  <si>
    <t>Av. Vehicle Weight (lb)</t>
  </si>
  <si>
    <t>Round Trip Distance (mi)</t>
  </si>
  <si>
    <t xml:space="preserve">Total Miles Traveled 
</t>
  </si>
  <si>
    <t>Uncontrolled Em. Factor (lb/VMT)</t>
  </si>
  <si>
    <t>Emissions (lb/well pad or road)c</t>
  </si>
  <si>
    <t>Diesel Low-Boy Equip. Hauler</t>
  </si>
  <si>
    <t>Diesel Gravel Hauler</t>
  </si>
  <si>
    <t>Diesel Fuel Tanker</t>
  </si>
  <si>
    <t>Diesel Watering Truck</t>
  </si>
  <si>
    <t>Diesel Workers Pick-up Truck</t>
  </si>
  <si>
    <t>Diesel Bit Delivery Hauler</t>
  </si>
  <si>
    <t>Diesel Cementer Truck</t>
  </si>
  <si>
    <t>Diesel Completion Rig</t>
  </si>
  <si>
    <t>Diesel Logging Truck</t>
  </si>
  <si>
    <t>Diesel Low-Boy Casing Hauler</t>
  </si>
  <si>
    <t>Diesel Mud Truck</t>
  </si>
  <si>
    <t>Diesel Pumper Truck</t>
  </si>
  <si>
    <t>a - Adjustment to account for 10% of pads with 2 wells</t>
  </si>
  <si>
    <t>b - Total number of trips split between activities based on 3 days for pad development and 2 days for access road.</t>
  </si>
  <si>
    <t>c = (Emission factor * Miles traveled)*(% roads untreated) + (EF * miles)*(% roads watered)*(CE water) + (EF * miles)*(% roads graveled)*(CE graveling)</t>
  </si>
  <si>
    <t>d = (lb/well or road) * (total # of wells)/2000</t>
  </si>
  <si>
    <r>
      <t xml:space="preserve">EPA, </t>
    </r>
    <r>
      <rPr>
        <i/>
        <sz val="10"/>
        <rFont val="Arial"/>
        <family val="2"/>
      </rPr>
      <t>AP-42</t>
    </r>
    <r>
      <rPr>
        <sz val="10"/>
        <rFont val="Arial"/>
        <family val="2"/>
      </rPr>
      <t>, Volume I, Section 13.2.3 Heavy Construction Operations (1/95)</t>
    </r>
  </si>
  <si>
    <r>
      <t>Total Number of Round Trips</t>
    </r>
    <r>
      <rPr>
        <b/>
        <vertAlign val="superscript"/>
        <sz val="10"/>
        <rFont val="Arial"/>
        <family val="2"/>
      </rPr>
      <t>b</t>
    </r>
  </si>
  <si>
    <r>
      <t>PM</t>
    </r>
    <r>
      <rPr>
        <b/>
        <vertAlign val="subscript"/>
        <sz val="10"/>
        <rFont val="Arial"/>
        <family val="2"/>
      </rPr>
      <t>10</t>
    </r>
  </si>
  <si>
    <r>
      <t>PM</t>
    </r>
    <r>
      <rPr>
        <b/>
        <vertAlign val="subscript"/>
        <sz val="10"/>
        <rFont val="Arial"/>
        <family val="2"/>
      </rPr>
      <t>2.5</t>
    </r>
  </si>
  <si>
    <t>FUGITIVE DUST CALCULATIONS FOR MOAB RMP</t>
  </si>
  <si>
    <t>Maximum well pads constructed per year</t>
  </si>
  <si>
    <t>Fugitive Dust Subtotals</t>
  </si>
  <si>
    <t>Calculate Emissions from Construction Activities on resource roads</t>
  </si>
  <si>
    <t>Disturbed area per well (acres)</t>
  </si>
  <si>
    <t>Average number of days to complete</t>
  </si>
  <si>
    <t>MPY # of well pads</t>
  </si>
  <si>
    <t>Total Area disturbed (acres)</t>
  </si>
  <si>
    <t>TSP (lbs/road)</t>
  </si>
  <si>
    <t>PM10 (lbs/road)</t>
  </si>
  <si>
    <t>PM 2.5 (lbs/road)</t>
  </si>
  <si>
    <t>TSP (tons/year)</t>
  </si>
  <si>
    <t>PM10 (tons/year)</t>
  </si>
  <si>
    <t>PM 2.5 (tons/year)</t>
  </si>
  <si>
    <t>Calculate Emissions from Construction Activities on well pads</t>
  </si>
  <si>
    <t>Calculate Vehicle Fugitive Dust</t>
  </si>
  <si>
    <t>PM10 (lbs/well pad or road)</t>
  </si>
  <si>
    <t>PM2.5 (lbs/well pad or road)</t>
  </si>
  <si>
    <t>Emissions PM10 (tons/year)</t>
  </si>
  <si>
    <t>Emissions PM2.5 (tons/year)</t>
  </si>
  <si>
    <t>RFD Area</t>
  </si>
  <si>
    <r>
      <t>Estimated Compressors Necessary</t>
    </r>
    <r>
      <rPr>
        <sz val="8"/>
        <rFont val="Arial"/>
        <family val="2"/>
      </rPr>
      <t>²</t>
    </r>
  </si>
  <si>
    <r>
      <t>Estimated Glycol Dehydrators Necessary</t>
    </r>
    <r>
      <rPr>
        <sz val="8"/>
        <rFont val="Arial"/>
        <family val="2"/>
      </rPr>
      <t>²</t>
    </r>
  </si>
  <si>
    <t>Book Cliffs</t>
  </si>
  <si>
    <t>Greater Cisco Area</t>
  </si>
  <si>
    <t>Roan Cliffs</t>
  </si>
  <si>
    <t>Salt Wash</t>
  </si>
  <si>
    <t>Big Flat – Hatch Point</t>
  </si>
  <si>
    <t>Lisbon Valley</t>
  </si>
  <si>
    <t>Eastern Paradox</t>
  </si>
  <si>
    <t>Total</t>
  </si>
  <si>
    <r>
      <t>Predicted Oil and Gas Wells</t>
    </r>
    <r>
      <rPr>
        <sz val="8"/>
        <rFont val="Arial"/>
        <family val="2"/>
      </rPr>
      <t>¹</t>
    </r>
  </si>
  <si>
    <t>Predicted Producing Oil and Gas Wells</t>
  </si>
  <si>
    <t>Producing Oil and Gas Wells Estimated to Require Flaring</t>
  </si>
  <si>
    <t>Alternative A</t>
  </si>
  <si>
    <t>Alternative B</t>
  </si>
  <si>
    <t>Alternative C</t>
  </si>
  <si>
    <t>Alternative D</t>
  </si>
  <si>
    <t>Predicted Oil and Gas Wells¹</t>
  </si>
  <si>
    <t>Estimated Compressors Necessary²</t>
  </si>
  <si>
    <t>Estimated Glycol Dehydrators Necessary²</t>
  </si>
  <si>
    <t>Total Emissions (t/year)</t>
  </si>
  <si>
    <t>Percent difference from Alt A</t>
  </si>
  <si>
    <t>Emission rate (lbs/hour)</t>
  </si>
  <si>
    <t>Total Grand County</t>
  </si>
  <si>
    <t>Total San Juan County</t>
  </si>
  <si>
    <t>Note: Values in yellow are used in the emissions inventory.</t>
  </si>
  <si>
    <t>Converted to grams/sec</t>
  </si>
  <si>
    <t>Diff from Alt A</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</si>
</sst>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0000_);_(* \(#,##0.0000\);_(* &quot;-&quot;??_);_(@_)"/>
    <numFmt numFmtId="167" formatCode="_(* #,##0.00000_);_(* \(#,##0.00000\);_(* &quot;-&quot;??_);_(@_)"/>
    <numFmt numFmtId="168" formatCode="_(* #,##0.000000_);_(* \(#,##0.000000\);_(* &quot;-&quot;??_);_(@_)"/>
    <numFmt numFmtId="169" formatCode="_(* #,##0.000000_);_(* \(#,##0.000000\);_(*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000000_);_(* \(#,##0.0000000\);_(* &quot;-&quot;??_);_(@_)"/>
    <numFmt numFmtId="175" formatCode="_(* #,##0.0000000_);_(* \(#,##0.0000000\);_(* &quot;-&quot;???????_);_(@_)"/>
    <numFmt numFmtId="176" formatCode="0.000E+00"/>
    <numFmt numFmtId="177" formatCode="0.0000E+00"/>
    <numFmt numFmtId="178" formatCode="0.000"/>
    <numFmt numFmtId="179" formatCode="0.0000"/>
    <numFmt numFmtId="180" formatCode="0.0"/>
    <numFmt numFmtId="181" formatCode="_(* #,##0_);_(* \(#,##0\);_(* &quot;-&quot;??_);_(@_)"/>
    <numFmt numFmtId="182" formatCode="0.0%"/>
    <numFmt numFmtId="183" formatCode="0.000%"/>
    <numFmt numFmtId="184" formatCode="0.0000%"/>
    <numFmt numFmtId="185" formatCode="#,##0.0"/>
    <numFmt numFmtId="186" formatCode="#,##0.000"/>
    <numFmt numFmtId="187" formatCode="0.0E+00"/>
    <numFmt numFmtId="188" formatCode="0.000000"/>
    <numFmt numFmtId="189" formatCode="0.00000"/>
    <numFmt numFmtId="190" formatCode="0.E+00"/>
    <numFmt numFmtId="191" formatCode="0E+00"/>
    <numFmt numFmtId="192" formatCode="0.000000000"/>
    <numFmt numFmtId="193" formatCode="0.0000000000"/>
    <numFmt numFmtId="194" formatCode="0.00000000000"/>
    <numFmt numFmtId="195" formatCode="0.00000000"/>
    <numFmt numFmtId="196" formatCode="0.0000000"/>
    <numFmt numFmtId="197" formatCode="#,##0.0000"/>
    <numFmt numFmtId="198" formatCode="#,##0.00000"/>
    <numFmt numFmtId="199" formatCode="#,##0.000000"/>
    <numFmt numFmtId="200" formatCode="0.000_)"/>
    <numFmt numFmtId="201" formatCode="#,##0.0_);\(#,##0.0\)"/>
    <numFmt numFmtId="202" formatCode="_(* #,##0.0_);_(* \(#,##0.0\);_(* &quot;-&quot;?_);_(@_)"/>
  </numFmts>
  <fonts count="18">
    <font>
      <sz val="10"/>
      <name val="Arial"/>
      <family val="0"/>
    </font>
    <font>
      <sz val="8"/>
      <name val="Arial"/>
      <family val="0"/>
    </font>
    <font>
      <sz val="8"/>
      <name val="Tahoma"/>
      <family val="0"/>
    </font>
    <font>
      <b/>
      <sz val="8"/>
      <name val="Tahoma"/>
      <family val="0"/>
    </font>
    <font>
      <b/>
      <sz val="10"/>
      <name val="Arial"/>
      <family val="2"/>
    </font>
    <font>
      <i/>
      <sz val="10"/>
      <name val="Arial"/>
      <family val="2"/>
    </font>
    <font>
      <sz val="10"/>
      <name val="Times New Roman"/>
      <family val="1"/>
    </font>
    <font>
      <vertAlign val="superscript"/>
      <sz val="10"/>
      <name val="Times New Roman"/>
      <family val="1"/>
    </font>
    <font>
      <vertAlign val="subscript"/>
      <sz val="10"/>
      <name val="Times New Roman"/>
      <family val="1"/>
    </font>
    <font>
      <u val="single"/>
      <sz val="10"/>
      <color indexed="12"/>
      <name val="Arial"/>
      <family val="0"/>
    </font>
    <font>
      <u val="single"/>
      <sz val="10"/>
      <color indexed="36"/>
      <name val="Arial"/>
      <family val="0"/>
    </font>
    <font>
      <sz val="11"/>
      <name val="Arial"/>
      <family val="0"/>
    </font>
    <font>
      <b/>
      <sz val="9"/>
      <name val="Arial"/>
      <family val="2"/>
    </font>
    <font>
      <b/>
      <sz val="11"/>
      <name val="Arial"/>
      <family val="2"/>
    </font>
    <font>
      <b/>
      <vertAlign val="superscript"/>
      <sz val="10"/>
      <name val="Arial"/>
      <family val="2"/>
    </font>
    <font>
      <b/>
      <vertAlign val="subscript"/>
      <sz val="10"/>
      <name val="Arial"/>
      <family val="2"/>
    </font>
    <font>
      <vertAlign val="superscript"/>
      <sz val="10"/>
      <name val="Arial"/>
      <family val="2"/>
    </font>
    <font>
      <b/>
      <sz val="8"/>
      <name val="Arial"/>
      <family val="2"/>
    </font>
  </fonts>
  <fills count="8">
    <fill>
      <patternFill/>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indexed="13"/>
        <bgColor indexed="64"/>
      </patternFill>
    </fill>
  </fills>
  <borders count="39">
    <border>
      <left/>
      <right/>
      <top/>
      <bottom/>
      <diagonal/>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color indexed="63"/>
      </left>
      <right style="thin"/>
      <top style="medium"/>
      <bottom style="thin"/>
    </border>
    <border>
      <left>
        <color indexed="63"/>
      </left>
      <right style="thin"/>
      <top style="thin"/>
      <bottom style="thin"/>
    </border>
    <border>
      <left style="medium"/>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11" fillId="0" borderId="0">
      <alignment/>
      <protection/>
    </xf>
    <xf numFmtId="9" fontId="0" fillId="0" borderId="0" applyFont="0" applyFill="0" applyBorder="0" applyAlignment="0" applyProtection="0"/>
  </cellStyleXfs>
  <cellXfs count="33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2" borderId="2" xfId="0" applyFill="1" applyBorder="1" applyAlignment="1">
      <alignment/>
    </xf>
    <xf numFmtId="0" fontId="4" fillId="2" borderId="6" xfId="0" applyFont="1" applyFill="1" applyBorder="1" applyAlignment="1">
      <alignment/>
    </xf>
    <xf numFmtId="0" fontId="4" fillId="3" borderId="0" xfId="0" applyFont="1" applyFill="1" applyAlignment="1">
      <alignment/>
    </xf>
    <xf numFmtId="0" fontId="0" fillId="3" borderId="0" xfId="0" applyFill="1" applyAlignment="1">
      <alignment/>
    </xf>
    <xf numFmtId="0" fontId="4" fillId="3" borderId="6" xfId="0" applyFont="1" applyFill="1" applyBorder="1" applyAlignment="1">
      <alignment/>
    </xf>
    <xf numFmtId="0" fontId="0" fillId="3" borderId="2" xfId="0" applyFill="1" applyBorder="1" applyAlignment="1">
      <alignment/>
    </xf>
    <xf numFmtId="0" fontId="4" fillId="2" borderId="7" xfId="0" applyFont="1" applyFill="1" applyBorder="1" applyAlignment="1">
      <alignment/>
    </xf>
    <xf numFmtId="0" fontId="0" fillId="0" borderId="8" xfId="0" applyBorder="1" applyAlignment="1">
      <alignment/>
    </xf>
    <xf numFmtId="0" fontId="0" fillId="0" borderId="9" xfId="0"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0" fillId="2" borderId="12" xfId="0" applyFill="1" applyBorder="1" applyAlignment="1">
      <alignment/>
    </xf>
    <xf numFmtId="0" fontId="0" fillId="4" borderId="0" xfId="0" applyFill="1" applyAlignment="1">
      <alignment/>
    </xf>
    <xf numFmtId="0" fontId="0" fillId="4" borderId="13" xfId="0" applyFill="1" applyBorder="1" applyAlignment="1">
      <alignment/>
    </xf>
    <xf numFmtId="0" fontId="0" fillId="4" borderId="14" xfId="0" applyFill="1" applyBorder="1" applyAlignment="1">
      <alignment/>
    </xf>
    <xf numFmtId="0" fontId="0" fillId="4" borderId="0"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15"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1" xfId="0" applyFont="1" applyFill="1" applyBorder="1" applyAlignment="1">
      <alignment/>
    </xf>
    <xf numFmtId="0" fontId="6" fillId="0" borderId="3" xfId="0" applyFont="1" applyBorder="1" applyAlignment="1">
      <alignment/>
    </xf>
    <xf numFmtId="4" fontId="0" fillId="0" borderId="0" xfId="0" applyNumberFormat="1" applyAlignment="1">
      <alignment/>
    </xf>
    <xf numFmtId="0" fontId="5" fillId="0" borderId="1" xfId="0" applyFont="1" applyBorder="1" applyAlignment="1">
      <alignment/>
    </xf>
    <xf numFmtId="0" fontId="5" fillId="0" borderId="14" xfId="0" applyFont="1" applyBorder="1" applyAlignment="1">
      <alignment/>
    </xf>
    <xf numFmtId="0" fontId="0" fillId="0" borderId="1" xfId="0" applyFill="1" applyBorder="1" applyAlignment="1">
      <alignment/>
    </xf>
    <xf numFmtId="0" fontId="9" fillId="0" borderId="0" xfId="20" applyAlignment="1">
      <alignment/>
    </xf>
    <xf numFmtId="0" fontId="0" fillId="0" borderId="14" xfId="0" applyFill="1" applyBorder="1" applyAlignment="1">
      <alignment/>
    </xf>
    <xf numFmtId="0" fontId="0" fillId="0" borderId="0" xfId="0" applyFill="1" applyBorder="1" applyAlignment="1">
      <alignment/>
    </xf>
    <xf numFmtId="0" fontId="0" fillId="0" borderId="0" xfId="0" applyAlignment="1">
      <alignment wrapText="1"/>
    </xf>
    <xf numFmtId="9" fontId="0" fillId="0" borderId="1" xfId="23" applyBorder="1" applyAlignment="1">
      <alignment/>
    </xf>
    <xf numFmtId="9" fontId="0" fillId="0" borderId="4" xfId="23" applyBorder="1" applyAlignment="1">
      <alignment/>
    </xf>
    <xf numFmtId="9" fontId="0" fillId="0" borderId="14" xfId="23" applyBorder="1" applyAlignment="1">
      <alignment/>
    </xf>
    <xf numFmtId="9" fontId="0" fillId="0" borderId="16" xfId="23" applyBorder="1" applyAlignment="1">
      <alignment/>
    </xf>
    <xf numFmtId="0" fontId="0" fillId="0" borderId="0" xfId="0" applyBorder="1" applyAlignment="1">
      <alignment/>
    </xf>
    <xf numFmtId="0" fontId="0" fillId="3" borderId="15" xfId="0" applyFill="1" applyBorder="1" applyAlignment="1">
      <alignment/>
    </xf>
    <xf numFmtId="11" fontId="0" fillId="0" borderId="1" xfId="0" applyNumberFormat="1" applyFill="1" applyBorder="1" applyAlignment="1">
      <alignment/>
    </xf>
    <xf numFmtId="11" fontId="0" fillId="0" borderId="1" xfId="0" applyNumberFormat="1" applyBorder="1" applyAlignment="1">
      <alignment/>
    </xf>
    <xf numFmtId="11" fontId="0" fillId="0" borderId="20" xfId="0" applyNumberFormat="1" applyBorder="1" applyAlignment="1">
      <alignment/>
    </xf>
    <xf numFmtId="0" fontId="5" fillId="0" borderId="21" xfId="0" applyFont="1" applyBorder="1" applyAlignment="1">
      <alignment horizontal="right"/>
    </xf>
    <xf numFmtId="11" fontId="0" fillId="0" borderId="14" xfId="0" applyNumberForma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 fillId="3" borderId="25" xfId="0" applyFont="1" applyFill="1" applyBorder="1" applyAlignment="1">
      <alignment/>
    </xf>
    <xf numFmtId="0" fontId="4" fillId="3" borderId="26" xfId="0" applyFont="1" applyFill="1" applyBorder="1" applyAlignment="1">
      <alignment/>
    </xf>
    <xf numFmtId="0" fontId="0" fillId="3" borderId="27" xfId="0" applyFill="1" applyBorder="1" applyAlignment="1">
      <alignment/>
    </xf>
    <xf numFmtId="184" fontId="0" fillId="4" borderId="0" xfId="23" applyNumberFormat="1" applyFill="1" applyAlignment="1">
      <alignment/>
    </xf>
    <xf numFmtId="0" fontId="5" fillId="0" borderId="0" xfId="0" applyFont="1" applyAlignment="1">
      <alignment horizontal="right"/>
    </xf>
    <xf numFmtId="0" fontId="0" fillId="4" borderId="0" xfId="0" applyFill="1" applyAlignment="1">
      <alignment wrapText="1"/>
    </xf>
    <xf numFmtId="0" fontId="5" fillId="4" borderId="0" xfId="0" applyFont="1" applyFill="1" applyBorder="1" applyAlignment="1">
      <alignment/>
    </xf>
    <xf numFmtId="0" fontId="0" fillId="4" borderId="20" xfId="0" applyFill="1" applyBorder="1" applyAlignment="1">
      <alignment/>
    </xf>
    <xf numFmtId="0" fontId="0" fillId="4" borderId="28" xfId="0" applyFill="1" applyBorder="1" applyAlignment="1">
      <alignment/>
    </xf>
    <xf numFmtId="43" fontId="5" fillId="0" borderId="21" xfId="0" applyNumberFormat="1" applyFont="1" applyBorder="1" applyAlignment="1">
      <alignment horizontal="right"/>
    </xf>
    <xf numFmtId="43" fontId="5" fillId="0" borderId="29" xfId="0" applyNumberFormat="1" applyFont="1" applyBorder="1" applyAlignment="1">
      <alignment horizontal="right"/>
    </xf>
    <xf numFmtId="0" fontId="5" fillId="0" borderId="1" xfId="0" applyFont="1" applyBorder="1" applyAlignment="1">
      <alignment horizontal="right"/>
    </xf>
    <xf numFmtId="0" fontId="0" fillId="4" borderId="30" xfId="0" applyFill="1" applyBorder="1" applyAlignment="1">
      <alignment/>
    </xf>
    <xf numFmtId="0" fontId="0" fillId="4" borderId="31" xfId="0" applyFill="1" applyBorder="1" applyAlignment="1">
      <alignment/>
    </xf>
    <xf numFmtId="0" fontId="5" fillId="0" borderId="20" xfId="0" applyFont="1" applyBorder="1" applyAlignment="1">
      <alignment/>
    </xf>
    <xf numFmtId="0" fontId="5" fillId="4" borderId="14" xfId="0" applyFont="1" applyFill="1" applyBorder="1" applyAlignment="1">
      <alignment/>
    </xf>
    <xf numFmtId="0" fontId="4" fillId="4" borderId="0" xfId="22" applyFont="1" applyFill="1">
      <alignment/>
      <protection/>
    </xf>
    <xf numFmtId="0" fontId="11" fillId="4" borderId="0" xfId="22" applyFill="1">
      <alignment/>
      <protection/>
    </xf>
    <xf numFmtId="0" fontId="11" fillId="0" borderId="0" xfId="22">
      <alignment/>
      <protection/>
    </xf>
    <xf numFmtId="0" fontId="4" fillId="2" borderId="32" xfId="22" applyFont="1" applyFill="1" applyBorder="1" applyAlignment="1">
      <alignment horizontal="right"/>
      <protection/>
    </xf>
    <xf numFmtId="0" fontId="11" fillId="2" borderId="33" xfId="22" applyFill="1" applyBorder="1">
      <alignment/>
      <protection/>
    </xf>
    <xf numFmtId="0" fontId="11" fillId="4" borderId="33" xfId="22" applyFill="1" applyBorder="1">
      <alignment/>
      <protection/>
    </xf>
    <xf numFmtId="0" fontId="11" fillId="4" borderId="34" xfId="22" applyFill="1" applyBorder="1">
      <alignment/>
      <protection/>
    </xf>
    <xf numFmtId="0" fontId="11" fillId="4" borderId="0" xfId="22" applyFill="1" applyBorder="1">
      <alignment/>
      <protection/>
    </xf>
    <xf numFmtId="0" fontId="11" fillId="4" borderId="30" xfId="22" applyFill="1" applyBorder="1">
      <alignment/>
      <protection/>
    </xf>
    <xf numFmtId="0" fontId="4" fillId="4" borderId="0" xfId="22" applyFont="1" applyFill="1" applyBorder="1" applyAlignment="1">
      <alignment horizontal="center"/>
      <protection/>
    </xf>
    <xf numFmtId="0" fontId="11" fillId="4" borderId="13" xfId="22" applyFill="1" applyBorder="1">
      <alignment/>
      <protection/>
    </xf>
    <xf numFmtId="0" fontId="11" fillId="4" borderId="30" xfId="22" applyFill="1" applyBorder="1" applyAlignment="1">
      <alignment horizontal="right"/>
      <protection/>
    </xf>
    <xf numFmtId="0" fontId="11" fillId="4" borderId="0" xfId="22" applyFill="1" applyBorder="1" applyAlignment="1">
      <alignment horizontal="center"/>
      <protection/>
    </xf>
    <xf numFmtId="0" fontId="11" fillId="4" borderId="0" xfId="22" applyFill="1" applyBorder="1" applyAlignment="1">
      <alignment horizontal="left"/>
      <protection/>
    </xf>
    <xf numFmtId="0" fontId="0" fillId="4" borderId="0" xfId="22" applyFont="1" applyFill="1" applyBorder="1" applyAlignment="1">
      <alignment horizontal="center"/>
      <protection/>
    </xf>
    <xf numFmtId="0" fontId="0" fillId="4" borderId="30" xfId="22" applyFont="1" applyFill="1" applyBorder="1" applyAlignment="1">
      <alignment horizontal="right" vertical="center"/>
      <protection/>
    </xf>
    <xf numFmtId="0" fontId="0" fillId="4" borderId="0" xfId="22" applyFont="1" applyFill="1" applyBorder="1" applyAlignment="1">
      <alignment horizontal="center" vertical="center"/>
      <protection/>
    </xf>
    <xf numFmtId="0" fontId="0" fillId="4" borderId="0" xfId="22" applyFont="1" applyFill="1" applyBorder="1" applyAlignment="1">
      <alignment vertical="center" wrapText="1"/>
      <protection/>
    </xf>
    <xf numFmtId="0" fontId="0" fillId="4" borderId="31" xfId="22" applyFont="1" applyFill="1" applyBorder="1" applyAlignment="1">
      <alignment horizontal="right" vertical="center"/>
      <protection/>
    </xf>
    <xf numFmtId="0" fontId="0" fillId="4" borderId="35" xfId="22" applyFont="1" applyFill="1" applyBorder="1" applyAlignment="1">
      <alignment horizontal="center" vertical="center"/>
      <protection/>
    </xf>
    <xf numFmtId="0" fontId="11" fillId="4" borderId="35" xfId="22" applyFill="1" applyBorder="1" applyAlignment="1">
      <alignment horizontal="center"/>
      <protection/>
    </xf>
    <xf numFmtId="0" fontId="0" fillId="4" borderId="35" xfId="22" applyFont="1" applyFill="1" applyBorder="1" applyAlignment="1">
      <alignment vertical="center" wrapText="1"/>
      <protection/>
    </xf>
    <xf numFmtId="0" fontId="11" fillId="4" borderId="35" xfId="22" applyFill="1" applyBorder="1">
      <alignment/>
      <protection/>
    </xf>
    <xf numFmtId="0" fontId="11" fillId="4" borderId="36" xfId="22" applyFill="1" applyBorder="1">
      <alignment/>
      <protection/>
    </xf>
    <xf numFmtId="0" fontId="11" fillId="2" borderId="6" xfId="22" applyFill="1" applyBorder="1">
      <alignment/>
      <protection/>
    </xf>
    <xf numFmtId="0" fontId="4" fillId="2" borderId="2" xfId="22" applyFont="1" applyFill="1" applyBorder="1" applyAlignment="1">
      <alignment horizontal="center"/>
      <protection/>
    </xf>
    <xf numFmtId="0" fontId="11" fillId="2" borderId="2" xfId="22" applyFill="1" applyBorder="1">
      <alignment/>
      <protection/>
    </xf>
    <xf numFmtId="0" fontId="11" fillId="2" borderId="15" xfId="22" applyFill="1" applyBorder="1">
      <alignment/>
      <protection/>
    </xf>
    <xf numFmtId="0" fontId="11" fillId="4" borderId="3" xfId="22" applyFill="1" applyBorder="1" applyAlignment="1">
      <alignment horizontal="right"/>
      <protection/>
    </xf>
    <xf numFmtId="0" fontId="0" fillId="4" borderId="1" xfId="21" applyFont="1" applyFill="1" applyBorder="1" applyAlignment="1">
      <alignment horizontal="center" vertical="center"/>
      <protection/>
    </xf>
    <xf numFmtId="0" fontId="4" fillId="4" borderId="1" xfId="22" applyFont="1" applyFill="1" applyBorder="1" applyAlignment="1">
      <alignment horizontal="center"/>
      <protection/>
    </xf>
    <xf numFmtId="0" fontId="11" fillId="4" borderId="1" xfId="22" applyFill="1" applyBorder="1">
      <alignment/>
      <protection/>
    </xf>
    <xf numFmtId="0" fontId="11" fillId="4" borderId="4" xfId="22" applyFill="1" applyBorder="1">
      <alignment/>
      <protection/>
    </xf>
    <xf numFmtId="0" fontId="0" fillId="4" borderId="1" xfId="22" applyFont="1" applyFill="1" applyBorder="1" applyAlignment="1">
      <alignment horizontal="center"/>
      <protection/>
    </xf>
    <xf numFmtId="0" fontId="11" fillId="4" borderId="1" xfId="22" applyFill="1" applyBorder="1" applyAlignment="1">
      <alignment horizontal="center"/>
      <protection/>
    </xf>
    <xf numFmtId="0" fontId="11" fillId="4" borderId="1" xfId="22" applyFill="1" applyBorder="1" applyAlignment="1">
      <alignment horizontal="left"/>
      <protection/>
    </xf>
    <xf numFmtId="9" fontId="0" fillId="4" borderId="1" xfId="23" applyFont="1" applyFill="1" applyBorder="1" applyAlignment="1">
      <alignment horizontal="center"/>
    </xf>
    <xf numFmtId="0" fontId="11" fillId="4" borderId="5" xfId="22" applyFill="1" applyBorder="1" applyAlignment="1">
      <alignment horizontal="right"/>
      <protection/>
    </xf>
    <xf numFmtId="0" fontId="0" fillId="4" borderId="14" xfId="22" applyFont="1" applyFill="1" applyBorder="1" applyAlignment="1">
      <alignment horizontal="center"/>
      <protection/>
    </xf>
    <xf numFmtId="0" fontId="11" fillId="4" borderId="14" xfId="22" applyFill="1" applyBorder="1" applyAlignment="1">
      <alignment horizontal="center"/>
      <protection/>
    </xf>
    <xf numFmtId="0" fontId="11" fillId="4" borderId="14" xfId="22" applyFill="1" applyBorder="1" applyAlignment="1">
      <alignment horizontal="left"/>
      <protection/>
    </xf>
    <xf numFmtId="0" fontId="11" fillId="4" borderId="14" xfId="22" applyFill="1" applyBorder="1">
      <alignment/>
      <protection/>
    </xf>
    <xf numFmtId="0" fontId="11" fillId="4" borderId="16" xfId="22" applyFill="1" applyBorder="1">
      <alignment/>
      <protection/>
    </xf>
    <xf numFmtId="0" fontId="12" fillId="4" borderId="0" xfId="22" applyFont="1" applyFill="1" applyBorder="1">
      <alignment/>
      <protection/>
    </xf>
    <xf numFmtId="0" fontId="13" fillId="4" borderId="0" xfId="22" applyFont="1" applyFill="1" applyBorder="1">
      <alignment/>
      <protection/>
    </xf>
    <xf numFmtId="0" fontId="1" fillId="4" borderId="0" xfId="21" applyFont="1" applyFill="1" applyBorder="1" applyAlignment="1">
      <alignment vertical="center"/>
      <protection/>
    </xf>
    <xf numFmtId="0" fontId="1" fillId="4" borderId="0" xfId="21" applyFont="1" applyFill="1" applyBorder="1" applyAlignment="1">
      <alignment horizontal="center" vertical="center"/>
      <protection/>
    </xf>
    <xf numFmtId="0" fontId="0" fillId="4" borderId="0" xfId="21" applyFont="1" applyFill="1" applyBorder="1" applyAlignment="1">
      <alignment vertical="center"/>
      <protection/>
    </xf>
    <xf numFmtId="0" fontId="4" fillId="4" borderId="6" xfId="21" applyFont="1" applyFill="1" applyBorder="1" applyAlignment="1">
      <alignment horizontal="center" vertical="center" wrapText="1"/>
      <protection/>
    </xf>
    <xf numFmtId="0" fontId="4" fillId="4" borderId="2" xfId="21" applyFont="1" applyFill="1" applyBorder="1" applyAlignment="1">
      <alignment horizontal="center" vertical="center" wrapText="1"/>
      <protection/>
    </xf>
    <xf numFmtId="0" fontId="4" fillId="4" borderId="15" xfId="21" applyFont="1" applyFill="1" applyBorder="1" applyAlignment="1">
      <alignment horizontal="center" vertical="center" wrapText="1"/>
      <protection/>
    </xf>
    <xf numFmtId="0" fontId="4" fillId="4" borderId="3" xfId="21" applyFont="1" applyFill="1" applyBorder="1" applyAlignment="1">
      <alignment horizontal="center" vertical="center" wrapText="1"/>
      <protection/>
    </xf>
    <xf numFmtId="0" fontId="4" fillId="4" borderId="1" xfId="21" applyFont="1" applyFill="1" applyBorder="1" applyAlignment="1">
      <alignment horizontal="center" vertical="center" wrapText="1"/>
      <protection/>
    </xf>
    <xf numFmtId="0" fontId="11" fillId="4" borderId="1" xfId="22" applyFill="1" applyBorder="1" applyAlignment="1">
      <alignment horizontal="center" vertical="center" wrapText="1"/>
      <protection/>
    </xf>
    <xf numFmtId="0" fontId="4" fillId="4" borderId="4" xfId="21" applyFont="1" applyFill="1" applyBorder="1" applyAlignment="1">
      <alignment horizontal="center" vertical="center" wrapText="1"/>
      <protection/>
    </xf>
    <xf numFmtId="0" fontId="0" fillId="4" borderId="3" xfId="21" applyFont="1" applyFill="1" applyBorder="1" applyAlignment="1">
      <alignment vertical="center" wrapText="1"/>
      <protection/>
    </xf>
    <xf numFmtId="3" fontId="0" fillId="4" borderId="1" xfId="21" applyNumberFormat="1" applyFont="1" applyFill="1" applyBorder="1" applyAlignment="1">
      <alignment horizontal="center" vertical="center" wrapText="1"/>
      <protection/>
    </xf>
    <xf numFmtId="0" fontId="0" fillId="4" borderId="1" xfId="21" applyFont="1" applyFill="1" applyBorder="1" applyAlignment="1">
      <alignment horizontal="center" vertical="center" wrapText="1"/>
      <protection/>
    </xf>
    <xf numFmtId="185" fontId="0" fillId="4" borderId="1" xfId="21" applyNumberFormat="1" applyFont="1" applyFill="1" applyBorder="1" applyAlignment="1">
      <alignment horizontal="center" vertical="center" wrapText="1"/>
      <protection/>
    </xf>
    <xf numFmtId="2" fontId="0" fillId="4" borderId="1" xfId="21" applyNumberFormat="1" applyFont="1" applyFill="1" applyBorder="1" applyAlignment="1">
      <alignment horizontal="center" vertical="center"/>
      <protection/>
    </xf>
    <xf numFmtId="185" fontId="0" fillId="4" borderId="1" xfId="21" applyNumberFormat="1" applyFont="1" applyFill="1" applyBorder="1" applyAlignment="1">
      <alignment horizontal="center" vertical="center"/>
      <protection/>
    </xf>
    <xf numFmtId="185" fontId="0" fillId="4" borderId="4" xfId="21" applyNumberFormat="1" applyFont="1" applyFill="1" applyBorder="1" applyAlignment="1">
      <alignment horizontal="center" vertical="center"/>
      <protection/>
    </xf>
    <xf numFmtId="0" fontId="0" fillId="4" borderId="1" xfId="21" applyNumberFormat="1" applyFont="1" applyFill="1" applyBorder="1" applyAlignment="1">
      <alignment horizontal="center" vertical="center" wrapText="1"/>
      <protection/>
    </xf>
    <xf numFmtId="0" fontId="0" fillId="4" borderId="5" xfId="21" applyFont="1" applyFill="1" applyBorder="1" applyAlignment="1">
      <alignment vertical="center" wrapText="1"/>
      <protection/>
    </xf>
    <xf numFmtId="3" fontId="0" fillId="4" borderId="14" xfId="21" applyNumberFormat="1" applyFont="1" applyFill="1" applyBorder="1" applyAlignment="1">
      <alignment horizontal="center" vertical="center" wrapText="1"/>
      <protection/>
    </xf>
    <xf numFmtId="0" fontId="0" fillId="4" borderId="14" xfId="21" applyFont="1" applyFill="1" applyBorder="1" applyAlignment="1">
      <alignment horizontal="center" vertical="center" wrapText="1"/>
      <protection/>
    </xf>
    <xf numFmtId="185" fontId="0" fillId="4" borderId="14" xfId="21" applyNumberFormat="1" applyFont="1" applyFill="1" applyBorder="1" applyAlignment="1">
      <alignment horizontal="center" vertical="center" wrapText="1"/>
      <protection/>
    </xf>
    <xf numFmtId="1" fontId="4" fillId="4" borderId="14" xfId="21" applyNumberFormat="1" applyFont="1" applyFill="1" applyBorder="1" applyAlignment="1">
      <alignment horizontal="center" vertical="center"/>
      <protection/>
    </xf>
    <xf numFmtId="1" fontId="4" fillId="4" borderId="16" xfId="21" applyNumberFormat="1" applyFont="1" applyFill="1" applyBorder="1" applyAlignment="1">
      <alignment horizontal="center" vertical="center"/>
      <protection/>
    </xf>
    <xf numFmtId="0" fontId="0" fillId="4" borderId="0" xfId="22" applyFont="1" applyFill="1" applyBorder="1" applyAlignment="1">
      <alignment vertical="center"/>
      <protection/>
    </xf>
    <xf numFmtId="0" fontId="0" fillId="4" borderId="0" xfId="21" applyFont="1" applyFill="1" applyBorder="1" applyAlignment="1">
      <alignment horizontal="center" vertical="center" wrapText="1"/>
      <protection/>
    </xf>
    <xf numFmtId="1" fontId="0" fillId="4" borderId="0" xfId="21" applyNumberFormat="1" applyFont="1" applyFill="1" applyBorder="1" applyAlignment="1">
      <alignment horizontal="center" vertical="center"/>
      <protection/>
    </xf>
    <xf numFmtId="0" fontId="16" fillId="4" borderId="0" xfId="21" applyFont="1" applyFill="1" applyBorder="1" applyAlignment="1">
      <alignment vertical="center"/>
      <protection/>
    </xf>
    <xf numFmtId="0" fontId="4" fillId="4" borderId="0" xfId="21" applyFont="1" applyFill="1" applyBorder="1" applyAlignment="1">
      <alignment vertical="center"/>
      <protection/>
    </xf>
    <xf numFmtId="0" fontId="0" fillId="4" borderId="0" xfId="21" applyFont="1" applyFill="1" applyBorder="1">
      <alignment/>
      <protection/>
    </xf>
    <xf numFmtId="0" fontId="4" fillId="5" borderId="6" xfId="22" applyFont="1" applyFill="1" applyBorder="1">
      <alignment/>
      <protection/>
    </xf>
    <xf numFmtId="0" fontId="13" fillId="5" borderId="2" xfId="22" applyFont="1" applyFill="1" applyBorder="1">
      <alignment/>
      <protection/>
    </xf>
    <xf numFmtId="0" fontId="13" fillId="5" borderId="15" xfId="22" applyFont="1" applyFill="1" applyBorder="1">
      <alignment/>
      <protection/>
    </xf>
    <xf numFmtId="1" fontId="11" fillId="4" borderId="1" xfId="22" applyNumberFormat="1" applyFill="1" applyBorder="1">
      <alignment/>
      <protection/>
    </xf>
    <xf numFmtId="1" fontId="11" fillId="4" borderId="4" xfId="22" applyNumberFormat="1" applyFill="1" applyBorder="1">
      <alignment/>
      <protection/>
    </xf>
    <xf numFmtId="0" fontId="11" fillId="4" borderId="9" xfId="22" applyFill="1" applyBorder="1" applyAlignment="1">
      <alignment horizontal="right"/>
      <protection/>
    </xf>
    <xf numFmtId="1" fontId="11" fillId="4" borderId="20" xfId="22" applyNumberFormat="1" applyFill="1" applyBorder="1">
      <alignment/>
      <protection/>
    </xf>
    <xf numFmtId="1" fontId="11" fillId="4" borderId="28" xfId="22" applyNumberFormat="1" applyFill="1" applyBorder="1">
      <alignment/>
      <protection/>
    </xf>
    <xf numFmtId="0" fontId="13" fillId="6" borderId="6" xfId="22" applyFont="1" applyFill="1" applyBorder="1" applyAlignment="1">
      <alignment horizontal="right"/>
      <protection/>
    </xf>
    <xf numFmtId="0" fontId="13" fillId="6" borderId="2" xfId="22" applyFont="1" applyFill="1" applyBorder="1">
      <alignment/>
      <protection/>
    </xf>
    <xf numFmtId="0" fontId="13" fillId="6" borderId="15" xfId="22" applyFont="1" applyFill="1" applyBorder="1">
      <alignment/>
      <protection/>
    </xf>
    <xf numFmtId="43" fontId="11" fillId="4" borderId="1" xfId="22" applyNumberFormat="1" applyFill="1" applyBorder="1">
      <alignment/>
      <protection/>
    </xf>
    <xf numFmtId="43" fontId="11" fillId="4" borderId="4" xfId="22" applyNumberFormat="1" applyFill="1" applyBorder="1">
      <alignment/>
      <protection/>
    </xf>
    <xf numFmtId="43" fontId="11" fillId="4" borderId="14" xfId="22" applyNumberFormat="1" applyFill="1" applyBorder="1">
      <alignment/>
      <protection/>
    </xf>
    <xf numFmtId="43" fontId="11" fillId="4" borderId="16" xfId="22" applyNumberFormat="1" applyFill="1" applyBorder="1">
      <alignment/>
      <protection/>
    </xf>
    <xf numFmtId="2" fontId="0" fillId="4" borderId="0" xfId="22" applyNumberFormat="1" applyFont="1" applyFill="1" applyBorder="1" applyAlignment="1">
      <alignment horizontal="center" vertical="center" wrapText="1"/>
      <protection/>
    </xf>
    <xf numFmtId="0" fontId="4" fillId="4" borderId="0" xfId="22" applyFont="1" applyFill="1" applyBorder="1" applyAlignment="1">
      <alignment horizontal="center" vertical="center" wrapText="1"/>
      <protection/>
    </xf>
    <xf numFmtId="3" fontId="4" fillId="4" borderId="0" xfId="22" applyNumberFormat="1" applyFont="1" applyFill="1" applyBorder="1" applyAlignment="1">
      <alignment horizontal="center" vertical="center"/>
      <protection/>
    </xf>
    <xf numFmtId="0" fontId="13" fillId="2" borderId="6" xfId="22" applyFont="1" applyFill="1" applyBorder="1">
      <alignment/>
      <protection/>
    </xf>
    <xf numFmtId="2" fontId="0" fillId="4" borderId="1" xfId="22" applyNumberFormat="1" applyFont="1" applyFill="1" applyBorder="1" applyAlignment="1">
      <alignment horizontal="center" vertical="center" wrapText="1"/>
      <protection/>
    </xf>
    <xf numFmtId="2" fontId="0" fillId="4" borderId="4" xfId="22" applyNumberFormat="1" applyFont="1" applyFill="1" applyBorder="1" applyAlignment="1">
      <alignment horizontal="center" vertical="center" wrapText="1"/>
      <protection/>
    </xf>
    <xf numFmtId="0" fontId="0" fillId="4" borderId="1" xfId="22" applyFont="1" applyFill="1" applyBorder="1" applyAlignment="1">
      <alignment horizontal="center" vertical="center" wrapText="1"/>
      <protection/>
    </xf>
    <xf numFmtId="0" fontId="0" fillId="4" borderId="4" xfId="22" applyFont="1" applyFill="1" applyBorder="1" applyAlignment="1">
      <alignment horizontal="center" vertical="center" wrapText="1"/>
      <protection/>
    </xf>
    <xf numFmtId="3" fontId="0" fillId="4" borderId="1" xfId="22" applyNumberFormat="1" applyFont="1" applyFill="1" applyBorder="1" applyAlignment="1">
      <alignment horizontal="center" vertical="center"/>
      <protection/>
    </xf>
    <xf numFmtId="3" fontId="0" fillId="4" borderId="4" xfId="22" applyNumberFormat="1" applyFont="1" applyFill="1" applyBorder="1" applyAlignment="1">
      <alignment horizontal="center" vertical="center"/>
      <protection/>
    </xf>
    <xf numFmtId="3" fontId="0" fillId="4" borderId="1" xfId="22" applyNumberFormat="1" applyFont="1" applyFill="1" applyBorder="1" applyAlignment="1">
      <alignment horizontal="center" vertical="center" wrapText="1"/>
      <protection/>
    </xf>
    <xf numFmtId="3" fontId="0" fillId="4" borderId="4" xfId="22" applyNumberFormat="1" applyFont="1" applyFill="1" applyBorder="1" applyAlignment="1">
      <alignment horizontal="center" vertical="center" wrapText="1"/>
      <protection/>
    </xf>
    <xf numFmtId="3" fontId="0" fillId="4" borderId="14" xfId="22" applyNumberFormat="1" applyFont="1" applyFill="1" applyBorder="1" applyAlignment="1">
      <alignment horizontal="center" vertical="center"/>
      <protection/>
    </xf>
    <xf numFmtId="3" fontId="0" fillId="4" borderId="16" xfId="22" applyNumberFormat="1" applyFont="1" applyFill="1" applyBorder="1" applyAlignment="1">
      <alignment horizontal="center" vertical="center"/>
      <protection/>
    </xf>
    <xf numFmtId="0" fontId="13" fillId="2" borderId="6" xfId="22" applyFont="1" applyFill="1" applyBorder="1" applyAlignment="1">
      <alignment horizontal="left"/>
      <protection/>
    </xf>
    <xf numFmtId="0" fontId="13" fillId="2" borderId="6" xfId="22" applyFont="1" applyFill="1" applyBorder="1" applyAlignment="1">
      <alignment horizontal="right"/>
      <protection/>
    </xf>
    <xf numFmtId="165" fontId="11" fillId="4" borderId="1" xfId="15" applyNumberFormat="1" applyFill="1" applyBorder="1" applyAlignment="1">
      <alignment/>
    </xf>
    <xf numFmtId="165" fontId="11" fillId="4" borderId="4" xfId="15" applyNumberFormat="1" applyFill="1" applyBorder="1" applyAlignment="1">
      <alignment/>
    </xf>
    <xf numFmtId="165" fontId="11" fillId="4" borderId="14" xfId="15" applyNumberFormat="1" applyFill="1" applyBorder="1" applyAlignment="1">
      <alignment/>
    </xf>
    <xf numFmtId="165" fontId="11" fillId="4" borderId="16" xfId="15" applyNumberFormat="1" applyFill="1" applyBorder="1" applyAlignment="1">
      <alignment/>
    </xf>
    <xf numFmtId="0" fontId="0" fillId="4" borderId="0" xfId="0" applyFont="1" applyFill="1" applyAlignment="1">
      <alignment/>
    </xf>
    <xf numFmtId="0" fontId="4" fillId="5" borderId="6" xfId="0" applyFont="1" applyFill="1" applyBorder="1" applyAlignment="1">
      <alignment/>
    </xf>
    <xf numFmtId="0" fontId="0" fillId="5" borderId="2" xfId="0" applyFont="1" applyFill="1" applyBorder="1" applyAlignment="1">
      <alignment/>
    </xf>
    <xf numFmtId="0" fontId="0" fillId="5" borderId="15" xfId="0" applyFont="1" applyFill="1" applyBorder="1" applyAlignment="1">
      <alignment/>
    </xf>
    <xf numFmtId="0" fontId="0" fillId="4" borderId="0" xfId="0" applyFont="1" applyFill="1" applyAlignment="1">
      <alignment/>
    </xf>
    <xf numFmtId="0" fontId="0" fillId="0" borderId="3" xfId="0" applyFont="1" applyBorder="1" applyAlignment="1">
      <alignment/>
    </xf>
    <xf numFmtId="0" fontId="0" fillId="0" borderId="1" xfId="0" applyFont="1" applyBorder="1" applyAlignment="1">
      <alignment/>
    </xf>
    <xf numFmtId="0" fontId="0" fillId="0" borderId="4" xfId="0" applyFont="1" applyBorder="1" applyAlignment="1">
      <alignment/>
    </xf>
    <xf numFmtId="0" fontId="0" fillId="4" borderId="3" xfId="22" applyFont="1" applyFill="1" applyBorder="1" applyAlignment="1">
      <alignment horizontal="left"/>
      <protection/>
    </xf>
    <xf numFmtId="0" fontId="0" fillId="4" borderId="1" xfId="22" applyFont="1" applyFill="1" applyBorder="1">
      <alignment/>
      <protection/>
    </xf>
    <xf numFmtId="0" fontId="0" fillId="4" borderId="4" xfId="22" applyFont="1" applyFill="1" applyBorder="1">
      <alignment/>
      <protection/>
    </xf>
    <xf numFmtId="0" fontId="0" fillId="0" borderId="3" xfId="0" applyFont="1" applyFill="1" applyBorder="1" applyAlignment="1">
      <alignment/>
    </xf>
    <xf numFmtId="1" fontId="0" fillId="0" borderId="1" xfId="0" applyNumberFormat="1" applyFont="1" applyFill="1" applyBorder="1" applyAlignment="1">
      <alignment/>
    </xf>
    <xf numFmtId="1" fontId="0" fillId="0" borderId="4" xfId="0" applyNumberFormat="1" applyFont="1" applyFill="1" applyBorder="1" applyAlignment="1">
      <alignment/>
    </xf>
    <xf numFmtId="0" fontId="0" fillId="0" borderId="1" xfId="0" applyFont="1" applyFill="1" applyBorder="1" applyAlignment="1">
      <alignment/>
    </xf>
    <xf numFmtId="0" fontId="0" fillId="0" borderId="9" xfId="0" applyFont="1" applyFill="1" applyBorder="1" applyAlignment="1">
      <alignment/>
    </xf>
    <xf numFmtId="1" fontId="0" fillId="0" borderId="20" xfId="0" applyNumberFormat="1" applyFont="1" applyFill="1" applyBorder="1" applyAlignment="1">
      <alignment/>
    </xf>
    <xf numFmtId="1" fontId="0" fillId="0" borderId="28" xfId="0" applyNumberFormat="1" applyFont="1" applyFill="1" applyBorder="1" applyAlignment="1">
      <alignment/>
    </xf>
    <xf numFmtId="0" fontId="0" fillId="0" borderId="5" xfId="0" applyFont="1" applyFill="1" applyBorder="1" applyAlignment="1">
      <alignment/>
    </xf>
    <xf numFmtId="0" fontId="0" fillId="0" borderId="14" xfId="0" applyFont="1" applyFill="1" applyBorder="1" applyAlignment="1">
      <alignment/>
    </xf>
    <xf numFmtId="0" fontId="0" fillId="0" borderId="16" xfId="0" applyFont="1" applyFill="1" applyBorder="1" applyAlignment="1">
      <alignment/>
    </xf>
    <xf numFmtId="0" fontId="4" fillId="6" borderId="6" xfId="0" applyFont="1" applyFill="1" applyBorder="1" applyAlignment="1">
      <alignment/>
    </xf>
    <xf numFmtId="0" fontId="0" fillId="6" borderId="2" xfId="0" applyFont="1" applyFill="1" applyBorder="1" applyAlignment="1">
      <alignment/>
    </xf>
    <xf numFmtId="0" fontId="0" fillId="6" borderId="15" xfId="0" applyFont="1" applyFill="1" applyBorder="1" applyAlignment="1">
      <alignment/>
    </xf>
    <xf numFmtId="165" fontId="0" fillId="0" borderId="1" xfId="15" applyNumberFormat="1" applyFont="1" applyBorder="1" applyAlignment="1">
      <alignment/>
    </xf>
    <xf numFmtId="165" fontId="0" fillId="0" borderId="4" xfId="15" applyNumberFormat="1" applyFont="1" applyBorder="1" applyAlignment="1">
      <alignment/>
    </xf>
    <xf numFmtId="43" fontId="5" fillId="0" borderId="9" xfId="0" applyNumberFormat="1" applyFont="1" applyBorder="1" applyAlignment="1">
      <alignment horizontal="right"/>
    </xf>
    <xf numFmtId="165" fontId="0" fillId="0" borderId="1" xfId="15" applyNumberFormat="1" applyFont="1" applyBorder="1" applyAlignment="1">
      <alignment/>
    </xf>
    <xf numFmtId="165" fontId="0" fillId="0" borderId="4" xfId="15" applyNumberFormat="1" applyFont="1" applyBorder="1" applyAlignment="1">
      <alignment/>
    </xf>
    <xf numFmtId="0" fontId="0" fillId="4" borderId="0" xfId="0" applyFont="1" applyFill="1" applyAlignment="1">
      <alignment/>
    </xf>
    <xf numFmtId="43" fontId="5" fillId="0" borderId="5" xfId="0" applyNumberFormat="1" applyFont="1" applyBorder="1" applyAlignment="1">
      <alignment horizontal="right"/>
    </xf>
    <xf numFmtId="165" fontId="0" fillId="0" borderId="14" xfId="15" applyNumberFormat="1" applyFont="1" applyBorder="1" applyAlignment="1">
      <alignment/>
    </xf>
    <xf numFmtId="43" fontId="5" fillId="4" borderId="0" xfId="0" applyNumberFormat="1" applyFont="1" applyFill="1" applyBorder="1" applyAlignment="1">
      <alignment horizontal="right"/>
    </xf>
    <xf numFmtId="43" fontId="0" fillId="4" borderId="0" xfId="15" applyFont="1" applyFill="1" applyBorder="1" applyAlignment="1">
      <alignment/>
    </xf>
    <xf numFmtId="168" fontId="0" fillId="4" borderId="0" xfId="15" applyNumberFormat="1" applyFont="1" applyFill="1" applyAlignment="1">
      <alignment/>
    </xf>
    <xf numFmtId="0" fontId="0" fillId="2" borderId="2" xfId="0" applyFont="1" applyFill="1" applyBorder="1" applyAlignment="1">
      <alignment/>
    </xf>
    <xf numFmtId="0" fontId="0" fillId="2" borderId="15" xfId="0" applyFont="1" applyFill="1" applyBorder="1" applyAlignment="1">
      <alignment/>
    </xf>
    <xf numFmtId="0" fontId="0" fillId="0" borderId="1" xfId="0" applyFont="1" applyBorder="1" applyAlignment="1">
      <alignment/>
    </xf>
    <xf numFmtId="0" fontId="0" fillId="0" borderId="4" xfId="0" applyFont="1" applyBorder="1" applyAlignment="1">
      <alignment/>
    </xf>
    <xf numFmtId="43" fontId="0" fillId="0" borderId="1" xfId="15" applyFont="1" applyBorder="1" applyAlignment="1">
      <alignment/>
    </xf>
    <xf numFmtId="43" fontId="0" fillId="0" borderId="4" xfId="15" applyFont="1" applyBorder="1" applyAlignment="1">
      <alignment/>
    </xf>
    <xf numFmtId="43" fontId="0" fillId="0" borderId="14" xfId="15" applyFont="1" applyBorder="1" applyAlignment="1">
      <alignment/>
    </xf>
    <xf numFmtId="43" fontId="0" fillId="0" borderId="16" xfId="15" applyFont="1" applyBorder="1" applyAlignment="1">
      <alignment/>
    </xf>
    <xf numFmtId="0" fontId="0" fillId="2" borderId="12" xfId="0" applyFont="1" applyFill="1" applyBorder="1" applyAlignment="1">
      <alignment/>
    </xf>
    <xf numFmtId="0" fontId="0" fillId="2" borderId="37" xfId="0" applyFont="1" applyFill="1" applyBorder="1" applyAlignment="1">
      <alignment/>
    </xf>
    <xf numFmtId="0" fontId="0" fillId="4" borderId="0" xfId="0" applyFont="1" applyFill="1" applyBorder="1" applyAlignment="1">
      <alignment/>
    </xf>
    <xf numFmtId="0" fontId="0" fillId="0" borderId="2" xfId="0" applyFont="1" applyBorder="1" applyAlignment="1">
      <alignment/>
    </xf>
    <xf numFmtId="0" fontId="0" fillId="0" borderId="15" xfId="0" applyFont="1" applyBorder="1" applyAlignment="1">
      <alignment/>
    </xf>
    <xf numFmtId="168" fontId="0" fillId="0" borderId="1" xfId="15" applyNumberFormat="1" applyFont="1" applyBorder="1" applyAlignment="1">
      <alignment/>
    </xf>
    <xf numFmtId="168" fontId="0" fillId="0" borderId="20" xfId="15" applyNumberFormat="1" applyFont="1" applyBorder="1" applyAlignment="1">
      <alignment/>
    </xf>
    <xf numFmtId="43" fontId="0" fillId="0" borderId="20" xfId="15" applyFont="1" applyBorder="1" applyAlignment="1">
      <alignment/>
    </xf>
    <xf numFmtId="168" fontId="0" fillId="0" borderId="14" xfId="15" applyNumberFormat="1" applyFont="1" applyBorder="1" applyAlignment="1">
      <alignment/>
    </xf>
    <xf numFmtId="168" fontId="0" fillId="4" borderId="0" xfId="15" applyNumberFormat="1" applyFont="1" applyFill="1" applyBorder="1" applyAlignment="1">
      <alignment/>
    </xf>
    <xf numFmtId="43" fontId="0" fillId="0" borderId="0" xfId="15" applyFont="1" applyBorder="1" applyAlignment="1">
      <alignment/>
    </xf>
    <xf numFmtId="43" fontId="0" fillId="0" borderId="1" xfId="15" applyFont="1" applyFill="1" applyBorder="1" applyAlignment="1">
      <alignment/>
    </xf>
    <xf numFmtId="43" fontId="0" fillId="0" borderId="4" xfId="15" applyFont="1" applyFill="1" applyBorder="1" applyAlignment="1">
      <alignment/>
    </xf>
    <xf numFmtId="168" fontId="0" fillId="0" borderId="1" xfId="15" applyNumberFormat="1"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168" fontId="0" fillId="0" borderId="14" xfId="15" applyNumberFormat="1" applyFont="1" applyFill="1" applyBorder="1" applyAlignment="1">
      <alignment/>
    </xf>
    <xf numFmtId="43" fontId="0" fillId="0" borderId="14" xfId="15" applyFont="1" applyFill="1" applyBorder="1" applyAlignment="1">
      <alignment/>
    </xf>
    <xf numFmtId="43" fontId="0" fillId="0" borderId="16" xfId="15" applyFont="1" applyFill="1" applyBorder="1" applyAlignment="1">
      <alignment/>
    </xf>
    <xf numFmtId="2" fontId="0" fillId="4" borderId="1" xfId="22" applyNumberFormat="1" applyFont="1" applyFill="1" applyBorder="1" applyAlignment="1">
      <alignment horizontal="center" vertical="center" wrapText="1"/>
      <protection/>
    </xf>
    <xf numFmtId="2" fontId="0" fillId="4" borderId="4" xfId="22" applyNumberFormat="1" applyFont="1" applyFill="1" applyBorder="1" applyAlignment="1">
      <alignment horizontal="center" vertical="center" wrapText="1"/>
      <protection/>
    </xf>
    <xf numFmtId="0" fontId="0" fillId="4" borderId="1" xfId="22" applyFont="1" applyFill="1" applyBorder="1" applyAlignment="1">
      <alignment horizontal="center" vertical="center" wrapText="1"/>
      <protection/>
    </xf>
    <xf numFmtId="0" fontId="0" fillId="4" borderId="4" xfId="22" applyFont="1" applyFill="1" applyBorder="1" applyAlignment="1">
      <alignment horizontal="center" vertical="center" wrapText="1"/>
      <protection/>
    </xf>
    <xf numFmtId="3" fontId="0" fillId="4" borderId="1" xfId="22" applyNumberFormat="1" applyFont="1" applyFill="1" applyBorder="1" applyAlignment="1">
      <alignment horizontal="center" vertical="center"/>
      <protection/>
    </xf>
    <xf numFmtId="3" fontId="0" fillId="4" borderId="1" xfId="22" applyNumberFormat="1" applyFont="1" applyFill="1" applyBorder="1" applyAlignment="1">
      <alignment horizontal="center" vertical="center" wrapText="1"/>
      <protection/>
    </xf>
    <xf numFmtId="3" fontId="0" fillId="4" borderId="4" xfId="22" applyNumberFormat="1" applyFont="1" applyFill="1" applyBorder="1" applyAlignment="1">
      <alignment horizontal="center" vertical="center" wrapText="1"/>
      <protection/>
    </xf>
    <xf numFmtId="3" fontId="0" fillId="4" borderId="4" xfId="22" applyNumberFormat="1" applyFont="1" applyFill="1" applyBorder="1" applyAlignment="1">
      <alignment horizontal="center" vertical="center"/>
      <protection/>
    </xf>
    <xf numFmtId="3" fontId="0" fillId="4" borderId="14" xfId="22" applyNumberFormat="1" applyFont="1" applyFill="1" applyBorder="1" applyAlignment="1">
      <alignment horizontal="center" vertical="center"/>
      <protection/>
    </xf>
    <xf numFmtId="3" fontId="0" fillId="4" borderId="16" xfId="22" applyNumberFormat="1" applyFont="1" applyFill="1" applyBorder="1" applyAlignment="1">
      <alignment horizontal="center" vertical="center"/>
      <protection/>
    </xf>
    <xf numFmtId="0" fontId="0" fillId="0" borderId="0" xfId="0" applyFont="1" applyAlignment="1">
      <alignment/>
    </xf>
    <xf numFmtId="0" fontId="4" fillId="2" borderId="6" xfId="22" applyFont="1" applyFill="1" applyBorder="1">
      <alignment/>
      <protection/>
    </xf>
    <xf numFmtId="0" fontId="0" fillId="2" borderId="33" xfId="0" applyFont="1" applyFill="1" applyBorder="1" applyAlignment="1">
      <alignment/>
    </xf>
    <xf numFmtId="0" fontId="0" fillId="2" borderId="34" xfId="0" applyFont="1" applyFill="1" applyBorder="1" applyAlignment="1">
      <alignment/>
    </xf>
    <xf numFmtId="0" fontId="4" fillId="0" borderId="22" xfId="22" applyFont="1" applyFill="1" applyBorder="1">
      <alignment/>
      <protection/>
    </xf>
    <xf numFmtId="0" fontId="0" fillId="0" borderId="2" xfId="0" applyFont="1" applyBorder="1" applyAlignment="1">
      <alignment/>
    </xf>
    <xf numFmtId="0" fontId="0" fillId="0" borderId="15" xfId="0" applyFont="1" applyBorder="1" applyAlignment="1">
      <alignment/>
    </xf>
    <xf numFmtId="0" fontId="0" fillId="4" borderId="3" xfId="22" applyFont="1" applyFill="1" applyBorder="1" applyAlignment="1">
      <alignment horizontal="right"/>
      <protection/>
    </xf>
    <xf numFmtId="0" fontId="0" fillId="4" borderId="5" xfId="22" applyFont="1" applyFill="1" applyBorder="1" applyAlignment="1">
      <alignment horizontal="right"/>
      <protection/>
    </xf>
    <xf numFmtId="0" fontId="0" fillId="4" borderId="0" xfId="22" applyFont="1" applyFill="1">
      <alignment/>
      <protection/>
    </xf>
    <xf numFmtId="0" fontId="4" fillId="2" borderId="6" xfId="22" applyFont="1" applyFill="1" applyBorder="1" applyAlignment="1">
      <alignment horizontal="left"/>
      <protection/>
    </xf>
    <xf numFmtId="0" fontId="4" fillId="0" borderId="22" xfId="22" applyFont="1" applyFill="1" applyBorder="1" applyAlignment="1">
      <alignment horizontal="left"/>
      <protection/>
    </xf>
    <xf numFmtId="0" fontId="4" fillId="2" borderId="6" xfId="22" applyFont="1" applyFill="1" applyBorder="1" applyAlignment="1">
      <alignment horizontal="right"/>
      <protection/>
    </xf>
    <xf numFmtId="0" fontId="4" fillId="0" borderId="22" xfId="22" applyFont="1" applyFill="1" applyBorder="1" applyAlignment="1">
      <alignment horizontal="right"/>
      <protection/>
    </xf>
    <xf numFmtId="1" fontId="0" fillId="4" borderId="1" xfId="22" applyNumberFormat="1" applyFont="1" applyFill="1" applyBorder="1">
      <alignment/>
      <protection/>
    </xf>
    <xf numFmtId="1" fontId="0" fillId="4" borderId="4" xfId="22" applyNumberFormat="1" applyFont="1" applyFill="1" applyBorder="1">
      <alignment/>
      <protection/>
    </xf>
    <xf numFmtId="165" fontId="0" fillId="4" borderId="1" xfId="15" applyNumberFormat="1" applyFont="1" applyFill="1" applyBorder="1" applyAlignment="1">
      <alignment/>
    </xf>
    <xf numFmtId="165" fontId="0" fillId="4" borderId="4" xfId="15" applyNumberFormat="1" applyFont="1" applyFill="1" applyBorder="1" applyAlignment="1">
      <alignment/>
    </xf>
    <xf numFmtId="165" fontId="0" fillId="4" borderId="14" xfId="15" applyNumberFormat="1" applyFont="1" applyFill="1" applyBorder="1" applyAlignment="1">
      <alignment/>
    </xf>
    <xf numFmtId="165" fontId="0" fillId="4" borderId="16" xfId="15" applyNumberFormat="1" applyFont="1" applyFill="1" applyBorder="1" applyAlignment="1">
      <alignment/>
    </xf>
    <xf numFmtId="0" fontId="4" fillId="4" borderId="1" xfId="0" applyFont="1" applyFill="1" applyBorder="1" applyAlignment="1">
      <alignment/>
    </xf>
    <xf numFmtId="0" fontId="0" fillId="4" borderId="1" xfId="0" applyFill="1" applyBorder="1" applyAlignment="1">
      <alignment horizontal="center" wrapText="1"/>
    </xf>
    <xf numFmtId="43" fontId="0" fillId="4" borderId="1" xfId="15" applyFill="1" applyBorder="1" applyAlignment="1">
      <alignment/>
    </xf>
    <xf numFmtId="0" fontId="5" fillId="4" borderId="1" xfId="0" applyFont="1" applyFill="1" applyBorder="1" applyAlignment="1">
      <alignment horizontal="right"/>
    </xf>
    <xf numFmtId="9" fontId="0" fillId="4" borderId="0" xfId="23" applyFill="1" applyBorder="1" applyAlignment="1">
      <alignment/>
    </xf>
    <xf numFmtId="0" fontId="0" fillId="4" borderId="33" xfId="0" applyFill="1" applyBorder="1" applyAlignment="1">
      <alignment/>
    </xf>
    <xf numFmtId="0" fontId="4" fillId="0" borderId="0" xfId="0" applyFont="1" applyAlignment="1">
      <alignment/>
    </xf>
    <xf numFmtId="0" fontId="4" fillId="0" borderId="1" xfId="0" applyFont="1" applyBorder="1" applyAlignment="1">
      <alignment horizontal="center" wrapText="1"/>
    </xf>
    <xf numFmtId="0" fontId="0" fillId="0" borderId="1" xfId="0" applyFont="1" applyBorder="1" applyAlignment="1">
      <alignment vertical="top" wrapText="1"/>
    </xf>
    <xf numFmtId="0" fontId="0" fillId="0" borderId="1" xfId="0" applyFont="1" applyBorder="1" applyAlignment="1">
      <alignment horizontal="right" vertical="top" wrapText="1"/>
    </xf>
    <xf numFmtId="0" fontId="4" fillId="4" borderId="1" xfId="0" applyFont="1" applyFill="1" applyBorder="1" applyAlignment="1">
      <alignment vertical="top" wrapText="1"/>
    </xf>
    <xf numFmtId="0" fontId="4" fillId="4"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20" xfId="0" applyFont="1" applyBorder="1" applyAlignment="1">
      <alignment horizontal="center" wrapText="1"/>
    </xf>
    <xf numFmtId="0" fontId="0" fillId="4" borderId="1" xfId="0" applyFont="1" applyFill="1" applyBorder="1" applyAlignment="1">
      <alignment vertical="top" wrapText="1"/>
    </xf>
    <xf numFmtId="0" fontId="0" fillId="4" borderId="1" xfId="0" applyFont="1" applyFill="1" applyBorder="1" applyAlignment="1">
      <alignment horizontal="right" vertical="top" wrapText="1"/>
    </xf>
    <xf numFmtId="0" fontId="0" fillId="0" borderId="4" xfId="0" applyFont="1" applyFill="1" applyBorder="1" applyAlignment="1">
      <alignment/>
    </xf>
    <xf numFmtId="9" fontId="0" fillId="0" borderId="0" xfId="23" applyAlignment="1">
      <alignment/>
    </xf>
    <xf numFmtId="165" fontId="0" fillId="0" borderId="0" xfId="15" applyNumberFormat="1" applyAlignment="1">
      <alignment/>
    </xf>
    <xf numFmtId="182" fontId="0" fillId="0" borderId="0" xfId="23" applyNumberFormat="1" applyAlignment="1">
      <alignment/>
    </xf>
    <xf numFmtId="181" fontId="0" fillId="0" borderId="0" xfId="15" applyNumberFormat="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181" fontId="0" fillId="0" borderId="1" xfId="15" applyNumberFormat="1" applyFont="1" applyBorder="1" applyAlignment="1">
      <alignment/>
    </xf>
    <xf numFmtId="181" fontId="0" fillId="0" borderId="4" xfId="15" applyNumberFormat="1" applyFont="1" applyBorder="1" applyAlignment="1">
      <alignment/>
    </xf>
    <xf numFmtId="164" fontId="0" fillId="4" borderId="1" xfId="15" applyNumberFormat="1" applyFill="1" applyBorder="1" applyAlignment="1">
      <alignment/>
    </xf>
    <xf numFmtId="166" fontId="0" fillId="4" borderId="1" xfId="15" applyNumberFormat="1" applyFill="1" applyBorder="1" applyAlignment="1">
      <alignment/>
    </xf>
    <xf numFmtId="165" fontId="0" fillId="4" borderId="1" xfId="15" applyNumberFormat="1" applyFill="1" applyBorder="1" applyAlignment="1">
      <alignment/>
    </xf>
    <xf numFmtId="181" fontId="0" fillId="4" borderId="1" xfId="15" applyNumberFormat="1" applyFill="1" applyBorder="1" applyAlignment="1">
      <alignment/>
    </xf>
    <xf numFmtId="184" fontId="0" fillId="0" borderId="1" xfId="23" applyNumberFormat="1" applyBorder="1" applyAlignment="1">
      <alignment/>
    </xf>
    <xf numFmtId="165" fontId="0" fillId="0" borderId="20" xfId="15" applyNumberFormat="1" applyFont="1" applyBorder="1" applyAlignment="1">
      <alignment/>
    </xf>
    <xf numFmtId="0" fontId="0" fillId="7" borderId="1" xfId="0" applyFill="1" applyBorder="1" applyAlignment="1">
      <alignment/>
    </xf>
    <xf numFmtId="11" fontId="0" fillId="7" borderId="1" xfId="0" applyNumberFormat="1" applyFill="1" applyBorder="1" applyAlignment="1">
      <alignment/>
    </xf>
    <xf numFmtId="43" fontId="0" fillId="0" borderId="1" xfId="15" applyNumberFormat="1" applyFont="1" applyBorder="1" applyAlignment="1">
      <alignment/>
    </xf>
    <xf numFmtId="164" fontId="0" fillId="0" borderId="1" xfId="15" applyNumberFormat="1" applyFont="1" applyBorder="1" applyAlignment="1">
      <alignment/>
    </xf>
    <xf numFmtId="166" fontId="0" fillId="0" borderId="1" xfId="15" applyNumberFormat="1" applyFont="1" applyBorder="1" applyAlignment="1">
      <alignment/>
    </xf>
    <xf numFmtId="165" fontId="0" fillId="0" borderId="1" xfId="0" applyNumberFormat="1" applyFont="1" applyBorder="1" applyAlignment="1">
      <alignment/>
    </xf>
    <xf numFmtId="165" fontId="0" fillId="0" borderId="16" xfId="15" applyNumberFormat="1" applyFont="1" applyBorder="1" applyAlignment="1">
      <alignment/>
    </xf>
    <xf numFmtId="43" fontId="0" fillId="0" borderId="4" xfId="15" applyNumberFormat="1" applyFont="1" applyBorder="1" applyAlignment="1">
      <alignment/>
    </xf>
    <xf numFmtId="164" fontId="0" fillId="0" borderId="4" xfId="15" applyNumberFormat="1" applyFont="1" applyBorder="1" applyAlignment="1">
      <alignment/>
    </xf>
    <xf numFmtId="165" fontId="0" fillId="0" borderId="28" xfId="15" applyNumberFormat="1" applyFont="1" applyBorder="1" applyAlignment="1">
      <alignment/>
    </xf>
    <xf numFmtId="180" fontId="0" fillId="0" borderId="0" xfId="0" applyNumberFormat="1" applyAlignment="1">
      <alignment/>
    </xf>
    <xf numFmtId="0" fontId="0" fillId="4" borderId="1" xfId="0" applyFill="1" applyBorder="1" applyAlignment="1">
      <alignment wrapText="1"/>
    </xf>
    <xf numFmtId="179" fontId="0" fillId="4" borderId="1" xfId="15" applyNumberFormat="1" applyFill="1" applyBorder="1" applyAlignment="1">
      <alignment/>
    </xf>
    <xf numFmtId="11" fontId="0" fillId="4" borderId="1" xfId="15" applyNumberFormat="1" applyFill="1" applyBorder="1" applyAlignment="1">
      <alignment/>
    </xf>
    <xf numFmtId="11" fontId="0" fillId="7" borderId="1" xfId="15" applyNumberFormat="1" applyFill="1" applyBorder="1" applyAlignment="1">
      <alignment/>
    </xf>
    <xf numFmtId="43" fontId="5" fillId="4" borderId="1" xfId="15" applyFont="1" applyFill="1" applyBorder="1" applyAlignment="1">
      <alignment horizontal="right"/>
    </xf>
    <xf numFmtId="11" fontId="0" fillId="4" borderId="1" xfId="15" applyNumberFormat="1" applyFont="1" applyFill="1" applyBorder="1" applyAlignment="1">
      <alignment horizontal="right"/>
    </xf>
    <xf numFmtId="0" fontId="0" fillId="7" borderId="0" xfId="0" applyFill="1" applyBorder="1" applyAlignment="1">
      <alignment/>
    </xf>
    <xf numFmtId="0" fontId="4" fillId="7" borderId="0" xfId="0" applyFont="1" applyFill="1" applyAlignment="1">
      <alignment/>
    </xf>
    <xf numFmtId="0" fontId="0" fillId="0" borderId="0" xfId="0" applyFill="1" applyAlignment="1">
      <alignment/>
    </xf>
    <xf numFmtId="0" fontId="0" fillId="0" borderId="18" xfId="0" applyFill="1" applyBorder="1" applyAlignment="1">
      <alignment/>
    </xf>
    <xf numFmtId="0" fontId="0" fillId="0" borderId="8" xfId="0" applyFill="1" applyBorder="1" applyAlignment="1">
      <alignment/>
    </xf>
    <xf numFmtId="0" fontId="5" fillId="0" borderId="1" xfId="0" applyFont="1" applyFill="1" applyBorder="1" applyAlignment="1">
      <alignment horizontal="right"/>
    </xf>
    <xf numFmtId="11" fontId="0" fillId="0" borderId="1" xfId="15" applyNumberFormat="1" applyFill="1" applyBorder="1" applyAlignment="1">
      <alignment/>
    </xf>
    <xf numFmtId="0" fontId="0" fillId="0" borderId="38" xfId="0" applyFont="1" applyFill="1" applyBorder="1" applyAlignment="1">
      <alignment vertical="top" wrapText="1"/>
    </xf>
    <xf numFmtId="0" fontId="5" fillId="4" borderId="0" xfId="22" applyFont="1" applyFill="1" applyBorder="1" applyAlignment="1">
      <alignment horizontal="center"/>
      <protection/>
    </xf>
    <xf numFmtId="0" fontId="0" fillId="4" borderId="0" xfId="22" applyFont="1" applyFill="1" applyBorder="1" applyAlignment="1">
      <alignment horizontal="left" vertical="center" wrapText="1"/>
      <protection/>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APP_A21" xfId="21"/>
    <cellStyle name="Normal_Moab Fugitive Dust Calc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7410450" cy="3209925"/>
    <xdr:sp>
      <xdr:nvSpPr>
        <xdr:cNvPr id="1" name="TextBox 1"/>
        <xdr:cNvSpPr txBox="1">
          <a:spLocks noChangeArrowheads="1"/>
        </xdr:cNvSpPr>
      </xdr:nvSpPr>
      <xdr:spPr>
        <a:xfrm>
          <a:off x="9525" y="9525"/>
          <a:ext cx="7410450" cy="3209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Source: AP-42 Fifth Edition
VOCs have been defined by EPA (40 CFR 51.100, February 3, 1992) as "any compound of carbon, excluding
carbon monoxide, carbon dioxide, carbonic acid, metallic carbides or carbonates, and ammonium
carbonate, which participates in atmospheric chemical reactions". There are a number of compounds
deemed to have "negligible photochemical reactivity", and these are therefore exempt from the
definition of VOC. These exempt compounds include methane, ethane, methylene chloride, methyl
chloroform, many chlorofluorocarbons, and certain classes of perfluorocarbons.
The term "total organic compounds" (TOC) is used in AP-42 to indicate all VOCs and all
exempted organic compounds including methane, ethane, chlorofluorocarbons, toxics and HAPs,
aldehydes, and semivolatile compounds. Component species are separately identified and quantified, if
data are available, and these component species are included in TOCs.
Precursors of the criteria pollutant "ozone" include organic compounds.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nal%20Fugitive%20Dust\Roan%20Fugitive%20Dust%20Calc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B_Coalbedmethane\tsd\APP_A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A - pad&amp;rd const.-fug dust"/>
      <sheetName val="IA-commuting veh-fug dust"/>
      <sheetName val="IB-commuting veh-fug dust"/>
      <sheetName val="IC-commuting veh-fug dust"/>
      <sheetName val="IC-Flaring"/>
      <sheetName val="IIA-commuting veh-fug dust"/>
      <sheetName val="GrandTota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1 Cn_HEq_FDust"/>
      <sheetName val="1112 Cn_HEq_Exh"/>
      <sheetName val="1121 Cn_CV_FDust"/>
      <sheetName val="1122 Cn_CV_Exh"/>
      <sheetName val="121 Op_Comp"/>
      <sheetName val="122 Op_DHyd"/>
      <sheetName val="123 Op_CVisit"/>
      <sheetName val="124 Op_WO"/>
      <sheetName val="125 Op_WVisit"/>
      <sheetName val="131&amp;132 Mt_Rd"/>
      <sheetName val="133 Mt_Comp "/>
      <sheetName val="141 Total by act &amp; pol"/>
      <sheetName val="142 Total by pol &amp; yr"/>
      <sheetName val="Tab41a"/>
      <sheetName val="Tab41c"/>
      <sheetName val="Tab42"/>
      <sheetName val="Alt_Eb"/>
      <sheetName val="143 figure"/>
      <sheetName val="cbm-data"/>
      <sheetName val="data for fig"/>
      <sheetName val="NOx"/>
      <sheetName val="PM10"/>
      <sheetName val="PM2P5"/>
      <sheetName val="SO2"/>
      <sheetName val="CO"/>
      <sheetName val="VOC"/>
      <sheetName val="Em Sum"/>
      <sheetName val="Op_Comp (OLD)"/>
      <sheetName val="Rc_Rd"/>
      <sheetName val="Rc_We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irquality.utah.gov/Planning/Emission-Inventory/2005_State/05_State_List.htm" TargetMode="Externa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C27" sqref="C27"/>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T72"/>
  <sheetViews>
    <sheetView workbookViewId="0" topLeftCell="A1">
      <selection activeCell="C27" sqref="C27"/>
    </sheetView>
  </sheetViews>
  <sheetFormatPr defaultColWidth="9.140625" defaultRowHeight="12.75"/>
  <cols>
    <col min="1" max="1" width="17.8515625" style="0" customWidth="1"/>
    <col min="2" max="2" width="12.00390625" style="0" customWidth="1"/>
    <col min="3" max="3" width="11.8515625" style="0" customWidth="1"/>
    <col min="4" max="5" width="11.57421875" style="0" bestFit="1" customWidth="1"/>
    <col min="6" max="6" width="10.57421875" style="0" bestFit="1" customWidth="1"/>
    <col min="7" max="7" width="10.8515625" style="0" customWidth="1"/>
    <col min="8" max="8" width="12.57421875" style="0" bestFit="1" customWidth="1"/>
    <col min="9" max="9" width="9.7109375" style="0" customWidth="1"/>
    <col min="10" max="10" width="10.28125" style="0" bestFit="1" customWidth="1"/>
    <col min="11" max="11" width="9.28125" style="0" bestFit="1" customWidth="1"/>
    <col min="12" max="12" width="10.28125" style="0" bestFit="1" customWidth="1"/>
  </cols>
  <sheetData>
    <row r="1" spans="1:7" ht="12.75">
      <c r="A1" s="9" t="s">
        <v>23</v>
      </c>
      <c r="B1" s="9"/>
      <c r="C1" s="9"/>
      <c r="D1" s="9"/>
      <c r="E1" s="10"/>
      <c r="F1" s="10"/>
      <c r="G1" s="10"/>
    </row>
    <row r="3" spans="1:15" ht="12.75">
      <c r="A3" s="23"/>
      <c r="B3" s="275" t="s">
        <v>24</v>
      </c>
      <c r="C3" s="23"/>
      <c r="D3" s="23"/>
      <c r="E3" s="23"/>
      <c r="F3" s="23"/>
      <c r="G3" s="275" t="s">
        <v>6</v>
      </c>
      <c r="H3" s="23"/>
      <c r="I3" s="23"/>
      <c r="J3" s="275" t="s">
        <v>25</v>
      </c>
      <c r="K3" s="23"/>
      <c r="L3" s="23"/>
      <c r="N3" t="s">
        <v>103</v>
      </c>
      <c r="O3" t="s">
        <v>104</v>
      </c>
    </row>
    <row r="4" spans="1:12" ht="25.5">
      <c r="A4" s="23"/>
      <c r="B4" s="23" t="s">
        <v>39</v>
      </c>
      <c r="C4" s="23" t="s">
        <v>40</v>
      </c>
      <c r="D4" s="23" t="s">
        <v>41</v>
      </c>
      <c r="E4" s="23" t="s">
        <v>45</v>
      </c>
      <c r="F4" s="23" t="s">
        <v>38</v>
      </c>
      <c r="G4" s="23" t="s">
        <v>39</v>
      </c>
      <c r="H4" s="23" t="s">
        <v>40</v>
      </c>
      <c r="I4" s="23" t="s">
        <v>41</v>
      </c>
      <c r="J4" s="23" t="s">
        <v>24</v>
      </c>
      <c r="K4" s="23" t="s">
        <v>6</v>
      </c>
      <c r="L4" s="276" t="s">
        <v>7</v>
      </c>
    </row>
    <row r="5" spans="1:12" ht="12.75">
      <c r="A5" s="23" t="s">
        <v>0</v>
      </c>
      <c r="B5" s="23">
        <v>206.11</v>
      </c>
      <c r="C5" s="23">
        <v>2962.02</v>
      </c>
      <c r="D5" s="23">
        <v>8118.12</v>
      </c>
      <c r="E5" s="23">
        <v>224.5</v>
      </c>
      <c r="F5" s="23">
        <v>6596.06</v>
      </c>
      <c r="G5" s="23">
        <v>517.15</v>
      </c>
      <c r="H5" s="23">
        <v>1868.25</v>
      </c>
      <c r="I5" s="23">
        <v>6656.84</v>
      </c>
      <c r="J5" s="303">
        <f aca="true" t="shared" si="0" ref="J5:J11">SUM(B5:F5)</f>
        <v>18106.81</v>
      </c>
      <c r="K5" s="303">
        <f aca="true" t="shared" si="1" ref="K5:K11">SUM(G5:I5)</f>
        <v>9042.24</v>
      </c>
      <c r="L5" s="303">
        <f aca="true" t="shared" si="2" ref="L5:L11">K5+J5</f>
        <v>27149.050000000003</v>
      </c>
    </row>
    <row r="6" spans="1:12" ht="12.75">
      <c r="A6" s="23" t="s">
        <v>44</v>
      </c>
      <c r="B6" s="23">
        <v>15.61</v>
      </c>
      <c r="C6" s="23">
        <v>175.71</v>
      </c>
      <c r="D6" s="23">
        <v>1042.04</v>
      </c>
      <c r="E6" s="23">
        <v>377.81</v>
      </c>
      <c r="F6" s="23">
        <v>0</v>
      </c>
      <c r="G6" s="23">
        <v>35.39</v>
      </c>
      <c r="H6" s="23">
        <v>59.24</v>
      </c>
      <c r="I6" s="23">
        <v>1057.86</v>
      </c>
      <c r="J6" s="303">
        <f t="shared" si="0"/>
        <v>1611.1699999999998</v>
      </c>
      <c r="K6" s="303">
        <f t="shared" si="1"/>
        <v>1152.4899999999998</v>
      </c>
      <c r="L6" s="303">
        <f t="shared" si="2"/>
        <v>2763.66</v>
      </c>
    </row>
    <row r="7" spans="1:12" ht="12.75">
      <c r="A7" s="23" t="s">
        <v>61</v>
      </c>
      <c r="B7" s="23"/>
      <c r="C7" s="23"/>
      <c r="D7" s="23"/>
      <c r="E7" s="23"/>
      <c r="F7" s="23"/>
      <c r="G7" s="23"/>
      <c r="H7" s="23"/>
      <c r="I7" s="23"/>
      <c r="J7" s="303"/>
      <c r="K7" s="303"/>
      <c r="L7" s="303"/>
    </row>
    <row r="8" spans="1:12" ht="12.75">
      <c r="A8" s="23" t="s">
        <v>1</v>
      </c>
      <c r="B8" s="23">
        <v>429.74</v>
      </c>
      <c r="C8" s="23">
        <v>36.57</v>
      </c>
      <c r="D8" s="23">
        <v>380.76</v>
      </c>
      <c r="E8" s="23">
        <v>4.2</v>
      </c>
      <c r="F8" s="23">
        <v>0</v>
      </c>
      <c r="G8" s="23">
        <v>1108.63</v>
      </c>
      <c r="H8" s="23">
        <v>21.28</v>
      </c>
      <c r="I8" s="23">
        <v>398.66</v>
      </c>
      <c r="J8" s="303">
        <f t="shared" si="0"/>
        <v>851.27</v>
      </c>
      <c r="K8" s="303">
        <f t="shared" si="1"/>
        <v>1528.5700000000002</v>
      </c>
      <c r="L8" s="303">
        <f t="shared" si="2"/>
        <v>2379.84</v>
      </c>
    </row>
    <row r="9" spans="1:12" ht="12.75">
      <c r="A9" s="23" t="s">
        <v>42</v>
      </c>
      <c r="B9" s="23">
        <v>87.55</v>
      </c>
      <c r="C9" s="23">
        <v>29.97</v>
      </c>
      <c r="D9" s="23">
        <v>78.23</v>
      </c>
      <c r="E9" s="23">
        <v>4.18</v>
      </c>
      <c r="F9" s="23">
        <v>0</v>
      </c>
      <c r="G9" s="23">
        <v>223.93</v>
      </c>
      <c r="H9" s="23">
        <v>19.61</v>
      </c>
      <c r="I9" s="23">
        <v>88.85</v>
      </c>
      <c r="J9" s="303">
        <f t="shared" si="0"/>
        <v>199.93</v>
      </c>
      <c r="K9" s="303">
        <f t="shared" si="1"/>
        <v>332.39</v>
      </c>
      <c r="L9" s="303">
        <f t="shared" si="2"/>
        <v>532.3199999999999</v>
      </c>
    </row>
    <row r="10" spans="1:12" ht="12.75">
      <c r="A10" s="23" t="s">
        <v>43</v>
      </c>
      <c r="B10" s="23">
        <v>2.97</v>
      </c>
      <c r="C10" s="23">
        <v>7.59</v>
      </c>
      <c r="D10" s="23">
        <v>16.39</v>
      </c>
      <c r="E10" s="23">
        <v>0.3</v>
      </c>
      <c r="F10" s="23">
        <v>0</v>
      </c>
      <c r="G10" s="23">
        <v>34.68</v>
      </c>
      <c r="H10" s="23">
        <v>11.02</v>
      </c>
      <c r="I10" s="23">
        <v>21.33</v>
      </c>
      <c r="J10" s="303">
        <f t="shared" si="0"/>
        <v>27.250000000000004</v>
      </c>
      <c r="K10" s="303">
        <f t="shared" si="1"/>
        <v>67.03</v>
      </c>
      <c r="L10" s="303">
        <f t="shared" si="2"/>
        <v>94.28</v>
      </c>
    </row>
    <row r="11" spans="1:12" ht="12.75">
      <c r="A11" s="23" t="s">
        <v>2</v>
      </c>
      <c r="B11" s="23">
        <v>285.3</v>
      </c>
      <c r="C11" s="23">
        <v>904.5</v>
      </c>
      <c r="D11" s="23">
        <v>572.12</v>
      </c>
      <c r="E11" s="23">
        <v>68.68</v>
      </c>
      <c r="F11" s="23">
        <v>34972.82</v>
      </c>
      <c r="G11" s="23">
        <v>516.76</v>
      </c>
      <c r="H11" s="23">
        <v>546.1</v>
      </c>
      <c r="I11" s="23">
        <v>470.43</v>
      </c>
      <c r="J11" s="303">
        <f t="shared" si="0"/>
        <v>36803.42</v>
      </c>
      <c r="K11" s="303">
        <f t="shared" si="1"/>
        <v>1533.2900000000002</v>
      </c>
      <c r="L11" s="303">
        <f t="shared" si="2"/>
        <v>38336.71</v>
      </c>
    </row>
    <row r="12" spans="1:12" ht="12.75">
      <c r="A12" s="23" t="s">
        <v>60</v>
      </c>
      <c r="B12" s="23"/>
      <c r="C12" s="23"/>
      <c r="D12" s="23"/>
      <c r="E12" s="23"/>
      <c r="F12" s="23"/>
      <c r="G12" s="23"/>
      <c r="H12" s="23"/>
      <c r="I12" s="23"/>
      <c r="J12" s="303"/>
      <c r="K12" s="303"/>
      <c r="L12" s="303"/>
    </row>
    <row r="13" spans="1:12" ht="12.75">
      <c r="A13" s="23" t="s">
        <v>3</v>
      </c>
      <c r="B13" s="23"/>
      <c r="C13" s="23"/>
      <c r="D13" s="23"/>
      <c r="E13" s="23"/>
      <c r="F13" s="23"/>
      <c r="G13" s="23"/>
      <c r="H13" s="23"/>
      <c r="I13" s="23"/>
      <c r="J13" s="302">
        <f>SUM(J14:J24)</f>
        <v>18.816705</v>
      </c>
      <c r="K13" s="302">
        <f>SUM(K14:K24)</f>
        <v>9.919535</v>
      </c>
      <c r="L13" s="302">
        <f>SUM(L14:L24)</f>
        <v>28.73624</v>
      </c>
    </row>
    <row r="14" spans="1:15" ht="12.75">
      <c r="A14" s="278" t="s">
        <v>100</v>
      </c>
      <c r="B14" s="23"/>
      <c r="C14" s="23"/>
      <c r="D14" s="23"/>
      <c r="E14" s="23"/>
      <c r="F14" s="23"/>
      <c r="G14" s="23"/>
      <c r="H14" s="23"/>
      <c r="I14" s="23"/>
      <c r="J14" s="277"/>
      <c r="K14" s="300">
        <f>O14*0.0005</f>
        <v>4E-05</v>
      </c>
      <c r="L14" s="300">
        <f>K14+J14</f>
        <v>4E-05</v>
      </c>
      <c r="O14">
        <v>0.08</v>
      </c>
    </row>
    <row r="15" spans="1:15" ht="12.75">
      <c r="A15" s="278" t="s">
        <v>98</v>
      </c>
      <c r="B15" s="23"/>
      <c r="C15" s="23"/>
      <c r="D15" s="23"/>
      <c r="E15" s="23"/>
      <c r="F15" s="23"/>
      <c r="G15" s="23"/>
      <c r="H15" s="23"/>
      <c r="I15" s="23"/>
      <c r="J15" s="277">
        <f aca="true" t="shared" si="3" ref="J15:J24">N15*0.0005</f>
        <v>8.90712</v>
      </c>
      <c r="K15" s="277">
        <f aca="true" t="shared" si="4" ref="K15:K24">O15*0.0005</f>
        <v>0.19233000000000003</v>
      </c>
      <c r="L15" s="277">
        <f aca="true" t="shared" si="5" ref="L15:L24">K15+J15</f>
        <v>9.099450000000001</v>
      </c>
      <c r="N15">
        <v>17814.24</v>
      </c>
      <c r="O15">
        <v>384.66</v>
      </c>
    </row>
    <row r="16" spans="1:15" ht="12.75">
      <c r="A16" s="278" t="s">
        <v>99</v>
      </c>
      <c r="B16" s="23"/>
      <c r="C16" s="23"/>
      <c r="D16" s="23"/>
      <c r="E16" s="23"/>
      <c r="F16" s="23"/>
      <c r="G16" s="23"/>
      <c r="H16" s="23"/>
      <c r="I16" s="23"/>
      <c r="J16" s="277">
        <f t="shared" si="3"/>
        <v>0.98463</v>
      </c>
      <c r="K16" s="300">
        <f t="shared" si="4"/>
        <v>0.0029649999999999998</v>
      </c>
      <c r="L16" s="277">
        <f t="shared" si="5"/>
        <v>0.987595</v>
      </c>
      <c r="N16">
        <v>1969.26</v>
      </c>
      <c r="O16">
        <v>5.93</v>
      </c>
    </row>
    <row r="17" spans="1:15" ht="12.75">
      <c r="A17" s="278" t="s">
        <v>30</v>
      </c>
      <c r="B17" s="23"/>
      <c r="C17" s="23"/>
      <c r="D17" s="23"/>
      <c r="E17" s="23"/>
      <c r="F17" s="23"/>
      <c r="G17" s="23"/>
      <c r="H17" s="23"/>
      <c r="I17" s="23"/>
      <c r="J17" s="277">
        <f t="shared" si="3"/>
        <v>1.261805</v>
      </c>
      <c r="K17" s="277">
        <f t="shared" si="4"/>
        <v>4.05467</v>
      </c>
      <c r="L17" s="277">
        <f t="shared" si="5"/>
        <v>5.316475</v>
      </c>
      <c r="N17">
        <v>2523.61</v>
      </c>
      <c r="O17">
        <v>8109.34</v>
      </c>
    </row>
    <row r="18" spans="1:14" ht="12.75">
      <c r="A18" s="278" t="s">
        <v>31</v>
      </c>
      <c r="B18" s="23"/>
      <c r="C18" s="23"/>
      <c r="D18" s="23"/>
      <c r="E18" s="23"/>
      <c r="F18" s="23"/>
      <c r="G18" s="23"/>
      <c r="H18" s="23"/>
      <c r="I18" s="23"/>
      <c r="J18" s="277">
        <f t="shared" si="3"/>
        <v>0.007</v>
      </c>
      <c r="K18" s="277">
        <f t="shared" si="4"/>
        <v>0</v>
      </c>
      <c r="L18" s="277">
        <f t="shared" si="5"/>
        <v>0.007</v>
      </c>
      <c r="N18">
        <v>14</v>
      </c>
    </row>
    <row r="19" spans="1:15" ht="12.75">
      <c r="A19" s="278" t="s">
        <v>57</v>
      </c>
      <c r="B19" s="23"/>
      <c r="C19" s="23"/>
      <c r="D19" s="23"/>
      <c r="E19" s="23"/>
      <c r="F19" s="23"/>
      <c r="G19" s="23"/>
      <c r="H19" s="23"/>
      <c r="I19" s="23"/>
      <c r="J19" s="277">
        <f t="shared" si="3"/>
        <v>7.47765</v>
      </c>
      <c r="K19" s="277">
        <f t="shared" si="4"/>
        <v>1.354365</v>
      </c>
      <c r="L19" s="277">
        <f t="shared" si="5"/>
        <v>8.832015</v>
      </c>
      <c r="N19">
        <v>14955.3</v>
      </c>
      <c r="O19">
        <v>2708.73</v>
      </c>
    </row>
    <row r="20" spans="1:12" ht="12.75">
      <c r="A20" s="278" t="s">
        <v>22</v>
      </c>
      <c r="B20" s="23"/>
      <c r="C20" s="23"/>
      <c r="D20" s="23"/>
      <c r="E20" s="23"/>
      <c r="F20" s="23"/>
      <c r="G20" s="23"/>
      <c r="H20" s="23"/>
      <c r="I20" s="23"/>
      <c r="J20" s="277"/>
      <c r="K20" s="277"/>
      <c r="L20" s="277"/>
    </row>
    <row r="21" spans="1:15" ht="12.75">
      <c r="A21" s="278" t="s">
        <v>101</v>
      </c>
      <c r="B21" s="23"/>
      <c r="C21" s="23"/>
      <c r="D21" s="23"/>
      <c r="E21" s="23"/>
      <c r="F21" s="23"/>
      <c r="G21" s="23"/>
      <c r="H21" s="23"/>
      <c r="I21" s="23"/>
      <c r="J21" s="277"/>
      <c r="K21" s="277">
        <f t="shared" si="4"/>
        <v>2.0551</v>
      </c>
      <c r="L21" s="277">
        <f t="shared" si="5"/>
        <v>2.0551</v>
      </c>
      <c r="O21">
        <v>4110.2</v>
      </c>
    </row>
    <row r="22" spans="1:15" ht="12.75">
      <c r="A22" s="278" t="s">
        <v>102</v>
      </c>
      <c r="B22" s="23"/>
      <c r="C22" s="23"/>
      <c r="D22" s="23"/>
      <c r="E22" s="23"/>
      <c r="F22" s="23"/>
      <c r="G22" s="23"/>
      <c r="H22" s="23"/>
      <c r="I22" s="23"/>
      <c r="J22" s="277"/>
      <c r="K22" s="301">
        <f t="shared" si="4"/>
        <v>8.5E-05</v>
      </c>
      <c r="L22" s="301">
        <f t="shared" si="5"/>
        <v>8.5E-05</v>
      </c>
      <c r="O22">
        <v>0.17</v>
      </c>
    </row>
    <row r="23" spans="1:15" ht="12.75">
      <c r="A23" s="278" t="s">
        <v>32</v>
      </c>
      <c r="B23" s="23"/>
      <c r="C23" s="23"/>
      <c r="D23" s="23"/>
      <c r="E23" s="23"/>
      <c r="F23" s="23"/>
      <c r="G23" s="23"/>
      <c r="H23" s="23"/>
      <c r="I23" s="23"/>
      <c r="J23" s="277">
        <f t="shared" si="3"/>
        <v>0.129</v>
      </c>
      <c r="K23" s="277">
        <f t="shared" si="4"/>
        <v>2.2597</v>
      </c>
      <c r="L23" s="277">
        <f t="shared" si="5"/>
        <v>2.3887</v>
      </c>
      <c r="N23">
        <v>258</v>
      </c>
      <c r="O23">
        <v>4519.4</v>
      </c>
    </row>
    <row r="24" spans="1:15" ht="12.75">
      <c r="A24" s="278" t="s">
        <v>33</v>
      </c>
      <c r="B24" s="23"/>
      <c r="C24" s="23"/>
      <c r="D24" s="23"/>
      <c r="E24" s="23"/>
      <c r="F24" s="23"/>
      <c r="G24" s="23"/>
      <c r="H24" s="23"/>
      <c r="I24" s="23"/>
      <c r="J24" s="277">
        <f t="shared" si="3"/>
        <v>0.0495</v>
      </c>
      <c r="K24" s="301">
        <f t="shared" si="4"/>
        <v>0.00028000000000000003</v>
      </c>
      <c r="L24" s="277">
        <f t="shared" si="5"/>
        <v>0.049780000000000005</v>
      </c>
      <c r="N24">
        <v>99</v>
      </c>
      <c r="O24">
        <v>0.56</v>
      </c>
    </row>
    <row r="25" spans="1:12" ht="12.75">
      <c r="A25" s="41"/>
      <c r="B25" s="47"/>
      <c r="C25" s="47"/>
      <c r="D25" s="47"/>
      <c r="E25" s="47"/>
      <c r="F25" s="47"/>
      <c r="G25" s="47"/>
      <c r="H25" s="47"/>
      <c r="I25" s="47"/>
      <c r="J25" s="47"/>
      <c r="K25" s="47"/>
      <c r="L25" s="47"/>
    </row>
    <row r="26" spans="1:12" ht="12.75">
      <c r="A26" s="41"/>
      <c r="B26" s="47"/>
      <c r="C26" s="47"/>
      <c r="D26" s="47"/>
      <c r="E26" s="47"/>
      <c r="F26" s="47"/>
      <c r="G26" s="47"/>
      <c r="H26" s="47"/>
      <c r="I26" s="47"/>
      <c r="J26" s="47"/>
      <c r="K26" s="47"/>
      <c r="L26" s="47"/>
    </row>
    <row r="28" ht="12.75">
      <c r="A28" t="s">
        <v>46</v>
      </c>
    </row>
    <row r="29" ht="12.75">
      <c r="A29" s="39" t="s">
        <v>47</v>
      </c>
    </row>
    <row r="35" spans="2:10" ht="12.75">
      <c r="B35" t="s">
        <v>24</v>
      </c>
      <c r="G35" t="s">
        <v>6</v>
      </c>
      <c r="J35" t="s">
        <v>25</v>
      </c>
    </row>
    <row r="36" spans="2:12" ht="12.75">
      <c r="B36" t="s">
        <v>39</v>
      </c>
      <c r="C36" t="s">
        <v>40</v>
      </c>
      <c r="D36" t="s">
        <v>41</v>
      </c>
      <c r="E36" t="s">
        <v>45</v>
      </c>
      <c r="F36" t="s">
        <v>38</v>
      </c>
      <c r="G36" t="s">
        <v>39</v>
      </c>
      <c r="H36" t="s">
        <v>40</v>
      </c>
      <c r="I36" t="s">
        <v>41</v>
      </c>
      <c r="J36" t="s">
        <v>24</v>
      </c>
      <c r="K36" t="s">
        <v>6</v>
      </c>
      <c r="L36" t="s">
        <v>7</v>
      </c>
    </row>
    <row r="37" spans="1:12" ht="12.75">
      <c r="A37" t="s">
        <v>0</v>
      </c>
      <c r="B37">
        <v>206.11</v>
      </c>
      <c r="C37">
        <v>2962.02</v>
      </c>
      <c r="D37">
        <v>8118.12</v>
      </c>
      <c r="E37">
        <v>224.5</v>
      </c>
      <c r="F37">
        <v>6596.06</v>
      </c>
      <c r="G37">
        <v>517.15</v>
      </c>
      <c r="H37">
        <v>1868.25</v>
      </c>
      <c r="I37">
        <v>6656.84</v>
      </c>
      <c r="J37">
        <v>18106.81</v>
      </c>
      <c r="K37">
        <v>9042.24</v>
      </c>
      <c r="L37">
        <v>27149.05</v>
      </c>
    </row>
    <row r="38" spans="1:12" ht="12.75">
      <c r="A38" t="s">
        <v>44</v>
      </c>
      <c r="B38">
        <v>15.61</v>
      </c>
      <c r="C38">
        <v>175.71</v>
      </c>
      <c r="D38">
        <v>1042.04</v>
      </c>
      <c r="E38">
        <v>377.81</v>
      </c>
      <c r="F38">
        <v>0</v>
      </c>
      <c r="G38">
        <v>35.39</v>
      </c>
      <c r="H38">
        <v>59.24</v>
      </c>
      <c r="I38">
        <v>1057.86</v>
      </c>
      <c r="J38">
        <v>1611.17</v>
      </c>
      <c r="K38">
        <v>1152.49</v>
      </c>
      <c r="L38">
        <v>2763.66</v>
      </c>
    </row>
    <row r="39" spans="1:11" ht="12.75">
      <c r="A39" t="s">
        <v>61</v>
      </c>
      <c r="E39" s="35"/>
      <c r="F39" s="35"/>
      <c r="I39" s="35"/>
      <c r="J39" s="35"/>
      <c r="K39" s="35"/>
    </row>
    <row r="40" spans="1:12" ht="12.75">
      <c r="A40" t="s">
        <v>1</v>
      </c>
      <c r="B40">
        <v>429.74</v>
      </c>
      <c r="C40">
        <v>36.57</v>
      </c>
      <c r="D40">
        <v>380.76</v>
      </c>
      <c r="E40">
        <v>4.2</v>
      </c>
      <c r="F40">
        <v>0</v>
      </c>
      <c r="G40">
        <v>1108.63</v>
      </c>
      <c r="H40">
        <v>21.28</v>
      </c>
      <c r="I40">
        <v>398.66</v>
      </c>
      <c r="J40">
        <v>851.27</v>
      </c>
      <c r="K40">
        <v>1528.57</v>
      </c>
      <c r="L40">
        <v>2379.84</v>
      </c>
    </row>
    <row r="41" spans="1:12" ht="12.75">
      <c r="A41" t="s">
        <v>42</v>
      </c>
      <c r="B41">
        <v>87.55</v>
      </c>
      <c r="C41">
        <v>29.97</v>
      </c>
      <c r="D41">
        <v>78.23</v>
      </c>
      <c r="E41">
        <v>4.18</v>
      </c>
      <c r="F41">
        <v>0</v>
      </c>
      <c r="G41">
        <v>223.93</v>
      </c>
      <c r="H41">
        <v>19.61</v>
      </c>
      <c r="I41">
        <v>88.85</v>
      </c>
      <c r="J41">
        <v>199.93</v>
      </c>
      <c r="K41">
        <v>332.39</v>
      </c>
      <c r="L41">
        <v>532.32</v>
      </c>
    </row>
    <row r="42" spans="1:12" ht="12.75">
      <c r="A42" t="s">
        <v>43</v>
      </c>
      <c r="B42">
        <v>2.97</v>
      </c>
      <c r="C42">
        <v>7.59</v>
      </c>
      <c r="D42">
        <v>16.39</v>
      </c>
      <c r="E42">
        <v>0.3</v>
      </c>
      <c r="F42">
        <v>0</v>
      </c>
      <c r="G42">
        <v>34.68</v>
      </c>
      <c r="H42">
        <v>11.02</v>
      </c>
      <c r="I42">
        <v>21.33</v>
      </c>
      <c r="J42">
        <v>27.25</v>
      </c>
      <c r="K42">
        <v>67.03</v>
      </c>
      <c r="L42">
        <v>94.28</v>
      </c>
    </row>
    <row r="43" spans="1:12" ht="12.75">
      <c r="A43" t="s">
        <v>2</v>
      </c>
      <c r="B43">
        <v>285.3</v>
      </c>
      <c r="C43">
        <v>904.5</v>
      </c>
      <c r="D43">
        <v>572.12</v>
      </c>
      <c r="E43">
        <v>68.68</v>
      </c>
      <c r="F43">
        <v>34972.82</v>
      </c>
      <c r="G43">
        <v>516.76</v>
      </c>
      <c r="H43">
        <v>546.1</v>
      </c>
      <c r="I43">
        <v>470.43</v>
      </c>
      <c r="J43">
        <v>36803.42</v>
      </c>
      <c r="K43">
        <v>1533.29</v>
      </c>
      <c r="L43">
        <v>38336.71</v>
      </c>
    </row>
    <row r="44" spans="1:11" ht="12.75">
      <c r="A44" t="s">
        <v>60</v>
      </c>
      <c r="K44" s="35"/>
    </row>
    <row r="45" spans="1:12" ht="12.75">
      <c r="A45" t="s">
        <v>3</v>
      </c>
      <c r="I45" s="35"/>
      <c r="J45">
        <v>18.816705</v>
      </c>
      <c r="K45" s="35">
        <v>9.919535</v>
      </c>
      <c r="L45">
        <v>28.73624</v>
      </c>
    </row>
    <row r="46" spans="1:12" ht="12.75">
      <c r="A46" t="s">
        <v>100</v>
      </c>
      <c r="K46">
        <v>4E-05</v>
      </c>
      <c r="L46">
        <v>4E-05</v>
      </c>
    </row>
    <row r="47" spans="1:12" ht="12.75">
      <c r="A47" t="s">
        <v>98</v>
      </c>
      <c r="J47" s="35">
        <v>8.90712</v>
      </c>
      <c r="K47" s="35">
        <v>0.19233000000000003</v>
      </c>
      <c r="L47">
        <v>9.099450000000001</v>
      </c>
    </row>
    <row r="48" spans="1:12" ht="12.75">
      <c r="A48" t="s">
        <v>99</v>
      </c>
      <c r="I48" s="35"/>
      <c r="J48" s="35">
        <v>0.98463</v>
      </c>
      <c r="K48" s="35">
        <v>0.0029649999999999998</v>
      </c>
      <c r="L48">
        <v>0.987595</v>
      </c>
    </row>
    <row r="49" spans="1:12" ht="12.75">
      <c r="A49" t="s">
        <v>30</v>
      </c>
      <c r="J49">
        <v>1.261805</v>
      </c>
      <c r="K49">
        <v>4.05467</v>
      </c>
      <c r="L49">
        <v>5.316475</v>
      </c>
    </row>
    <row r="50" spans="1:12" ht="12.75">
      <c r="A50" t="s">
        <v>31</v>
      </c>
      <c r="J50">
        <v>0.007</v>
      </c>
      <c r="K50">
        <v>0</v>
      </c>
      <c r="L50">
        <v>0.007</v>
      </c>
    </row>
    <row r="51" spans="1:12" ht="12.75">
      <c r="A51" t="s">
        <v>57</v>
      </c>
      <c r="J51">
        <v>7.47765</v>
      </c>
      <c r="K51">
        <v>1.354365</v>
      </c>
      <c r="L51">
        <v>8.832015</v>
      </c>
    </row>
    <row r="52" ht="12.75">
      <c r="A52" t="s">
        <v>22</v>
      </c>
    </row>
    <row r="53" spans="1:12" ht="12.75">
      <c r="A53" t="s">
        <v>101</v>
      </c>
      <c r="K53">
        <v>2.0551</v>
      </c>
      <c r="L53">
        <v>2.0551</v>
      </c>
    </row>
    <row r="54" spans="1:12" ht="12.75">
      <c r="A54" t="s">
        <v>102</v>
      </c>
      <c r="K54">
        <v>8.5E-05</v>
      </c>
      <c r="L54">
        <v>8.5E-05</v>
      </c>
    </row>
    <row r="55" spans="1:12" ht="12.75">
      <c r="A55" t="s">
        <v>32</v>
      </c>
      <c r="J55">
        <v>0.129</v>
      </c>
      <c r="K55">
        <v>2.2597</v>
      </c>
      <c r="L55">
        <v>2.3887</v>
      </c>
    </row>
    <row r="56" spans="1:12" ht="12.75">
      <c r="A56" t="s">
        <v>33</v>
      </c>
      <c r="J56">
        <v>0.0495</v>
      </c>
      <c r="K56">
        <v>0.00028000000000000003</v>
      </c>
      <c r="L56">
        <v>0.049780000000000005</v>
      </c>
    </row>
    <row r="61" spans="3:20" ht="12.75">
      <c r="C61" t="s">
        <v>0</v>
      </c>
      <c r="D61" t="s">
        <v>44</v>
      </c>
      <c r="E61" t="s">
        <v>1</v>
      </c>
      <c r="F61" t="s">
        <v>42</v>
      </c>
      <c r="G61" t="s">
        <v>43</v>
      </c>
      <c r="H61" t="s">
        <v>2</v>
      </c>
      <c r="I61" t="s">
        <v>3</v>
      </c>
      <c r="J61" t="s">
        <v>100</v>
      </c>
      <c r="K61" t="s">
        <v>98</v>
      </c>
      <c r="L61" t="s">
        <v>99</v>
      </c>
      <c r="M61" t="s">
        <v>30</v>
      </c>
      <c r="N61" t="s">
        <v>31</v>
      </c>
      <c r="O61" t="s">
        <v>57</v>
      </c>
      <c r="P61" t="s">
        <v>22</v>
      </c>
      <c r="Q61" t="s">
        <v>101</v>
      </c>
      <c r="R61" t="s">
        <v>102</v>
      </c>
      <c r="S61" t="s">
        <v>32</v>
      </c>
      <c r="T61" t="s">
        <v>33</v>
      </c>
    </row>
    <row r="62" spans="1:9" ht="12.75">
      <c r="A62" t="s">
        <v>24</v>
      </c>
      <c r="B62" t="s">
        <v>39</v>
      </c>
      <c r="C62" s="293">
        <v>206.11</v>
      </c>
      <c r="D62" s="293">
        <v>15.61</v>
      </c>
      <c r="E62" s="293">
        <v>429.74</v>
      </c>
      <c r="F62" s="293">
        <v>87.55</v>
      </c>
      <c r="G62" s="293">
        <v>2.97</v>
      </c>
      <c r="H62" s="293">
        <v>285.3</v>
      </c>
      <c r="I62" s="316"/>
    </row>
    <row r="63" spans="2:9" ht="12.75">
      <c r="B63" t="s">
        <v>40</v>
      </c>
      <c r="C63" s="293">
        <v>2962.02</v>
      </c>
      <c r="D63" s="293">
        <v>175.71</v>
      </c>
      <c r="E63" s="293">
        <v>36.57</v>
      </c>
      <c r="F63" s="293">
        <v>29.97</v>
      </c>
      <c r="G63" s="293">
        <v>7.59</v>
      </c>
      <c r="H63" s="293">
        <v>904.5</v>
      </c>
      <c r="I63" s="316"/>
    </row>
    <row r="64" spans="2:9" ht="12.75">
      <c r="B64" t="s">
        <v>41</v>
      </c>
      <c r="C64" s="293">
        <v>8118.12</v>
      </c>
      <c r="D64" s="293">
        <v>1042.04</v>
      </c>
      <c r="E64" s="293">
        <v>380.76</v>
      </c>
      <c r="F64" s="293">
        <v>78.23</v>
      </c>
      <c r="G64" s="293">
        <v>16.39</v>
      </c>
      <c r="H64" s="293">
        <v>572.12</v>
      </c>
      <c r="I64" s="316"/>
    </row>
    <row r="65" spans="2:9" ht="12.75">
      <c r="B65" t="s">
        <v>45</v>
      </c>
      <c r="C65" s="293">
        <v>224.5</v>
      </c>
      <c r="D65" s="293">
        <v>377.81</v>
      </c>
      <c r="E65" s="293">
        <v>4.2</v>
      </c>
      <c r="F65" s="293">
        <v>4.18</v>
      </c>
      <c r="G65" s="293">
        <v>0.3</v>
      </c>
      <c r="H65" s="293">
        <v>68.68</v>
      </c>
      <c r="I65" s="316"/>
    </row>
    <row r="66" spans="2:9" ht="12.75">
      <c r="B66" t="s">
        <v>38</v>
      </c>
      <c r="C66" s="293">
        <v>6596.06</v>
      </c>
      <c r="D66" s="293">
        <v>0</v>
      </c>
      <c r="E66" s="293">
        <v>0</v>
      </c>
      <c r="F66" s="293">
        <v>0</v>
      </c>
      <c r="G66" s="293">
        <v>0</v>
      </c>
      <c r="H66" s="293">
        <v>34972.82</v>
      </c>
      <c r="I66" s="316"/>
    </row>
    <row r="67" spans="2:20" ht="12" customHeight="1">
      <c r="B67" t="s">
        <v>217</v>
      </c>
      <c r="C67" s="293">
        <v>18106.81</v>
      </c>
      <c r="D67" s="293">
        <v>1611.17</v>
      </c>
      <c r="E67" s="293">
        <v>851.27</v>
      </c>
      <c r="F67" s="293">
        <v>199.93</v>
      </c>
      <c r="G67" s="293">
        <v>27.25</v>
      </c>
      <c r="H67" s="293">
        <v>36803.42</v>
      </c>
      <c r="I67" s="316">
        <v>18.816705</v>
      </c>
      <c r="K67" s="35">
        <v>8.90712</v>
      </c>
      <c r="L67" s="35">
        <v>0.98463</v>
      </c>
      <c r="M67">
        <v>1.261805</v>
      </c>
      <c r="N67">
        <v>0.007</v>
      </c>
      <c r="O67">
        <v>7.47765</v>
      </c>
      <c r="S67">
        <v>0.129</v>
      </c>
      <c r="T67">
        <v>0.0495</v>
      </c>
    </row>
    <row r="68" spans="1:9" ht="12.75">
      <c r="A68" t="s">
        <v>6</v>
      </c>
      <c r="B68" t="s">
        <v>39</v>
      </c>
      <c r="C68" s="293">
        <v>517.15</v>
      </c>
      <c r="D68" s="293">
        <v>35.39</v>
      </c>
      <c r="E68" s="293">
        <v>1108.63</v>
      </c>
      <c r="F68" s="293">
        <v>223.93</v>
      </c>
      <c r="G68" s="293">
        <v>34.68</v>
      </c>
      <c r="H68" s="293">
        <v>516.76</v>
      </c>
      <c r="I68" s="316"/>
    </row>
    <row r="69" spans="2:9" ht="12.75">
      <c r="B69" t="s">
        <v>40</v>
      </c>
      <c r="C69" s="293">
        <v>1868.25</v>
      </c>
      <c r="D69" s="293">
        <v>59.24</v>
      </c>
      <c r="E69" s="293">
        <v>21.28</v>
      </c>
      <c r="F69" s="293">
        <v>19.61</v>
      </c>
      <c r="G69" s="293">
        <v>11.02</v>
      </c>
      <c r="H69" s="293">
        <v>546.1</v>
      </c>
      <c r="I69" s="316"/>
    </row>
    <row r="70" spans="2:12" ht="12.75">
      <c r="B70" t="s">
        <v>41</v>
      </c>
      <c r="C70" s="293">
        <v>6656.84</v>
      </c>
      <c r="D70" s="293">
        <v>1057.86</v>
      </c>
      <c r="E70" s="293">
        <v>398.66</v>
      </c>
      <c r="F70" s="293">
        <v>88.85</v>
      </c>
      <c r="G70" s="293">
        <v>21.33</v>
      </c>
      <c r="H70" s="293">
        <v>470.43</v>
      </c>
      <c r="I70" s="316"/>
      <c r="L70" s="35"/>
    </row>
    <row r="71" spans="2:20" ht="12.75">
      <c r="B71" t="s">
        <v>218</v>
      </c>
      <c r="C71" s="293">
        <v>9042.24</v>
      </c>
      <c r="D71" s="293">
        <v>1152.49</v>
      </c>
      <c r="E71" s="293">
        <v>1528.57</v>
      </c>
      <c r="F71" s="293">
        <v>332.39</v>
      </c>
      <c r="G71" s="293">
        <v>67.03</v>
      </c>
      <c r="H71" s="293">
        <v>1533.29</v>
      </c>
      <c r="I71" s="316">
        <v>9.919535</v>
      </c>
      <c r="J71">
        <v>4E-05</v>
      </c>
      <c r="K71" s="35">
        <v>0.19233000000000003</v>
      </c>
      <c r="L71" s="35">
        <v>0.0029649999999999998</v>
      </c>
      <c r="M71">
        <v>4.05467</v>
      </c>
      <c r="N71">
        <v>0</v>
      </c>
      <c r="O71">
        <v>1.354365</v>
      </c>
      <c r="Q71">
        <v>2.0551</v>
      </c>
      <c r="R71">
        <v>8.5E-05</v>
      </c>
      <c r="S71">
        <v>2.2597</v>
      </c>
      <c r="T71">
        <v>0.00028000000000000003</v>
      </c>
    </row>
    <row r="72" spans="1:20" ht="12.75">
      <c r="A72" t="s">
        <v>7</v>
      </c>
      <c r="C72" s="293">
        <v>27149.05</v>
      </c>
      <c r="D72" s="293">
        <v>2763.66</v>
      </c>
      <c r="E72" s="293">
        <v>2379.84</v>
      </c>
      <c r="F72" s="293">
        <v>532.32</v>
      </c>
      <c r="G72" s="293">
        <v>94.28</v>
      </c>
      <c r="H72" s="293">
        <v>38336.71</v>
      </c>
      <c r="I72" s="316">
        <v>28.73624</v>
      </c>
      <c r="J72">
        <v>4E-05</v>
      </c>
      <c r="K72">
        <v>9.099450000000001</v>
      </c>
      <c r="L72">
        <v>0.987595</v>
      </c>
      <c r="M72">
        <v>5.316475</v>
      </c>
      <c r="N72">
        <v>0.007</v>
      </c>
      <c r="O72">
        <v>8.832015</v>
      </c>
      <c r="Q72">
        <v>2.0551</v>
      </c>
      <c r="R72">
        <v>8.5E-05</v>
      </c>
      <c r="S72">
        <v>2.3887</v>
      </c>
      <c r="T72">
        <v>0.049780000000000005</v>
      </c>
    </row>
  </sheetData>
  <hyperlinks>
    <hyperlink ref="A29" r:id="rId1" display="http://www.airquality.utah.gov/Planning/Emission-Inventory/2005_State/05_State_List.htm"/>
  </hyperlinks>
  <printOptions/>
  <pageMargins left="0.75" right="0.75" top="1" bottom="1" header="0.5" footer="0.5"/>
  <pageSetup fitToHeight="1" fitToWidth="1" horizontalDpi="600" verticalDpi="600" orientation="landscape" r:id="rId2"/>
</worksheet>
</file>

<file path=xl/worksheets/sheet3.xml><?xml version="1.0" encoding="utf-8"?>
<worksheet xmlns="http://schemas.openxmlformats.org/spreadsheetml/2006/main" xmlns:r="http://schemas.openxmlformats.org/officeDocument/2006/relationships">
  <sheetPr>
    <tabColor indexed="13"/>
  </sheetPr>
  <dimension ref="B2:G51"/>
  <sheetViews>
    <sheetView workbookViewId="0" topLeftCell="A40">
      <selection activeCell="D22" sqref="D22"/>
    </sheetView>
  </sheetViews>
  <sheetFormatPr defaultColWidth="9.140625" defaultRowHeight="12.75"/>
  <cols>
    <col min="2" max="2" width="19.8515625" style="0" customWidth="1"/>
    <col min="3" max="3" width="17.421875" style="0" customWidth="1"/>
    <col min="4" max="6" width="15.28125" style="0" customWidth="1"/>
    <col min="7" max="7" width="14.28125" style="0" customWidth="1"/>
  </cols>
  <sheetData>
    <row r="2" ht="12.75">
      <c r="B2" s="281" t="s">
        <v>207</v>
      </c>
    </row>
    <row r="3" spans="2:7" ht="51">
      <c r="B3" s="282" t="s">
        <v>193</v>
      </c>
      <c r="C3" s="282" t="s">
        <v>204</v>
      </c>
      <c r="D3" s="282" t="s">
        <v>205</v>
      </c>
      <c r="E3" s="282" t="s">
        <v>206</v>
      </c>
      <c r="F3" s="282" t="s">
        <v>194</v>
      </c>
      <c r="G3" s="282" t="s">
        <v>195</v>
      </c>
    </row>
    <row r="4" spans="2:7" ht="12.75">
      <c r="B4" s="283" t="s">
        <v>196</v>
      </c>
      <c r="C4" s="284">
        <v>104</v>
      </c>
      <c r="D4" s="284">
        <f>ROUNDUP(C4*0.5,0)</f>
        <v>52</v>
      </c>
      <c r="E4" s="284">
        <f>ROUNDUP(0.6*D4,0)</f>
        <v>32</v>
      </c>
      <c r="F4" s="284">
        <f>ROUNDUP(0.063*D4,0)</f>
        <v>4</v>
      </c>
      <c r="G4" s="284">
        <f>D4</f>
        <v>52</v>
      </c>
    </row>
    <row r="5" spans="2:7" ht="12.75">
      <c r="B5" s="283" t="s">
        <v>197</v>
      </c>
      <c r="C5" s="284">
        <v>196</v>
      </c>
      <c r="D5" s="284">
        <f aca="true" t="shared" si="0" ref="D5:D10">ROUNDUP(C5*0.5,0)</f>
        <v>98</v>
      </c>
      <c r="E5" s="284">
        <f aca="true" t="shared" si="1" ref="E5:E10">ROUNDUP(0.6*D5,0)</f>
        <v>59</v>
      </c>
      <c r="F5" s="284">
        <f>ROUNDUP(0.063*D5,0)</f>
        <v>7</v>
      </c>
      <c r="G5" s="284">
        <f aca="true" t="shared" si="2" ref="G5:G10">D5</f>
        <v>98</v>
      </c>
    </row>
    <row r="6" spans="2:7" ht="12.75">
      <c r="B6" s="283" t="s">
        <v>198</v>
      </c>
      <c r="C6" s="284">
        <v>2</v>
      </c>
      <c r="D6" s="284">
        <f t="shared" si="0"/>
        <v>1</v>
      </c>
      <c r="E6" s="284">
        <f t="shared" si="1"/>
        <v>1</v>
      </c>
      <c r="F6" s="284">
        <v>2</v>
      </c>
      <c r="G6" s="284">
        <f t="shared" si="2"/>
        <v>1</v>
      </c>
    </row>
    <row r="7" spans="2:7" ht="12.75">
      <c r="B7" s="283" t="s">
        <v>199</v>
      </c>
      <c r="C7" s="284">
        <v>13</v>
      </c>
      <c r="D7" s="284">
        <f t="shared" si="0"/>
        <v>7</v>
      </c>
      <c r="E7" s="284">
        <f t="shared" si="1"/>
        <v>5</v>
      </c>
      <c r="F7" s="284">
        <v>2</v>
      </c>
      <c r="G7" s="284">
        <f t="shared" si="2"/>
        <v>7</v>
      </c>
    </row>
    <row r="8" spans="2:7" ht="12.75">
      <c r="B8" s="283" t="s">
        <v>200</v>
      </c>
      <c r="C8" s="284">
        <v>46</v>
      </c>
      <c r="D8" s="284">
        <f t="shared" si="0"/>
        <v>23</v>
      </c>
      <c r="E8" s="284">
        <f t="shared" si="1"/>
        <v>14</v>
      </c>
      <c r="F8" s="284">
        <f>ROUNDUP(0.063*D8,0)</f>
        <v>2</v>
      </c>
      <c r="G8" s="284">
        <f t="shared" si="2"/>
        <v>23</v>
      </c>
    </row>
    <row r="9" spans="2:7" ht="12.75">
      <c r="B9" s="283" t="s">
        <v>201</v>
      </c>
      <c r="C9" s="284">
        <v>56</v>
      </c>
      <c r="D9" s="284">
        <f t="shared" si="0"/>
        <v>28</v>
      </c>
      <c r="E9" s="284">
        <f t="shared" si="1"/>
        <v>17</v>
      </c>
      <c r="F9" s="284">
        <f>ROUNDUP(0.063*D9,0)</f>
        <v>2</v>
      </c>
      <c r="G9" s="284">
        <f t="shared" si="2"/>
        <v>28</v>
      </c>
    </row>
    <row r="10" spans="2:7" ht="12.75">
      <c r="B10" s="283" t="s">
        <v>202</v>
      </c>
      <c r="C10" s="284">
        <v>34</v>
      </c>
      <c r="D10" s="284">
        <f t="shared" si="0"/>
        <v>17</v>
      </c>
      <c r="E10" s="284">
        <f t="shared" si="1"/>
        <v>11</v>
      </c>
      <c r="F10" s="284">
        <f>ROUNDUP(0.063*D10,0)</f>
        <v>2</v>
      </c>
      <c r="G10" s="284">
        <f t="shared" si="2"/>
        <v>17</v>
      </c>
    </row>
    <row r="11" spans="2:7" ht="12.75">
      <c r="B11" s="285" t="s">
        <v>203</v>
      </c>
      <c r="C11" s="286">
        <v>451</v>
      </c>
      <c r="D11" s="287">
        <f>SUM(D4:D10)</f>
        <v>226</v>
      </c>
      <c r="E11" s="287">
        <f>SUM(E4:E10)</f>
        <v>139</v>
      </c>
      <c r="F11" s="287">
        <f>SUM(F4:F10)</f>
        <v>21</v>
      </c>
      <c r="G11" s="286">
        <f>SUM(G4:G10)</f>
        <v>226</v>
      </c>
    </row>
    <row r="15" ht="12.75">
      <c r="B15" s="281" t="s">
        <v>208</v>
      </c>
    </row>
    <row r="16" spans="2:7" ht="51">
      <c r="B16" s="288" t="s">
        <v>193</v>
      </c>
      <c r="C16" s="288" t="s">
        <v>204</v>
      </c>
      <c r="D16" s="288" t="s">
        <v>205</v>
      </c>
      <c r="E16" s="288" t="s">
        <v>206</v>
      </c>
      <c r="F16" s="282" t="s">
        <v>194</v>
      </c>
      <c r="G16" s="288" t="s">
        <v>195</v>
      </c>
    </row>
    <row r="17" spans="2:7" ht="12.75">
      <c r="B17" s="283" t="s">
        <v>196</v>
      </c>
      <c r="C17" s="284">
        <v>66</v>
      </c>
      <c r="D17" s="284">
        <f>ROUNDUP(C17*0.5,0)</f>
        <v>33</v>
      </c>
      <c r="E17" s="284">
        <f>ROUNDUP(0.6*D17,0)</f>
        <v>20</v>
      </c>
      <c r="F17" s="284">
        <f>ROUNDUP(0.063*D17,0)</f>
        <v>3</v>
      </c>
      <c r="G17" s="284">
        <f>D17</f>
        <v>33</v>
      </c>
    </row>
    <row r="18" spans="2:7" ht="12.75">
      <c r="B18" s="283" t="s">
        <v>197</v>
      </c>
      <c r="C18" s="284">
        <v>92</v>
      </c>
      <c r="D18" s="284">
        <f aca="true" t="shared" si="3" ref="D18:D23">ROUNDUP(C18*0.5,0)</f>
        <v>46</v>
      </c>
      <c r="E18" s="284">
        <f aca="true" t="shared" si="4" ref="E18:E23">ROUNDUP(0.6*D18,0)</f>
        <v>28</v>
      </c>
      <c r="F18" s="284">
        <f>ROUNDUP(0.063*D18,0)</f>
        <v>3</v>
      </c>
      <c r="G18" s="284">
        <f aca="true" t="shared" si="5" ref="G18:G23">D18</f>
        <v>46</v>
      </c>
    </row>
    <row r="19" spans="2:7" ht="12.75">
      <c r="B19" s="283" t="s">
        <v>198</v>
      </c>
      <c r="C19" s="284">
        <v>1</v>
      </c>
      <c r="D19" s="284">
        <f t="shared" si="3"/>
        <v>1</v>
      </c>
      <c r="E19" s="284">
        <f t="shared" si="4"/>
        <v>1</v>
      </c>
      <c r="F19" s="284">
        <v>2</v>
      </c>
      <c r="G19" s="284">
        <f t="shared" si="5"/>
        <v>1</v>
      </c>
    </row>
    <row r="20" spans="2:7" ht="12.75">
      <c r="B20" s="283" t="s">
        <v>199</v>
      </c>
      <c r="C20" s="284">
        <v>11</v>
      </c>
      <c r="D20" s="284">
        <f t="shared" si="3"/>
        <v>6</v>
      </c>
      <c r="E20" s="284">
        <f t="shared" si="4"/>
        <v>4</v>
      </c>
      <c r="F20" s="284">
        <v>2</v>
      </c>
      <c r="G20" s="284">
        <f t="shared" si="5"/>
        <v>6</v>
      </c>
    </row>
    <row r="21" spans="2:7" ht="12.75">
      <c r="B21" s="283" t="s">
        <v>200</v>
      </c>
      <c r="C21" s="284">
        <v>19</v>
      </c>
      <c r="D21" s="284">
        <f t="shared" si="3"/>
        <v>10</v>
      </c>
      <c r="E21" s="284">
        <f t="shared" si="4"/>
        <v>6</v>
      </c>
      <c r="F21" s="284">
        <v>2</v>
      </c>
      <c r="G21" s="284">
        <f t="shared" si="5"/>
        <v>10</v>
      </c>
    </row>
    <row r="22" spans="2:7" ht="12.75">
      <c r="B22" s="283" t="s">
        <v>201</v>
      </c>
      <c r="C22" s="284">
        <v>54</v>
      </c>
      <c r="D22" s="284">
        <f t="shared" si="3"/>
        <v>27</v>
      </c>
      <c r="E22" s="284">
        <f t="shared" si="4"/>
        <v>17</v>
      </c>
      <c r="F22" s="284">
        <f>ROUNDUP(0.063*D22,0)</f>
        <v>2</v>
      </c>
      <c r="G22" s="284">
        <f t="shared" si="5"/>
        <v>27</v>
      </c>
    </row>
    <row r="23" spans="2:7" ht="12.75">
      <c r="B23" s="283" t="s">
        <v>202</v>
      </c>
      <c r="C23" s="284">
        <v>21</v>
      </c>
      <c r="D23" s="284">
        <f t="shared" si="3"/>
        <v>11</v>
      </c>
      <c r="E23" s="284">
        <f t="shared" si="4"/>
        <v>7</v>
      </c>
      <c r="F23" s="284">
        <v>2</v>
      </c>
      <c r="G23" s="284">
        <f t="shared" si="5"/>
        <v>11</v>
      </c>
    </row>
    <row r="24" spans="2:7" ht="12.75">
      <c r="B24" s="285" t="s">
        <v>203</v>
      </c>
      <c r="C24" s="286">
        <v>264</v>
      </c>
      <c r="D24" s="287">
        <f>SUM(D17:D23)</f>
        <v>134</v>
      </c>
      <c r="E24" s="287">
        <f>SUM(E17:E23)</f>
        <v>83</v>
      </c>
      <c r="F24" s="287">
        <f>SUM(F17:F23)</f>
        <v>16</v>
      </c>
      <c r="G24" s="286">
        <f>SUM(G17:G23)</f>
        <v>134</v>
      </c>
    </row>
    <row r="25" spans="2:3" ht="12.75">
      <c r="B25" s="330" t="s">
        <v>221</v>
      </c>
      <c r="C25" s="292">
        <f>($C$11-C24)/$C$11</f>
        <v>0.4146341463414634</v>
      </c>
    </row>
    <row r="28" ht="12.75">
      <c r="B28" s="281" t="s">
        <v>209</v>
      </c>
    </row>
    <row r="29" spans="2:7" ht="51">
      <c r="B29" s="282" t="s">
        <v>193</v>
      </c>
      <c r="C29" s="282" t="s">
        <v>211</v>
      </c>
      <c r="D29" s="282" t="s">
        <v>205</v>
      </c>
      <c r="E29" s="282" t="s">
        <v>206</v>
      </c>
      <c r="F29" s="282" t="s">
        <v>212</v>
      </c>
      <c r="G29" s="282" t="s">
        <v>213</v>
      </c>
    </row>
    <row r="30" spans="2:7" ht="12.75">
      <c r="B30" s="283" t="s">
        <v>196</v>
      </c>
      <c r="C30" s="284">
        <v>104</v>
      </c>
      <c r="D30" s="284">
        <f>ROUNDUP(C30*0.5,0)</f>
        <v>52</v>
      </c>
      <c r="E30" s="284">
        <f>ROUNDUP(0.6*D30,0)</f>
        <v>32</v>
      </c>
      <c r="F30" s="284">
        <f>ROUNDUP(0.063*D30,0)</f>
        <v>4</v>
      </c>
      <c r="G30" s="284">
        <f>D30</f>
        <v>52</v>
      </c>
    </row>
    <row r="31" spans="2:7" ht="12.75">
      <c r="B31" s="283" t="s">
        <v>197</v>
      </c>
      <c r="C31" s="284">
        <v>197</v>
      </c>
      <c r="D31" s="284">
        <f aca="true" t="shared" si="6" ref="D31:D36">ROUNDUP(C31*0.5,0)</f>
        <v>99</v>
      </c>
      <c r="E31" s="284">
        <f aca="true" t="shared" si="7" ref="E31:E36">ROUNDUP(0.6*D31,0)</f>
        <v>60</v>
      </c>
      <c r="F31" s="284">
        <f>ROUNDUP(0.063*D31,0)</f>
        <v>7</v>
      </c>
      <c r="G31" s="284">
        <f aca="true" t="shared" si="8" ref="G31:G36">D31</f>
        <v>99</v>
      </c>
    </row>
    <row r="32" spans="2:7" ht="12.75">
      <c r="B32" s="283" t="s">
        <v>198</v>
      </c>
      <c r="C32" s="284">
        <v>2</v>
      </c>
      <c r="D32" s="284">
        <f t="shared" si="6"/>
        <v>1</v>
      </c>
      <c r="E32" s="284">
        <f t="shared" si="7"/>
        <v>1</v>
      </c>
      <c r="F32" s="284">
        <v>2</v>
      </c>
      <c r="G32" s="284">
        <f t="shared" si="8"/>
        <v>1</v>
      </c>
    </row>
    <row r="33" spans="2:7" ht="12.75">
      <c r="B33" s="283" t="s">
        <v>199</v>
      </c>
      <c r="C33" s="284">
        <v>11</v>
      </c>
      <c r="D33" s="284">
        <f t="shared" si="6"/>
        <v>6</v>
      </c>
      <c r="E33" s="284">
        <f t="shared" si="7"/>
        <v>4</v>
      </c>
      <c r="F33" s="284">
        <v>2</v>
      </c>
      <c r="G33" s="284">
        <f t="shared" si="8"/>
        <v>6</v>
      </c>
    </row>
    <row r="34" spans="2:7" ht="12.75">
      <c r="B34" s="283" t="s">
        <v>200</v>
      </c>
      <c r="C34" s="284">
        <v>34</v>
      </c>
      <c r="D34" s="284">
        <f t="shared" si="6"/>
        <v>17</v>
      </c>
      <c r="E34" s="284">
        <f t="shared" si="7"/>
        <v>11</v>
      </c>
      <c r="F34" s="284">
        <f>ROUNDUP(0.063*D34,0)</f>
        <v>2</v>
      </c>
      <c r="G34" s="284">
        <f t="shared" si="8"/>
        <v>17</v>
      </c>
    </row>
    <row r="35" spans="2:7" ht="12.75">
      <c r="B35" s="283" t="s">
        <v>201</v>
      </c>
      <c r="C35" s="284">
        <v>56</v>
      </c>
      <c r="D35" s="284">
        <f t="shared" si="6"/>
        <v>28</v>
      </c>
      <c r="E35" s="284">
        <f t="shared" si="7"/>
        <v>17</v>
      </c>
      <c r="F35" s="284">
        <f>ROUNDUP(0.063*D35,0)</f>
        <v>2</v>
      </c>
      <c r="G35" s="284">
        <f t="shared" si="8"/>
        <v>28</v>
      </c>
    </row>
    <row r="36" spans="2:7" ht="12.75">
      <c r="B36" s="283" t="s">
        <v>202</v>
      </c>
      <c r="C36" s="284">
        <v>28</v>
      </c>
      <c r="D36" s="284">
        <f t="shared" si="6"/>
        <v>14</v>
      </c>
      <c r="E36" s="284">
        <f t="shared" si="7"/>
        <v>9</v>
      </c>
      <c r="F36" s="284">
        <v>2</v>
      </c>
      <c r="G36" s="284">
        <f t="shared" si="8"/>
        <v>14</v>
      </c>
    </row>
    <row r="37" spans="2:7" ht="12.75">
      <c r="B37" s="289" t="s">
        <v>203</v>
      </c>
      <c r="C37" s="290">
        <f>SUM(C30:C36)</f>
        <v>432</v>
      </c>
      <c r="D37" s="284">
        <f>SUM(D30:D36)</f>
        <v>217</v>
      </c>
      <c r="E37" s="284">
        <f>SUM(E30:E36)</f>
        <v>134</v>
      </c>
      <c r="F37" s="284">
        <f>SUM(F30:F36)</f>
        <v>21</v>
      </c>
      <c r="G37" s="290">
        <f>SUM(G30:G36)</f>
        <v>217</v>
      </c>
    </row>
    <row r="38" spans="2:3" ht="12.75">
      <c r="B38" s="330" t="s">
        <v>221</v>
      </c>
      <c r="C38" s="292">
        <f>($C$11-C37)/$C$11</f>
        <v>0.04212860310421286</v>
      </c>
    </row>
    <row r="41" ht="12.75">
      <c r="B41" s="281" t="s">
        <v>210</v>
      </c>
    </row>
    <row r="42" spans="2:7" ht="51">
      <c r="B42" s="282" t="s">
        <v>193</v>
      </c>
      <c r="C42" s="282" t="s">
        <v>204</v>
      </c>
      <c r="D42" s="282" t="s">
        <v>205</v>
      </c>
      <c r="E42" s="282" t="s">
        <v>206</v>
      </c>
      <c r="F42" s="282" t="s">
        <v>194</v>
      </c>
      <c r="G42" s="282" t="s">
        <v>195</v>
      </c>
    </row>
    <row r="43" spans="2:7" ht="12.75">
      <c r="B43" s="283" t="s">
        <v>196</v>
      </c>
      <c r="C43" s="284">
        <v>105</v>
      </c>
      <c r="D43" s="284">
        <f>ROUNDUP(C43*0.5,0)</f>
        <v>53</v>
      </c>
      <c r="E43" s="284">
        <f>ROUNDUP(0.6*D43,0)</f>
        <v>32</v>
      </c>
      <c r="F43" s="284">
        <f>ROUNDUP(0.063*D43,0)</f>
        <v>4</v>
      </c>
      <c r="G43" s="284">
        <f>D43</f>
        <v>53</v>
      </c>
    </row>
    <row r="44" spans="2:7" ht="12.75">
      <c r="B44" s="283" t="s">
        <v>197</v>
      </c>
      <c r="C44" s="284">
        <v>197</v>
      </c>
      <c r="D44" s="284">
        <f aca="true" t="shared" si="9" ref="D44:D49">ROUNDUP(C44*0.5,0)</f>
        <v>99</v>
      </c>
      <c r="E44" s="284">
        <f aca="true" t="shared" si="10" ref="E44:E49">ROUNDUP(0.6*D44,0)</f>
        <v>60</v>
      </c>
      <c r="F44" s="284">
        <f aca="true" t="shared" si="11" ref="F44:F49">ROUNDUP(0.063*D44,0)</f>
        <v>7</v>
      </c>
      <c r="G44" s="284">
        <f aca="true" t="shared" si="12" ref="G44:G49">D44</f>
        <v>99</v>
      </c>
    </row>
    <row r="45" spans="2:7" ht="12.75">
      <c r="B45" s="283" t="s">
        <v>198</v>
      </c>
      <c r="C45" s="284">
        <v>2</v>
      </c>
      <c r="D45" s="284">
        <f t="shared" si="9"/>
        <v>1</v>
      </c>
      <c r="E45" s="284">
        <f t="shared" si="10"/>
        <v>1</v>
      </c>
      <c r="F45" s="284">
        <v>2</v>
      </c>
      <c r="G45" s="284">
        <f t="shared" si="12"/>
        <v>1</v>
      </c>
    </row>
    <row r="46" spans="2:7" ht="12.75">
      <c r="B46" s="283" t="s">
        <v>199</v>
      </c>
      <c r="C46" s="284">
        <v>12</v>
      </c>
      <c r="D46" s="284">
        <f t="shared" si="9"/>
        <v>6</v>
      </c>
      <c r="E46" s="284">
        <f t="shared" si="10"/>
        <v>4</v>
      </c>
      <c r="F46" s="284">
        <v>2</v>
      </c>
      <c r="G46" s="284">
        <f t="shared" si="12"/>
        <v>6</v>
      </c>
    </row>
    <row r="47" spans="2:7" ht="12.75">
      <c r="B47" s="283" t="s">
        <v>200</v>
      </c>
      <c r="C47" s="284">
        <v>44</v>
      </c>
      <c r="D47" s="284">
        <f t="shared" si="9"/>
        <v>22</v>
      </c>
      <c r="E47" s="284">
        <f t="shared" si="10"/>
        <v>14</v>
      </c>
      <c r="F47" s="284">
        <f t="shared" si="11"/>
        <v>2</v>
      </c>
      <c r="G47" s="284">
        <f t="shared" si="12"/>
        <v>22</v>
      </c>
    </row>
    <row r="48" spans="2:7" ht="12.75">
      <c r="B48" s="283" t="s">
        <v>201</v>
      </c>
      <c r="C48" s="284">
        <v>56</v>
      </c>
      <c r="D48" s="284">
        <f t="shared" si="9"/>
        <v>28</v>
      </c>
      <c r="E48" s="284">
        <f t="shared" si="10"/>
        <v>17</v>
      </c>
      <c r="F48" s="284">
        <f t="shared" si="11"/>
        <v>2</v>
      </c>
      <c r="G48" s="284">
        <f t="shared" si="12"/>
        <v>28</v>
      </c>
    </row>
    <row r="49" spans="2:7" ht="12.75">
      <c r="B49" s="283" t="s">
        <v>202</v>
      </c>
      <c r="C49" s="284">
        <v>32</v>
      </c>
      <c r="D49" s="284">
        <f t="shared" si="9"/>
        <v>16</v>
      </c>
      <c r="E49" s="284">
        <f t="shared" si="10"/>
        <v>10</v>
      </c>
      <c r="F49" s="284">
        <f t="shared" si="11"/>
        <v>2</v>
      </c>
      <c r="G49" s="284">
        <f t="shared" si="12"/>
        <v>16</v>
      </c>
    </row>
    <row r="50" spans="2:7" ht="12.75">
      <c r="B50" s="285" t="s">
        <v>203</v>
      </c>
      <c r="C50" s="286">
        <v>448</v>
      </c>
      <c r="D50" s="287">
        <f>SUM(D43:D49)</f>
        <v>225</v>
      </c>
      <c r="E50" s="287">
        <f>SUM(E43:E49)</f>
        <v>138</v>
      </c>
      <c r="F50" s="287">
        <f>SUM(F43:F49)</f>
        <v>21</v>
      </c>
      <c r="G50" s="286">
        <f>SUM(G43:G49)</f>
        <v>225</v>
      </c>
    </row>
    <row r="51" spans="2:3" ht="12.75">
      <c r="B51" s="330" t="s">
        <v>221</v>
      </c>
      <c r="C51" s="292">
        <f>($C$11-C50)/$C$11</f>
        <v>0.0066518847006651885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1:BI69"/>
  <sheetViews>
    <sheetView workbookViewId="0" topLeftCell="A46">
      <selection activeCell="D3" sqref="D3:D11"/>
    </sheetView>
  </sheetViews>
  <sheetFormatPr defaultColWidth="9.140625" defaultRowHeight="12.75"/>
  <cols>
    <col min="1" max="1" width="10.28125" style="74" customWidth="1"/>
    <col min="2" max="2" width="33.140625" style="74" bestFit="1" customWidth="1"/>
    <col min="3" max="5" width="10.28125" style="74" customWidth="1"/>
    <col min="6" max="6" width="11.421875" style="74" customWidth="1"/>
    <col min="7" max="61" width="10.28125" style="74" customWidth="1"/>
    <col min="62" max="16384" width="10.28125" style="75" customWidth="1"/>
  </cols>
  <sheetData>
    <row r="1" spans="1:2" ht="14.25">
      <c r="A1" s="73" t="s">
        <v>105</v>
      </c>
      <c r="B1" s="73"/>
    </row>
    <row r="2" spans="1:2" ht="15" thickBot="1">
      <c r="A2" s="73"/>
      <c r="B2" s="73"/>
    </row>
    <row r="3" spans="1:61" ht="14.25">
      <c r="A3" s="73"/>
      <c r="B3" s="76" t="s">
        <v>106</v>
      </c>
      <c r="C3" s="77"/>
      <c r="D3" s="77"/>
      <c r="E3" s="77"/>
      <c r="F3" s="78"/>
      <c r="G3" s="78"/>
      <c r="H3" s="78"/>
      <c r="I3" s="79"/>
      <c r="BI3" s="75"/>
    </row>
    <row r="4" spans="1:61" ht="14.25">
      <c r="A4" s="80"/>
      <c r="B4" s="81"/>
      <c r="C4" s="82" t="s">
        <v>107</v>
      </c>
      <c r="D4" s="82" t="s">
        <v>108</v>
      </c>
      <c r="E4" s="82" t="s">
        <v>50</v>
      </c>
      <c r="F4" s="80"/>
      <c r="G4" s="80"/>
      <c r="H4" s="80"/>
      <c r="I4" s="83"/>
      <c r="BI4" s="75"/>
    </row>
    <row r="5" spans="1:61" ht="14.25">
      <c r="A5" s="80"/>
      <c r="B5" s="84" t="s">
        <v>109</v>
      </c>
      <c r="C5" s="85">
        <v>14</v>
      </c>
      <c r="D5" s="85" t="s">
        <v>110</v>
      </c>
      <c r="E5" s="86" t="s">
        <v>111</v>
      </c>
      <c r="F5" s="80"/>
      <c r="G5" s="80"/>
      <c r="H5" s="80"/>
      <c r="I5" s="83"/>
      <c r="BI5" s="75"/>
    </row>
    <row r="6" spans="1:61" ht="14.25">
      <c r="A6" s="80"/>
      <c r="B6" s="84" t="s">
        <v>112</v>
      </c>
      <c r="C6" s="85">
        <v>10</v>
      </c>
      <c r="D6" s="85" t="s">
        <v>67</v>
      </c>
      <c r="E6" s="86" t="s">
        <v>113</v>
      </c>
      <c r="F6" s="80"/>
      <c r="G6" s="80"/>
      <c r="H6" s="80"/>
      <c r="I6" s="83"/>
      <c r="BI6" s="75"/>
    </row>
    <row r="7" spans="1:61" ht="14.25">
      <c r="A7" s="80"/>
      <c r="B7" s="84" t="s">
        <v>114</v>
      </c>
      <c r="C7" s="85">
        <v>5</v>
      </c>
      <c r="D7" s="85" t="s">
        <v>67</v>
      </c>
      <c r="E7" s="86" t="s">
        <v>113</v>
      </c>
      <c r="F7" s="80"/>
      <c r="G7" s="80"/>
      <c r="H7" s="80"/>
      <c r="I7" s="83"/>
      <c r="BI7" s="75"/>
    </row>
    <row r="8" spans="1:61" ht="14.25">
      <c r="A8" s="80"/>
      <c r="B8" s="84" t="s">
        <v>115</v>
      </c>
      <c r="C8" s="87">
        <v>0.25</v>
      </c>
      <c r="D8" s="85"/>
      <c r="E8" s="80"/>
      <c r="F8" s="80"/>
      <c r="G8" s="80"/>
      <c r="H8" s="80"/>
      <c r="I8" s="83"/>
      <c r="BI8" s="75"/>
    </row>
    <row r="9" spans="1:61" ht="32.25" customHeight="1">
      <c r="A9" s="80"/>
      <c r="B9" s="88" t="s">
        <v>116</v>
      </c>
      <c r="C9" s="89">
        <v>1.2</v>
      </c>
      <c r="D9" s="85"/>
      <c r="E9" s="332" t="s">
        <v>169</v>
      </c>
      <c r="F9" s="333"/>
      <c r="G9" s="333"/>
      <c r="H9" s="333"/>
      <c r="I9" s="83"/>
      <c r="BI9" s="75"/>
    </row>
    <row r="10" spans="1:61" ht="25.5">
      <c r="A10" s="80"/>
      <c r="B10" s="88" t="s">
        <v>117</v>
      </c>
      <c r="C10" s="89">
        <v>0.26</v>
      </c>
      <c r="D10" s="85"/>
      <c r="E10" s="90" t="s">
        <v>118</v>
      </c>
      <c r="F10" s="80"/>
      <c r="G10" s="80"/>
      <c r="H10" s="80"/>
      <c r="I10" s="83"/>
      <c r="BI10" s="75"/>
    </row>
    <row r="11" spans="1:61" ht="26.25" thickBot="1">
      <c r="A11" s="80"/>
      <c r="B11" s="91" t="s">
        <v>119</v>
      </c>
      <c r="C11" s="92">
        <v>0.15</v>
      </c>
      <c r="D11" s="93"/>
      <c r="E11" s="94" t="s">
        <v>120</v>
      </c>
      <c r="F11" s="95"/>
      <c r="G11" s="95"/>
      <c r="H11" s="95"/>
      <c r="I11" s="96"/>
      <c r="BI11" s="75"/>
    </row>
    <row r="12" spans="1:6" ht="14.25">
      <c r="A12" s="80"/>
      <c r="B12" s="80"/>
      <c r="C12" s="87"/>
      <c r="D12" s="87"/>
      <c r="E12" s="85"/>
      <c r="F12" s="86"/>
    </row>
    <row r="13" spans="1:6" ht="14.25">
      <c r="A13" s="80"/>
      <c r="B13" s="80"/>
      <c r="C13" s="87"/>
      <c r="D13" s="87"/>
      <c r="E13" s="85"/>
      <c r="F13" s="86"/>
    </row>
    <row r="14" spans="1:16" ht="15" thickBot="1">
      <c r="A14" s="331"/>
      <c r="B14" s="331"/>
      <c r="C14" s="85"/>
      <c r="D14" s="85"/>
      <c r="E14" s="85"/>
      <c r="F14" s="85"/>
      <c r="G14" s="80"/>
      <c r="H14" s="80"/>
      <c r="I14" s="80"/>
      <c r="J14" s="80"/>
      <c r="K14" s="80"/>
      <c r="L14" s="80"/>
      <c r="M14" s="80"/>
      <c r="N14" s="80"/>
      <c r="O14" s="80"/>
      <c r="P14" s="80"/>
    </row>
    <row r="15" spans="1:61" ht="14.25">
      <c r="A15" s="80"/>
      <c r="B15" s="97" t="s">
        <v>121</v>
      </c>
      <c r="C15" s="98" t="s">
        <v>107</v>
      </c>
      <c r="D15" s="98" t="s">
        <v>108</v>
      </c>
      <c r="E15" s="98" t="s">
        <v>122</v>
      </c>
      <c r="F15" s="99"/>
      <c r="G15" s="99"/>
      <c r="H15" s="99"/>
      <c r="I15" s="100"/>
      <c r="J15" s="80"/>
      <c r="K15" s="80"/>
      <c r="L15" s="80"/>
      <c r="M15" s="80"/>
      <c r="N15" s="80"/>
      <c r="O15" s="80"/>
      <c r="BI15" s="75"/>
    </row>
    <row r="16" spans="1:61" ht="14.25">
      <c r="A16" s="80"/>
      <c r="B16" s="101" t="s">
        <v>123</v>
      </c>
      <c r="C16" s="102">
        <v>2.6</v>
      </c>
      <c r="D16" s="103"/>
      <c r="E16" s="103"/>
      <c r="F16" s="104"/>
      <c r="G16" s="104"/>
      <c r="H16" s="104"/>
      <c r="I16" s="105"/>
      <c r="J16" s="80"/>
      <c r="K16" s="80"/>
      <c r="L16" s="80"/>
      <c r="M16" s="80"/>
      <c r="N16" s="80"/>
      <c r="O16" s="80"/>
      <c r="BI16" s="75"/>
    </row>
    <row r="17" spans="1:61" ht="14.25">
      <c r="A17" s="80"/>
      <c r="B17" s="101" t="s">
        <v>124</v>
      </c>
      <c r="C17" s="102">
        <v>0.8</v>
      </c>
      <c r="D17" s="103"/>
      <c r="E17" s="103"/>
      <c r="F17" s="104"/>
      <c r="G17" s="104"/>
      <c r="H17" s="104"/>
      <c r="I17" s="105"/>
      <c r="J17" s="80"/>
      <c r="K17" s="80"/>
      <c r="L17" s="80"/>
      <c r="M17" s="80"/>
      <c r="N17" s="80"/>
      <c r="O17" s="80"/>
      <c r="BI17" s="75"/>
    </row>
    <row r="18" spans="1:61" ht="14.25">
      <c r="A18" s="80"/>
      <c r="B18" s="101" t="s">
        <v>125</v>
      </c>
      <c r="C18" s="102">
        <v>0.4</v>
      </c>
      <c r="D18" s="103"/>
      <c r="E18" s="103"/>
      <c r="F18" s="104"/>
      <c r="G18" s="104"/>
      <c r="H18" s="104"/>
      <c r="I18" s="105"/>
      <c r="J18" s="80"/>
      <c r="K18" s="80"/>
      <c r="L18" s="80"/>
      <c r="M18" s="80"/>
      <c r="N18" s="80"/>
      <c r="O18" s="80"/>
      <c r="BI18" s="75"/>
    </row>
    <row r="19" spans="1:61" ht="14.25">
      <c r="A19" s="80"/>
      <c r="B19" s="101" t="s">
        <v>126</v>
      </c>
      <c r="C19" s="102">
        <v>0.38</v>
      </c>
      <c r="D19" s="103"/>
      <c r="E19" s="103"/>
      <c r="F19" s="104"/>
      <c r="G19" s="104"/>
      <c r="H19" s="104"/>
      <c r="I19" s="105"/>
      <c r="J19" s="80"/>
      <c r="K19" s="80"/>
      <c r="L19" s="80"/>
      <c r="M19" s="80"/>
      <c r="N19" s="80"/>
      <c r="O19" s="80"/>
      <c r="BI19" s="75"/>
    </row>
    <row r="20" spans="1:61" ht="14.25">
      <c r="A20" s="80"/>
      <c r="B20" s="101" t="s">
        <v>127</v>
      </c>
      <c r="C20" s="102">
        <v>0.8</v>
      </c>
      <c r="D20" s="103"/>
      <c r="E20" s="103"/>
      <c r="F20" s="104"/>
      <c r="G20" s="104"/>
      <c r="H20" s="104"/>
      <c r="I20" s="105"/>
      <c r="J20" s="80"/>
      <c r="K20" s="80"/>
      <c r="L20" s="80"/>
      <c r="M20" s="80"/>
      <c r="N20" s="80"/>
      <c r="O20" s="80"/>
      <c r="BI20" s="75"/>
    </row>
    <row r="21" spans="1:61" ht="14.25">
      <c r="A21" s="80"/>
      <c r="B21" s="101" t="s">
        <v>128</v>
      </c>
      <c r="C21" s="102">
        <v>0.4</v>
      </c>
      <c r="D21" s="103"/>
      <c r="E21" s="103"/>
      <c r="F21" s="104"/>
      <c r="G21" s="104"/>
      <c r="H21" s="104"/>
      <c r="I21" s="105"/>
      <c r="J21" s="80"/>
      <c r="K21" s="80"/>
      <c r="L21" s="80"/>
      <c r="M21" s="80"/>
      <c r="N21" s="80"/>
      <c r="O21" s="80"/>
      <c r="BI21" s="75"/>
    </row>
    <row r="22" spans="1:61" ht="14.25">
      <c r="A22" s="80"/>
      <c r="B22" s="101" t="s">
        <v>129</v>
      </c>
      <c r="C22" s="106">
        <v>5</v>
      </c>
      <c r="D22" s="107" t="s">
        <v>130</v>
      </c>
      <c r="E22" s="108" t="s">
        <v>131</v>
      </c>
      <c r="F22" s="104"/>
      <c r="G22" s="104"/>
      <c r="H22" s="104"/>
      <c r="I22" s="105"/>
      <c r="J22" s="80"/>
      <c r="K22" s="80"/>
      <c r="L22" s="80"/>
      <c r="M22" s="80"/>
      <c r="N22" s="80"/>
      <c r="O22" s="80"/>
      <c r="BI22" s="75"/>
    </row>
    <row r="23" spans="1:61" ht="14.25">
      <c r="A23" s="80"/>
      <c r="B23" s="101" t="s">
        <v>132</v>
      </c>
      <c r="C23" s="106">
        <v>0.5</v>
      </c>
      <c r="D23" s="107" t="s">
        <v>130</v>
      </c>
      <c r="E23" s="108" t="s">
        <v>133</v>
      </c>
      <c r="F23" s="104"/>
      <c r="G23" s="104"/>
      <c r="H23" s="104"/>
      <c r="I23" s="105"/>
      <c r="J23" s="80"/>
      <c r="K23" s="80"/>
      <c r="L23" s="80"/>
      <c r="M23" s="80"/>
      <c r="N23" s="80"/>
      <c r="O23" s="80"/>
      <c r="BI23" s="75"/>
    </row>
    <row r="24" spans="1:61" ht="14.25">
      <c r="A24" s="80"/>
      <c r="B24" s="101" t="s">
        <v>115</v>
      </c>
      <c r="C24" s="106">
        <v>0.25</v>
      </c>
      <c r="D24" s="107"/>
      <c r="E24" s="108" t="s">
        <v>134</v>
      </c>
      <c r="F24" s="104"/>
      <c r="G24" s="104"/>
      <c r="H24" s="104"/>
      <c r="I24" s="105"/>
      <c r="J24" s="80"/>
      <c r="K24" s="80"/>
      <c r="L24" s="80"/>
      <c r="M24" s="80"/>
      <c r="N24" s="80"/>
      <c r="O24" s="80"/>
      <c r="BI24" s="75"/>
    </row>
    <row r="25" spans="1:61" ht="14.25">
      <c r="A25" s="80"/>
      <c r="B25" s="101" t="s">
        <v>135</v>
      </c>
      <c r="C25" s="106">
        <v>0.75</v>
      </c>
      <c r="D25" s="107"/>
      <c r="E25" s="108" t="s">
        <v>136</v>
      </c>
      <c r="F25" s="104"/>
      <c r="G25" s="104"/>
      <c r="H25" s="104"/>
      <c r="I25" s="105"/>
      <c r="J25" s="80"/>
      <c r="K25" s="80"/>
      <c r="L25" s="80"/>
      <c r="M25" s="80"/>
      <c r="N25" s="80"/>
      <c r="O25" s="80"/>
      <c r="BI25" s="75"/>
    </row>
    <row r="26" spans="1:61" ht="14.25">
      <c r="A26" s="80"/>
      <c r="B26" s="101" t="s">
        <v>137</v>
      </c>
      <c r="C26" s="109">
        <v>0.1</v>
      </c>
      <c r="D26" s="107" t="s">
        <v>130</v>
      </c>
      <c r="E26" s="108" t="s">
        <v>138</v>
      </c>
      <c r="F26" s="104"/>
      <c r="G26" s="104"/>
      <c r="H26" s="104"/>
      <c r="I26" s="105"/>
      <c r="J26" s="80"/>
      <c r="K26" s="80"/>
      <c r="L26" s="80"/>
      <c r="M26" s="80"/>
      <c r="N26" s="80"/>
      <c r="O26" s="80"/>
      <c r="BI26" s="75"/>
    </row>
    <row r="27" spans="1:61" ht="14.25">
      <c r="A27" s="80"/>
      <c r="B27" s="101" t="s">
        <v>139</v>
      </c>
      <c r="C27" s="109">
        <v>0.4</v>
      </c>
      <c r="D27" s="107" t="s">
        <v>130</v>
      </c>
      <c r="E27" s="108" t="s">
        <v>138</v>
      </c>
      <c r="F27" s="104"/>
      <c r="G27" s="104"/>
      <c r="H27" s="104"/>
      <c r="I27" s="105"/>
      <c r="J27" s="80"/>
      <c r="K27" s="80"/>
      <c r="L27" s="80"/>
      <c r="M27" s="80"/>
      <c r="N27" s="80"/>
      <c r="O27" s="80"/>
      <c r="BI27" s="75"/>
    </row>
    <row r="28" spans="1:61" ht="14.25">
      <c r="A28" s="80"/>
      <c r="B28" s="101" t="s">
        <v>140</v>
      </c>
      <c r="C28" s="109">
        <v>0.5</v>
      </c>
      <c r="D28" s="107"/>
      <c r="E28" s="108"/>
      <c r="F28" s="104"/>
      <c r="G28" s="104"/>
      <c r="H28" s="104"/>
      <c r="I28" s="105"/>
      <c r="J28" s="80"/>
      <c r="K28" s="80"/>
      <c r="L28" s="80"/>
      <c r="M28" s="80"/>
      <c r="N28" s="80"/>
      <c r="O28" s="80"/>
      <c r="BI28" s="75"/>
    </row>
    <row r="29" spans="1:61" ht="15" thickBot="1">
      <c r="A29" s="80"/>
      <c r="B29" s="110" t="s">
        <v>141</v>
      </c>
      <c r="C29" s="111">
        <v>10</v>
      </c>
      <c r="D29" s="112" t="s">
        <v>66</v>
      </c>
      <c r="E29" s="113" t="s">
        <v>138</v>
      </c>
      <c r="F29" s="114"/>
      <c r="G29" s="114"/>
      <c r="H29" s="114"/>
      <c r="I29" s="115"/>
      <c r="J29" s="80"/>
      <c r="K29" s="80"/>
      <c r="L29" s="80"/>
      <c r="M29" s="80"/>
      <c r="N29" s="80"/>
      <c r="O29" s="80"/>
      <c r="BI29" s="75"/>
    </row>
    <row r="30" spans="2:16" ht="14.25">
      <c r="B30" s="116" t="s">
        <v>122</v>
      </c>
      <c r="C30" s="85"/>
      <c r="D30" s="85"/>
      <c r="E30" s="85"/>
      <c r="F30" s="85"/>
      <c r="G30" s="80"/>
      <c r="H30" s="80"/>
      <c r="I30" s="80"/>
      <c r="J30" s="80"/>
      <c r="K30" s="80"/>
      <c r="L30" s="80"/>
      <c r="M30" s="80"/>
      <c r="N30" s="80"/>
      <c r="O30" s="80"/>
      <c r="P30" s="80"/>
    </row>
    <row r="31" spans="2:16" ht="14.25">
      <c r="B31" s="80" t="s">
        <v>142</v>
      </c>
      <c r="C31" s="85"/>
      <c r="D31" s="85"/>
      <c r="E31" s="85"/>
      <c r="F31" s="85"/>
      <c r="G31" s="80"/>
      <c r="H31" s="80"/>
      <c r="I31" s="80"/>
      <c r="J31" s="80"/>
      <c r="K31" s="80"/>
      <c r="L31" s="80"/>
      <c r="M31" s="80"/>
      <c r="N31" s="80"/>
      <c r="O31" s="80"/>
      <c r="P31" s="80"/>
    </row>
    <row r="32" spans="2:16" ht="14.25">
      <c r="B32" s="80" t="s">
        <v>143</v>
      </c>
      <c r="C32" s="85"/>
      <c r="D32" s="85"/>
      <c r="E32" s="85"/>
      <c r="F32" s="85"/>
      <c r="G32" s="80"/>
      <c r="H32" s="80"/>
      <c r="I32" s="80"/>
      <c r="J32" s="80"/>
      <c r="K32" s="80"/>
      <c r="L32" s="80"/>
      <c r="M32" s="80"/>
      <c r="N32" s="80"/>
      <c r="O32" s="80"/>
      <c r="P32" s="80"/>
    </row>
    <row r="33" spans="2:16" ht="14.25">
      <c r="B33" s="80" t="s">
        <v>144</v>
      </c>
      <c r="C33" s="85"/>
      <c r="D33" s="85"/>
      <c r="E33" s="85"/>
      <c r="F33" s="85"/>
      <c r="G33" s="80"/>
      <c r="H33" s="80"/>
      <c r="I33" s="80"/>
      <c r="J33" s="80"/>
      <c r="K33" s="80"/>
      <c r="L33" s="80"/>
      <c r="M33" s="80"/>
      <c r="N33" s="80"/>
      <c r="O33" s="80"/>
      <c r="P33" s="80"/>
    </row>
    <row r="34" spans="2:16" ht="14.25">
      <c r="B34" s="80" t="s">
        <v>145</v>
      </c>
      <c r="C34" s="80"/>
      <c r="D34" s="80"/>
      <c r="E34" s="80"/>
      <c r="F34" s="80"/>
      <c r="G34" s="80"/>
      <c r="H34" s="80"/>
      <c r="I34" s="80"/>
      <c r="J34" s="80"/>
      <c r="K34" s="80"/>
      <c r="L34" s="80"/>
      <c r="M34" s="80"/>
      <c r="N34" s="80"/>
      <c r="O34" s="80"/>
      <c r="P34" s="80"/>
    </row>
    <row r="35" spans="1:16" ht="14.25">
      <c r="A35" s="80"/>
      <c r="B35" s="80"/>
      <c r="C35" s="80"/>
      <c r="D35" s="80"/>
      <c r="E35" s="80"/>
      <c r="F35" s="80"/>
      <c r="G35" s="80"/>
      <c r="H35" s="80"/>
      <c r="I35" s="80"/>
      <c r="J35" s="80"/>
      <c r="K35" s="80"/>
      <c r="L35" s="80"/>
      <c r="M35" s="80"/>
      <c r="N35" s="80"/>
      <c r="O35" s="80"/>
      <c r="P35" s="80"/>
    </row>
    <row r="36" spans="1:16" ht="14.25">
      <c r="A36" s="80"/>
      <c r="B36" s="80"/>
      <c r="C36" s="80"/>
      <c r="D36" s="80"/>
      <c r="E36" s="80"/>
      <c r="F36" s="80"/>
      <c r="G36" s="80"/>
      <c r="H36" s="80"/>
      <c r="I36" s="80"/>
      <c r="J36" s="80"/>
      <c r="K36" s="80"/>
      <c r="L36" s="80"/>
      <c r="M36" s="80"/>
      <c r="N36" s="80"/>
      <c r="O36" s="80"/>
      <c r="P36" s="80"/>
    </row>
    <row r="37" spans="1:16" ht="14.25">
      <c r="A37" s="80"/>
      <c r="B37" s="80"/>
      <c r="C37" s="80"/>
      <c r="D37" s="80"/>
      <c r="E37" s="80"/>
      <c r="F37" s="80"/>
      <c r="G37" s="80"/>
      <c r="H37" s="80"/>
      <c r="I37" s="80"/>
      <c r="J37" s="80"/>
      <c r="K37" s="80"/>
      <c r="L37" s="80"/>
      <c r="M37" s="80"/>
      <c r="N37" s="80"/>
      <c r="O37" s="80"/>
      <c r="P37" s="80"/>
    </row>
    <row r="38" spans="1:16" ht="15.75" thickBot="1">
      <c r="A38" s="80"/>
      <c r="B38" s="117" t="s">
        <v>146</v>
      </c>
      <c r="C38" s="118"/>
      <c r="D38" s="118"/>
      <c r="E38" s="118"/>
      <c r="F38" s="119"/>
      <c r="G38" s="118"/>
      <c r="H38" s="120"/>
      <c r="I38" s="120"/>
      <c r="J38" s="120"/>
      <c r="K38" s="80"/>
      <c r="L38" s="80"/>
      <c r="M38" s="80"/>
      <c r="N38" s="80"/>
      <c r="O38" s="80"/>
      <c r="P38" s="80"/>
    </row>
    <row r="39" spans="1:16" ht="52.5">
      <c r="A39" s="80"/>
      <c r="B39" s="121" t="s">
        <v>147</v>
      </c>
      <c r="C39" s="122" t="s">
        <v>148</v>
      </c>
      <c r="D39" s="122" t="s">
        <v>149</v>
      </c>
      <c r="E39" s="122" t="s">
        <v>170</v>
      </c>
      <c r="F39" s="122" t="s">
        <v>150</v>
      </c>
      <c r="G39" s="122" t="s">
        <v>171</v>
      </c>
      <c r="H39" s="122"/>
      <c r="I39" s="122" t="s">
        <v>172</v>
      </c>
      <c r="J39" s="123"/>
      <c r="K39" s="80"/>
      <c r="L39" s="80"/>
      <c r="M39" s="80"/>
      <c r="N39" s="80"/>
      <c r="O39" s="80"/>
      <c r="P39" s="80"/>
    </row>
    <row r="40" spans="1:16" ht="51">
      <c r="A40" s="80"/>
      <c r="B40" s="124"/>
      <c r="C40" s="125"/>
      <c r="D40" s="125"/>
      <c r="E40" s="126"/>
      <c r="F40" s="125"/>
      <c r="G40" s="125" t="s">
        <v>151</v>
      </c>
      <c r="H40" s="125" t="s">
        <v>152</v>
      </c>
      <c r="I40" s="125" t="s">
        <v>151</v>
      </c>
      <c r="J40" s="127" t="s">
        <v>152</v>
      </c>
      <c r="K40" s="80"/>
      <c r="L40" s="80"/>
      <c r="M40" s="80"/>
      <c r="N40" s="80"/>
      <c r="O40" s="80"/>
      <c r="P40" s="80"/>
    </row>
    <row r="41" spans="1:16" ht="14.25">
      <c r="A41" s="80"/>
      <c r="B41" s="128" t="s">
        <v>153</v>
      </c>
      <c r="C41" s="129">
        <v>85000</v>
      </c>
      <c r="D41" s="130">
        <f aca="true" t="shared" si="0" ref="D41:D52">$C$29</f>
        <v>10</v>
      </c>
      <c r="E41" s="130">
        <v>27</v>
      </c>
      <c r="F41" s="131">
        <f>D41*E41</f>
        <v>270</v>
      </c>
      <c r="G41" s="132">
        <f>$C$16*($C$22/12)^$C$17*($C41/(2000*3))^$C$18</f>
        <v>3.7265883739132364</v>
      </c>
      <c r="H41" s="133">
        <f aca="true" t="shared" si="1" ref="H41:H52">F41*G41*$C$28+F41*G41*$C$26*$C$24+F41*G41*$C$25*$C$27</f>
        <v>830.0975602891733</v>
      </c>
      <c r="I41" s="132">
        <f>$C$19*($C$22/12)^$C$20*($C41/(2000*3))^$C$21</f>
        <v>0.5446552238796268</v>
      </c>
      <c r="J41" s="134">
        <f aca="true" t="shared" si="2" ref="J41:J52">F41*I41*$C$28+F41*I41*$C$26*$C$24+I41*F41*$C$25*$C$27</f>
        <v>121.32195111918688</v>
      </c>
      <c r="K41" s="80"/>
      <c r="L41" s="80"/>
      <c r="M41" s="80"/>
      <c r="N41" s="80"/>
      <c r="O41" s="80"/>
      <c r="P41" s="80"/>
    </row>
    <row r="42" spans="1:16" ht="14.25">
      <c r="A42" s="80"/>
      <c r="B42" s="128" t="s">
        <v>154</v>
      </c>
      <c r="C42" s="129">
        <v>80000</v>
      </c>
      <c r="D42" s="130">
        <f t="shared" si="0"/>
        <v>10</v>
      </c>
      <c r="E42" s="130">
        <v>9</v>
      </c>
      <c r="F42" s="131">
        <f aca="true" t="shared" si="3" ref="F42:F52">D42*E42</f>
        <v>90</v>
      </c>
      <c r="G42" s="132">
        <f aca="true" t="shared" si="4" ref="G42:G52">$C$16*($C$22/12)^$C$17*($C42/(2000*3))^$C$18</f>
        <v>3.6373060857700135</v>
      </c>
      <c r="H42" s="133">
        <f t="shared" si="1"/>
        <v>270.0699768684235</v>
      </c>
      <c r="I42" s="132">
        <f aca="true" t="shared" si="5" ref="I42:I52">$C$19*($C$22/12)^$C$20*($C42/(2000*3))^$C$21</f>
        <v>0.5316062740740789</v>
      </c>
      <c r="J42" s="134">
        <f t="shared" si="2"/>
        <v>39.47176585000036</v>
      </c>
      <c r="K42" s="80"/>
      <c r="L42" s="80"/>
      <c r="M42" s="80"/>
      <c r="N42" s="80"/>
      <c r="O42" s="80"/>
      <c r="P42" s="80"/>
    </row>
    <row r="43" spans="1:16" ht="14.25">
      <c r="A43" s="80"/>
      <c r="B43" s="128" t="s">
        <v>155</v>
      </c>
      <c r="C43" s="129">
        <v>50000</v>
      </c>
      <c r="D43" s="130">
        <f t="shared" si="0"/>
        <v>10</v>
      </c>
      <c r="E43" s="135">
        <v>28</v>
      </c>
      <c r="F43" s="131">
        <f t="shared" si="3"/>
        <v>280</v>
      </c>
      <c r="G43" s="132">
        <f t="shared" si="4"/>
        <v>3.013920942068901</v>
      </c>
      <c r="H43" s="133">
        <f t="shared" si="1"/>
        <v>696.2157376179161</v>
      </c>
      <c r="I43" s="132">
        <f t="shared" si="5"/>
        <v>0.4404961376869932</v>
      </c>
      <c r="J43" s="134">
        <f t="shared" si="2"/>
        <v>101.75460780569543</v>
      </c>
      <c r="K43" s="80"/>
      <c r="L43" s="80"/>
      <c r="M43" s="80"/>
      <c r="N43" s="80"/>
      <c r="O43" s="80"/>
      <c r="P43" s="80"/>
    </row>
    <row r="44" spans="1:16" ht="14.25">
      <c r="A44" s="80"/>
      <c r="B44" s="128" t="s">
        <v>156</v>
      </c>
      <c r="C44" s="129">
        <v>50000</v>
      </c>
      <c r="D44" s="130">
        <f t="shared" si="0"/>
        <v>10</v>
      </c>
      <c r="E44" s="130">
        <v>20</v>
      </c>
      <c r="F44" s="131">
        <f t="shared" si="3"/>
        <v>200</v>
      </c>
      <c r="G44" s="132">
        <f t="shared" si="4"/>
        <v>3.013920942068901</v>
      </c>
      <c r="H44" s="133">
        <f t="shared" si="1"/>
        <v>497.2969554413686</v>
      </c>
      <c r="I44" s="132">
        <f t="shared" si="5"/>
        <v>0.4404961376869932</v>
      </c>
      <c r="J44" s="134">
        <f t="shared" si="2"/>
        <v>72.68186271835387</v>
      </c>
      <c r="K44" s="80"/>
      <c r="L44" s="80"/>
      <c r="M44" s="80"/>
      <c r="N44" s="80"/>
      <c r="O44" s="80"/>
      <c r="P44" s="80"/>
    </row>
    <row r="45" spans="1:16" ht="14.25">
      <c r="A45" s="80"/>
      <c r="B45" s="128" t="s">
        <v>157</v>
      </c>
      <c r="C45" s="129">
        <v>8000</v>
      </c>
      <c r="D45" s="130">
        <f t="shared" si="0"/>
        <v>10</v>
      </c>
      <c r="E45" s="130">
        <v>243</v>
      </c>
      <c r="F45" s="131">
        <f t="shared" si="3"/>
        <v>2430</v>
      </c>
      <c r="G45" s="132">
        <f t="shared" si="4"/>
        <v>1.4480376342429162</v>
      </c>
      <c r="H45" s="133">
        <f t="shared" si="1"/>
        <v>2902.9534472484866</v>
      </c>
      <c r="I45" s="132">
        <f t="shared" si="5"/>
        <v>0.21163626962011853</v>
      </c>
      <c r="J45" s="134">
        <f t="shared" si="2"/>
        <v>424.27781152093263</v>
      </c>
      <c r="K45" s="80"/>
      <c r="L45" s="80"/>
      <c r="M45" s="80"/>
      <c r="N45" s="80"/>
      <c r="O45" s="80"/>
      <c r="P45" s="80"/>
    </row>
    <row r="46" spans="1:16" ht="14.25">
      <c r="A46" s="80"/>
      <c r="B46" s="128" t="s">
        <v>158</v>
      </c>
      <c r="C46" s="129">
        <v>8000</v>
      </c>
      <c r="D46" s="130">
        <f t="shared" si="0"/>
        <v>10</v>
      </c>
      <c r="E46" s="130">
        <v>2</v>
      </c>
      <c r="F46" s="131">
        <f t="shared" si="3"/>
        <v>20</v>
      </c>
      <c r="G46" s="132">
        <f t="shared" si="4"/>
        <v>1.4480376342429162</v>
      </c>
      <c r="H46" s="133">
        <f t="shared" si="1"/>
        <v>23.892620965008117</v>
      </c>
      <c r="I46" s="132">
        <f t="shared" si="5"/>
        <v>0.21163626962011853</v>
      </c>
      <c r="J46" s="134">
        <f t="shared" si="2"/>
        <v>3.4919984487319558</v>
      </c>
      <c r="K46" s="80"/>
      <c r="L46" s="80"/>
      <c r="M46" s="80"/>
      <c r="N46" s="80"/>
      <c r="O46" s="80"/>
      <c r="P46" s="80"/>
    </row>
    <row r="47" spans="1:16" ht="14.25">
      <c r="A47" s="80"/>
      <c r="B47" s="128" t="s">
        <v>159</v>
      </c>
      <c r="C47" s="129">
        <v>85000</v>
      </c>
      <c r="D47" s="130">
        <f t="shared" si="0"/>
        <v>10</v>
      </c>
      <c r="E47" s="130">
        <v>1</v>
      </c>
      <c r="F47" s="131">
        <f t="shared" si="3"/>
        <v>10</v>
      </c>
      <c r="G47" s="132">
        <f t="shared" si="4"/>
        <v>3.7265883739132364</v>
      </c>
      <c r="H47" s="133">
        <f t="shared" si="1"/>
        <v>30.7443540847842</v>
      </c>
      <c r="I47" s="132">
        <f t="shared" si="5"/>
        <v>0.5446552238796268</v>
      </c>
      <c r="J47" s="134">
        <f t="shared" si="2"/>
        <v>4.493405597006921</v>
      </c>
      <c r="K47" s="80"/>
      <c r="L47" s="80"/>
      <c r="M47" s="80"/>
      <c r="N47" s="80"/>
      <c r="O47" s="80"/>
      <c r="P47" s="80"/>
    </row>
    <row r="48" spans="1:16" ht="14.25">
      <c r="A48" s="80"/>
      <c r="B48" s="128" t="s">
        <v>160</v>
      </c>
      <c r="C48" s="129">
        <v>85000</v>
      </c>
      <c r="D48" s="130">
        <f t="shared" si="0"/>
        <v>10</v>
      </c>
      <c r="E48" s="130">
        <v>1</v>
      </c>
      <c r="F48" s="131">
        <f t="shared" si="3"/>
        <v>10</v>
      </c>
      <c r="G48" s="132">
        <f t="shared" si="4"/>
        <v>3.7265883739132364</v>
      </c>
      <c r="H48" s="133">
        <f t="shared" si="1"/>
        <v>30.7443540847842</v>
      </c>
      <c r="I48" s="132">
        <f t="shared" si="5"/>
        <v>0.5446552238796268</v>
      </c>
      <c r="J48" s="134">
        <f t="shared" si="2"/>
        <v>4.493405597006921</v>
      </c>
      <c r="K48" s="80"/>
      <c r="L48" s="80"/>
      <c r="M48" s="80"/>
      <c r="N48" s="80"/>
      <c r="O48" s="80"/>
      <c r="P48" s="80"/>
    </row>
    <row r="49" spans="1:16" ht="14.25">
      <c r="A49" s="80"/>
      <c r="B49" s="128" t="s">
        <v>161</v>
      </c>
      <c r="C49" s="129">
        <v>50000</v>
      </c>
      <c r="D49" s="130">
        <f t="shared" si="0"/>
        <v>10</v>
      </c>
      <c r="E49" s="130">
        <v>5</v>
      </c>
      <c r="F49" s="131">
        <f t="shared" si="3"/>
        <v>50</v>
      </c>
      <c r="G49" s="132">
        <f t="shared" si="4"/>
        <v>3.013920942068901</v>
      </c>
      <c r="H49" s="133">
        <f t="shared" si="1"/>
        <v>124.32423886034215</v>
      </c>
      <c r="I49" s="132">
        <f t="shared" si="5"/>
        <v>0.4404961376869932</v>
      </c>
      <c r="J49" s="134">
        <f t="shared" si="2"/>
        <v>18.170465679588467</v>
      </c>
      <c r="K49" s="80"/>
      <c r="L49" s="80"/>
      <c r="M49" s="80"/>
      <c r="N49" s="80"/>
      <c r="O49" s="80"/>
      <c r="P49" s="80"/>
    </row>
    <row r="50" spans="1:16" ht="14.25">
      <c r="A50" s="80"/>
      <c r="B50" s="128" t="s">
        <v>162</v>
      </c>
      <c r="C50" s="129">
        <v>85000</v>
      </c>
      <c r="D50" s="130">
        <f t="shared" si="0"/>
        <v>10</v>
      </c>
      <c r="E50" s="130">
        <v>4</v>
      </c>
      <c r="F50" s="131">
        <f t="shared" si="3"/>
        <v>40</v>
      </c>
      <c r="G50" s="132">
        <f t="shared" si="4"/>
        <v>3.7265883739132364</v>
      </c>
      <c r="H50" s="133">
        <f t="shared" si="1"/>
        <v>122.9774163391368</v>
      </c>
      <c r="I50" s="132">
        <f t="shared" si="5"/>
        <v>0.5446552238796268</v>
      </c>
      <c r="J50" s="134">
        <f t="shared" si="2"/>
        <v>17.973622388027685</v>
      </c>
      <c r="K50" s="80"/>
      <c r="L50" s="80"/>
      <c r="M50" s="80"/>
      <c r="N50" s="80"/>
      <c r="O50" s="80"/>
      <c r="P50" s="80"/>
    </row>
    <row r="51" spans="1:16" ht="14.25">
      <c r="A51" s="80"/>
      <c r="B51" s="128" t="s">
        <v>163</v>
      </c>
      <c r="C51" s="129">
        <v>80000</v>
      </c>
      <c r="D51" s="130">
        <f t="shared" si="0"/>
        <v>10</v>
      </c>
      <c r="E51" s="130">
        <v>1</v>
      </c>
      <c r="F51" s="131">
        <f t="shared" si="3"/>
        <v>10</v>
      </c>
      <c r="G51" s="132">
        <f t="shared" si="4"/>
        <v>3.6373060857700135</v>
      </c>
      <c r="H51" s="133">
        <f t="shared" si="1"/>
        <v>30.00777520760261</v>
      </c>
      <c r="I51" s="132">
        <f t="shared" si="5"/>
        <v>0.5316062740740789</v>
      </c>
      <c r="J51" s="134">
        <f t="shared" si="2"/>
        <v>4.385751761111151</v>
      </c>
      <c r="K51" s="80"/>
      <c r="L51" s="80"/>
      <c r="M51" s="80"/>
      <c r="N51" s="80"/>
      <c r="O51" s="80"/>
      <c r="P51" s="80"/>
    </row>
    <row r="52" spans="1:16" ht="14.25">
      <c r="A52" s="80"/>
      <c r="B52" s="128" t="s">
        <v>164</v>
      </c>
      <c r="C52" s="129">
        <v>50000</v>
      </c>
      <c r="D52" s="130">
        <f t="shared" si="0"/>
        <v>10</v>
      </c>
      <c r="E52" s="130">
        <v>5</v>
      </c>
      <c r="F52" s="131">
        <f t="shared" si="3"/>
        <v>50</v>
      </c>
      <c r="G52" s="132">
        <f t="shared" si="4"/>
        <v>3.013920942068901</v>
      </c>
      <c r="H52" s="133">
        <f t="shared" si="1"/>
        <v>124.32423886034215</v>
      </c>
      <c r="I52" s="132">
        <f t="shared" si="5"/>
        <v>0.4404961376869932</v>
      </c>
      <c r="J52" s="134">
        <f t="shared" si="2"/>
        <v>18.170465679588467</v>
      </c>
      <c r="K52" s="80"/>
      <c r="L52" s="80"/>
      <c r="M52" s="80"/>
      <c r="N52" s="80"/>
      <c r="O52" s="80"/>
      <c r="P52" s="80"/>
    </row>
    <row r="53" spans="1:16" ht="15" thickBot="1">
      <c r="A53" s="80"/>
      <c r="B53" s="136"/>
      <c r="C53" s="137"/>
      <c r="D53" s="138"/>
      <c r="E53" s="138">
        <f>SUM(E41:E52)</f>
        <v>346</v>
      </c>
      <c r="F53" s="139"/>
      <c r="G53" s="140">
        <f>SUM(G41:G52)</f>
        <v>37.13272470395441</v>
      </c>
      <c r="H53" s="140">
        <f>SUM(H41:H52)</f>
        <v>5683.648675867368</v>
      </c>
      <c r="I53" s="140">
        <f>SUM(I41:I52)</f>
        <v>5.427090533654875</v>
      </c>
      <c r="J53" s="141">
        <f>SUM(J41:J52)</f>
        <v>830.6871141652307</v>
      </c>
      <c r="K53" s="80"/>
      <c r="L53" s="80"/>
      <c r="M53" s="80"/>
      <c r="N53" s="80"/>
      <c r="O53" s="80"/>
      <c r="P53" s="80"/>
    </row>
    <row r="54" spans="1:16" ht="14.25">
      <c r="A54" s="80"/>
      <c r="B54" s="142" t="s">
        <v>165</v>
      </c>
      <c r="C54" s="143"/>
      <c r="D54" s="143"/>
      <c r="E54" s="143"/>
      <c r="F54" s="143"/>
      <c r="G54" s="143"/>
      <c r="H54" s="144"/>
      <c r="I54" s="120"/>
      <c r="J54" s="120"/>
      <c r="K54" s="80"/>
      <c r="L54" s="80"/>
      <c r="M54" s="80"/>
      <c r="N54" s="80"/>
      <c r="O54" s="80"/>
      <c r="P54" s="80"/>
    </row>
    <row r="55" spans="1:16" ht="14.25">
      <c r="A55" s="80"/>
      <c r="B55" s="120" t="s">
        <v>166</v>
      </c>
      <c r="C55" s="145"/>
      <c r="D55" s="143"/>
      <c r="E55" s="143"/>
      <c r="F55" s="143"/>
      <c r="G55" s="145"/>
      <c r="H55" s="145"/>
      <c r="I55" s="120"/>
      <c r="J55" s="120"/>
      <c r="K55" s="80"/>
      <c r="L55" s="80"/>
      <c r="M55" s="80"/>
      <c r="N55" s="80"/>
      <c r="O55" s="80"/>
      <c r="P55" s="80"/>
    </row>
    <row r="56" spans="1:16" ht="14.25">
      <c r="A56" s="80"/>
      <c r="B56" s="120" t="s">
        <v>167</v>
      </c>
      <c r="C56" s="120"/>
      <c r="D56" s="120"/>
      <c r="E56" s="120"/>
      <c r="F56" s="120"/>
      <c r="G56" s="120"/>
      <c r="H56" s="120"/>
      <c r="I56" s="120"/>
      <c r="J56" s="120"/>
      <c r="K56" s="80"/>
      <c r="L56" s="80"/>
      <c r="M56" s="80"/>
      <c r="N56" s="80"/>
      <c r="O56" s="80"/>
      <c r="P56" s="80"/>
    </row>
    <row r="57" spans="1:16" ht="14.25">
      <c r="A57" s="80"/>
      <c r="B57" s="120" t="s">
        <v>168</v>
      </c>
      <c r="C57" s="120"/>
      <c r="D57" s="120"/>
      <c r="E57" s="120"/>
      <c r="F57" s="120"/>
      <c r="G57" s="120"/>
      <c r="H57" s="120"/>
      <c r="I57" s="120"/>
      <c r="J57" s="120"/>
      <c r="K57" s="80"/>
      <c r="L57" s="80"/>
      <c r="M57" s="80"/>
      <c r="N57" s="80"/>
      <c r="O57" s="80"/>
      <c r="P57" s="80"/>
    </row>
    <row r="58" spans="1:16" ht="14.25">
      <c r="A58" s="80"/>
      <c r="B58" s="146"/>
      <c r="C58" s="146"/>
      <c r="D58" s="146"/>
      <c r="E58" s="146"/>
      <c r="F58" s="146"/>
      <c r="G58" s="146"/>
      <c r="H58" s="146"/>
      <c r="I58" s="146"/>
      <c r="J58" s="146"/>
      <c r="K58" s="80"/>
      <c r="L58" s="80"/>
      <c r="M58" s="80"/>
      <c r="N58" s="80"/>
      <c r="O58" s="80"/>
      <c r="P58" s="80"/>
    </row>
    <row r="59" spans="1:16" ht="14.25">
      <c r="A59" s="80"/>
      <c r="B59" s="146"/>
      <c r="C59" s="146"/>
      <c r="D59" s="146"/>
      <c r="E59" s="146"/>
      <c r="F59" s="146"/>
      <c r="G59" s="146"/>
      <c r="H59" s="146"/>
      <c r="I59" s="146"/>
      <c r="J59" s="146"/>
      <c r="K59" s="80"/>
      <c r="L59" s="80"/>
      <c r="M59" s="80"/>
      <c r="N59" s="80"/>
      <c r="O59" s="80"/>
      <c r="P59" s="80"/>
    </row>
    <row r="60" spans="1:16" ht="14.25">
      <c r="A60" s="80"/>
      <c r="B60" s="146"/>
      <c r="C60" s="146"/>
      <c r="D60" s="146"/>
      <c r="E60" s="146"/>
      <c r="F60" s="146"/>
      <c r="G60" s="146"/>
      <c r="H60" s="146"/>
      <c r="I60" s="146"/>
      <c r="J60" s="146"/>
      <c r="K60" s="80"/>
      <c r="L60" s="80"/>
      <c r="M60" s="80"/>
      <c r="N60" s="80"/>
      <c r="O60" s="80"/>
      <c r="P60" s="80"/>
    </row>
    <row r="61" spans="1:16" ht="14.25">
      <c r="A61" s="80"/>
      <c r="B61" s="146"/>
      <c r="C61" s="146"/>
      <c r="D61" s="146"/>
      <c r="E61" s="146"/>
      <c r="F61" s="146"/>
      <c r="G61" s="146"/>
      <c r="H61" s="146"/>
      <c r="I61" s="146"/>
      <c r="J61" s="146"/>
      <c r="K61" s="80"/>
      <c r="L61" s="80"/>
      <c r="M61" s="80"/>
      <c r="N61" s="80"/>
      <c r="O61" s="80"/>
      <c r="P61" s="80"/>
    </row>
    <row r="62" spans="1:16" ht="14.25">
      <c r="A62" s="80"/>
      <c r="B62" s="147"/>
      <c r="C62" s="147"/>
      <c r="D62" s="147"/>
      <c r="E62" s="147"/>
      <c r="F62" s="147"/>
      <c r="G62" s="147"/>
      <c r="H62" s="147"/>
      <c r="I62" s="147"/>
      <c r="J62" s="147"/>
      <c r="K62" s="80"/>
      <c r="L62" s="80"/>
      <c r="M62" s="80"/>
      <c r="N62" s="80"/>
      <c r="O62" s="80"/>
      <c r="P62" s="80"/>
    </row>
    <row r="63" spans="1:16" ht="14.25">
      <c r="A63" s="80"/>
      <c r="B63" s="80"/>
      <c r="C63" s="80"/>
      <c r="D63" s="80"/>
      <c r="E63" s="80"/>
      <c r="F63" s="80"/>
      <c r="G63" s="80"/>
      <c r="H63" s="80"/>
      <c r="I63" s="80"/>
      <c r="J63" s="80"/>
      <c r="K63" s="80"/>
      <c r="L63" s="80"/>
      <c r="M63" s="80"/>
      <c r="N63" s="80"/>
      <c r="O63" s="80"/>
      <c r="P63" s="80"/>
    </row>
    <row r="64" spans="1:16" ht="14.25">
      <c r="A64" s="80"/>
      <c r="B64" s="80"/>
      <c r="C64" s="80"/>
      <c r="D64" s="80"/>
      <c r="E64" s="80"/>
      <c r="F64" s="80"/>
      <c r="G64" s="80"/>
      <c r="H64" s="80"/>
      <c r="I64" s="80"/>
      <c r="J64" s="80"/>
      <c r="K64" s="80"/>
      <c r="L64" s="80"/>
      <c r="M64" s="80"/>
      <c r="N64" s="80"/>
      <c r="O64" s="80"/>
      <c r="P64" s="80"/>
    </row>
    <row r="65" spans="1:16" ht="14.25">
      <c r="A65" s="80"/>
      <c r="B65" s="80"/>
      <c r="C65" s="80"/>
      <c r="D65" s="80"/>
      <c r="E65" s="80"/>
      <c r="F65" s="80"/>
      <c r="G65" s="80"/>
      <c r="H65" s="80"/>
      <c r="I65" s="80"/>
      <c r="J65" s="80"/>
      <c r="K65" s="80"/>
      <c r="L65" s="80"/>
      <c r="M65" s="80"/>
      <c r="N65" s="80"/>
      <c r="O65" s="80"/>
      <c r="P65" s="80"/>
    </row>
    <row r="66" spans="1:16" ht="14.25">
      <c r="A66" s="80"/>
      <c r="B66" s="80"/>
      <c r="C66" s="80"/>
      <c r="D66" s="80"/>
      <c r="E66" s="80"/>
      <c r="F66" s="80"/>
      <c r="G66" s="80"/>
      <c r="H66" s="80"/>
      <c r="I66" s="80"/>
      <c r="J66" s="80"/>
      <c r="K66" s="80"/>
      <c r="L66" s="80"/>
      <c r="M66" s="80"/>
      <c r="N66" s="80"/>
      <c r="O66" s="80"/>
      <c r="P66" s="80"/>
    </row>
    <row r="67" spans="1:16" ht="14.25">
      <c r="A67" s="80"/>
      <c r="B67" s="80"/>
      <c r="C67" s="80"/>
      <c r="D67" s="80"/>
      <c r="E67" s="80"/>
      <c r="F67" s="80"/>
      <c r="G67" s="80"/>
      <c r="H67" s="80"/>
      <c r="I67" s="80"/>
      <c r="J67" s="80"/>
      <c r="K67" s="80"/>
      <c r="L67" s="80"/>
      <c r="M67" s="80"/>
      <c r="N67" s="80"/>
      <c r="O67" s="80"/>
      <c r="P67" s="80"/>
    </row>
    <row r="68" spans="1:16" ht="14.25">
      <c r="A68" s="80"/>
      <c r="B68" s="80"/>
      <c r="C68" s="80"/>
      <c r="D68" s="80"/>
      <c r="E68" s="80"/>
      <c r="F68" s="80"/>
      <c r="G68" s="80"/>
      <c r="H68" s="80"/>
      <c r="I68" s="80"/>
      <c r="J68" s="80"/>
      <c r="K68" s="80"/>
      <c r="L68" s="80"/>
      <c r="M68" s="80"/>
      <c r="N68" s="80"/>
      <c r="O68" s="80"/>
      <c r="P68" s="80"/>
    </row>
    <row r="69" spans="1:16" ht="14.25">
      <c r="A69" s="80"/>
      <c r="B69" s="80"/>
      <c r="C69" s="80"/>
      <c r="D69" s="80"/>
      <c r="E69" s="80"/>
      <c r="F69" s="80"/>
      <c r="G69" s="80"/>
      <c r="H69" s="80"/>
      <c r="I69" s="80"/>
      <c r="J69" s="80"/>
      <c r="K69" s="80"/>
      <c r="L69" s="80"/>
      <c r="M69" s="80"/>
      <c r="N69" s="80"/>
      <c r="O69" s="80"/>
      <c r="P69" s="80"/>
    </row>
  </sheetData>
  <mergeCells count="2">
    <mergeCell ref="A14:B14"/>
    <mergeCell ref="E9:H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A1:AB83"/>
  <sheetViews>
    <sheetView workbookViewId="0" topLeftCell="A53">
      <selection activeCell="D22" sqref="D22"/>
    </sheetView>
  </sheetViews>
  <sheetFormatPr defaultColWidth="9.140625" defaultRowHeight="12.75"/>
  <cols>
    <col min="1" max="1" width="9.140625" style="19" customWidth="1"/>
    <col min="2" max="2" width="9.140625" style="22" customWidth="1"/>
    <col min="3" max="3" width="25.8515625" style="22" bestFit="1" customWidth="1"/>
    <col min="4" max="5" width="26.28125" style="22" customWidth="1"/>
    <col min="6" max="6" width="14.8515625" style="19" customWidth="1"/>
    <col min="7" max="7" width="18.7109375" style="19" customWidth="1"/>
    <col min="8" max="8" width="9.140625" style="19" customWidth="1"/>
    <col min="9" max="9" width="8.7109375" style="19" customWidth="1"/>
    <col min="10" max="28" width="9.140625" style="19" customWidth="1"/>
  </cols>
  <sheetData>
    <row r="1" spans="1:4" ht="12.75">
      <c r="A1" s="324" t="s">
        <v>219</v>
      </c>
      <c r="B1" s="323"/>
      <c r="C1" s="323"/>
      <c r="D1" s="323"/>
    </row>
    <row r="2" ht="12.75"/>
    <row r="3" spans="2:9" ht="12.75">
      <c r="B3" s="23" t="s">
        <v>50</v>
      </c>
      <c r="C3" s="23" t="s">
        <v>49</v>
      </c>
      <c r="D3" s="23" t="s">
        <v>51</v>
      </c>
      <c r="E3" s="23"/>
      <c r="F3" s="23" t="s">
        <v>56</v>
      </c>
      <c r="G3" s="23" t="s">
        <v>58</v>
      </c>
      <c r="H3" s="23" t="s">
        <v>58</v>
      </c>
      <c r="I3" s="23" t="s">
        <v>58</v>
      </c>
    </row>
    <row r="4" spans="1:28" s="42" customFormat="1" ht="51">
      <c r="A4" s="62"/>
      <c r="B4" s="317"/>
      <c r="C4" s="317"/>
      <c r="D4" s="317" t="s">
        <v>8</v>
      </c>
      <c r="E4" s="317"/>
      <c r="F4" s="317" t="s">
        <v>8</v>
      </c>
      <c r="G4" s="317" t="s">
        <v>59</v>
      </c>
      <c r="H4" s="317" t="s">
        <v>62</v>
      </c>
      <c r="I4" s="317" t="s">
        <v>63</v>
      </c>
      <c r="J4" s="62"/>
      <c r="K4" s="62"/>
      <c r="L4" s="62"/>
      <c r="M4" s="62"/>
      <c r="N4" s="62"/>
      <c r="O4" s="62"/>
      <c r="P4" s="62"/>
      <c r="Q4" s="62"/>
      <c r="R4" s="62"/>
      <c r="S4" s="62"/>
      <c r="T4" s="62"/>
      <c r="U4" s="62"/>
      <c r="V4" s="62"/>
      <c r="W4" s="62"/>
      <c r="X4" s="62"/>
      <c r="Y4" s="62"/>
      <c r="Z4" s="62"/>
      <c r="AA4" s="62"/>
      <c r="AB4" s="62"/>
    </row>
    <row r="5" spans="2:9" ht="12.75">
      <c r="B5" s="275" t="s">
        <v>16</v>
      </c>
      <c r="C5" s="275"/>
      <c r="D5" s="23"/>
      <c r="E5" s="23"/>
      <c r="F5" s="23"/>
      <c r="G5" s="23"/>
      <c r="H5" s="23"/>
      <c r="I5" s="23"/>
    </row>
    <row r="6" spans="2:9" ht="12.75">
      <c r="B6" s="23"/>
      <c r="C6" s="23"/>
      <c r="D6" s="23"/>
      <c r="E6" s="23"/>
      <c r="F6" s="23"/>
      <c r="G6" s="23"/>
      <c r="H6" s="23"/>
      <c r="I6" s="23"/>
    </row>
    <row r="7" spans="2:9" ht="12.75">
      <c r="B7" s="23"/>
      <c r="C7" s="23" t="s">
        <v>0</v>
      </c>
      <c r="D7" s="318">
        <v>0.578</v>
      </c>
      <c r="E7" s="318"/>
      <c r="F7" s="319">
        <v>0.578</v>
      </c>
      <c r="G7" s="319">
        <v>0.557</v>
      </c>
      <c r="H7" s="319">
        <f>8.23*G7</f>
        <v>4.584110000000001</v>
      </c>
      <c r="I7" s="320">
        <f>(453.6*H7)/(60*60)</f>
        <v>0.5775978600000001</v>
      </c>
    </row>
    <row r="8" spans="2:9" ht="12.75">
      <c r="B8" s="23"/>
      <c r="C8" s="23" t="s">
        <v>44</v>
      </c>
      <c r="D8" s="320">
        <f>1.94*10^-1</f>
        <v>0.194</v>
      </c>
      <c r="E8" s="320"/>
      <c r="F8" s="319">
        <v>4.24</v>
      </c>
      <c r="G8" s="319">
        <f>8.47*10^-1</f>
        <v>0.8470000000000001</v>
      </c>
      <c r="H8" s="319">
        <f aca="true" t="shared" si="0" ref="H8:H48">8.23*G8</f>
        <v>6.970810000000001</v>
      </c>
      <c r="I8" s="319">
        <f aca="true" t="shared" si="1" ref="I8:I48">(453.6*H8)/(60*60)</f>
        <v>0.8783220600000001</v>
      </c>
    </row>
    <row r="9" spans="2:9" ht="12.75">
      <c r="B9" s="23"/>
      <c r="C9" s="23" t="s">
        <v>61</v>
      </c>
      <c r="D9" s="319"/>
      <c r="E9" s="319"/>
      <c r="F9" s="319"/>
      <c r="G9" s="319">
        <f>1.1*10^2</f>
        <v>110.00000000000001</v>
      </c>
      <c r="H9" s="319">
        <f t="shared" si="0"/>
        <v>905.3000000000002</v>
      </c>
      <c r="I9" s="320">
        <f t="shared" si="1"/>
        <v>114.06780000000002</v>
      </c>
    </row>
    <row r="10" spans="2:9" ht="12.75">
      <c r="B10" s="23"/>
      <c r="C10" s="23" t="s">
        <v>1</v>
      </c>
      <c r="D10" s="319">
        <v>0.0104</v>
      </c>
      <c r="E10" s="319"/>
      <c r="F10" s="319">
        <v>0.0104</v>
      </c>
      <c r="G10" s="319">
        <f>9.91*10^-3</f>
        <v>0.00991</v>
      </c>
      <c r="H10" s="319">
        <f t="shared" si="0"/>
        <v>0.0815593</v>
      </c>
      <c r="I10" s="320">
        <f>(453.6*H10)/(60*60)</f>
        <v>0.0102764718</v>
      </c>
    </row>
    <row r="11" spans="2:9" ht="12.75">
      <c r="B11" s="23"/>
      <c r="C11" s="23" t="s">
        <v>10</v>
      </c>
      <c r="D11" s="319">
        <v>0.0104</v>
      </c>
      <c r="E11" s="319"/>
      <c r="F11" s="319">
        <v>0.0104</v>
      </c>
      <c r="G11" s="319">
        <f>9.91*10^-3</f>
        <v>0.00991</v>
      </c>
      <c r="H11" s="319">
        <f t="shared" si="0"/>
        <v>0.0815593</v>
      </c>
      <c r="I11" s="320">
        <f t="shared" si="1"/>
        <v>0.0102764718</v>
      </c>
    </row>
    <row r="12" spans="2:9" ht="12.75">
      <c r="B12" s="23"/>
      <c r="C12" s="23" t="s">
        <v>52</v>
      </c>
      <c r="D12" s="319">
        <v>0.00061</v>
      </c>
      <c r="E12" s="319"/>
      <c r="F12" s="319">
        <v>0.00061</v>
      </c>
      <c r="G12" s="319">
        <f>5.88*10^-4</f>
        <v>0.000588</v>
      </c>
      <c r="H12" s="319">
        <f t="shared" si="0"/>
        <v>0.00483924</v>
      </c>
      <c r="I12" s="320">
        <f t="shared" si="1"/>
        <v>0.00060974424</v>
      </c>
    </row>
    <row r="13" spans="2:9" ht="12.75">
      <c r="B13" s="23"/>
      <c r="C13" s="23" t="s">
        <v>2</v>
      </c>
      <c r="D13" s="319"/>
      <c r="E13" s="319"/>
      <c r="F13" s="319"/>
      <c r="G13" s="319">
        <v>0.118</v>
      </c>
      <c r="H13" s="319">
        <f t="shared" si="0"/>
        <v>0.97114</v>
      </c>
      <c r="I13" s="320">
        <f t="shared" si="1"/>
        <v>0.12236364000000001</v>
      </c>
    </row>
    <row r="14" spans="2:9" ht="12.75">
      <c r="B14" s="23"/>
      <c r="C14" s="23" t="s">
        <v>60</v>
      </c>
      <c r="D14" s="319"/>
      <c r="E14" s="319"/>
      <c r="F14" s="319"/>
      <c r="G14" s="319">
        <v>1.47</v>
      </c>
      <c r="H14" s="319">
        <f t="shared" si="0"/>
        <v>12.0981</v>
      </c>
      <c r="I14" s="320">
        <f t="shared" si="1"/>
        <v>1.5243606000000003</v>
      </c>
    </row>
    <row r="15" spans="2:9" ht="12.75">
      <c r="B15" s="23"/>
      <c r="C15" s="23" t="s">
        <v>3</v>
      </c>
      <c r="D15" s="319">
        <f>SUM(D18:D25)</f>
        <v>0.055913199999999996</v>
      </c>
      <c r="E15" s="319"/>
      <c r="F15" s="319">
        <f>SUM(F18:F25)</f>
        <v>0.055913199999999996</v>
      </c>
      <c r="G15" s="319">
        <f>SUM(G16:G25)</f>
        <v>0.07211073800000001</v>
      </c>
      <c r="H15" s="319">
        <f t="shared" si="0"/>
        <v>0.5934713737400001</v>
      </c>
      <c r="I15" s="320">
        <f>(453.6*H15)/(60*60)</f>
        <v>0.07477739309124003</v>
      </c>
    </row>
    <row r="16" spans="2:9" ht="12.75">
      <c r="B16" s="23"/>
      <c r="C16" s="321" t="s">
        <v>70</v>
      </c>
      <c r="D16" s="319"/>
      <c r="E16" s="319"/>
      <c r="F16" s="319"/>
      <c r="G16" s="319">
        <f>8.36*10^-3</f>
        <v>0.00836</v>
      </c>
      <c r="H16" s="319">
        <f t="shared" si="0"/>
        <v>0.0688028</v>
      </c>
      <c r="I16" s="320">
        <f aca="true" t="shared" si="2" ref="I16:I25">(453.6*H16)/(60*60)</f>
        <v>0.0086691528</v>
      </c>
    </row>
    <row r="17" spans="2:9" ht="12.75">
      <c r="B17" s="23"/>
      <c r="C17" s="321" t="s">
        <v>71</v>
      </c>
      <c r="D17" s="319"/>
      <c r="E17" s="319"/>
      <c r="F17" s="319"/>
      <c r="G17" s="319">
        <f>5.14*10^-3</f>
        <v>0.00514</v>
      </c>
      <c r="H17" s="319">
        <f t="shared" si="0"/>
        <v>0.0423022</v>
      </c>
      <c r="I17" s="320">
        <f t="shared" si="2"/>
        <v>0.0053300772</v>
      </c>
    </row>
    <row r="18" spans="2:9" ht="12.75">
      <c r="B18" s="23"/>
      <c r="C18" s="278" t="s">
        <v>30</v>
      </c>
      <c r="D18" s="319">
        <f>4.57*10^-4</f>
        <v>0.00045700000000000005</v>
      </c>
      <c r="E18" s="319"/>
      <c r="F18" s="319">
        <f>4.57*10^-4</f>
        <v>0.00045700000000000005</v>
      </c>
      <c r="G18" s="319">
        <f>4.4*10^-4</f>
        <v>0.00044000000000000007</v>
      </c>
      <c r="H18" s="319">
        <f t="shared" si="0"/>
        <v>0.0036212000000000006</v>
      </c>
      <c r="I18" s="320">
        <f t="shared" si="2"/>
        <v>0.0004562712000000001</v>
      </c>
    </row>
    <row r="19" spans="2:9" ht="12.75">
      <c r="B19" s="23"/>
      <c r="C19" s="278" t="s">
        <v>31</v>
      </c>
      <c r="D19" s="319">
        <f>4.12*10^-5</f>
        <v>4.1200000000000005E-05</v>
      </c>
      <c r="E19" s="319"/>
      <c r="F19" s="319">
        <f>4.12*10^-5</f>
        <v>4.1200000000000005E-05</v>
      </c>
      <c r="G19" s="319">
        <f>3.97*10^-5</f>
        <v>3.97E-05</v>
      </c>
      <c r="H19" s="319">
        <f t="shared" si="0"/>
        <v>0.000326731</v>
      </c>
      <c r="I19" s="320">
        <f t="shared" si="2"/>
        <v>4.1168106000000006E-05</v>
      </c>
    </row>
    <row r="20" spans="2:9" ht="12.75">
      <c r="B20" s="23"/>
      <c r="C20" s="278" t="s">
        <v>57</v>
      </c>
      <c r="D20" s="319">
        <v>0.0548</v>
      </c>
      <c r="E20" s="319"/>
      <c r="F20" s="319">
        <v>0.0548</v>
      </c>
      <c r="G20" s="319">
        <f>5.28*10^-2</f>
        <v>0.05280000000000001</v>
      </c>
      <c r="H20" s="319">
        <f t="shared" si="0"/>
        <v>0.4345440000000001</v>
      </c>
      <c r="I20" s="320">
        <f t="shared" si="2"/>
        <v>0.054752544000000014</v>
      </c>
    </row>
    <row r="21" spans="2:9" ht="12.75">
      <c r="B21" s="23"/>
      <c r="C21" s="278" t="s">
        <v>22</v>
      </c>
      <c r="D21" s="319"/>
      <c r="E21" s="319"/>
      <c r="F21" s="319"/>
      <c r="G21" s="319">
        <v>0</v>
      </c>
      <c r="H21" s="319">
        <f t="shared" si="0"/>
        <v>0</v>
      </c>
      <c r="I21" s="320">
        <f t="shared" si="2"/>
        <v>0</v>
      </c>
    </row>
    <row r="22" spans="2:9" ht="12.75">
      <c r="B22" s="23"/>
      <c r="C22" s="278" t="s">
        <v>83</v>
      </c>
      <c r="D22" s="319"/>
      <c r="E22" s="319"/>
      <c r="F22" s="319"/>
      <c r="G22" s="319">
        <f>7.44*10^-5</f>
        <v>7.44E-05</v>
      </c>
      <c r="H22" s="319">
        <f t="shared" si="0"/>
        <v>0.0006123120000000001</v>
      </c>
      <c r="I22" s="320">
        <f t="shared" si="2"/>
        <v>7.715131200000001E-05</v>
      </c>
    </row>
    <row r="23" spans="2:9" ht="12.75">
      <c r="B23" s="23"/>
      <c r="C23" s="278" t="s">
        <v>32</v>
      </c>
      <c r="D23" s="319">
        <f>4.24*10^-4</f>
        <v>0.00042400000000000006</v>
      </c>
      <c r="E23" s="319"/>
      <c r="F23" s="319">
        <f>4.24*10^-4</f>
        <v>0.00042400000000000006</v>
      </c>
      <c r="G23" s="319">
        <f>4.08*10^-4</f>
        <v>0.00040800000000000005</v>
      </c>
      <c r="H23" s="319">
        <f t="shared" si="0"/>
        <v>0.0033578400000000004</v>
      </c>
      <c r="I23" s="320">
        <f t="shared" si="2"/>
        <v>0.00042308784000000006</v>
      </c>
    </row>
    <row r="24" spans="2:9" ht="12.75">
      <c r="B24" s="23"/>
      <c r="C24" s="278" t="s">
        <v>33</v>
      </c>
      <c r="D24" s="319">
        <f>1.91*10^-4</f>
        <v>0.000191</v>
      </c>
      <c r="E24" s="319"/>
      <c r="F24" s="319">
        <f>1.91*10^-4</f>
        <v>0.000191</v>
      </c>
      <c r="G24" s="319">
        <f>1.84*10^-4</f>
        <v>0.00018400000000000003</v>
      </c>
      <c r="H24" s="319">
        <f t="shared" si="0"/>
        <v>0.0015143200000000002</v>
      </c>
      <c r="I24" s="320">
        <f t="shared" si="2"/>
        <v>0.00019080432000000003</v>
      </c>
    </row>
    <row r="25" spans="2:9" ht="12.75">
      <c r="B25" s="23"/>
      <c r="C25" s="278" t="s">
        <v>93</v>
      </c>
      <c r="D25" s="319"/>
      <c r="E25" s="319"/>
      <c r="F25" s="319"/>
      <c r="G25" s="319">
        <f>SUM(G26:G48)</f>
        <v>0.0046646380000000005</v>
      </c>
      <c r="H25" s="319">
        <f t="shared" si="0"/>
        <v>0.03838997074000001</v>
      </c>
      <c r="I25" s="320">
        <f t="shared" si="2"/>
        <v>0.004837136313240001</v>
      </c>
    </row>
    <row r="26" spans="2:9" ht="12.75">
      <c r="B26" s="23"/>
      <c r="C26" s="23" t="s">
        <v>69</v>
      </c>
      <c r="D26" s="319"/>
      <c r="E26" s="319"/>
      <c r="F26" s="319"/>
      <c r="G26" s="319">
        <f>5.53*10^-6</f>
        <v>5.53E-06</v>
      </c>
      <c r="H26" s="319">
        <f t="shared" si="0"/>
        <v>4.551190000000001E-05</v>
      </c>
      <c r="I26" s="320">
        <f t="shared" si="1"/>
        <v>5.734499400000001E-06</v>
      </c>
    </row>
    <row r="27" spans="2:9" ht="12.75">
      <c r="B27" s="23"/>
      <c r="C27" s="23" t="s">
        <v>94</v>
      </c>
      <c r="D27" s="319"/>
      <c r="E27" s="319"/>
      <c r="F27" s="319"/>
      <c r="G27" s="319">
        <f>1.66*10^-7</f>
        <v>1.6599999999999998E-07</v>
      </c>
      <c r="H27" s="319">
        <f t="shared" si="0"/>
        <v>1.3661799999999998E-06</v>
      </c>
      <c r="I27" s="320">
        <f t="shared" si="1"/>
        <v>1.7213867999999998E-07</v>
      </c>
    </row>
    <row r="28" spans="2:9" ht="12.75">
      <c r="B28" s="23"/>
      <c r="C28" s="23" t="s">
        <v>72</v>
      </c>
      <c r="D28" s="319"/>
      <c r="E28" s="319"/>
      <c r="F28" s="319"/>
      <c r="G28" s="319">
        <f>4.15*10^-7</f>
        <v>4.15E-07</v>
      </c>
      <c r="H28" s="319">
        <f t="shared" si="0"/>
        <v>3.41545E-06</v>
      </c>
      <c r="I28" s="320">
        <f t="shared" si="1"/>
        <v>4.3034670000000003E-07</v>
      </c>
    </row>
    <row r="29" spans="2:9" ht="12.75">
      <c r="B29" s="23"/>
      <c r="C29" s="23" t="s">
        <v>92</v>
      </c>
      <c r="D29" s="319"/>
      <c r="E29" s="319"/>
      <c r="F29" s="319"/>
      <c r="G29" s="319">
        <f>4.14*10^-7</f>
        <v>4.14E-07</v>
      </c>
      <c r="H29" s="319">
        <f t="shared" si="0"/>
        <v>3.40722E-06</v>
      </c>
      <c r="I29" s="320">
        <f t="shared" si="1"/>
        <v>4.2930971999999996E-07</v>
      </c>
    </row>
    <row r="30" spans="2:9" ht="12.75">
      <c r="B30" s="23"/>
      <c r="C30" s="23" t="s">
        <v>73</v>
      </c>
      <c r="D30" s="319"/>
      <c r="E30" s="319"/>
      <c r="F30" s="319"/>
      <c r="G30" s="319">
        <f>2.12*10^-4</f>
        <v>0.00021200000000000003</v>
      </c>
      <c r="H30" s="319">
        <f t="shared" si="0"/>
        <v>0.0017447600000000004</v>
      </c>
      <c r="I30" s="320">
        <f t="shared" si="1"/>
        <v>0.00021983976000000007</v>
      </c>
    </row>
    <row r="31" spans="2:9" ht="12.75">
      <c r="B31" s="23"/>
      <c r="C31" s="23" t="s">
        <v>74</v>
      </c>
      <c r="D31" s="319"/>
      <c r="E31" s="319"/>
      <c r="F31" s="319"/>
      <c r="G31" s="319">
        <f>3.67*10^-5</f>
        <v>3.6700000000000004E-05</v>
      </c>
      <c r="H31" s="319">
        <f t="shared" si="0"/>
        <v>0.00030204100000000007</v>
      </c>
      <c r="I31" s="320">
        <f t="shared" si="1"/>
        <v>3.805716600000001E-05</v>
      </c>
    </row>
    <row r="32" spans="2:9" ht="12.75">
      <c r="B32" s="23"/>
      <c r="C32" s="23" t="s">
        <v>75</v>
      </c>
      <c r="D32" s="319"/>
      <c r="E32" s="319"/>
      <c r="F32" s="319"/>
      <c r="G32" s="319">
        <f>3.04*10^-5</f>
        <v>3.0400000000000004E-05</v>
      </c>
      <c r="H32" s="319">
        <f t="shared" si="0"/>
        <v>0.00025019200000000005</v>
      </c>
      <c r="I32" s="320">
        <f t="shared" si="1"/>
        <v>3.152419200000001E-05</v>
      </c>
    </row>
    <row r="33" spans="2:9" ht="12.75">
      <c r="B33" s="23"/>
      <c r="C33" s="23" t="s">
        <v>76</v>
      </c>
      <c r="D33" s="319"/>
      <c r="E33" s="319"/>
      <c r="F33" s="319"/>
      <c r="G33" s="322">
        <f>2.85*10^-5</f>
        <v>2.85E-05</v>
      </c>
      <c r="H33" s="319">
        <f t="shared" si="0"/>
        <v>0.00023455500000000003</v>
      </c>
      <c r="I33" s="320">
        <f t="shared" si="1"/>
        <v>2.9553930000000007E-05</v>
      </c>
    </row>
    <row r="34" spans="2:9" ht="12.75">
      <c r="B34" s="23"/>
      <c r="C34" s="23" t="s">
        <v>77</v>
      </c>
      <c r="D34" s="319"/>
      <c r="E34" s="319"/>
      <c r="F34" s="319"/>
      <c r="G34" s="319">
        <f>6.93*10^-7</f>
        <v>6.93E-07</v>
      </c>
      <c r="H34" s="319">
        <f t="shared" si="0"/>
        <v>5.7033900000000005E-06</v>
      </c>
      <c r="I34" s="320">
        <f t="shared" si="1"/>
        <v>7.186271400000001E-07</v>
      </c>
    </row>
    <row r="35" spans="2:9" ht="12.75">
      <c r="B35" s="23"/>
      <c r="C35" s="23" t="s">
        <v>78</v>
      </c>
      <c r="D35" s="319"/>
      <c r="E35" s="319"/>
      <c r="F35" s="319"/>
      <c r="G35" s="319">
        <f>4.43*10^-5</f>
        <v>4.43E-05</v>
      </c>
      <c r="H35" s="319">
        <f t="shared" si="0"/>
        <v>0.000364589</v>
      </c>
      <c r="I35" s="320">
        <f t="shared" si="1"/>
        <v>4.5938214000000005E-05</v>
      </c>
    </row>
    <row r="36" spans="2:9" ht="12.75">
      <c r="B36" s="23"/>
      <c r="C36" s="23" t="s">
        <v>79</v>
      </c>
      <c r="D36" s="319"/>
      <c r="E36" s="319"/>
      <c r="F36" s="319"/>
      <c r="G36" s="319">
        <f>1.11*10^-6</f>
        <v>1.11E-06</v>
      </c>
      <c r="H36" s="319">
        <f t="shared" si="0"/>
        <v>9.1353E-06</v>
      </c>
      <c r="I36" s="320">
        <f t="shared" si="1"/>
        <v>1.1510478E-06</v>
      </c>
    </row>
    <row r="37" spans="2:9" ht="12.75">
      <c r="B37" s="23"/>
      <c r="C37" s="23" t="s">
        <v>95</v>
      </c>
      <c r="D37" s="319"/>
      <c r="E37" s="319"/>
      <c r="F37" s="319"/>
      <c r="G37" s="319">
        <f>5.67*10^-6</f>
        <v>5.67E-06</v>
      </c>
      <c r="H37" s="319">
        <f t="shared" si="0"/>
        <v>4.66641E-05</v>
      </c>
      <c r="I37" s="320">
        <f t="shared" si="1"/>
        <v>5.8796766000000005E-06</v>
      </c>
    </row>
    <row r="38" spans="2:9" ht="12.75">
      <c r="B38" s="23"/>
      <c r="C38" s="23" t="s">
        <v>80</v>
      </c>
      <c r="D38" s="319"/>
      <c r="E38" s="319"/>
      <c r="F38" s="319"/>
      <c r="G38" s="319">
        <f>2.5*10^-3</f>
        <v>0.0025</v>
      </c>
      <c r="H38" s="319">
        <f t="shared" si="0"/>
        <v>0.020575000000000003</v>
      </c>
      <c r="I38" s="320">
        <f t="shared" si="1"/>
        <v>0.0025924500000000005</v>
      </c>
    </row>
    <row r="39" spans="2:9" ht="12.75">
      <c r="B39" s="23"/>
      <c r="C39" s="23" t="s">
        <v>81</v>
      </c>
      <c r="D39" s="319"/>
      <c r="E39" s="319"/>
      <c r="F39" s="319"/>
      <c r="G39" s="319">
        <f>2*10^-5</f>
        <v>2E-05</v>
      </c>
      <c r="H39" s="319">
        <f t="shared" si="0"/>
        <v>0.00016460000000000002</v>
      </c>
      <c r="I39" s="320">
        <f t="shared" si="1"/>
        <v>2.0739600000000004E-05</v>
      </c>
    </row>
    <row r="40" spans="2:9" ht="12.75">
      <c r="B40" s="23"/>
      <c r="C40" s="23" t="s">
        <v>82</v>
      </c>
      <c r="D40" s="319"/>
      <c r="E40" s="319"/>
      <c r="F40" s="319"/>
      <c r="G40" s="319">
        <f>1.11*10^-3</f>
        <v>0.00111</v>
      </c>
      <c r="H40" s="319">
        <f t="shared" si="0"/>
        <v>0.0091353</v>
      </c>
      <c r="I40" s="320">
        <f t="shared" si="1"/>
        <v>0.0011510478000000002</v>
      </c>
    </row>
    <row r="41" spans="2:9" ht="12.75">
      <c r="B41" s="23"/>
      <c r="C41" s="23" t="s">
        <v>84</v>
      </c>
      <c r="D41" s="319"/>
      <c r="E41" s="319"/>
      <c r="F41" s="319"/>
      <c r="G41" s="319">
        <f>1.04*10^-5</f>
        <v>1.04E-05</v>
      </c>
      <c r="H41" s="319">
        <f t="shared" si="0"/>
        <v>8.5592E-05</v>
      </c>
      <c r="I41" s="320">
        <f t="shared" si="1"/>
        <v>1.0784592000000002E-05</v>
      </c>
    </row>
    <row r="42" spans="2:9" ht="12.75">
      <c r="B42" s="23"/>
      <c r="C42" s="23" t="s">
        <v>85</v>
      </c>
      <c r="D42" s="319"/>
      <c r="E42" s="319"/>
      <c r="F42" s="319"/>
      <c r="G42" s="319">
        <f>2.4*10^-5</f>
        <v>2.4E-05</v>
      </c>
      <c r="H42" s="319">
        <f t="shared" si="0"/>
        <v>0.00019752000000000002</v>
      </c>
      <c r="I42" s="320">
        <f t="shared" si="1"/>
        <v>2.4887520000000003E-05</v>
      </c>
    </row>
    <row r="43" spans="2:9" ht="12.75">
      <c r="B43" s="23"/>
      <c r="C43" s="23" t="s">
        <v>86</v>
      </c>
      <c r="D43" s="319"/>
      <c r="E43" s="319"/>
      <c r="F43" s="319"/>
      <c r="G43" s="319">
        <f>1.36*10^-6</f>
        <v>1.3600000000000001E-06</v>
      </c>
      <c r="H43" s="319">
        <f t="shared" si="0"/>
        <v>1.11928E-05</v>
      </c>
      <c r="I43" s="320">
        <f t="shared" si="1"/>
        <v>1.4102928000000002E-06</v>
      </c>
    </row>
    <row r="44" spans="2:9" ht="12.75">
      <c r="B44" s="23"/>
      <c r="C44" s="23" t="s">
        <v>87</v>
      </c>
      <c r="D44" s="319"/>
      <c r="E44" s="319"/>
      <c r="F44" s="319"/>
      <c r="G44" s="319">
        <f>2.36*10^-5</f>
        <v>2.36E-05</v>
      </c>
      <c r="H44" s="319">
        <f t="shared" si="0"/>
        <v>0.000194228</v>
      </c>
      <c r="I44" s="320">
        <f t="shared" si="1"/>
        <v>2.4472728000000004E-05</v>
      </c>
    </row>
    <row r="45" spans="2:9" ht="12.75">
      <c r="B45" s="23"/>
      <c r="C45" s="23" t="s">
        <v>88</v>
      </c>
      <c r="D45" s="319"/>
      <c r="E45" s="319"/>
      <c r="F45" s="319"/>
      <c r="G45" s="319">
        <f>2.48*10^-6</f>
        <v>2.48E-06</v>
      </c>
      <c r="H45" s="319">
        <f t="shared" si="0"/>
        <v>2.04104E-05</v>
      </c>
      <c r="I45" s="320">
        <f t="shared" si="1"/>
        <v>2.5717104000000003E-06</v>
      </c>
    </row>
    <row r="46" spans="2:9" ht="12.75">
      <c r="B46" s="23"/>
      <c r="C46" s="23" t="s">
        <v>89</v>
      </c>
      <c r="D46" s="319"/>
      <c r="E46" s="319"/>
      <c r="F46" s="319"/>
      <c r="G46" s="319">
        <f>4.08*10^-4</f>
        <v>0.00040800000000000005</v>
      </c>
      <c r="H46" s="319">
        <f t="shared" si="0"/>
        <v>0.0033578400000000004</v>
      </c>
      <c r="I46" s="320">
        <f t="shared" si="1"/>
        <v>0.00042308784000000006</v>
      </c>
    </row>
    <row r="47" spans="2:9" ht="12.75">
      <c r="B47" s="23"/>
      <c r="C47" s="23" t="s">
        <v>90</v>
      </c>
      <c r="D47" s="319"/>
      <c r="E47" s="319"/>
      <c r="F47" s="319"/>
      <c r="G47" s="319">
        <f>1.49*10^-5</f>
        <v>1.4900000000000001E-05</v>
      </c>
      <c r="H47" s="319">
        <f t="shared" si="0"/>
        <v>0.00012262700000000002</v>
      </c>
      <c r="I47" s="320">
        <f t="shared" si="1"/>
        <v>1.5451002000000004E-05</v>
      </c>
    </row>
    <row r="48" spans="2:9" ht="12.75">
      <c r="B48" s="23"/>
      <c r="C48" s="23" t="s">
        <v>91</v>
      </c>
      <c r="D48" s="319"/>
      <c r="E48" s="319"/>
      <c r="F48" s="319"/>
      <c r="G48" s="319">
        <f>1.84*10^-4</f>
        <v>0.00018400000000000003</v>
      </c>
      <c r="H48" s="319">
        <f t="shared" si="0"/>
        <v>0.0015143200000000002</v>
      </c>
      <c r="I48" s="320">
        <f t="shared" si="1"/>
        <v>0.00019080432000000003</v>
      </c>
    </row>
    <row r="49" spans="2:9" ht="12.75">
      <c r="B49" s="23"/>
      <c r="C49" s="278"/>
      <c r="D49" s="319"/>
      <c r="E49" s="319"/>
      <c r="F49" s="319"/>
      <c r="G49" s="319"/>
      <c r="H49" s="319"/>
      <c r="I49" s="319"/>
    </row>
    <row r="50" spans="2:9" ht="12.75">
      <c r="B50" s="23"/>
      <c r="C50" s="278"/>
      <c r="D50" s="319"/>
      <c r="E50" s="319"/>
      <c r="F50" s="319"/>
      <c r="G50" s="319"/>
      <c r="H50" s="319"/>
      <c r="I50" s="319"/>
    </row>
    <row r="51" spans="2:9" ht="12.75">
      <c r="B51" s="23"/>
      <c r="C51" s="23"/>
      <c r="D51" s="23"/>
      <c r="E51" s="23"/>
      <c r="F51" s="23"/>
      <c r="G51" s="23"/>
      <c r="H51" s="23"/>
      <c r="I51" s="23"/>
    </row>
    <row r="52" spans="2:9" ht="12.75">
      <c r="B52" s="23"/>
      <c r="C52" s="23"/>
      <c r="D52" s="23"/>
      <c r="E52" s="23"/>
      <c r="F52" s="23"/>
      <c r="G52" s="23"/>
      <c r="H52" s="23"/>
      <c r="I52" s="23"/>
    </row>
    <row r="53" spans="2:9" ht="12.75">
      <c r="B53" s="275" t="s">
        <v>19</v>
      </c>
      <c r="C53" s="275"/>
      <c r="D53" s="23"/>
      <c r="E53" s="23" t="s">
        <v>51</v>
      </c>
      <c r="F53" s="23"/>
      <c r="G53" s="23"/>
      <c r="H53" s="23"/>
      <c r="I53" s="23"/>
    </row>
    <row r="54" spans="2:9" ht="12.75">
      <c r="B54" s="23"/>
      <c r="C54" s="23"/>
      <c r="D54" s="23" t="s">
        <v>8</v>
      </c>
      <c r="E54" s="23" t="s">
        <v>216</v>
      </c>
      <c r="F54" s="23" t="s">
        <v>220</v>
      </c>
      <c r="G54" s="23"/>
      <c r="H54" s="23"/>
      <c r="I54" s="23"/>
    </row>
    <row r="55" spans="2:9" s="325" customFormat="1" ht="12.75">
      <c r="B55" s="38"/>
      <c r="C55" s="38" t="s">
        <v>0</v>
      </c>
      <c r="D55" s="38"/>
      <c r="E55" s="38"/>
      <c r="F55" s="38"/>
      <c r="G55" s="38"/>
      <c r="H55" s="38"/>
      <c r="I55" s="38"/>
    </row>
    <row r="56" spans="2:9" s="325" customFormat="1" ht="12.75">
      <c r="B56" s="38"/>
      <c r="C56" s="38" t="s">
        <v>5</v>
      </c>
      <c r="D56" s="38"/>
      <c r="E56" s="38"/>
      <c r="F56" s="38"/>
      <c r="G56" s="38"/>
      <c r="H56" s="38"/>
      <c r="I56" s="38"/>
    </row>
    <row r="57" spans="2:9" s="325" customFormat="1" ht="12.75">
      <c r="B57" s="38"/>
      <c r="C57" s="38" t="s">
        <v>1</v>
      </c>
      <c r="D57" s="38"/>
      <c r="E57" s="38"/>
      <c r="F57" s="38"/>
      <c r="G57" s="38"/>
      <c r="H57" s="38"/>
      <c r="I57" s="38"/>
    </row>
    <row r="58" spans="2:9" s="325" customFormat="1" ht="12.75">
      <c r="B58" s="38"/>
      <c r="C58" s="38" t="s">
        <v>10</v>
      </c>
      <c r="D58" s="38"/>
      <c r="E58" s="38"/>
      <c r="F58" s="38"/>
      <c r="G58" s="38"/>
      <c r="H58" s="38"/>
      <c r="I58" s="38"/>
    </row>
    <row r="59" spans="2:9" s="325" customFormat="1" ht="12.75">
      <c r="B59" s="38"/>
      <c r="C59" s="38" t="s">
        <v>4</v>
      </c>
      <c r="D59" s="307">
        <f>1.45*10^-7</f>
        <v>1.45E-07</v>
      </c>
      <c r="E59" s="49"/>
      <c r="F59" s="38"/>
      <c r="G59" s="38"/>
      <c r="H59" s="38"/>
      <c r="I59" s="38"/>
    </row>
    <row r="60" spans="2:9" s="325" customFormat="1" ht="12.75">
      <c r="B60" s="38"/>
      <c r="C60" s="38" t="s">
        <v>2</v>
      </c>
      <c r="D60" s="38"/>
      <c r="E60" s="38"/>
      <c r="F60" s="38"/>
      <c r="G60" s="38"/>
      <c r="H60" s="38"/>
      <c r="I60" s="38"/>
    </row>
    <row r="61" spans="1:10" s="38" customFormat="1" ht="12.75">
      <c r="A61" s="326"/>
      <c r="C61" s="38" t="s">
        <v>3</v>
      </c>
      <c r="D61" s="307">
        <f>SUM(D62:D66)</f>
        <v>0.2105713449</v>
      </c>
      <c r="E61" s="49"/>
      <c r="J61" s="327"/>
    </row>
    <row r="62" spans="1:10" s="38" customFormat="1" ht="12.75">
      <c r="A62" s="326"/>
      <c r="C62" s="328" t="s">
        <v>30</v>
      </c>
      <c r="D62" s="307">
        <f>(453.6*E62)/(60*60)</f>
        <v>0.036792</v>
      </c>
      <c r="E62" s="49">
        <f>2.92*10^-1</f>
        <v>0.292</v>
      </c>
      <c r="F62" s="329"/>
      <c r="J62" s="327"/>
    </row>
    <row r="63" spans="1:10" s="38" customFormat="1" ht="12.75">
      <c r="A63" s="326"/>
      <c r="C63" s="328" t="s">
        <v>31</v>
      </c>
      <c r="D63" s="307">
        <f>(453.6*E63)/(60*60)</f>
        <v>0.0067032</v>
      </c>
      <c r="E63" s="49">
        <f>5.32*10^-2</f>
        <v>0.053200000000000004</v>
      </c>
      <c r="F63" s="329"/>
      <c r="J63" s="327"/>
    </row>
    <row r="64" spans="1:10" s="38" customFormat="1" ht="12.75">
      <c r="A64" s="326"/>
      <c r="C64" s="328" t="s">
        <v>22</v>
      </c>
      <c r="D64" s="307">
        <f>(453.6*E64)/(60*60)</f>
        <v>1.4489999999999998E-07</v>
      </c>
      <c r="E64" s="49">
        <f>1.15*10^-6</f>
        <v>1.1499999999999998E-06</v>
      </c>
      <c r="F64" s="329"/>
      <c r="J64" s="327"/>
    </row>
    <row r="65" spans="1:10" s="38" customFormat="1" ht="12.75">
      <c r="A65" s="326"/>
      <c r="C65" s="328" t="s">
        <v>32</v>
      </c>
      <c r="D65" s="307">
        <f>(453.6*E65)/(60*60)</f>
        <v>0.057834</v>
      </c>
      <c r="E65" s="49">
        <f>4.59*10^-1</f>
        <v>0.459</v>
      </c>
      <c r="F65" s="329"/>
      <c r="J65" s="327"/>
    </row>
    <row r="66" spans="1:10" s="38" customFormat="1" ht="12.75">
      <c r="A66" s="326"/>
      <c r="C66" s="328" t="s">
        <v>33</v>
      </c>
      <c r="D66" s="307">
        <f>(453.6*E66)/(60*60)</f>
        <v>0.109242</v>
      </c>
      <c r="E66" s="49">
        <f>8.67*10^-1</f>
        <v>0.867</v>
      </c>
      <c r="F66" s="329"/>
      <c r="J66" s="327"/>
    </row>
    <row r="67" spans="2:9" s="325" customFormat="1" ht="12.75">
      <c r="B67" s="38"/>
      <c r="C67" s="38"/>
      <c r="D67" s="38"/>
      <c r="E67" s="38"/>
      <c r="F67" s="38"/>
      <c r="G67" s="38"/>
      <c r="H67" s="38"/>
      <c r="I67" s="38"/>
    </row>
    <row r="68" spans="2:9" s="325" customFormat="1" ht="12.75">
      <c r="B68" s="38"/>
      <c r="C68" s="38"/>
      <c r="D68" s="38"/>
      <c r="E68" s="38"/>
      <c r="F68" s="38"/>
      <c r="G68" s="38"/>
      <c r="H68" s="38"/>
      <c r="I68" s="38"/>
    </row>
    <row r="69" spans="2:9" ht="12.75">
      <c r="B69" s="23"/>
      <c r="C69" s="23"/>
      <c r="D69" s="23"/>
      <c r="E69" s="23"/>
      <c r="F69" s="23"/>
      <c r="G69" s="23"/>
      <c r="H69" s="23"/>
      <c r="I69" s="23"/>
    </row>
    <row r="70" spans="2:9" ht="12.75">
      <c r="B70" s="275" t="s">
        <v>54</v>
      </c>
      <c r="C70" s="275"/>
      <c r="D70" s="23"/>
      <c r="E70" s="23"/>
      <c r="F70" s="23"/>
      <c r="G70" s="23"/>
      <c r="H70" s="23"/>
      <c r="I70" s="23"/>
    </row>
    <row r="71" spans="2:9" ht="12.75">
      <c r="B71" s="23"/>
      <c r="C71" s="23"/>
      <c r="D71" s="23" t="s">
        <v>8</v>
      </c>
      <c r="E71" s="23"/>
      <c r="F71" s="23"/>
      <c r="G71" s="23"/>
      <c r="H71" s="23"/>
      <c r="I71" s="23"/>
    </row>
    <row r="72" spans="2:9" ht="12.75">
      <c r="B72" s="23"/>
      <c r="C72" s="23" t="s">
        <v>0</v>
      </c>
      <c r="D72" s="307">
        <v>0.0532</v>
      </c>
      <c r="E72" s="49"/>
      <c r="F72" s="306">
        <v>0.0532</v>
      </c>
      <c r="G72" s="23"/>
      <c r="H72" s="23"/>
      <c r="I72" s="23"/>
    </row>
    <row r="73" spans="2:9" ht="12.75">
      <c r="B73" s="23"/>
      <c r="C73" s="23" t="s">
        <v>5</v>
      </c>
      <c r="D73" s="307">
        <v>0.0098</v>
      </c>
      <c r="E73" s="49"/>
      <c r="F73" s="306">
        <v>0.0098</v>
      </c>
      <c r="G73" s="23"/>
      <c r="H73" s="23"/>
      <c r="I73" s="23"/>
    </row>
    <row r="74" spans="2:9" ht="12.75">
      <c r="B74" s="23"/>
      <c r="C74" s="23" t="s">
        <v>1</v>
      </c>
      <c r="D74" s="307">
        <v>0.00089</v>
      </c>
      <c r="E74" s="49"/>
      <c r="F74" s="306">
        <v>0.00089</v>
      </c>
      <c r="G74" s="23"/>
      <c r="H74" s="23"/>
      <c r="I74" s="23"/>
    </row>
    <row r="75" spans="2:9" ht="12.75">
      <c r="B75" s="23"/>
      <c r="C75" s="23" t="s">
        <v>10</v>
      </c>
      <c r="D75" s="307">
        <v>0.00089</v>
      </c>
      <c r="E75" s="49"/>
      <c r="F75" s="306">
        <v>0.00089</v>
      </c>
      <c r="G75" s="23"/>
      <c r="H75" s="23"/>
      <c r="I75" s="23"/>
    </row>
    <row r="79" ht="12.75">
      <c r="C79" s="63"/>
    </row>
    <row r="80" ht="12.75">
      <c r="C80" s="63"/>
    </row>
    <row r="81" ht="12.75">
      <c r="C81" s="63"/>
    </row>
    <row r="82" ht="12.75">
      <c r="C82" s="63"/>
    </row>
    <row r="83" ht="12.75">
      <c r="C83" s="63"/>
    </row>
  </sheetData>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sheetPr>
    <tabColor indexed="10"/>
  </sheetPr>
  <dimension ref="A1:M49"/>
  <sheetViews>
    <sheetView workbookViewId="0" topLeftCell="A10">
      <selection activeCell="A16" sqref="A16"/>
    </sheetView>
  </sheetViews>
  <sheetFormatPr defaultColWidth="9.140625" defaultRowHeight="12.75"/>
  <cols>
    <col min="1" max="2" width="10.28125" style="74" customWidth="1"/>
    <col min="3" max="3" width="70.8515625" style="74" bestFit="1" customWidth="1"/>
    <col min="4" max="4" width="10.421875" style="74" bestFit="1" customWidth="1"/>
    <col min="5" max="6" width="10.28125" style="74" customWidth="1"/>
    <col min="7" max="7" width="10.421875" style="74" customWidth="1"/>
    <col min="8" max="52" width="10.28125" style="74" customWidth="1"/>
    <col min="53" max="16384" width="10.28125" style="75" customWidth="1"/>
  </cols>
  <sheetData>
    <row r="1" spans="1:3" ht="14.25">
      <c r="A1" s="73" t="s">
        <v>173</v>
      </c>
      <c r="B1" s="73"/>
      <c r="C1" s="73"/>
    </row>
    <row r="2" ht="15" thickBot="1"/>
    <row r="3" spans="3:7" ht="15">
      <c r="C3" s="148" t="s">
        <v>55</v>
      </c>
      <c r="D3" s="149" t="s">
        <v>12</v>
      </c>
      <c r="E3" s="149" t="s">
        <v>13</v>
      </c>
      <c r="F3" s="149" t="s">
        <v>14</v>
      </c>
      <c r="G3" s="150" t="s">
        <v>15</v>
      </c>
    </row>
    <row r="4" spans="3:7" ht="14.25">
      <c r="C4" s="101" t="s">
        <v>16</v>
      </c>
      <c r="D4" s="104">
        <f>ROUNDUP(0.063*D8,0)</f>
        <v>15</v>
      </c>
      <c r="E4" s="104">
        <f>ROUNDUP(0.063*E8,0)</f>
        <v>9</v>
      </c>
      <c r="F4" s="104">
        <f>ROUNDUP(0.063*F8,0)</f>
        <v>14</v>
      </c>
      <c r="G4" s="105">
        <f>ROUNDUP(0.063*G8,0)</f>
        <v>15</v>
      </c>
    </row>
    <row r="5" spans="3:7" ht="14.25">
      <c r="C5" s="101" t="s">
        <v>17</v>
      </c>
      <c r="D5" s="104">
        <v>451</v>
      </c>
      <c r="E5" s="104">
        <v>264</v>
      </c>
      <c r="F5" s="104">
        <v>432</v>
      </c>
      <c r="G5" s="105">
        <v>448</v>
      </c>
    </row>
    <row r="6" spans="3:7" ht="14.25">
      <c r="C6" s="101" t="s">
        <v>174</v>
      </c>
      <c r="D6" s="104">
        <v>52</v>
      </c>
      <c r="E6" s="104">
        <v>29</v>
      </c>
      <c r="F6" s="104">
        <v>50</v>
      </c>
      <c r="G6" s="105">
        <v>52</v>
      </c>
    </row>
    <row r="7" spans="3:7" ht="14.25">
      <c r="C7" s="101" t="s">
        <v>68</v>
      </c>
      <c r="D7" s="151">
        <f>14.8*D5</f>
        <v>6674.8</v>
      </c>
      <c r="E7" s="151">
        <f>14.8*E5</f>
        <v>3907.2000000000003</v>
      </c>
      <c r="F7" s="151">
        <f>14.8*F5</f>
        <v>6393.6</v>
      </c>
      <c r="G7" s="152">
        <f>14.8*G5</f>
        <v>6630.400000000001</v>
      </c>
    </row>
    <row r="8" spans="3:7" ht="14.25">
      <c r="C8" s="101" t="s">
        <v>96</v>
      </c>
      <c r="D8" s="104">
        <f>ROUNDUP(D5*0.5,0)</f>
        <v>226</v>
      </c>
      <c r="E8" s="104">
        <f>ROUNDUP(E5*0.5,0)</f>
        <v>132</v>
      </c>
      <c r="F8" s="104">
        <f>ROUNDUP(F5*0.5,0)</f>
        <v>216</v>
      </c>
      <c r="G8" s="104">
        <f>ROUNDUP(G5*0.5,0)</f>
        <v>224</v>
      </c>
    </row>
    <row r="9" spans="3:7" ht="14.25">
      <c r="C9" s="153" t="s">
        <v>53</v>
      </c>
      <c r="D9" s="154">
        <f>ROUNDUP(0.6*D8,0)</f>
        <v>136</v>
      </c>
      <c r="E9" s="154">
        <f>ROUNDUP(0.6*E8,0)</f>
        <v>80</v>
      </c>
      <c r="F9" s="154">
        <f>ROUNDUP(0.6*F8,0)</f>
        <v>130</v>
      </c>
      <c r="G9" s="155">
        <f>ROUNDUP(0.6*G8,0)</f>
        <v>135</v>
      </c>
    </row>
    <row r="10" spans="3:7" ht="15" thickBot="1">
      <c r="C10" s="110" t="s">
        <v>18</v>
      </c>
      <c r="D10" s="114">
        <f>1*D8</f>
        <v>226</v>
      </c>
      <c r="E10" s="114">
        <f>1*E8</f>
        <v>132</v>
      </c>
      <c r="F10" s="114">
        <f>1*F8</f>
        <v>216</v>
      </c>
      <c r="G10" s="115">
        <f>1*G8</f>
        <v>224</v>
      </c>
    </row>
    <row r="11" spans="4:7" ht="14.25">
      <c r="D11" s="74">
        <f>D5/15</f>
        <v>30.066666666666666</v>
      </c>
      <c r="E11" s="74">
        <f>E5/15</f>
        <v>17.6</v>
      </c>
      <c r="F11" s="74">
        <f>F5/15</f>
        <v>28.8</v>
      </c>
      <c r="G11" s="74">
        <f>G5/15</f>
        <v>29.866666666666667</v>
      </c>
    </row>
    <row r="12" ht="15" thickBot="1"/>
    <row r="13" spans="3:7" ht="15">
      <c r="C13" s="156" t="s">
        <v>175</v>
      </c>
      <c r="D13" s="157" t="s">
        <v>12</v>
      </c>
      <c r="E13" s="157" t="s">
        <v>13</v>
      </c>
      <c r="F13" s="157" t="s">
        <v>14</v>
      </c>
      <c r="G13" s="158" t="s">
        <v>15</v>
      </c>
    </row>
    <row r="14" spans="3:7" ht="14.25">
      <c r="C14" s="101" t="s">
        <v>1</v>
      </c>
      <c r="D14" s="159">
        <f aca="true" t="shared" si="0" ref="D14:G15">D27+D40+D48</f>
        <v>232.9508655725516</v>
      </c>
      <c r="E14" s="159">
        <f t="shared" si="0"/>
        <v>129.91490580007684</v>
      </c>
      <c r="F14" s="159">
        <f t="shared" si="0"/>
        <v>223.9912168966842</v>
      </c>
      <c r="G14" s="160">
        <f t="shared" si="0"/>
        <v>232.9508655725516</v>
      </c>
    </row>
    <row r="15" spans="3:7" ht="15" thickBot="1">
      <c r="C15" s="110" t="s">
        <v>42</v>
      </c>
      <c r="D15" s="161">
        <f t="shared" si="0"/>
        <v>34.374264968295996</v>
      </c>
      <c r="E15" s="161">
        <f t="shared" si="0"/>
        <v>19.170263155395844</v>
      </c>
      <c r="F15" s="161">
        <f t="shared" si="0"/>
        <v>33.05217785413077</v>
      </c>
      <c r="G15" s="162">
        <f t="shared" si="0"/>
        <v>34.374264968295996</v>
      </c>
    </row>
    <row r="17" spans="2:13" ht="15" thickBot="1">
      <c r="B17" s="89"/>
      <c r="C17" s="89"/>
      <c r="D17" s="163"/>
      <c r="E17" s="164"/>
      <c r="F17" s="164"/>
      <c r="G17" s="165"/>
      <c r="H17" s="165"/>
      <c r="I17" s="165"/>
      <c r="J17" s="165"/>
      <c r="K17" s="165"/>
      <c r="L17" s="165"/>
      <c r="M17" s="165"/>
    </row>
    <row r="18" spans="3:7" ht="15">
      <c r="C18" s="166" t="s">
        <v>176</v>
      </c>
      <c r="D18" s="99" t="str">
        <f>D13</f>
        <v>Alt A</v>
      </c>
      <c r="E18" s="99" t="str">
        <f>E13</f>
        <v>Alt B</v>
      </c>
      <c r="F18" s="99" t="str">
        <f>F13</f>
        <v>Alt C</v>
      </c>
      <c r="G18" s="99" t="str">
        <f>G13</f>
        <v>Alt D</v>
      </c>
    </row>
    <row r="19" spans="3:7" ht="14.25">
      <c r="C19" s="101" t="s">
        <v>177</v>
      </c>
      <c r="D19" s="167">
        <f>'Fug Dust Assumptions'!$C$6</f>
        <v>10</v>
      </c>
      <c r="E19" s="167">
        <f>'Fug Dust Assumptions'!$C$6</f>
        <v>10</v>
      </c>
      <c r="F19" s="167">
        <f>'Fug Dust Assumptions'!$C$6</f>
        <v>10</v>
      </c>
      <c r="G19" s="168">
        <f>'Fug Dust Assumptions'!$C$6</f>
        <v>10</v>
      </c>
    </row>
    <row r="20" spans="3:7" ht="14.25">
      <c r="C20" s="101" t="s">
        <v>178</v>
      </c>
      <c r="D20" s="169">
        <f>'Fug Dust Assumptions'!$C$5</f>
        <v>14</v>
      </c>
      <c r="E20" s="169">
        <f>'Fug Dust Assumptions'!$C$5</f>
        <v>14</v>
      </c>
      <c r="F20" s="169">
        <f>'Fug Dust Assumptions'!$C$5</f>
        <v>14</v>
      </c>
      <c r="G20" s="170">
        <f>'Fug Dust Assumptions'!$C$5</f>
        <v>14</v>
      </c>
    </row>
    <row r="21" spans="3:7" ht="14.25">
      <c r="C21" s="101" t="s">
        <v>179</v>
      </c>
      <c r="D21" s="171">
        <f>D6</f>
        <v>52</v>
      </c>
      <c r="E21" s="171">
        <f>E6</f>
        <v>29</v>
      </c>
      <c r="F21" s="171">
        <f>F6</f>
        <v>50</v>
      </c>
      <c r="G21" s="172">
        <f>G6</f>
        <v>52</v>
      </c>
    </row>
    <row r="22" spans="3:7" ht="14.25">
      <c r="C22" s="101" t="s">
        <v>180</v>
      </c>
      <c r="D22" s="173">
        <f>D19*D21</f>
        <v>520</v>
      </c>
      <c r="E22" s="173">
        <f>E19*E21</f>
        <v>290</v>
      </c>
      <c r="F22" s="173">
        <f>F19*F21</f>
        <v>500</v>
      </c>
      <c r="G22" s="174">
        <f>G19*G21</f>
        <v>520</v>
      </c>
    </row>
    <row r="23" spans="3:7" ht="14.25">
      <c r="C23" s="101" t="s">
        <v>181</v>
      </c>
      <c r="D23" s="171">
        <f>('Fug Dust Assumptions'!$C$9*D19*D20/30*2000)*(1-'Fug Dust Assumptions'!$C$8)</f>
        <v>8400</v>
      </c>
      <c r="E23" s="171">
        <f>('Fug Dust Assumptions'!$C$9*E19*E20/30*2000)*(1-'Fug Dust Assumptions'!$C$8)</f>
        <v>8400</v>
      </c>
      <c r="F23" s="171">
        <f>('Fug Dust Assumptions'!$C$9*F19*F20/30*2000)*(1-'Fug Dust Assumptions'!$C$8)</f>
        <v>8400</v>
      </c>
      <c r="G23" s="172">
        <f>('Fug Dust Assumptions'!$C$9*G19*G20/30*2000)*(1-'Fug Dust Assumptions'!$C$8)</f>
        <v>8400</v>
      </c>
    </row>
    <row r="24" spans="3:7" ht="14.25">
      <c r="C24" s="101" t="s">
        <v>182</v>
      </c>
      <c r="D24" s="171">
        <f>D23*'Fug Dust Assumptions'!$C$10</f>
        <v>2184</v>
      </c>
      <c r="E24" s="171">
        <f>E23*'Fug Dust Assumptions'!$C$10</f>
        <v>2184</v>
      </c>
      <c r="F24" s="171">
        <f>F23*'Fug Dust Assumptions'!$C$10</f>
        <v>2184</v>
      </c>
      <c r="G24" s="172">
        <f>G23*'Fug Dust Assumptions'!$C$10</f>
        <v>2184</v>
      </c>
    </row>
    <row r="25" spans="3:7" ht="14.25">
      <c r="C25" s="101" t="s">
        <v>183</v>
      </c>
      <c r="D25" s="171">
        <f>D24*'Fug Dust Assumptions'!$C$11</f>
        <v>327.59999999999997</v>
      </c>
      <c r="E25" s="171">
        <f>E24*'Fug Dust Assumptions'!$C$11</f>
        <v>327.59999999999997</v>
      </c>
      <c r="F25" s="171">
        <f>F24*'Fug Dust Assumptions'!$C$11</f>
        <v>327.59999999999997</v>
      </c>
      <c r="G25" s="172">
        <f>G24*'Fug Dust Assumptions'!$C$11</f>
        <v>327.59999999999997</v>
      </c>
    </row>
    <row r="26" spans="3:7" ht="14.25">
      <c r="C26" s="101" t="s">
        <v>184</v>
      </c>
      <c r="D26" s="171">
        <f>D23*D21/2000</f>
        <v>218.4</v>
      </c>
      <c r="E26" s="171">
        <f>E23*E21/2000</f>
        <v>121.8</v>
      </c>
      <c r="F26" s="171">
        <f>F23*F21/2000</f>
        <v>210</v>
      </c>
      <c r="G26" s="172">
        <f>G23*G21/2000</f>
        <v>218.4</v>
      </c>
    </row>
    <row r="27" spans="3:7" ht="14.25">
      <c r="C27" s="101" t="s">
        <v>185</v>
      </c>
      <c r="D27" s="171">
        <f>D26*'Fug Dust Assumptions'!$C$10</f>
        <v>56.784000000000006</v>
      </c>
      <c r="E27" s="171">
        <f>E26*'Fug Dust Assumptions'!$C$10</f>
        <v>31.668</v>
      </c>
      <c r="F27" s="171">
        <f>F26*'Fug Dust Assumptions'!$C$10</f>
        <v>54.6</v>
      </c>
      <c r="G27" s="172">
        <f>G26*'Fug Dust Assumptions'!$C$10</f>
        <v>56.784000000000006</v>
      </c>
    </row>
    <row r="28" spans="3:7" ht="15" thickBot="1">
      <c r="C28" s="110" t="s">
        <v>186</v>
      </c>
      <c r="D28" s="175">
        <f>D27*'Fug Dust Assumptions'!$C$11</f>
        <v>8.5176</v>
      </c>
      <c r="E28" s="175">
        <f>E27*'Fug Dust Assumptions'!$C$11</f>
        <v>4.7501999999999995</v>
      </c>
      <c r="F28" s="175">
        <f>F27*'Fug Dust Assumptions'!$C$11</f>
        <v>8.19</v>
      </c>
      <c r="G28" s="176">
        <f>G27*'Fug Dust Assumptions'!$C$11</f>
        <v>8.5176</v>
      </c>
    </row>
    <row r="30" ht="15" thickBot="1"/>
    <row r="31" spans="3:7" ht="15">
      <c r="C31" s="177" t="s">
        <v>187</v>
      </c>
      <c r="D31" s="99" t="str">
        <f>D18</f>
        <v>Alt A</v>
      </c>
      <c r="E31" s="99" t="str">
        <f>E18</f>
        <v>Alt B</v>
      </c>
      <c r="F31" s="99" t="str">
        <f>F18</f>
        <v>Alt C</v>
      </c>
      <c r="G31" s="99" t="str">
        <f>G18</f>
        <v>Alt D</v>
      </c>
    </row>
    <row r="32" spans="3:7" ht="14.25">
      <c r="C32" s="101" t="s">
        <v>177</v>
      </c>
      <c r="D32" s="167">
        <f>'Fug Dust Assumptions'!$C$7</f>
        <v>5</v>
      </c>
      <c r="E32" s="167">
        <f>'Fug Dust Assumptions'!$C$7</f>
        <v>5</v>
      </c>
      <c r="F32" s="167">
        <f>'Fug Dust Assumptions'!$C$7</f>
        <v>5</v>
      </c>
      <c r="G32" s="168">
        <f>'Fug Dust Assumptions'!$C$7</f>
        <v>5</v>
      </c>
    </row>
    <row r="33" spans="3:7" ht="14.25">
      <c r="C33" s="101" t="s">
        <v>178</v>
      </c>
      <c r="D33" s="169">
        <f>'Fug Dust Assumptions'!$C$5</f>
        <v>14</v>
      </c>
      <c r="E33" s="169">
        <f>'Fug Dust Assumptions'!$C$5</f>
        <v>14</v>
      </c>
      <c r="F33" s="169">
        <f>'Fug Dust Assumptions'!$C$5</f>
        <v>14</v>
      </c>
      <c r="G33" s="170">
        <f>'Fug Dust Assumptions'!$C$5</f>
        <v>14</v>
      </c>
    </row>
    <row r="34" spans="3:7" ht="14.25">
      <c r="C34" s="101" t="s">
        <v>179</v>
      </c>
      <c r="D34" s="171">
        <f>D6</f>
        <v>52</v>
      </c>
      <c r="E34" s="171">
        <f>E6</f>
        <v>29</v>
      </c>
      <c r="F34" s="171">
        <f>F6</f>
        <v>50</v>
      </c>
      <c r="G34" s="172">
        <f>G6</f>
        <v>52</v>
      </c>
    </row>
    <row r="35" spans="3:7" ht="14.25">
      <c r="C35" s="101" t="s">
        <v>180</v>
      </c>
      <c r="D35" s="173">
        <f>D32*D34</f>
        <v>260</v>
      </c>
      <c r="E35" s="173">
        <f>E32*E34</f>
        <v>145</v>
      </c>
      <c r="F35" s="173">
        <f>F32*F34</f>
        <v>250</v>
      </c>
      <c r="G35" s="174">
        <f>G32*G34</f>
        <v>260</v>
      </c>
    </row>
    <row r="36" spans="3:7" ht="14.25">
      <c r="C36" s="101" t="s">
        <v>181</v>
      </c>
      <c r="D36" s="171">
        <f>('Fug Dust Assumptions'!$C$9*D32*D33/30*2000)*(1-'Fug Dust Assumptions'!$C$8)</f>
        <v>4200</v>
      </c>
      <c r="E36" s="171">
        <f>('Fug Dust Assumptions'!$C$9*E32*E33/30*2000)*(1-'Fug Dust Assumptions'!$C$8)</f>
        <v>4200</v>
      </c>
      <c r="F36" s="171">
        <f>('Fug Dust Assumptions'!$C$9*F32*F33/30*2000)*(1-'Fug Dust Assumptions'!$C$8)</f>
        <v>4200</v>
      </c>
      <c r="G36" s="172">
        <f>('Fug Dust Assumptions'!$C$9*G32*G33/30*2000)*(1-'Fug Dust Assumptions'!$C$8)</f>
        <v>4200</v>
      </c>
    </row>
    <row r="37" spans="3:7" ht="14.25">
      <c r="C37" s="101" t="s">
        <v>182</v>
      </c>
      <c r="D37" s="171">
        <f>D36*'Fug Dust Assumptions'!$C$10</f>
        <v>1092</v>
      </c>
      <c r="E37" s="171">
        <f>E36*'Fug Dust Assumptions'!$C$10</f>
        <v>1092</v>
      </c>
      <c r="F37" s="171">
        <f>F36*'Fug Dust Assumptions'!$C$10</f>
        <v>1092</v>
      </c>
      <c r="G37" s="172">
        <f>G36*'Fug Dust Assumptions'!$C$10</f>
        <v>1092</v>
      </c>
    </row>
    <row r="38" spans="3:7" ht="14.25">
      <c r="C38" s="101" t="s">
        <v>183</v>
      </c>
      <c r="D38" s="171">
        <f>D37*'Fug Dust Assumptions'!$C$11</f>
        <v>163.79999999999998</v>
      </c>
      <c r="E38" s="171">
        <f>E37*'Fug Dust Assumptions'!$C$11</f>
        <v>163.79999999999998</v>
      </c>
      <c r="F38" s="171">
        <f>F37*'Fug Dust Assumptions'!$C$11</f>
        <v>163.79999999999998</v>
      </c>
      <c r="G38" s="172">
        <f>G37*'Fug Dust Assumptions'!$C$11</f>
        <v>163.79999999999998</v>
      </c>
    </row>
    <row r="39" spans="3:7" ht="14.25">
      <c r="C39" s="101" t="s">
        <v>184</v>
      </c>
      <c r="D39" s="171">
        <f>D36*D34/2000</f>
        <v>109.2</v>
      </c>
      <c r="E39" s="171">
        <f>E36*E34/2000</f>
        <v>60.9</v>
      </c>
      <c r="F39" s="171">
        <f>F36*F34/2000</f>
        <v>105</v>
      </c>
      <c r="G39" s="172">
        <f>G36*G34/2000</f>
        <v>109.2</v>
      </c>
    </row>
    <row r="40" spans="3:7" ht="14.25">
      <c r="C40" s="101" t="s">
        <v>185</v>
      </c>
      <c r="D40" s="171">
        <f>D39*'Fug Dust Assumptions'!$C$10</f>
        <v>28.392000000000003</v>
      </c>
      <c r="E40" s="171">
        <f>E39*'Fug Dust Assumptions'!$C$10</f>
        <v>15.834</v>
      </c>
      <c r="F40" s="171">
        <f>F39*'Fug Dust Assumptions'!$C$10</f>
        <v>27.3</v>
      </c>
      <c r="G40" s="172">
        <f>G39*'Fug Dust Assumptions'!$C$10</f>
        <v>28.392000000000003</v>
      </c>
    </row>
    <row r="41" spans="3:7" ht="15" thickBot="1">
      <c r="C41" s="110" t="s">
        <v>186</v>
      </c>
      <c r="D41" s="175">
        <f>D40*'Fug Dust Assumptions'!$C$11</f>
        <v>4.2588</v>
      </c>
      <c r="E41" s="175">
        <f>E40*'Fug Dust Assumptions'!$C$11</f>
        <v>2.3750999999999998</v>
      </c>
      <c r="F41" s="175">
        <f>F40*'Fug Dust Assumptions'!$C$11</f>
        <v>4.095</v>
      </c>
      <c r="G41" s="176">
        <f>G40*'Fug Dust Assumptions'!$C$11</f>
        <v>4.2588</v>
      </c>
    </row>
    <row r="43" ht="15" thickBot="1"/>
    <row r="44" spans="3:7" ht="15">
      <c r="C44" s="178" t="s">
        <v>188</v>
      </c>
      <c r="D44" s="99" t="str">
        <f>D31</f>
        <v>Alt A</v>
      </c>
      <c r="E44" s="99" t="str">
        <f>E31</f>
        <v>Alt B</v>
      </c>
      <c r="F44" s="99" t="str">
        <f>F31</f>
        <v>Alt C</v>
      </c>
      <c r="G44" s="100" t="str">
        <f>G31</f>
        <v>Alt D</v>
      </c>
    </row>
    <row r="45" spans="3:7" ht="14.25">
      <c r="C45" s="101" t="s">
        <v>189</v>
      </c>
      <c r="D45" s="151">
        <f>'Fug Dust Assumptions'!$H$53</f>
        <v>5683.648675867368</v>
      </c>
      <c r="E45" s="151">
        <f>'Fug Dust Assumptions'!$H$53</f>
        <v>5683.648675867368</v>
      </c>
      <c r="F45" s="151">
        <f>'Fug Dust Assumptions'!$H$53</f>
        <v>5683.648675867368</v>
      </c>
      <c r="G45" s="152">
        <f>'Fug Dust Assumptions'!$H$53</f>
        <v>5683.648675867368</v>
      </c>
    </row>
    <row r="46" spans="3:7" ht="14.25">
      <c r="C46" s="101" t="s">
        <v>190</v>
      </c>
      <c r="D46" s="151">
        <f>'Fug Dust Assumptions'!$J$53</f>
        <v>830.6871141652307</v>
      </c>
      <c r="E46" s="151">
        <f>'Fug Dust Assumptions'!$J$53</f>
        <v>830.6871141652307</v>
      </c>
      <c r="F46" s="151">
        <f>'Fug Dust Assumptions'!$J$53</f>
        <v>830.6871141652307</v>
      </c>
      <c r="G46" s="152">
        <f>'Fug Dust Assumptions'!$J$53</f>
        <v>830.6871141652307</v>
      </c>
    </row>
    <row r="47" spans="3:7" ht="14.25">
      <c r="C47" s="101" t="s">
        <v>179</v>
      </c>
      <c r="D47" s="104">
        <f>D6</f>
        <v>52</v>
      </c>
      <c r="E47" s="104">
        <f>E6</f>
        <v>29</v>
      </c>
      <c r="F47" s="104">
        <f>F6</f>
        <v>50</v>
      </c>
      <c r="G47" s="105">
        <f>G6</f>
        <v>52</v>
      </c>
    </row>
    <row r="48" spans="3:7" ht="14.25">
      <c r="C48" s="101" t="s">
        <v>191</v>
      </c>
      <c r="D48" s="179">
        <f>D45*D47/2000</f>
        <v>147.7748655725516</v>
      </c>
      <c r="E48" s="179">
        <f>E45*E47/2000</f>
        <v>82.41290580007684</v>
      </c>
      <c r="F48" s="179">
        <f>F45*F47/2000</f>
        <v>142.0912168966842</v>
      </c>
      <c r="G48" s="180">
        <f>G45*G47/2000</f>
        <v>147.7748655725516</v>
      </c>
    </row>
    <row r="49" spans="3:7" ht="15" thickBot="1">
      <c r="C49" s="110" t="s">
        <v>192</v>
      </c>
      <c r="D49" s="181">
        <f>D46*D47/2000</f>
        <v>21.597864968295998</v>
      </c>
      <c r="E49" s="181">
        <f>E46*E47/2000</f>
        <v>12.044963155395845</v>
      </c>
      <c r="F49" s="181">
        <f>F46*F47/2000</f>
        <v>20.767177854130768</v>
      </c>
      <c r="G49" s="182">
        <f>G46*G47/2000</f>
        <v>21.597864968295998</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indexed="10"/>
    <pageSetUpPr fitToPage="1"/>
  </sheetPr>
  <dimension ref="A1:O241"/>
  <sheetViews>
    <sheetView tabSelected="1" workbookViewId="0" topLeftCell="A1">
      <selection activeCell="D12" sqref="D12"/>
    </sheetView>
  </sheetViews>
  <sheetFormatPr defaultColWidth="9.140625" defaultRowHeight="12.75"/>
  <cols>
    <col min="1" max="1" width="9.140625" style="19" customWidth="1"/>
    <col min="3" max="3" width="9.00390625" style="0" customWidth="1"/>
    <col min="4" max="4" width="24.7109375" style="0" customWidth="1"/>
    <col min="5" max="5" width="39.00390625" style="255" customWidth="1"/>
    <col min="6" max="9" width="10.28125" style="255" bestFit="1" customWidth="1"/>
    <col min="10" max="10" width="9.140625" style="255" customWidth="1"/>
    <col min="11" max="11" width="21.57421875" style="0" bestFit="1" customWidth="1"/>
    <col min="12" max="12" width="23.7109375" style="0" bestFit="1" customWidth="1"/>
    <col min="13" max="14" width="23.7109375" style="0" customWidth="1"/>
    <col min="15" max="15" width="15.421875" style="0" bestFit="1" customWidth="1"/>
  </cols>
  <sheetData>
    <row r="1" spans="1:15" ht="12.75">
      <c r="A1" s="9" t="s">
        <v>64</v>
      </c>
      <c r="B1" s="10"/>
      <c r="C1" s="10"/>
      <c r="D1" s="10"/>
      <c r="E1" s="183"/>
      <c r="F1" s="183"/>
      <c r="G1" s="183"/>
      <c r="H1" s="183"/>
      <c r="I1" s="183"/>
      <c r="J1" s="183"/>
      <c r="K1" s="19"/>
      <c r="L1" s="19"/>
      <c r="M1" s="19"/>
      <c r="N1" s="19"/>
      <c r="O1" s="19"/>
    </row>
    <row r="2" spans="2:15" ht="13.5" thickBot="1">
      <c r="B2" s="19"/>
      <c r="C2" s="19"/>
      <c r="D2" s="19"/>
      <c r="E2" s="183"/>
      <c r="F2" s="183"/>
      <c r="G2" s="183"/>
      <c r="H2" s="183"/>
      <c r="I2" s="183"/>
      <c r="J2" s="183"/>
      <c r="K2" s="19"/>
      <c r="L2" s="19"/>
      <c r="M2" s="19"/>
      <c r="N2" s="19"/>
      <c r="O2" s="19"/>
    </row>
    <row r="3" spans="2:15" ht="12.75">
      <c r="B3" s="19"/>
      <c r="C3" s="19"/>
      <c r="D3" s="19"/>
      <c r="E3" s="184" t="s">
        <v>55</v>
      </c>
      <c r="F3" s="185" t="s">
        <v>12</v>
      </c>
      <c r="G3" s="185" t="s">
        <v>13</v>
      </c>
      <c r="H3" s="185" t="s">
        <v>14</v>
      </c>
      <c r="I3" s="186" t="s">
        <v>15</v>
      </c>
      <c r="J3" s="187"/>
      <c r="K3" s="19"/>
      <c r="L3" s="19"/>
      <c r="M3" s="19"/>
      <c r="N3" s="19"/>
      <c r="O3" s="19"/>
    </row>
    <row r="4" spans="2:15" ht="12.75">
      <c r="B4" s="19"/>
      <c r="C4" s="19"/>
      <c r="D4" s="19"/>
      <c r="E4" s="188" t="s">
        <v>16</v>
      </c>
      <c r="F4" s="189">
        <f>'Well Pad Assumptions'!F11</f>
        <v>21</v>
      </c>
      <c r="G4" s="189">
        <f>'Well Pad Assumptions'!F24</f>
        <v>16</v>
      </c>
      <c r="H4" s="189">
        <f>'Well Pad Assumptions'!F37</f>
        <v>21</v>
      </c>
      <c r="I4" s="190">
        <f>'Well Pad Assumptions'!F50</f>
        <v>21</v>
      </c>
      <c r="J4" s="187"/>
      <c r="K4" s="19"/>
      <c r="L4" s="19"/>
      <c r="M4" s="19"/>
      <c r="N4" s="19"/>
      <c r="O4" s="19"/>
    </row>
    <row r="5" spans="2:15" ht="12.75">
      <c r="B5" s="19"/>
      <c r="C5" s="19"/>
      <c r="D5" s="19"/>
      <c r="E5" s="188" t="s">
        <v>17</v>
      </c>
      <c r="F5" s="189">
        <v>451</v>
      </c>
      <c r="G5" s="189">
        <v>264</v>
      </c>
      <c r="H5" s="189">
        <v>432</v>
      </c>
      <c r="I5" s="190">
        <v>448</v>
      </c>
      <c r="J5" s="187"/>
      <c r="K5" s="19"/>
      <c r="L5" s="19"/>
      <c r="M5" s="19"/>
      <c r="N5" s="19"/>
      <c r="O5" s="19"/>
    </row>
    <row r="6" spans="2:15" ht="12.75">
      <c r="B6" s="19"/>
      <c r="C6" s="19"/>
      <c r="D6" s="19"/>
      <c r="E6" s="191" t="s">
        <v>174</v>
      </c>
      <c r="F6" s="192">
        <v>52</v>
      </c>
      <c r="G6" s="192">
        <v>29</v>
      </c>
      <c r="H6" s="192">
        <v>50</v>
      </c>
      <c r="I6" s="193">
        <v>52</v>
      </c>
      <c r="J6" s="187"/>
      <c r="K6" s="19"/>
      <c r="L6" s="19"/>
      <c r="M6" s="19"/>
      <c r="N6" s="19"/>
      <c r="O6" s="19"/>
    </row>
    <row r="7" spans="2:15" ht="12.75">
      <c r="B7" s="19"/>
      <c r="C7" s="19"/>
      <c r="D7" s="19"/>
      <c r="E7" s="194" t="s">
        <v>68</v>
      </c>
      <c r="F7" s="195">
        <f>15*F5</f>
        <v>6765</v>
      </c>
      <c r="G7" s="195">
        <f>15*G5</f>
        <v>3960</v>
      </c>
      <c r="H7" s="195">
        <f>15*H5</f>
        <v>6480</v>
      </c>
      <c r="I7" s="196">
        <f>15*I5</f>
        <v>6720</v>
      </c>
      <c r="J7" s="187"/>
      <c r="K7" s="19"/>
      <c r="L7" s="19"/>
      <c r="M7" s="19"/>
      <c r="N7" s="19"/>
      <c r="O7" s="19"/>
    </row>
    <row r="8" spans="2:15" ht="12.75">
      <c r="B8" s="19"/>
      <c r="C8" s="19"/>
      <c r="D8" s="19"/>
      <c r="E8" s="194" t="s">
        <v>96</v>
      </c>
      <c r="F8" s="197">
        <f>'Well Pad Assumptions'!D11</f>
        <v>226</v>
      </c>
      <c r="G8" s="197">
        <f>'Well Pad Assumptions'!D24</f>
        <v>134</v>
      </c>
      <c r="H8" s="197">
        <f>'Well Pad Assumptions'!D37</f>
        <v>217</v>
      </c>
      <c r="I8" s="291">
        <f>'Well Pad Assumptions'!D50</f>
        <v>225</v>
      </c>
      <c r="J8" s="187"/>
      <c r="K8" s="19"/>
      <c r="L8" s="19"/>
      <c r="M8" s="19"/>
      <c r="N8" s="19"/>
      <c r="O8" s="19"/>
    </row>
    <row r="9" spans="2:15" ht="12.75">
      <c r="B9" s="19"/>
      <c r="C9" s="19"/>
      <c r="D9" s="19"/>
      <c r="E9" s="198" t="s">
        <v>53</v>
      </c>
      <c r="F9" s="199">
        <f>'Well Pad Assumptions'!E11</f>
        <v>139</v>
      </c>
      <c r="G9" s="199">
        <f>'Well Pad Assumptions'!E24</f>
        <v>83</v>
      </c>
      <c r="H9" s="199">
        <f>'Well Pad Assumptions'!E37</f>
        <v>134</v>
      </c>
      <c r="I9" s="200">
        <f>'Well Pad Assumptions'!E50</f>
        <v>138</v>
      </c>
      <c r="J9" s="187"/>
      <c r="K9" s="19"/>
      <c r="L9" s="19"/>
      <c r="M9" s="19"/>
      <c r="N9" s="19"/>
      <c r="O9" s="19"/>
    </row>
    <row r="10" spans="2:15" ht="13.5" thickBot="1">
      <c r="B10" s="19"/>
      <c r="C10" s="19"/>
      <c r="D10" s="19"/>
      <c r="E10" s="201" t="s">
        <v>18</v>
      </c>
      <c r="F10" s="202">
        <f>'Well Pad Assumptions'!G11</f>
        <v>226</v>
      </c>
      <c r="G10" s="202">
        <f>'Well Pad Assumptions'!G24</f>
        <v>134</v>
      </c>
      <c r="H10" s="202">
        <f>'Well Pad Assumptions'!G37</f>
        <v>217</v>
      </c>
      <c r="I10" s="203">
        <f>'Well Pad Assumptions'!G50</f>
        <v>225</v>
      </c>
      <c r="J10" s="187"/>
      <c r="K10" s="19"/>
      <c r="L10" s="19"/>
      <c r="M10" s="19"/>
      <c r="N10" s="19"/>
      <c r="O10" s="19"/>
    </row>
    <row r="11" spans="2:15" ht="12.75">
      <c r="B11" s="19"/>
      <c r="C11" s="19"/>
      <c r="D11" s="19"/>
      <c r="E11" s="187"/>
      <c r="F11" s="187"/>
      <c r="G11" s="187"/>
      <c r="H11" s="187"/>
      <c r="I11" s="187"/>
      <c r="J11" s="187"/>
      <c r="K11" s="19"/>
      <c r="L11" s="19"/>
      <c r="M11" s="19"/>
      <c r="N11" s="19"/>
      <c r="O11" s="19"/>
    </row>
    <row r="12" spans="2:15" ht="13.5" thickBot="1">
      <c r="B12" s="19"/>
      <c r="C12" s="19"/>
      <c r="D12" s="19"/>
      <c r="E12" s="187"/>
      <c r="F12" s="187"/>
      <c r="G12" s="187"/>
      <c r="H12" s="187"/>
      <c r="I12" s="187"/>
      <c r="J12" s="187"/>
      <c r="K12" s="19"/>
      <c r="L12" s="19"/>
      <c r="M12" s="19"/>
      <c r="N12" s="19"/>
      <c r="O12" s="19"/>
    </row>
    <row r="13" spans="2:15" ht="12.75">
      <c r="B13" s="19"/>
      <c r="C13" s="19"/>
      <c r="D13" s="20"/>
      <c r="E13" s="204" t="s">
        <v>21</v>
      </c>
      <c r="F13" s="205"/>
      <c r="G13" s="205"/>
      <c r="H13" s="205"/>
      <c r="I13" s="206"/>
      <c r="J13" s="187"/>
      <c r="K13" s="19"/>
      <c r="L13" s="19"/>
      <c r="M13" s="19"/>
      <c r="N13" s="19"/>
      <c r="O13" s="19"/>
    </row>
    <row r="14" spans="2:15" ht="12.75">
      <c r="B14" s="19"/>
      <c r="C14" s="19"/>
      <c r="D14" s="20"/>
      <c r="E14" s="188"/>
      <c r="F14" s="189" t="s">
        <v>12</v>
      </c>
      <c r="G14" s="189" t="s">
        <v>13</v>
      </c>
      <c r="H14" s="189" t="s">
        <v>14</v>
      </c>
      <c r="I14" s="190" t="s">
        <v>15</v>
      </c>
      <c r="J14" s="187"/>
      <c r="K14" s="19"/>
      <c r="L14" s="19"/>
      <c r="M14" s="19"/>
      <c r="N14" s="19"/>
      <c r="O14" s="19"/>
    </row>
    <row r="15" spans="2:15" ht="12.75">
      <c r="B15" s="19"/>
      <c r="C15" s="19"/>
      <c r="D15" s="20"/>
      <c r="E15" s="188" t="s">
        <v>0</v>
      </c>
      <c r="F15" s="296">
        <f aca="true" t="shared" si="0" ref="F15:I17">F40+F63+F86</f>
        <v>678.7151876064815</v>
      </c>
      <c r="G15" s="296">
        <f t="shared" si="0"/>
        <v>474.75708124298615</v>
      </c>
      <c r="H15" s="296">
        <f t="shared" si="0"/>
        <v>669.468365406887</v>
      </c>
      <c r="I15" s="297">
        <f t="shared" si="0"/>
        <v>676.8658231665627</v>
      </c>
      <c r="J15" s="187"/>
      <c r="K15" s="19"/>
      <c r="L15" s="19"/>
      <c r="M15" s="19"/>
      <c r="N15" s="19"/>
      <c r="O15" s="19"/>
    </row>
    <row r="16" spans="2:15" ht="12.75">
      <c r="B16" s="19"/>
      <c r="C16" s="19"/>
      <c r="D16" s="20"/>
      <c r="E16" s="188" t="s">
        <v>5</v>
      </c>
      <c r="F16" s="296">
        <f t="shared" si="0"/>
        <v>188.97584539703388</v>
      </c>
      <c r="G16" s="296">
        <f t="shared" si="0"/>
        <v>136.17857635612734</v>
      </c>
      <c r="H16" s="296">
        <f t="shared" si="0"/>
        <v>187.27248341289803</v>
      </c>
      <c r="I16" s="297">
        <f t="shared" si="0"/>
        <v>188.6351730002067</v>
      </c>
      <c r="J16" s="187"/>
      <c r="K16" s="19"/>
      <c r="L16" s="19"/>
      <c r="M16" s="19"/>
      <c r="N16" s="19"/>
      <c r="O16" s="19"/>
    </row>
    <row r="17" spans="2:15" ht="12.75">
      <c r="B17" s="19"/>
      <c r="C17" s="19"/>
      <c r="D17" s="20"/>
      <c r="E17" s="188" t="s">
        <v>61</v>
      </c>
      <c r="F17" s="296">
        <f t="shared" si="0"/>
        <v>83270.8947044036</v>
      </c>
      <c r="G17" s="296">
        <f t="shared" si="0"/>
        <v>63444.49120335512</v>
      </c>
      <c r="H17" s="296">
        <f t="shared" si="0"/>
        <v>83270.8947044036</v>
      </c>
      <c r="I17" s="297">
        <f t="shared" si="0"/>
        <v>83270.8947044036</v>
      </c>
      <c r="J17" s="187"/>
      <c r="K17" s="19"/>
      <c r="L17" s="19"/>
      <c r="M17" s="19"/>
      <c r="N17" s="19"/>
      <c r="O17" s="19"/>
    </row>
    <row r="18" spans="2:15" ht="12.75">
      <c r="B18" s="19"/>
      <c r="C18" s="19"/>
      <c r="D18" s="20"/>
      <c r="E18" s="188" t="s">
        <v>1</v>
      </c>
      <c r="F18" s="296">
        <f aca="true" t="shared" si="1" ref="F18:I19">F43+F66+F89+F113+F127+F136</f>
        <v>244.7532837498856</v>
      </c>
      <c r="G18" s="296">
        <f t="shared" si="1"/>
        <v>138.19858278670574</v>
      </c>
      <c r="H18" s="296">
        <f t="shared" si="1"/>
        <v>235.63894199586707</v>
      </c>
      <c r="I18" s="296">
        <f t="shared" si="1"/>
        <v>244.72234513425536</v>
      </c>
      <c r="J18" s="187"/>
      <c r="K18" s="19"/>
      <c r="L18" s="19"/>
      <c r="M18" s="19"/>
      <c r="N18" s="19"/>
      <c r="O18" s="19"/>
    </row>
    <row r="19" spans="2:15" ht="12.75">
      <c r="B19" s="19"/>
      <c r="C19" s="19"/>
      <c r="D19" s="20"/>
      <c r="E19" s="188" t="s">
        <v>10</v>
      </c>
      <c r="F19" s="296">
        <f t="shared" si="1"/>
        <v>46.176683145629994</v>
      </c>
      <c r="G19" s="296">
        <f t="shared" si="1"/>
        <v>27.45394014202475</v>
      </c>
      <c r="H19" s="296">
        <f t="shared" si="1"/>
        <v>44.699902953313654</v>
      </c>
      <c r="I19" s="296">
        <f t="shared" si="1"/>
        <v>46.145744529999774</v>
      </c>
      <c r="J19" s="187"/>
      <c r="K19" s="19"/>
      <c r="L19" s="19"/>
      <c r="M19" s="19"/>
      <c r="N19" s="19"/>
      <c r="O19" s="19"/>
    </row>
    <row r="20" spans="2:15" ht="12.75">
      <c r="B20" s="19"/>
      <c r="C20" s="19"/>
      <c r="D20" s="20"/>
      <c r="E20" s="188" t="s">
        <v>4</v>
      </c>
      <c r="F20" s="207">
        <f aca="true" t="shared" si="2" ref="F20:I23">F45+F68+F91</f>
        <v>0.4462599493817236</v>
      </c>
      <c r="G20" s="207">
        <f t="shared" si="2"/>
        <v>0.3398150790574695</v>
      </c>
      <c r="H20" s="207">
        <f t="shared" si="2"/>
        <v>0.4462145843329624</v>
      </c>
      <c r="I20" s="208">
        <f t="shared" si="2"/>
        <v>0.4462549088207501</v>
      </c>
      <c r="J20" s="187"/>
      <c r="K20" s="19"/>
      <c r="L20" s="19"/>
      <c r="M20" s="19"/>
      <c r="N20" s="19"/>
      <c r="O20" s="19"/>
    </row>
    <row r="21" spans="2:15" ht="12.75">
      <c r="B21" s="19"/>
      <c r="C21" s="60"/>
      <c r="D21" s="20"/>
      <c r="E21" s="188" t="s">
        <v>2</v>
      </c>
      <c r="F21" s="296">
        <f t="shared" si="2"/>
        <v>1743.6422416034764</v>
      </c>
      <c r="G21" s="296">
        <f t="shared" si="2"/>
        <v>1048.9358385189175</v>
      </c>
      <c r="H21" s="296">
        <f t="shared" si="2"/>
        <v>1677.7624294952157</v>
      </c>
      <c r="I21" s="297">
        <f t="shared" si="2"/>
        <v>1736.3222624803368</v>
      </c>
      <c r="J21" s="187"/>
      <c r="K21" s="19"/>
      <c r="L21" s="19"/>
      <c r="M21" s="19"/>
      <c r="N21" s="19"/>
      <c r="O21" s="19"/>
    </row>
    <row r="22" spans="2:15" ht="12.75">
      <c r="B22" s="19"/>
      <c r="C22" s="19"/>
      <c r="D22" s="20"/>
      <c r="E22" s="188" t="s">
        <v>60</v>
      </c>
      <c r="F22" s="296">
        <f t="shared" si="2"/>
        <v>2767.1172383339645</v>
      </c>
      <c r="G22" s="296">
        <f t="shared" si="2"/>
        <v>1828.726312218337</v>
      </c>
      <c r="H22" s="296">
        <f t="shared" si="2"/>
        <v>2701.2374262257035</v>
      </c>
      <c r="I22" s="297">
        <f t="shared" si="2"/>
        <v>2759.7972592108244</v>
      </c>
      <c r="J22" s="187"/>
      <c r="K22" s="19"/>
      <c r="L22" s="19"/>
      <c r="M22" s="19"/>
      <c r="N22" s="19"/>
      <c r="O22" s="19"/>
    </row>
    <row r="23" spans="2:15" ht="12.75">
      <c r="B23" s="19"/>
      <c r="C23" s="19"/>
      <c r="D23" s="20"/>
      <c r="E23" s="188" t="s">
        <v>3</v>
      </c>
      <c r="F23" s="296">
        <f t="shared" si="2"/>
        <v>1708.9048354022173</v>
      </c>
      <c r="G23" s="296">
        <f t="shared" si="2"/>
        <v>1022.4690509492938</v>
      </c>
      <c r="H23" s="296">
        <f t="shared" si="2"/>
        <v>1643.024977960194</v>
      </c>
      <c r="I23" s="297">
        <f t="shared" si="2"/>
        <v>1701.5848512419925</v>
      </c>
      <c r="J23" s="187"/>
      <c r="K23" s="19"/>
      <c r="L23" s="19"/>
      <c r="M23" s="19"/>
      <c r="N23" s="19"/>
      <c r="O23" s="19"/>
    </row>
    <row r="24" spans="2:15" ht="12.75">
      <c r="B24" s="19"/>
      <c r="C24" s="19"/>
      <c r="D24" s="20"/>
      <c r="E24" s="61" t="s">
        <v>100</v>
      </c>
      <c r="F24" s="210">
        <v>0</v>
      </c>
      <c r="G24" s="210">
        <v>0</v>
      </c>
      <c r="H24" s="210">
        <v>0</v>
      </c>
      <c r="I24" s="210">
        <v>0</v>
      </c>
      <c r="J24" s="187"/>
      <c r="K24" s="19"/>
      <c r="L24" s="19"/>
      <c r="M24" s="19"/>
      <c r="N24" s="19"/>
      <c r="O24" s="19"/>
    </row>
    <row r="25" spans="2:15" ht="12.75">
      <c r="B25" s="19"/>
      <c r="C25" s="19"/>
      <c r="D25" s="20"/>
      <c r="E25" s="209" t="str">
        <f aca="true" t="shared" si="3" ref="E25:E30">C49</f>
        <v> Acetaldehyde</v>
      </c>
      <c r="F25" s="210">
        <f aca="true" t="shared" si="4" ref="F25:I29">F49+F72+F95</f>
        <v>6.328587997534675</v>
      </c>
      <c r="G25" s="210">
        <f t="shared" si="4"/>
        <v>4.82178133145499</v>
      </c>
      <c r="H25" s="210">
        <f t="shared" si="4"/>
        <v>6.328587997534675</v>
      </c>
      <c r="I25" s="211">
        <f t="shared" si="4"/>
        <v>6.328587997534675</v>
      </c>
      <c r="J25" s="212"/>
      <c r="K25" s="19"/>
      <c r="L25" s="19"/>
      <c r="M25" s="19"/>
      <c r="N25" s="19"/>
      <c r="O25" s="19"/>
    </row>
    <row r="26" spans="2:15" ht="12.75">
      <c r="B26" s="19"/>
      <c r="C26" s="19"/>
      <c r="D26" s="20"/>
      <c r="E26" s="209" t="str">
        <f t="shared" si="3"/>
        <v> Acrolein</v>
      </c>
      <c r="F26" s="210">
        <f t="shared" si="4"/>
        <v>3.891021807096676</v>
      </c>
      <c r="G26" s="210">
        <f t="shared" si="4"/>
        <v>2.9645880435022294</v>
      </c>
      <c r="H26" s="210">
        <f t="shared" si="4"/>
        <v>3.891021807096676</v>
      </c>
      <c r="I26" s="211">
        <f t="shared" si="4"/>
        <v>3.891021807096676</v>
      </c>
      <c r="J26" s="212"/>
      <c r="K26" s="19"/>
      <c r="L26" s="19"/>
      <c r="M26" s="19"/>
      <c r="N26" s="19"/>
      <c r="O26" s="19"/>
    </row>
    <row r="27" spans="2:15" ht="12.75">
      <c r="B27" s="19"/>
      <c r="C27" s="19"/>
      <c r="D27" s="20"/>
      <c r="E27" s="209" t="str">
        <f t="shared" si="3"/>
        <v>Benzene</v>
      </c>
      <c r="F27" s="210">
        <f t="shared" si="4"/>
        <v>289.3829054399121</v>
      </c>
      <c r="G27" s="298">
        <f t="shared" si="4"/>
        <v>171.63730066121462</v>
      </c>
      <c r="H27" s="298">
        <f t="shared" si="4"/>
        <v>277.87207182597473</v>
      </c>
      <c r="I27" s="299">
        <f t="shared" si="4"/>
        <v>288.1039239272524</v>
      </c>
      <c r="J27" s="212"/>
      <c r="K27" s="19"/>
      <c r="L27" s="19"/>
      <c r="M27" s="19"/>
      <c r="N27" s="19"/>
      <c r="O27" s="19"/>
    </row>
    <row r="28" spans="2:15" ht="12.75">
      <c r="B28" s="19"/>
      <c r="C28" s="19"/>
      <c r="D28" s="20"/>
      <c r="E28" s="209" t="str">
        <f t="shared" si="3"/>
        <v>Ethylbenzene</v>
      </c>
      <c r="F28" s="210">
        <f t="shared" si="4"/>
        <v>52.692555014037886</v>
      </c>
      <c r="G28" s="210">
        <f t="shared" si="4"/>
        <v>31.2475668972343</v>
      </c>
      <c r="H28" s="210">
        <f t="shared" si="4"/>
        <v>50.59537573916984</v>
      </c>
      <c r="I28" s="211">
        <f t="shared" si="4"/>
        <v>52.4595350946081</v>
      </c>
      <c r="J28" s="212"/>
      <c r="K28" s="19"/>
      <c r="L28" s="19"/>
      <c r="M28" s="19"/>
      <c r="N28" s="19"/>
      <c r="O28" s="19"/>
    </row>
    <row r="29" spans="2:15" ht="12.75">
      <c r="B29" s="19"/>
      <c r="C29" s="19"/>
      <c r="D29" s="20"/>
      <c r="E29" s="209" t="str">
        <f t="shared" si="3"/>
        <v>Formaldehyde</v>
      </c>
      <c r="F29" s="210">
        <f t="shared" si="4"/>
        <v>39.97002945811373</v>
      </c>
      <c r="G29" s="210">
        <f t="shared" si="4"/>
        <v>30.453355777610458</v>
      </c>
      <c r="H29" s="210">
        <f t="shared" si="4"/>
        <v>39.97002945811373</v>
      </c>
      <c r="I29" s="211">
        <f t="shared" si="4"/>
        <v>39.97002945811373</v>
      </c>
      <c r="J29" s="212"/>
      <c r="K29" s="19"/>
      <c r="L29" s="19"/>
      <c r="M29" s="19"/>
      <c r="N29" s="19"/>
      <c r="O29" s="19"/>
    </row>
    <row r="30" spans="2:15" ht="12.75">
      <c r="B30" s="19"/>
      <c r="C30" s="19"/>
      <c r="D30" s="20"/>
      <c r="E30" s="209" t="str">
        <f t="shared" si="3"/>
        <v>H2S</v>
      </c>
      <c r="F30" s="211">
        <f>F54+F77</f>
        <v>0.001138381147740612</v>
      </c>
      <c r="G30" s="211">
        <f>G54+G77</f>
        <v>0.0006749693530851416</v>
      </c>
      <c r="H30" s="211">
        <f>H54+H77</f>
        <v>0.001093047385219968</v>
      </c>
      <c r="I30" s="314">
        <f>I54+I77</f>
        <v>0.0011333440630160961</v>
      </c>
      <c r="J30" s="212"/>
      <c r="K30" s="19"/>
      <c r="L30" s="19"/>
      <c r="M30" s="19"/>
      <c r="N30" s="19"/>
      <c r="O30" s="19"/>
    </row>
    <row r="31" spans="2:15" ht="12.75">
      <c r="B31" s="19"/>
      <c r="C31" s="19"/>
      <c r="D31" s="20"/>
      <c r="E31" s="209" t="s">
        <v>101</v>
      </c>
      <c r="F31" s="210">
        <v>0</v>
      </c>
      <c r="G31" s="210">
        <v>0</v>
      </c>
      <c r="H31" s="210">
        <v>0</v>
      </c>
      <c r="I31" s="210">
        <v>0</v>
      </c>
      <c r="J31" s="212"/>
      <c r="K31" s="19"/>
      <c r="L31" s="19"/>
      <c r="M31" s="19"/>
      <c r="N31" s="19"/>
      <c r="O31" s="19"/>
    </row>
    <row r="32" spans="2:15" ht="12.75">
      <c r="B32" s="19"/>
      <c r="C32" s="19"/>
      <c r="D32" s="20"/>
      <c r="E32" s="209" t="str">
        <f>C55</f>
        <v> Naphthalene</v>
      </c>
      <c r="F32" s="210">
        <f>F55+F78+F101</f>
        <v>0.05632140514552389</v>
      </c>
      <c r="G32" s="308">
        <f>G55+G78+G101</f>
        <v>0.04291154677754201</v>
      </c>
      <c r="H32" s="222">
        <f>H55+H78+H101</f>
        <v>0.05632140514552389</v>
      </c>
      <c r="I32" s="211">
        <f>I55+I78+I101</f>
        <v>0.05632140514552389</v>
      </c>
      <c r="J32" s="212"/>
      <c r="K32" s="19"/>
      <c r="L32" s="19"/>
      <c r="M32" s="19"/>
      <c r="N32" s="19"/>
      <c r="O32" s="19"/>
    </row>
    <row r="33" spans="2:15" ht="12.75">
      <c r="B33" s="19"/>
      <c r="C33" s="19"/>
      <c r="D33" s="20"/>
      <c r="E33" s="209" t="str">
        <f>C56</f>
        <v>Toluene</v>
      </c>
      <c r="F33" s="210">
        <f aca="true" t="shared" si="5" ref="F33:I34">F56+F79</f>
        <v>454.67142176457565</v>
      </c>
      <c r="G33" s="298">
        <f t="shared" si="5"/>
        <v>269.63613274736304</v>
      </c>
      <c r="H33" s="298">
        <f t="shared" si="5"/>
        <v>436.57733741937955</v>
      </c>
      <c r="I33" s="298">
        <f t="shared" si="5"/>
        <v>452.66096794844276</v>
      </c>
      <c r="J33" s="212"/>
      <c r="K33" s="19"/>
      <c r="L33" s="19"/>
      <c r="M33" s="19"/>
      <c r="N33" s="19"/>
      <c r="O33" s="19"/>
    </row>
    <row r="34" spans="2:15" ht="12.75">
      <c r="B34" s="19"/>
      <c r="C34" s="19"/>
      <c r="D34" s="20"/>
      <c r="E34" s="209" t="str">
        <f>C57</f>
        <v>Xylenes</v>
      </c>
      <c r="F34" s="210">
        <f t="shared" si="5"/>
        <v>858.3796852279971</v>
      </c>
      <c r="G34" s="298">
        <f t="shared" si="5"/>
        <v>508.9743245697123</v>
      </c>
      <c r="H34" s="298">
        <f t="shared" si="5"/>
        <v>824.2019703537378</v>
      </c>
      <c r="I34" s="298">
        <f t="shared" si="5"/>
        <v>854.5821613530795</v>
      </c>
      <c r="J34" s="212"/>
      <c r="K34" s="19"/>
      <c r="L34" s="19"/>
      <c r="M34" s="19"/>
      <c r="N34" s="19"/>
      <c r="O34" s="19"/>
    </row>
    <row r="35" spans="2:15" ht="13.5" thickBot="1">
      <c r="B35" s="19"/>
      <c r="C35" s="19"/>
      <c r="D35" s="20"/>
      <c r="E35" s="213" t="str">
        <f>C58</f>
        <v>Other HAPS</v>
      </c>
      <c r="F35" s="214">
        <f>F58+F81+SUM(F25:F26,F32)</f>
        <v>13.807100116432874</v>
      </c>
      <c r="G35" s="214">
        <f>G58+G81+SUM(G25:G26,G32)</f>
        <v>10.519695326805998</v>
      </c>
      <c r="H35" s="214">
        <f>H58+H81+SUM(H25:H26,H32)</f>
        <v>13.807100116432874</v>
      </c>
      <c r="I35" s="214">
        <f>I58+I81+SUM(I25:I26,I32)</f>
        <v>13.807100116432874</v>
      </c>
      <c r="J35" s="212"/>
      <c r="K35" s="19"/>
      <c r="L35" s="19"/>
      <c r="M35" s="19"/>
      <c r="N35" s="19"/>
      <c r="O35" s="19"/>
    </row>
    <row r="36" spans="2:15" ht="12.75">
      <c r="B36" s="19"/>
      <c r="C36" s="19"/>
      <c r="D36" s="22"/>
      <c r="E36" s="215"/>
      <c r="F36" s="216"/>
      <c r="G36" s="216"/>
      <c r="H36" s="216"/>
      <c r="I36" s="216"/>
      <c r="J36" s="212"/>
      <c r="K36" s="19"/>
      <c r="L36" s="19"/>
      <c r="M36" s="19"/>
      <c r="N36" s="19"/>
      <c r="O36" s="19"/>
    </row>
    <row r="37" spans="2:15" ht="13.5" thickBot="1">
      <c r="B37" s="19"/>
      <c r="C37" s="19"/>
      <c r="D37" s="19"/>
      <c r="E37" s="217"/>
      <c r="F37" s="212"/>
      <c r="G37" s="212"/>
      <c r="H37" s="212"/>
      <c r="I37" s="212"/>
      <c r="J37" s="212"/>
      <c r="K37" s="19"/>
      <c r="L37" s="19"/>
      <c r="M37" s="19"/>
      <c r="N37" s="19"/>
      <c r="O37" s="19"/>
    </row>
    <row r="38" spans="2:15" ht="12.75">
      <c r="B38" s="8" t="s">
        <v>11</v>
      </c>
      <c r="C38" s="13"/>
      <c r="D38" s="7"/>
      <c r="E38" s="218"/>
      <c r="F38" s="218"/>
      <c r="G38" s="218"/>
      <c r="H38" s="218"/>
      <c r="I38" s="219"/>
      <c r="J38" s="212"/>
      <c r="K38" s="11" t="s">
        <v>27</v>
      </c>
      <c r="L38" s="24"/>
      <c r="M38" s="24"/>
      <c r="N38" s="24"/>
      <c r="O38" s="25"/>
    </row>
    <row r="39" spans="2:15" ht="12.75">
      <c r="B39" s="3"/>
      <c r="C39" s="14"/>
      <c r="D39" s="1" t="s">
        <v>8</v>
      </c>
      <c r="E39" s="220" t="s">
        <v>9</v>
      </c>
      <c r="F39" s="220" t="s">
        <v>12</v>
      </c>
      <c r="G39" s="220" t="s">
        <v>13</v>
      </c>
      <c r="H39" s="220" t="s">
        <v>14</v>
      </c>
      <c r="I39" s="221" t="s">
        <v>15</v>
      </c>
      <c r="J39" s="212"/>
      <c r="K39" s="26" t="s">
        <v>28</v>
      </c>
      <c r="L39" s="23" t="s">
        <v>29</v>
      </c>
      <c r="M39" s="23" t="s">
        <v>35</v>
      </c>
      <c r="N39" s="33" t="s">
        <v>36</v>
      </c>
      <c r="O39" s="27"/>
    </row>
    <row r="40" spans="2:15" ht="12.75">
      <c r="B40" s="3" t="s">
        <v>0</v>
      </c>
      <c r="C40" s="14"/>
      <c r="D40" s="50">
        <f>'Emission Factors'!I7</f>
        <v>0.5775978600000001</v>
      </c>
      <c r="E40" s="222">
        <f aca="true" t="shared" si="6" ref="E40:E58">(D40*60*60*24*365/1000000)*1.102311311</f>
        <v>20.078739545607277</v>
      </c>
      <c r="F40" s="222">
        <f>F$4*$E40</f>
        <v>421.6535304577528</v>
      </c>
      <c r="G40" s="222">
        <f aca="true" t="shared" si="7" ref="F40:I55">G$4*$E40</f>
        <v>321.25983272971644</v>
      </c>
      <c r="H40" s="222">
        <f t="shared" si="7"/>
        <v>421.6535304577528</v>
      </c>
      <c r="I40" s="223">
        <f t="shared" si="7"/>
        <v>421.6535304577528</v>
      </c>
      <c r="J40" s="212"/>
      <c r="K40" s="26" t="s">
        <v>97</v>
      </c>
      <c r="L40" s="23"/>
      <c r="M40" s="23"/>
      <c r="N40" s="23" t="s">
        <v>37</v>
      </c>
      <c r="O40" s="27"/>
    </row>
    <row r="41" spans="2:15" ht="12.75">
      <c r="B41" s="3" t="s">
        <v>5</v>
      </c>
      <c r="C41" s="14"/>
      <c r="D41" s="49">
        <f>'Emission Factors'!D8</f>
        <v>0.194</v>
      </c>
      <c r="E41" s="222">
        <f t="shared" si="6"/>
        <v>6.743922963717025</v>
      </c>
      <c r="F41" s="222">
        <f t="shared" si="7"/>
        <v>141.62238223805753</v>
      </c>
      <c r="G41" s="222">
        <f t="shared" si="7"/>
        <v>107.9027674194724</v>
      </c>
      <c r="H41" s="222">
        <f t="shared" si="7"/>
        <v>141.62238223805753</v>
      </c>
      <c r="I41" s="223">
        <f t="shared" si="7"/>
        <v>141.62238223805753</v>
      </c>
      <c r="J41" s="212"/>
      <c r="K41" s="26" t="s">
        <v>51</v>
      </c>
      <c r="L41" s="38"/>
      <c r="M41" s="38"/>
      <c r="N41" s="23" t="s">
        <v>37</v>
      </c>
      <c r="O41" s="27"/>
    </row>
    <row r="42" spans="2:15" ht="12.75">
      <c r="B42" s="3" t="s">
        <v>61</v>
      </c>
      <c r="C42" s="14"/>
      <c r="D42" s="50">
        <f>'Emission Factors'!I9</f>
        <v>114.06780000000002</v>
      </c>
      <c r="E42" s="222">
        <f t="shared" si="6"/>
        <v>3965.280700209695</v>
      </c>
      <c r="F42" s="222">
        <f t="shared" si="7"/>
        <v>83270.8947044036</v>
      </c>
      <c r="G42" s="222">
        <f t="shared" si="7"/>
        <v>63444.49120335512</v>
      </c>
      <c r="H42" s="222">
        <f t="shared" si="7"/>
        <v>83270.8947044036</v>
      </c>
      <c r="I42" s="223">
        <f t="shared" si="7"/>
        <v>83270.8947044036</v>
      </c>
      <c r="J42" s="212"/>
      <c r="K42" s="26" t="s">
        <v>97</v>
      </c>
      <c r="L42" s="38"/>
      <c r="M42" s="38"/>
      <c r="N42" s="23"/>
      <c r="O42" s="27"/>
    </row>
    <row r="43" spans="2:15" ht="12.75">
      <c r="B43" s="3" t="s">
        <v>1</v>
      </c>
      <c r="C43" s="14"/>
      <c r="D43" s="50">
        <f>'Emission Factors'!I10</f>
        <v>0.0102764718</v>
      </c>
      <c r="E43" s="222">
        <f t="shared" si="6"/>
        <v>0.357235743082528</v>
      </c>
      <c r="F43" s="222">
        <f t="shared" si="7"/>
        <v>7.5019506047330875</v>
      </c>
      <c r="G43" s="222">
        <f t="shared" si="7"/>
        <v>5.715771889320448</v>
      </c>
      <c r="H43" s="222">
        <f t="shared" si="7"/>
        <v>7.5019506047330875</v>
      </c>
      <c r="I43" s="223">
        <f t="shared" si="7"/>
        <v>7.5019506047330875</v>
      </c>
      <c r="J43" s="212"/>
      <c r="K43" s="26" t="s">
        <v>97</v>
      </c>
      <c r="L43" s="23"/>
      <c r="M43" s="23"/>
      <c r="N43" s="23" t="s">
        <v>37</v>
      </c>
      <c r="O43" s="27"/>
    </row>
    <row r="44" spans="2:15" ht="12.75">
      <c r="B44" s="3" t="s">
        <v>10</v>
      </c>
      <c r="C44" s="14"/>
      <c r="D44" s="50">
        <f>'Emission Factors'!I11</f>
        <v>0.0102764718</v>
      </c>
      <c r="E44" s="222">
        <f t="shared" si="6"/>
        <v>0.357235743082528</v>
      </c>
      <c r="F44" s="222">
        <f t="shared" si="7"/>
        <v>7.5019506047330875</v>
      </c>
      <c r="G44" s="222">
        <f t="shared" si="7"/>
        <v>5.715771889320448</v>
      </c>
      <c r="H44" s="222">
        <f t="shared" si="7"/>
        <v>7.5019506047330875</v>
      </c>
      <c r="I44" s="223">
        <f t="shared" si="7"/>
        <v>7.5019506047330875</v>
      </c>
      <c r="J44" s="212"/>
      <c r="K44" s="26" t="s">
        <v>97</v>
      </c>
      <c r="L44" s="23"/>
      <c r="M44" s="23"/>
      <c r="N44" s="23" t="s">
        <v>37</v>
      </c>
      <c r="O44" s="27"/>
    </row>
    <row r="45" spans="2:15" ht="12.75">
      <c r="B45" s="3" t="s">
        <v>4</v>
      </c>
      <c r="C45" s="14"/>
      <c r="D45" s="50">
        <f>'Emission Factors'!I12</f>
        <v>0.00060974424</v>
      </c>
      <c r="E45" s="222">
        <f t="shared" si="6"/>
        <v>0.02119622774293909</v>
      </c>
      <c r="F45" s="222">
        <f t="shared" si="7"/>
        <v>0.4451207826017209</v>
      </c>
      <c r="G45" s="222">
        <f t="shared" si="7"/>
        <v>0.33913964388702544</v>
      </c>
      <c r="H45" s="222">
        <f t="shared" si="7"/>
        <v>0.4451207826017209</v>
      </c>
      <c r="I45" s="223">
        <f t="shared" si="7"/>
        <v>0.4451207826017209</v>
      </c>
      <c r="J45" s="212"/>
      <c r="K45" s="26" t="s">
        <v>97</v>
      </c>
      <c r="L45" s="23"/>
      <c r="M45" s="23"/>
      <c r="N45" s="23" t="s">
        <v>37</v>
      </c>
      <c r="O45" s="27"/>
    </row>
    <row r="46" spans="2:15" ht="12.75">
      <c r="B46" s="3" t="s">
        <v>2</v>
      </c>
      <c r="C46" s="14"/>
      <c r="D46" s="50">
        <f>'Emission Factors'!I13</f>
        <v>0.12236364000000001</v>
      </c>
      <c r="E46" s="222">
        <f t="shared" si="6"/>
        <v>4.253664751134036</v>
      </c>
      <c r="F46" s="222">
        <f t="shared" si="7"/>
        <v>89.32695977381476</v>
      </c>
      <c r="G46" s="222">
        <f t="shared" si="7"/>
        <v>68.05863601814458</v>
      </c>
      <c r="H46" s="222">
        <f t="shared" si="7"/>
        <v>89.32695977381476</v>
      </c>
      <c r="I46" s="223">
        <f t="shared" si="7"/>
        <v>89.32695977381476</v>
      </c>
      <c r="J46" s="212"/>
      <c r="K46" s="26" t="s">
        <v>97</v>
      </c>
      <c r="L46" s="23"/>
      <c r="M46" s="23"/>
      <c r="N46" s="23"/>
      <c r="O46" s="27"/>
    </row>
    <row r="47" spans="2:15" ht="12.75">
      <c r="B47" s="3" t="s">
        <v>60</v>
      </c>
      <c r="C47" s="14"/>
      <c r="D47" s="50">
        <f>'Emission Factors'!I14</f>
        <v>1.5243606000000003</v>
      </c>
      <c r="E47" s="222">
        <f t="shared" si="6"/>
        <v>52.990569357347745</v>
      </c>
      <c r="F47" s="222">
        <f t="shared" si="7"/>
        <v>1112.8019565043026</v>
      </c>
      <c r="G47" s="222">
        <f t="shared" si="7"/>
        <v>847.8491097175639</v>
      </c>
      <c r="H47" s="222">
        <f t="shared" si="7"/>
        <v>1112.8019565043026</v>
      </c>
      <c r="I47" s="223">
        <f t="shared" si="7"/>
        <v>1112.8019565043026</v>
      </c>
      <c r="J47" s="212"/>
      <c r="K47" s="26" t="s">
        <v>97</v>
      </c>
      <c r="L47" s="23"/>
      <c r="M47" s="23"/>
      <c r="N47" s="23"/>
      <c r="O47" s="27"/>
    </row>
    <row r="48" spans="2:15" ht="12.75">
      <c r="B48" s="3" t="s">
        <v>3</v>
      </c>
      <c r="C48" s="14"/>
      <c r="D48" s="50">
        <f>'Emission Factors'!I15</f>
        <v>0.07477739309124003</v>
      </c>
      <c r="E48" s="222">
        <f t="shared" si="6"/>
        <v>2.599448342447981</v>
      </c>
      <c r="F48" s="222">
        <f t="shared" si="7"/>
        <v>54.5884151914076</v>
      </c>
      <c r="G48" s="222">
        <f t="shared" si="7"/>
        <v>41.59117347916769</v>
      </c>
      <c r="H48" s="222">
        <f t="shared" si="7"/>
        <v>54.5884151914076</v>
      </c>
      <c r="I48" s="223">
        <f t="shared" si="7"/>
        <v>54.5884151914076</v>
      </c>
      <c r="J48" s="212"/>
      <c r="K48" s="26" t="s">
        <v>97</v>
      </c>
      <c r="L48" s="23"/>
      <c r="M48" s="23"/>
      <c r="N48" s="23"/>
      <c r="O48" s="27"/>
    </row>
    <row r="49" spans="2:15" ht="12.75">
      <c r="B49" s="15"/>
      <c r="C49" s="66" t="str">
        <f>'Emission Factors'!C16</f>
        <v> Acetaldehyde</v>
      </c>
      <c r="D49" s="50">
        <f>'Emission Factors'!I16</f>
        <v>0.0086691528</v>
      </c>
      <c r="E49" s="222">
        <f t="shared" si="6"/>
        <v>0.3013613332159369</v>
      </c>
      <c r="F49" s="210">
        <f t="shared" si="7"/>
        <v>6.328587997534675</v>
      </c>
      <c r="G49" s="210">
        <f t="shared" si="7"/>
        <v>4.82178133145499</v>
      </c>
      <c r="H49" s="210">
        <f t="shared" si="7"/>
        <v>6.328587997534675</v>
      </c>
      <c r="I49" s="211">
        <f t="shared" si="7"/>
        <v>6.328587997534675</v>
      </c>
      <c r="J49" s="212"/>
      <c r="K49" s="26" t="s">
        <v>97</v>
      </c>
      <c r="L49" s="23"/>
      <c r="M49" s="23"/>
      <c r="N49" s="23" t="s">
        <v>37</v>
      </c>
      <c r="O49" s="27"/>
    </row>
    <row r="50" spans="2:15" ht="12.75">
      <c r="B50" s="15"/>
      <c r="C50" s="66" t="str">
        <f>'Emission Factors'!C17</f>
        <v> Acrolein</v>
      </c>
      <c r="D50" s="50">
        <f>'Emission Factors'!I17</f>
        <v>0.0053300772</v>
      </c>
      <c r="E50" s="222">
        <f t="shared" si="6"/>
        <v>0.18528675271888934</v>
      </c>
      <c r="F50" s="210">
        <f t="shared" si="7"/>
        <v>3.891021807096676</v>
      </c>
      <c r="G50" s="210">
        <f t="shared" si="7"/>
        <v>2.9645880435022294</v>
      </c>
      <c r="H50" s="210">
        <f t="shared" si="7"/>
        <v>3.891021807096676</v>
      </c>
      <c r="I50" s="211">
        <f t="shared" si="7"/>
        <v>3.891021807096676</v>
      </c>
      <c r="J50" s="212"/>
      <c r="K50" s="26" t="s">
        <v>97</v>
      </c>
      <c r="L50" s="23"/>
      <c r="M50" s="23"/>
      <c r="N50" s="23" t="s">
        <v>37</v>
      </c>
      <c r="O50" s="27"/>
    </row>
    <row r="51" spans="2:15" ht="12.75">
      <c r="B51" s="15"/>
      <c r="C51" s="66" t="str">
        <f>'Emission Factors'!C18</f>
        <v>Benzene</v>
      </c>
      <c r="D51" s="50">
        <f>'Emission Factors'!I18</f>
        <v>0.0004562712000000001</v>
      </c>
      <c r="E51" s="222">
        <f t="shared" si="6"/>
        <v>0.015861122800838783</v>
      </c>
      <c r="F51" s="210">
        <f t="shared" si="7"/>
        <v>0.3330835788176144</v>
      </c>
      <c r="G51" s="210">
        <f t="shared" si="7"/>
        <v>0.2537779648134205</v>
      </c>
      <c r="H51" s="210">
        <f t="shared" si="7"/>
        <v>0.3330835788176144</v>
      </c>
      <c r="I51" s="211">
        <f t="shared" si="7"/>
        <v>0.3330835788176144</v>
      </c>
      <c r="J51" s="212"/>
      <c r="K51" s="26" t="s">
        <v>97</v>
      </c>
      <c r="L51" s="23"/>
      <c r="M51" s="23"/>
      <c r="N51" s="23"/>
      <c r="O51" s="27"/>
    </row>
    <row r="52" spans="2:15" ht="12.75">
      <c r="B52" s="15"/>
      <c r="C52" s="66" t="str">
        <f>'Emission Factors'!C19</f>
        <v>Ethylbenzene</v>
      </c>
      <c r="D52" s="50">
        <f>'Emission Factors'!I19</f>
        <v>4.1168106000000006E-05</v>
      </c>
      <c r="E52" s="222">
        <f t="shared" si="6"/>
        <v>0.0014311058527120446</v>
      </c>
      <c r="F52" s="308">
        <f t="shared" si="7"/>
        <v>0.030053222906952937</v>
      </c>
      <c r="G52" s="308">
        <f t="shared" si="7"/>
        <v>0.022897693643392714</v>
      </c>
      <c r="H52" s="210">
        <f t="shared" si="7"/>
        <v>0.030053222906952937</v>
      </c>
      <c r="I52" s="313">
        <f t="shared" si="7"/>
        <v>0.030053222906952937</v>
      </c>
      <c r="J52" s="212"/>
      <c r="K52" s="26" t="s">
        <v>97</v>
      </c>
      <c r="L52" s="23"/>
      <c r="M52" s="23"/>
      <c r="N52" s="23"/>
      <c r="O52" s="27"/>
    </row>
    <row r="53" spans="2:15" ht="12.75">
      <c r="B53" s="15"/>
      <c r="C53" s="66" t="str">
        <f>'Emission Factors'!C20</f>
        <v>Formaldehyde</v>
      </c>
      <c r="D53" s="50">
        <f>'Emission Factors'!I20</f>
        <v>0.054752544000000014</v>
      </c>
      <c r="E53" s="222">
        <f t="shared" si="6"/>
        <v>1.9033347361006536</v>
      </c>
      <c r="F53" s="210">
        <f t="shared" si="7"/>
        <v>39.97002945811373</v>
      </c>
      <c r="G53" s="210">
        <f t="shared" si="7"/>
        <v>30.453355777610458</v>
      </c>
      <c r="H53" s="210">
        <f t="shared" si="7"/>
        <v>39.97002945811373</v>
      </c>
      <c r="I53" s="211">
        <f t="shared" si="7"/>
        <v>39.97002945811373</v>
      </c>
      <c r="J53" s="212"/>
      <c r="K53" s="26" t="s">
        <v>97</v>
      </c>
      <c r="L53" s="23"/>
      <c r="M53" s="23"/>
      <c r="N53" s="23" t="s">
        <v>37</v>
      </c>
      <c r="O53" s="27"/>
    </row>
    <row r="54" spans="2:15" ht="12.75">
      <c r="B54" s="15"/>
      <c r="C54" s="66" t="str">
        <f>'Emission Factors'!C21</f>
        <v>H2S</v>
      </c>
      <c r="D54" s="50">
        <f>'Emission Factors'!I21</f>
        <v>0</v>
      </c>
      <c r="E54" s="222">
        <f t="shared" si="6"/>
        <v>0</v>
      </c>
      <c r="F54" s="210">
        <f t="shared" si="7"/>
        <v>0</v>
      </c>
      <c r="G54" s="210">
        <f t="shared" si="7"/>
        <v>0</v>
      </c>
      <c r="H54" s="210">
        <f t="shared" si="7"/>
        <v>0</v>
      </c>
      <c r="I54" s="211">
        <f t="shared" si="7"/>
        <v>0</v>
      </c>
      <c r="J54" s="212"/>
      <c r="K54" s="26" t="s">
        <v>97</v>
      </c>
      <c r="L54" s="64"/>
      <c r="M54" s="64"/>
      <c r="N54" s="64"/>
      <c r="O54" s="65"/>
    </row>
    <row r="55" spans="2:15" ht="12.75">
      <c r="B55" s="15"/>
      <c r="C55" s="66" t="str">
        <f>'Emission Factors'!C22</f>
        <v> Naphthalene</v>
      </c>
      <c r="D55" s="50">
        <f>'Emission Factors'!I22</f>
        <v>7.715131200000001E-05</v>
      </c>
      <c r="E55" s="222">
        <f t="shared" si="6"/>
        <v>0.0026819716735963757</v>
      </c>
      <c r="F55" s="210">
        <f t="shared" si="7"/>
        <v>0.05632140514552389</v>
      </c>
      <c r="G55" s="210">
        <f t="shared" si="7"/>
        <v>0.04291154677754201</v>
      </c>
      <c r="H55" s="210">
        <f t="shared" si="7"/>
        <v>0.05632140514552389</v>
      </c>
      <c r="I55" s="211">
        <f t="shared" si="7"/>
        <v>0.05632140514552389</v>
      </c>
      <c r="J55" s="212"/>
      <c r="K55" s="26" t="s">
        <v>97</v>
      </c>
      <c r="L55" s="64"/>
      <c r="M55" s="64"/>
      <c r="N55" s="64"/>
      <c r="O55" s="65"/>
    </row>
    <row r="56" spans="2:15" ht="12.75">
      <c r="B56" s="15"/>
      <c r="C56" s="66" t="str">
        <f>'Emission Factors'!C23</f>
        <v>Toluene</v>
      </c>
      <c r="D56" s="50">
        <f>'Emission Factors'!I23</f>
        <v>0.00042308784000000006</v>
      </c>
      <c r="E56" s="222">
        <f t="shared" si="6"/>
        <v>0.014707586597141414</v>
      </c>
      <c r="F56" s="210">
        <f aca="true" t="shared" si="8" ref="F56:I58">F$4*$E56</f>
        <v>0.30885931853996973</v>
      </c>
      <c r="G56" s="210">
        <f t="shared" si="8"/>
        <v>0.23532138555426263</v>
      </c>
      <c r="H56" s="210">
        <f t="shared" si="8"/>
        <v>0.30885931853996973</v>
      </c>
      <c r="I56" s="211">
        <f t="shared" si="8"/>
        <v>0.30885931853996973</v>
      </c>
      <c r="J56" s="212"/>
      <c r="K56" s="26" t="s">
        <v>97</v>
      </c>
      <c r="L56" s="64"/>
      <c r="M56" s="64"/>
      <c r="N56" s="64"/>
      <c r="O56" s="65"/>
    </row>
    <row r="57" spans="2:15" ht="12.75">
      <c r="B57" s="15"/>
      <c r="C57" s="66" t="str">
        <f>'Emission Factors'!C24</f>
        <v>Xylenes</v>
      </c>
      <c r="D57" s="50">
        <f>'Emission Factors'!I24</f>
        <v>0.00019080432000000003</v>
      </c>
      <c r="E57" s="222">
        <f t="shared" si="6"/>
        <v>0.006632833171259852</v>
      </c>
      <c r="F57" s="210">
        <f t="shared" si="8"/>
        <v>0.1392894965964569</v>
      </c>
      <c r="G57" s="210">
        <f t="shared" si="8"/>
        <v>0.10612533074015763</v>
      </c>
      <c r="H57" s="210">
        <f t="shared" si="8"/>
        <v>0.1392894965964569</v>
      </c>
      <c r="I57" s="211">
        <f t="shared" si="8"/>
        <v>0.1392894965964569</v>
      </c>
      <c r="J57" s="212"/>
      <c r="K57" s="26" t="s">
        <v>97</v>
      </c>
      <c r="L57" s="64"/>
      <c r="M57" s="64"/>
      <c r="N57" s="64"/>
      <c r="O57" s="65"/>
    </row>
    <row r="58" spans="2:15" ht="13.5" thickBot="1">
      <c r="B58" s="5"/>
      <c r="C58" s="67" t="str">
        <f>'Emission Factors'!C25</f>
        <v>Other HAPS</v>
      </c>
      <c r="D58" s="53">
        <f>'Emission Factors'!I25</f>
        <v>0.004837136313240001</v>
      </c>
      <c r="E58" s="224">
        <f t="shared" si="6"/>
        <v>0.16815090031695232</v>
      </c>
      <c r="F58" s="214">
        <f t="shared" si="8"/>
        <v>3.531168906655999</v>
      </c>
      <c r="G58" s="214">
        <f t="shared" si="8"/>
        <v>2.690414405071237</v>
      </c>
      <c r="H58" s="214">
        <f t="shared" si="8"/>
        <v>3.531168906655999</v>
      </c>
      <c r="I58" s="312">
        <f t="shared" si="8"/>
        <v>3.531168906655999</v>
      </c>
      <c r="J58" s="212"/>
      <c r="K58" s="28" t="s">
        <v>97</v>
      </c>
      <c r="L58" s="21"/>
      <c r="M58" s="21"/>
      <c r="N58" s="21"/>
      <c r="O58" s="29"/>
    </row>
    <row r="59" spans="2:15" ht="12.75">
      <c r="B59" s="19"/>
      <c r="C59" s="19"/>
      <c r="D59" s="19"/>
      <c r="E59" s="217"/>
      <c r="F59" s="212"/>
      <c r="G59" s="212"/>
      <c r="H59" s="212"/>
      <c r="I59" s="212"/>
      <c r="J59" s="212"/>
      <c r="K59" s="19"/>
      <c r="L59" s="19"/>
      <c r="M59" s="19"/>
      <c r="N59" s="19"/>
      <c r="O59" s="19"/>
    </row>
    <row r="60" spans="2:15" ht="13.5" thickBot="1">
      <c r="B60" s="19"/>
      <c r="C60" s="19"/>
      <c r="D60" s="19"/>
      <c r="E60" s="212"/>
      <c r="F60" s="212"/>
      <c r="G60" s="212"/>
      <c r="H60" s="212"/>
      <c r="I60" s="212"/>
      <c r="J60" s="212"/>
      <c r="K60" s="19"/>
      <c r="L60" s="19"/>
      <c r="M60" s="19"/>
      <c r="N60" s="19"/>
      <c r="O60" s="19"/>
    </row>
    <row r="61" spans="2:15" ht="13.5" thickBot="1">
      <c r="B61" s="16" t="s">
        <v>19</v>
      </c>
      <c r="C61" s="17"/>
      <c r="D61" s="18"/>
      <c r="E61" s="226"/>
      <c r="F61" s="226"/>
      <c r="G61" s="226"/>
      <c r="H61" s="226"/>
      <c r="I61" s="227"/>
      <c r="J61" s="228"/>
      <c r="K61" s="11" t="s">
        <v>27</v>
      </c>
      <c r="L61" s="24"/>
      <c r="M61" s="25"/>
      <c r="N61" s="30"/>
      <c r="O61" s="25"/>
    </row>
    <row r="62" spans="2:15" ht="12.75">
      <c r="B62" s="6"/>
      <c r="C62" s="2"/>
      <c r="D62" s="2" t="s">
        <v>8</v>
      </c>
      <c r="E62" s="229" t="s">
        <v>9</v>
      </c>
      <c r="F62" s="229" t="s">
        <v>12</v>
      </c>
      <c r="G62" s="229" t="s">
        <v>13</v>
      </c>
      <c r="H62" s="229" t="s">
        <v>14</v>
      </c>
      <c r="I62" s="230" t="s">
        <v>15</v>
      </c>
      <c r="J62" s="228"/>
      <c r="K62" s="26" t="s">
        <v>28</v>
      </c>
      <c r="L62" s="23" t="s">
        <v>29</v>
      </c>
      <c r="M62" s="27"/>
      <c r="N62" s="31"/>
      <c r="O62" s="27"/>
    </row>
    <row r="63" spans="2:15" ht="12.75">
      <c r="B63" s="3" t="s">
        <v>0</v>
      </c>
      <c r="C63" s="1"/>
      <c r="D63" s="1"/>
      <c r="E63" s="231"/>
      <c r="F63" s="222">
        <f aca="true" t="shared" si="9" ref="F63:I81">$E63*F$10</f>
        <v>0</v>
      </c>
      <c r="G63" s="222">
        <f t="shared" si="9"/>
        <v>0</v>
      </c>
      <c r="H63" s="222">
        <f t="shared" si="9"/>
        <v>0</v>
      </c>
      <c r="I63" s="223">
        <f t="shared" si="9"/>
        <v>0</v>
      </c>
      <c r="J63" s="228"/>
      <c r="K63" s="26"/>
      <c r="L63" s="23"/>
      <c r="M63" s="27"/>
      <c r="N63" s="31"/>
      <c r="O63" s="27"/>
    </row>
    <row r="64" spans="2:15" ht="12.75">
      <c r="B64" s="3" t="s">
        <v>5</v>
      </c>
      <c r="C64" s="1"/>
      <c r="D64" s="1"/>
      <c r="E64" s="231"/>
      <c r="F64" s="222">
        <f t="shared" si="9"/>
        <v>0</v>
      </c>
      <c r="G64" s="222">
        <f t="shared" si="9"/>
        <v>0</v>
      </c>
      <c r="H64" s="222">
        <f t="shared" si="9"/>
        <v>0</v>
      </c>
      <c r="I64" s="223">
        <f t="shared" si="9"/>
        <v>0</v>
      </c>
      <c r="J64" s="228"/>
      <c r="K64" s="26"/>
      <c r="L64" s="23"/>
      <c r="M64" s="27"/>
      <c r="N64" s="31"/>
      <c r="O64" s="27"/>
    </row>
    <row r="65" spans="2:15" ht="12.75">
      <c r="B65" s="3" t="s">
        <v>61</v>
      </c>
      <c r="C65" s="1"/>
      <c r="D65" s="1"/>
      <c r="E65" s="231"/>
      <c r="F65" s="222"/>
      <c r="G65" s="222"/>
      <c r="H65" s="222"/>
      <c r="I65" s="223"/>
      <c r="J65" s="228"/>
      <c r="K65" s="26"/>
      <c r="L65" s="23"/>
      <c r="M65" s="27"/>
      <c r="N65" s="31"/>
      <c r="O65" s="27"/>
    </row>
    <row r="66" spans="2:15" ht="12.75">
      <c r="B66" s="3" t="s">
        <v>1</v>
      </c>
      <c r="C66" s="1"/>
      <c r="D66" s="1"/>
      <c r="E66" s="231"/>
      <c r="F66" s="222">
        <f t="shared" si="9"/>
        <v>0</v>
      </c>
      <c r="G66" s="222">
        <f t="shared" si="9"/>
        <v>0</v>
      </c>
      <c r="H66" s="222">
        <f t="shared" si="9"/>
        <v>0</v>
      </c>
      <c r="I66" s="223">
        <f t="shared" si="9"/>
        <v>0</v>
      </c>
      <c r="J66" s="228"/>
      <c r="K66" s="26"/>
      <c r="L66" s="23"/>
      <c r="M66" s="27"/>
      <c r="N66" s="31"/>
      <c r="O66" s="27"/>
    </row>
    <row r="67" spans="2:15" ht="12.75">
      <c r="B67" s="3" t="s">
        <v>10</v>
      </c>
      <c r="C67" s="1"/>
      <c r="D67" s="1"/>
      <c r="E67" s="231"/>
      <c r="F67" s="222">
        <f t="shared" si="9"/>
        <v>0</v>
      </c>
      <c r="G67" s="222">
        <f t="shared" si="9"/>
        <v>0</v>
      </c>
      <c r="H67" s="222">
        <f t="shared" si="9"/>
        <v>0</v>
      </c>
      <c r="I67" s="223">
        <f t="shared" si="9"/>
        <v>0</v>
      </c>
      <c r="J67" s="228"/>
      <c r="K67" s="26"/>
      <c r="L67" s="23"/>
      <c r="M67" s="27"/>
      <c r="N67" s="31"/>
      <c r="O67" s="27"/>
    </row>
    <row r="68" spans="2:15" ht="15.75">
      <c r="B68" s="3" t="s">
        <v>52</v>
      </c>
      <c r="C68" s="1"/>
      <c r="D68" s="50">
        <f>'Emission Factors'!D59</f>
        <v>1.45E-07</v>
      </c>
      <c r="E68" s="231">
        <f>(D68*60*60*24*365/1000000)*1.10231131</f>
        <v>5.040560973463199E-06</v>
      </c>
      <c r="F68" s="222">
        <f t="shared" si="9"/>
        <v>0.0011391667800026832</v>
      </c>
      <c r="G68" s="222">
        <f t="shared" si="9"/>
        <v>0.0006754351704440687</v>
      </c>
      <c r="H68" s="222">
        <f t="shared" si="9"/>
        <v>0.0010938017312415143</v>
      </c>
      <c r="I68" s="223">
        <f t="shared" si="9"/>
        <v>0.00113412621902922</v>
      </c>
      <c r="J68" s="228"/>
      <c r="K68" s="34" t="s">
        <v>34</v>
      </c>
      <c r="L68" s="23"/>
      <c r="M68" s="27"/>
      <c r="N68" s="31"/>
      <c r="O68" s="27"/>
    </row>
    <row r="69" spans="2:15" ht="12.75">
      <c r="B69" s="3" t="s">
        <v>2</v>
      </c>
      <c r="C69" s="1"/>
      <c r="D69" s="1"/>
      <c r="E69" s="231"/>
      <c r="F69" s="311">
        <f>F80+F74+F75+F79</f>
        <v>1654.3152818296617</v>
      </c>
      <c r="G69" s="311">
        <f>G80+G74+G75+G79</f>
        <v>980.877202500773</v>
      </c>
      <c r="H69" s="311">
        <f>H80+H74+H75+H79</f>
        <v>1588.435469721401</v>
      </c>
      <c r="I69" s="311">
        <f>I80+I74+I75+I79</f>
        <v>1646.9953027065221</v>
      </c>
      <c r="J69" s="228"/>
      <c r="K69" s="26"/>
      <c r="L69" s="23"/>
      <c r="M69" s="27"/>
      <c r="N69" s="31"/>
      <c r="O69" s="27"/>
    </row>
    <row r="70" spans="2:15" ht="12.75">
      <c r="B70" s="3" t="s">
        <v>60</v>
      </c>
      <c r="C70" s="1"/>
      <c r="D70" s="1"/>
      <c r="E70" s="231"/>
      <c r="F70" s="311">
        <f>F69</f>
        <v>1654.3152818296617</v>
      </c>
      <c r="G70" s="311">
        <f>G69</f>
        <v>980.877202500773</v>
      </c>
      <c r="H70" s="311">
        <f>H69</f>
        <v>1588.435469721401</v>
      </c>
      <c r="I70" s="311">
        <f>I69</f>
        <v>1646.9953027065221</v>
      </c>
      <c r="J70" s="228"/>
      <c r="K70" s="26"/>
      <c r="L70" s="23"/>
      <c r="M70" s="27"/>
      <c r="N70" s="31"/>
      <c r="O70" s="27"/>
    </row>
    <row r="71" spans="2:15" ht="12.75">
      <c r="B71" s="3" t="s">
        <v>3</v>
      </c>
      <c r="C71" s="1"/>
      <c r="D71" s="50">
        <f>'Emission Factors'!D61</f>
        <v>0.2105713449</v>
      </c>
      <c r="E71" s="231">
        <f>(D71*60*60*24*365/1000000)*1.10231131</f>
        <v>7.319984160224822</v>
      </c>
      <c r="F71" s="222">
        <f t="shared" si="9"/>
        <v>1654.3164202108096</v>
      </c>
      <c r="G71" s="222">
        <f t="shared" si="9"/>
        <v>980.8778774701261</v>
      </c>
      <c r="H71" s="222">
        <f t="shared" si="9"/>
        <v>1588.4365627687864</v>
      </c>
      <c r="I71" s="223">
        <f t="shared" si="9"/>
        <v>1646.9964360505849</v>
      </c>
      <c r="J71" s="228"/>
      <c r="K71" s="69" t="s">
        <v>51</v>
      </c>
      <c r="L71" s="23"/>
      <c r="M71" s="27"/>
      <c r="N71" s="31"/>
      <c r="O71" s="27"/>
    </row>
    <row r="72" spans="2:15" ht="12.75">
      <c r="B72" s="3"/>
      <c r="C72" s="66" t="s">
        <v>70</v>
      </c>
      <c r="D72" s="50"/>
      <c r="E72" s="231"/>
      <c r="F72" s="210"/>
      <c r="G72" s="220"/>
      <c r="H72" s="220"/>
      <c r="I72" s="221"/>
      <c r="J72" s="228"/>
      <c r="K72" s="26"/>
      <c r="L72" s="23"/>
      <c r="M72" s="27"/>
      <c r="N72" s="31"/>
      <c r="O72" s="27"/>
    </row>
    <row r="73" spans="2:15" ht="12.75">
      <c r="B73" s="3"/>
      <c r="C73" s="66" t="s">
        <v>71</v>
      </c>
      <c r="D73" s="50"/>
      <c r="E73" s="231"/>
      <c r="F73" s="210"/>
      <c r="G73" s="220"/>
      <c r="H73" s="220"/>
      <c r="I73" s="221"/>
      <c r="J73" s="228"/>
      <c r="K73" s="26"/>
      <c r="L73" s="23"/>
      <c r="M73" s="27"/>
      <c r="N73" s="31"/>
      <c r="O73" s="27"/>
    </row>
    <row r="74" spans="2:15" ht="12.75">
      <c r="B74" s="3"/>
      <c r="C74" s="36" t="s">
        <v>30</v>
      </c>
      <c r="D74" s="50">
        <f>'Emission Factors'!D62</f>
        <v>0.036792</v>
      </c>
      <c r="E74" s="231">
        <f>(D74*60*60*24*365/1000000)*1.10231131</f>
        <v>1.2789815126597104</v>
      </c>
      <c r="F74" s="210">
        <f t="shared" si="9"/>
        <v>289.04982186109453</v>
      </c>
      <c r="G74" s="210">
        <f t="shared" si="9"/>
        <v>171.3835226964012</v>
      </c>
      <c r="H74" s="222">
        <f t="shared" si="9"/>
        <v>277.53898824715714</v>
      </c>
      <c r="I74" s="211">
        <f t="shared" si="9"/>
        <v>287.77084034843483</v>
      </c>
      <c r="J74" s="228"/>
      <c r="K74" s="69" t="s">
        <v>51</v>
      </c>
      <c r="L74" s="23"/>
      <c r="M74" s="27"/>
      <c r="N74" s="31"/>
      <c r="O74" s="27"/>
    </row>
    <row r="75" spans="2:15" ht="12.75">
      <c r="B75" s="3"/>
      <c r="C75" s="36" t="s">
        <v>31</v>
      </c>
      <c r="D75" s="50">
        <f>'Emission Factors'!D63</f>
        <v>0.0067032</v>
      </c>
      <c r="E75" s="231">
        <f aca="true" t="shared" si="10" ref="E75:E81">(D75*60*60*24*365/1000000)*1.10231131</f>
        <v>0.2330199194297829</v>
      </c>
      <c r="F75" s="210">
        <f t="shared" si="9"/>
        <v>52.662501791130936</v>
      </c>
      <c r="G75" s="210">
        <f t="shared" si="9"/>
        <v>31.224669203590906</v>
      </c>
      <c r="H75" s="222">
        <f t="shared" si="9"/>
        <v>50.56532251626289</v>
      </c>
      <c r="I75" s="211">
        <f t="shared" si="9"/>
        <v>52.42948187170115</v>
      </c>
      <c r="J75" s="228"/>
      <c r="K75" s="69" t="s">
        <v>51</v>
      </c>
      <c r="L75" s="23"/>
      <c r="M75" s="27"/>
      <c r="N75" s="31"/>
      <c r="O75" s="27"/>
    </row>
    <row r="76" spans="2:15" ht="12.75">
      <c r="B76" s="3"/>
      <c r="C76" s="52" t="s">
        <v>57</v>
      </c>
      <c r="D76" s="47"/>
      <c r="E76" s="231">
        <f t="shared" si="10"/>
        <v>0</v>
      </c>
      <c r="F76" s="210">
        <f t="shared" si="9"/>
        <v>0</v>
      </c>
      <c r="G76" s="210">
        <f t="shared" si="9"/>
        <v>0</v>
      </c>
      <c r="H76" s="222">
        <f t="shared" si="9"/>
        <v>0</v>
      </c>
      <c r="I76" s="223">
        <f t="shared" si="9"/>
        <v>0</v>
      </c>
      <c r="J76" s="228"/>
      <c r="K76" s="26"/>
      <c r="L76" s="23"/>
      <c r="M76" s="27"/>
      <c r="N76" s="31"/>
      <c r="O76" s="27"/>
    </row>
    <row r="77" spans="2:15" ht="12.75">
      <c r="B77" s="3"/>
      <c r="C77" s="36" t="s">
        <v>22</v>
      </c>
      <c r="D77" s="50">
        <f>'Emission Factors'!D64</f>
        <v>1.4489999999999998E-07</v>
      </c>
      <c r="E77" s="231">
        <f t="shared" si="10"/>
        <v>5.0370847245159825E-06</v>
      </c>
      <c r="F77" s="310">
        <f t="shared" si="9"/>
        <v>0.001138381147740612</v>
      </c>
      <c r="G77" s="210">
        <f t="shared" si="9"/>
        <v>0.0006749693530851416</v>
      </c>
      <c r="H77" s="309">
        <f t="shared" si="9"/>
        <v>0.001093047385219968</v>
      </c>
      <c r="I77" s="314">
        <f t="shared" si="9"/>
        <v>0.0011333440630160961</v>
      </c>
      <c r="J77" s="228"/>
      <c r="K77" s="69" t="s">
        <v>51</v>
      </c>
      <c r="L77" s="23">
        <f>1.45*10^-7</f>
        <v>1.45E-07</v>
      </c>
      <c r="M77" s="27" t="s">
        <v>51</v>
      </c>
      <c r="N77" s="31"/>
      <c r="O77" s="27"/>
    </row>
    <row r="78" spans="2:15" ht="12.75">
      <c r="B78" s="3"/>
      <c r="C78" s="68" t="s">
        <v>83</v>
      </c>
      <c r="D78" s="50"/>
      <c r="E78" s="231">
        <f t="shared" si="10"/>
        <v>0</v>
      </c>
      <c r="F78" s="210">
        <f t="shared" si="9"/>
        <v>0</v>
      </c>
      <c r="G78" s="210">
        <f t="shared" si="9"/>
        <v>0</v>
      </c>
      <c r="H78" s="222">
        <f t="shared" si="9"/>
        <v>0</v>
      </c>
      <c r="I78" s="223">
        <f t="shared" si="9"/>
        <v>0</v>
      </c>
      <c r="J78" s="228"/>
      <c r="K78" s="26"/>
      <c r="L78" s="23"/>
      <c r="M78" s="27"/>
      <c r="N78" s="31"/>
      <c r="O78" s="27"/>
    </row>
    <row r="79" spans="2:15" ht="12.75">
      <c r="B79" s="3"/>
      <c r="C79" s="36" t="s">
        <v>32</v>
      </c>
      <c r="D79" s="50">
        <f>'Emission Factors'!D65</f>
        <v>0.057834</v>
      </c>
      <c r="E79" s="231">
        <f t="shared" si="10"/>
        <v>2.0104538161329013</v>
      </c>
      <c r="F79" s="210">
        <f t="shared" si="9"/>
        <v>454.36256244603567</v>
      </c>
      <c r="G79" s="210">
        <f t="shared" si="9"/>
        <v>269.4008113618088</v>
      </c>
      <c r="H79" s="222">
        <f t="shared" si="9"/>
        <v>436.26847810083956</v>
      </c>
      <c r="I79" s="211">
        <f t="shared" si="9"/>
        <v>452.3521086299028</v>
      </c>
      <c r="J79" s="228"/>
      <c r="K79" s="69" t="s">
        <v>51</v>
      </c>
      <c r="L79" s="23"/>
      <c r="M79" s="27"/>
      <c r="N79" s="31"/>
      <c r="O79" s="27"/>
    </row>
    <row r="80" spans="2:15" ht="13.5" thickBot="1">
      <c r="B80" s="15"/>
      <c r="C80" s="71" t="s">
        <v>33</v>
      </c>
      <c r="D80" s="51">
        <f>'Emission Factors'!D66</f>
        <v>0.109242</v>
      </c>
      <c r="E80" s="232">
        <f t="shared" si="10"/>
        <v>3.7975238749177023</v>
      </c>
      <c r="F80" s="305">
        <f t="shared" si="9"/>
        <v>858.2403957314007</v>
      </c>
      <c r="G80" s="305">
        <f t="shared" si="9"/>
        <v>508.8681992389721</v>
      </c>
      <c r="H80" s="233">
        <f t="shared" si="9"/>
        <v>824.0626808571413</v>
      </c>
      <c r="I80" s="315">
        <f t="shared" si="9"/>
        <v>854.4428718564831</v>
      </c>
      <c r="J80" s="228"/>
      <c r="K80" s="70" t="s">
        <v>51</v>
      </c>
      <c r="L80" s="21"/>
      <c r="M80" s="29"/>
      <c r="N80" s="32"/>
      <c r="O80" s="29"/>
    </row>
    <row r="81" spans="2:15" ht="13.5" thickBot="1">
      <c r="B81" s="28"/>
      <c r="C81" s="72" t="s">
        <v>93</v>
      </c>
      <c r="D81" s="21">
        <v>0</v>
      </c>
      <c r="E81" s="234">
        <f t="shared" si="10"/>
        <v>0</v>
      </c>
      <c r="F81" s="214">
        <f t="shared" si="9"/>
        <v>0</v>
      </c>
      <c r="G81" s="214">
        <f t="shared" si="9"/>
        <v>0</v>
      </c>
      <c r="H81" s="224">
        <f t="shared" si="9"/>
        <v>0</v>
      </c>
      <c r="I81" s="225">
        <f t="shared" si="9"/>
        <v>0</v>
      </c>
      <c r="J81" s="212"/>
      <c r="K81" s="19"/>
      <c r="L81" s="19"/>
      <c r="M81" s="19"/>
      <c r="N81" s="19"/>
      <c r="O81" s="19"/>
    </row>
    <row r="82" spans="2:15" ht="12.75">
      <c r="B82" s="22"/>
      <c r="C82" s="63"/>
      <c r="D82" s="22"/>
      <c r="E82" s="235"/>
      <c r="F82" s="216"/>
      <c r="G82" s="216"/>
      <c r="H82" s="216"/>
      <c r="I82" s="236"/>
      <c r="J82" s="212"/>
      <c r="K82" s="19"/>
      <c r="L82" s="19"/>
      <c r="M82" s="19"/>
      <c r="N82" s="19"/>
      <c r="O82" s="19"/>
    </row>
    <row r="83" spans="5:10" s="19" customFormat="1" ht="13.5" thickBot="1">
      <c r="E83" s="212"/>
      <c r="F83" s="212"/>
      <c r="G83" s="212"/>
      <c r="H83" s="212"/>
      <c r="I83" s="212"/>
      <c r="J83" s="212"/>
    </row>
    <row r="84" spans="2:15" ht="13.5" thickBot="1">
      <c r="B84" s="16" t="s">
        <v>48</v>
      </c>
      <c r="C84" s="17"/>
      <c r="D84" s="18"/>
      <c r="E84" s="226"/>
      <c r="F84" s="226"/>
      <c r="G84" s="226"/>
      <c r="H84" s="226"/>
      <c r="I84" s="227"/>
      <c r="J84" s="228"/>
      <c r="K84" s="11" t="s">
        <v>27</v>
      </c>
      <c r="L84" s="24"/>
      <c r="M84" s="25"/>
      <c r="N84" s="30"/>
      <c r="O84" s="25"/>
    </row>
    <row r="85" spans="2:15" ht="12.75">
      <c r="B85" s="6"/>
      <c r="C85" s="2"/>
      <c r="D85" s="2" t="s">
        <v>8</v>
      </c>
      <c r="E85" s="229" t="s">
        <v>9</v>
      </c>
      <c r="F85" s="229" t="s">
        <v>12</v>
      </c>
      <c r="G85" s="229" t="s">
        <v>13</v>
      </c>
      <c r="H85" s="229" t="s">
        <v>14</v>
      </c>
      <c r="I85" s="230" t="s">
        <v>15</v>
      </c>
      <c r="J85" s="228"/>
      <c r="K85" s="26" t="s">
        <v>28</v>
      </c>
      <c r="L85" s="23" t="s">
        <v>29</v>
      </c>
      <c r="M85" s="27"/>
      <c r="N85" s="31"/>
      <c r="O85" s="27"/>
    </row>
    <row r="86" spans="2:15" ht="12.75">
      <c r="B86" s="3" t="s">
        <v>0</v>
      </c>
      <c r="C86" s="1"/>
      <c r="D86" s="38">
        <f>'Emission Factors'!D72</f>
        <v>0.0532</v>
      </c>
      <c r="E86" s="231">
        <f>(D86*60*60*24*365/1000000)*1.10231131</f>
        <v>1.8493644399189118</v>
      </c>
      <c r="F86" s="237">
        <f>$E86*F$9</f>
        <v>257.0616571487287</v>
      </c>
      <c r="G86" s="237">
        <f aca="true" t="shared" si="11" ref="G86:I90">$E86*G$9</f>
        <v>153.49724851326968</v>
      </c>
      <c r="H86" s="237">
        <f t="shared" si="11"/>
        <v>247.81483494913417</v>
      </c>
      <c r="I86" s="238">
        <f t="shared" si="11"/>
        <v>255.21229270880983</v>
      </c>
      <c r="J86" s="228"/>
      <c r="K86" s="26"/>
      <c r="L86" s="23"/>
      <c r="M86" s="27"/>
      <c r="N86" s="31"/>
      <c r="O86" s="27"/>
    </row>
    <row r="87" spans="2:15" ht="12.75">
      <c r="B87" s="3" t="s">
        <v>5</v>
      </c>
      <c r="C87" s="1"/>
      <c r="D87" s="38">
        <f>'Emission Factors'!D73</f>
        <v>0.0098</v>
      </c>
      <c r="E87" s="231">
        <f>(D87*60*60*24*365/1000000)*1.10231131</f>
        <v>0.34067239682716793</v>
      </c>
      <c r="F87" s="237">
        <f>$E87*F$9</f>
        <v>47.35346315897634</v>
      </c>
      <c r="G87" s="237">
        <f t="shared" si="11"/>
        <v>28.27580893665494</v>
      </c>
      <c r="H87" s="237">
        <f t="shared" si="11"/>
        <v>45.6501011748405</v>
      </c>
      <c r="I87" s="238">
        <f t="shared" si="11"/>
        <v>47.01279076214917</v>
      </c>
      <c r="J87" s="228"/>
      <c r="K87" s="26"/>
      <c r="L87" s="23"/>
      <c r="M87" s="27"/>
      <c r="N87" s="31"/>
      <c r="O87" s="27"/>
    </row>
    <row r="88" spans="2:15" ht="12.75">
      <c r="B88" s="3" t="s">
        <v>61</v>
      </c>
      <c r="C88" s="1"/>
      <c r="D88" s="38"/>
      <c r="E88" s="231"/>
      <c r="F88" s="237"/>
      <c r="G88" s="237"/>
      <c r="H88" s="237"/>
      <c r="I88" s="238"/>
      <c r="J88" s="228"/>
      <c r="K88" s="26"/>
      <c r="L88" s="23"/>
      <c r="M88" s="27"/>
      <c r="N88" s="31"/>
      <c r="O88" s="27"/>
    </row>
    <row r="89" spans="2:15" ht="12.75">
      <c r="B89" s="3" t="s">
        <v>1</v>
      </c>
      <c r="C89" s="1"/>
      <c r="D89" s="38">
        <f>'Emission Factors'!D74</f>
        <v>0.00089</v>
      </c>
      <c r="E89" s="231">
        <f>(D89*60*60*24*365/1000000)*1.10231131</f>
        <v>0.03093861563022239</v>
      </c>
      <c r="F89" s="237">
        <f>$E89*F$9</f>
        <v>4.300467572600913</v>
      </c>
      <c r="G89" s="237">
        <f t="shared" si="11"/>
        <v>2.5679050973084583</v>
      </c>
      <c r="H89" s="237">
        <f t="shared" si="11"/>
        <v>4.1457744944498005</v>
      </c>
      <c r="I89" s="238">
        <f t="shared" si="11"/>
        <v>4.26952895697069</v>
      </c>
      <c r="J89" s="228"/>
      <c r="K89" s="26"/>
      <c r="L89" s="23"/>
      <c r="M89" s="27"/>
      <c r="N89" s="31"/>
      <c r="O89" s="27"/>
    </row>
    <row r="90" spans="2:15" ht="12.75">
      <c r="B90" s="3" t="s">
        <v>10</v>
      </c>
      <c r="C90" s="1"/>
      <c r="D90" s="38">
        <f>'Emission Factors'!D75</f>
        <v>0.00089</v>
      </c>
      <c r="E90" s="231">
        <f>(D90*60*60*24*365/1000000)*1.10231131</f>
        <v>0.03093861563022239</v>
      </c>
      <c r="F90" s="237">
        <f>$E90*F$9</f>
        <v>4.300467572600913</v>
      </c>
      <c r="G90" s="237">
        <f t="shared" si="11"/>
        <v>2.5679050973084583</v>
      </c>
      <c r="H90" s="237">
        <f t="shared" si="11"/>
        <v>4.1457744944498005</v>
      </c>
      <c r="I90" s="238">
        <f t="shared" si="11"/>
        <v>4.26952895697069</v>
      </c>
      <c r="J90" s="228"/>
      <c r="K90" s="26"/>
      <c r="L90" s="23"/>
      <c r="M90" s="27"/>
      <c r="N90" s="31"/>
      <c r="O90" s="27"/>
    </row>
    <row r="91" spans="2:15" ht="12.75">
      <c r="B91" s="3" t="s">
        <v>4</v>
      </c>
      <c r="C91" s="1"/>
      <c r="D91" s="38"/>
      <c r="E91" s="239"/>
      <c r="F91" s="237"/>
      <c r="G91" s="237"/>
      <c r="H91" s="237"/>
      <c r="I91" s="238"/>
      <c r="J91" s="228"/>
      <c r="K91" s="26"/>
      <c r="L91" s="23"/>
      <c r="M91" s="27"/>
      <c r="N91" s="31"/>
      <c r="O91" s="27"/>
    </row>
    <row r="92" spans="2:15" ht="12.75">
      <c r="B92" s="3" t="s">
        <v>2</v>
      </c>
      <c r="C92" s="1"/>
      <c r="D92" s="38"/>
      <c r="E92" s="239"/>
      <c r="F92" s="240"/>
      <c r="G92" s="240"/>
      <c r="H92" s="240"/>
      <c r="I92" s="241"/>
      <c r="J92" s="228"/>
      <c r="K92" s="26"/>
      <c r="L92" s="23"/>
      <c r="M92" s="27"/>
      <c r="N92" s="31"/>
      <c r="O92" s="27"/>
    </row>
    <row r="93" spans="2:15" ht="12.75">
      <c r="B93" s="3" t="s">
        <v>60</v>
      </c>
      <c r="C93" s="1"/>
      <c r="D93" s="38"/>
      <c r="E93" s="239"/>
      <c r="F93" s="240"/>
      <c r="G93" s="240"/>
      <c r="H93" s="240"/>
      <c r="I93" s="241"/>
      <c r="J93" s="228"/>
      <c r="K93" s="26"/>
      <c r="L93" s="23"/>
      <c r="M93" s="27"/>
      <c r="N93" s="31"/>
      <c r="O93" s="27"/>
    </row>
    <row r="94" spans="2:15" ht="12.75">
      <c r="B94" s="3" t="s">
        <v>3</v>
      </c>
      <c r="C94" s="1"/>
      <c r="D94" s="38"/>
      <c r="E94" s="239"/>
      <c r="F94" s="240"/>
      <c r="G94" s="240"/>
      <c r="H94" s="240"/>
      <c r="I94" s="241"/>
      <c r="J94" s="228"/>
      <c r="K94" s="26"/>
      <c r="L94" s="23"/>
      <c r="M94" s="27"/>
      <c r="N94" s="31"/>
      <c r="O94" s="27"/>
    </row>
    <row r="95" spans="2:15" ht="12.75">
      <c r="B95" s="3"/>
      <c r="C95" s="36" t="s">
        <v>30</v>
      </c>
      <c r="D95" s="38"/>
      <c r="E95" s="239"/>
      <c r="F95" s="237"/>
      <c r="G95" s="237"/>
      <c r="H95" s="237"/>
      <c r="I95" s="238"/>
      <c r="J95" s="228"/>
      <c r="K95" s="26"/>
      <c r="L95" s="23"/>
      <c r="M95" s="27"/>
      <c r="N95" s="31"/>
      <c r="O95" s="27"/>
    </row>
    <row r="96" spans="2:15" ht="12.75">
      <c r="B96" s="3"/>
      <c r="C96" s="36" t="s">
        <v>31</v>
      </c>
      <c r="D96" s="38"/>
      <c r="E96" s="239"/>
      <c r="F96" s="237"/>
      <c r="G96" s="237"/>
      <c r="H96" s="237"/>
      <c r="I96" s="238"/>
      <c r="J96" s="228"/>
      <c r="K96" s="26"/>
      <c r="L96" s="23"/>
      <c r="M96" s="27"/>
      <c r="N96" s="31"/>
      <c r="O96" s="27"/>
    </row>
    <row r="97" spans="2:15" ht="12.75">
      <c r="B97" s="3"/>
      <c r="C97" s="52" t="s">
        <v>57</v>
      </c>
      <c r="D97" s="38"/>
      <c r="E97" s="239"/>
      <c r="F97" s="237"/>
      <c r="G97" s="237"/>
      <c r="H97" s="237"/>
      <c r="I97" s="238"/>
      <c r="J97" s="228"/>
      <c r="K97" s="26"/>
      <c r="L97" s="23"/>
      <c r="M97" s="27"/>
      <c r="N97" s="31"/>
      <c r="O97" s="27"/>
    </row>
    <row r="98" spans="2:15" ht="12.75">
      <c r="B98" s="3"/>
      <c r="C98" s="36" t="s">
        <v>22</v>
      </c>
      <c r="D98" s="38"/>
      <c r="E98" s="239"/>
      <c r="F98" s="237"/>
      <c r="G98" s="237"/>
      <c r="H98" s="237"/>
      <c r="I98" s="238"/>
      <c r="J98" s="228"/>
      <c r="K98" s="26"/>
      <c r="L98" s="23"/>
      <c r="M98" s="27"/>
      <c r="N98" s="31"/>
      <c r="O98" s="27"/>
    </row>
    <row r="99" spans="2:15" ht="12.75">
      <c r="B99" s="3"/>
      <c r="C99" s="36" t="s">
        <v>32</v>
      </c>
      <c r="D99" s="38"/>
      <c r="E99" s="239"/>
      <c r="F99" s="237"/>
      <c r="G99" s="237"/>
      <c r="H99" s="237"/>
      <c r="I99" s="238"/>
      <c r="J99" s="228"/>
      <c r="K99" s="26"/>
      <c r="L99" s="23"/>
      <c r="M99" s="27"/>
      <c r="N99" s="31"/>
      <c r="O99" s="27"/>
    </row>
    <row r="100" spans="2:15" ht="13.5" thickBot="1">
      <c r="B100" s="5"/>
      <c r="C100" s="37" t="s">
        <v>33</v>
      </c>
      <c r="D100" s="40"/>
      <c r="E100" s="242"/>
      <c r="F100" s="243"/>
      <c r="G100" s="243"/>
      <c r="H100" s="243"/>
      <c r="I100" s="244"/>
      <c r="J100" s="228"/>
      <c r="K100" s="28"/>
      <c r="L100" s="21"/>
      <c r="M100" s="29"/>
      <c r="N100" s="32"/>
      <c r="O100" s="29"/>
    </row>
    <row r="101" spans="5:10" s="19" customFormat="1" ht="12.75">
      <c r="E101" s="212"/>
      <c r="F101" s="212"/>
      <c r="G101" s="212"/>
      <c r="H101" s="212"/>
      <c r="I101" s="212"/>
      <c r="J101" s="212"/>
    </row>
    <row r="102" spans="5:10" s="19" customFormat="1" ht="13.5" thickBot="1">
      <c r="E102" s="212"/>
      <c r="F102" s="212"/>
      <c r="G102" s="212"/>
      <c r="H102" s="212"/>
      <c r="I102" s="212"/>
      <c r="J102" s="212"/>
    </row>
    <row r="103" spans="5:10" s="19" customFormat="1" ht="13.5" thickBot="1">
      <c r="E103" s="256" t="s">
        <v>176</v>
      </c>
      <c r="F103" s="257"/>
      <c r="G103" s="257"/>
      <c r="H103" s="257"/>
      <c r="I103" s="258"/>
      <c r="J103" s="187"/>
    </row>
    <row r="104" spans="5:10" s="19" customFormat="1" ht="12.75">
      <c r="E104" s="259"/>
      <c r="F104" s="260" t="s">
        <v>12</v>
      </c>
      <c r="G104" s="260" t="s">
        <v>13</v>
      </c>
      <c r="H104" s="260" t="s">
        <v>14</v>
      </c>
      <c r="I104" s="261" t="s">
        <v>15</v>
      </c>
      <c r="J104" s="187"/>
    </row>
    <row r="105" spans="5:10" s="19" customFormat="1" ht="12.75">
      <c r="E105" s="262" t="s">
        <v>177</v>
      </c>
      <c r="F105" s="245">
        <f>'Fug Dust Assumptions'!$C$6</f>
        <v>10</v>
      </c>
      <c r="G105" s="245">
        <f>'Fug Dust Assumptions'!$C$6</f>
        <v>10</v>
      </c>
      <c r="H105" s="245">
        <f>'Fug Dust Assumptions'!$C$6</f>
        <v>10</v>
      </c>
      <c r="I105" s="246">
        <f>'Fug Dust Assumptions'!$C$6</f>
        <v>10</v>
      </c>
      <c r="J105" s="187"/>
    </row>
    <row r="106" spans="5:10" s="19" customFormat="1" ht="12.75">
      <c r="E106" s="262" t="s">
        <v>178</v>
      </c>
      <c r="F106" s="247">
        <f>'Fug Dust Assumptions'!$C$5</f>
        <v>14</v>
      </c>
      <c r="G106" s="247">
        <f>'Fug Dust Assumptions'!$C$5</f>
        <v>14</v>
      </c>
      <c r="H106" s="247">
        <f>'Fug Dust Assumptions'!$C$5</f>
        <v>14</v>
      </c>
      <c r="I106" s="248">
        <f>'Fug Dust Assumptions'!$C$5</f>
        <v>14</v>
      </c>
      <c r="J106" s="187"/>
    </row>
    <row r="107" spans="5:10" s="19" customFormat="1" ht="12.75">
      <c r="E107" s="262" t="s">
        <v>179</v>
      </c>
      <c r="F107" s="249">
        <f>F6</f>
        <v>52</v>
      </c>
      <c r="G107" s="249">
        <f>G6</f>
        <v>29</v>
      </c>
      <c r="H107" s="249">
        <f>H6</f>
        <v>50</v>
      </c>
      <c r="I107" s="249">
        <f>I6</f>
        <v>52</v>
      </c>
      <c r="J107" s="187"/>
    </row>
    <row r="108" spans="5:10" s="19" customFormat="1" ht="12.75">
      <c r="E108" s="262" t="s">
        <v>180</v>
      </c>
      <c r="F108" s="250">
        <f>F105*F107</f>
        <v>520</v>
      </c>
      <c r="G108" s="250">
        <f>G105*G107</f>
        <v>290</v>
      </c>
      <c r="H108" s="250">
        <f>H105*H107</f>
        <v>500</v>
      </c>
      <c r="I108" s="251">
        <f>I105*I107</f>
        <v>520</v>
      </c>
      <c r="J108" s="187"/>
    </row>
    <row r="109" spans="5:10" s="19" customFormat="1" ht="12.75">
      <c r="E109" s="262" t="s">
        <v>181</v>
      </c>
      <c r="F109" s="249">
        <f>('Fug Dust Assumptions'!$C$9*F105*F106/30*2000)*(1-'Fug Dust Assumptions'!$C$8)</f>
        <v>8400</v>
      </c>
      <c r="G109" s="249">
        <f>('Fug Dust Assumptions'!$C$9*G105*G106/30*2000)*(1-'Fug Dust Assumptions'!$C$8)</f>
        <v>8400</v>
      </c>
      <c r="H109" s="249">
        <f>('Fug Dust Assumptions'!$C$9*H105*H106/30*2000)*(1-'Fug Dust Assumptions'!$C$8)</f>
        <v>8400</v>
      </c>
      <c r="I109" s="252">
        <f>('Fug Dust Assumptions'!$C$9*I105*I106/30*2000)*(1-'Fug Dust Assumptions'!$C$8)</f>
        <v>8400</v>
      </c>
      <c r="J109" s="187"/>
    </row>
    <row r="110" spans="5:10" s="19" customFormat="1" ht="12.75">
      <c r="E110" s="262" t="s">
        <v>182</v>
      </c>
      <c r="F110" s="249">
        <f>F109*'Fug Dust Assumptions'!$C$10</f>
        <v>2184</v>
      </c>
      <c r="G110" s="249">
        <f>G109*'Fug Dust Assumptions'!$C$10</f>
        <v>2184</v>
      </c>
      <c r="H110" s="249">
        <f>H109*'Fug Dust Assumptions'!$C$10</f>
        <v>2184</v>
      </c>
      <c r="I110" s="252">
        <f>I109*'Fug Dust Assumptions'!$C$10</f>
        <v>2184</v>
      </c>
      <c r="J110" s="187"/>
    </row>
    <row r="111" spans="5:10" s="19" customFormat="1" ht="12.75">
      <c r="E111" s="262" t="s">
        <v>183</v>
      </c>
      <c r="F111" s="249">
        <f>F110*'Fug Dust Assumptions'!$C$11</f>
        <v>327.59999999999997</v>
      </c>
      <c r="G111" s="249">
        <f>G110*'Fug Dust Assumptions'!$C$11</f>
        <v>327.59999999999997</v>
      </c>
      <c r="H111" s="249">
        <f>H110*'Fug Dust Assumptions'!$C$11</f>
        <v>327.59999999999997</v>
      </c>
      <c r="I111" s="252">
        <f>I110*'Fug Dust Assumptions'!$C$11</f>
        <v>327.59999999999997</v>
      </c>
      <c r="J111" s="187"/>
    </row>
    <row r="112" spans="5:10" s="19" customFormat="1" ht="12.75">
      <c r="E112" s="262" t="s">
        <v>184</v>
      </c>
      <c r="F112" s="249">
        <f>F109*F107/2000</f>
        <v>218.4</v>
      </c>
      <c r="G112" s="249">
        <f>G109*G107/2000</f>
        <v>121.8</v>
      </c>
      <c r="H112" s="249">
        <f>H109*H107/2000</f>
        <v>210</v>
      </c>
      <c r="I112" s="252">
        <f>I109*I107/2000</f>
        <v>218.4</v>
      </c>
      <c r="J112" s="187"/>
    </row>
    <row r="113" spans="5:10" s="19" customFormat="1" ht="12.75">
      <c r="E113" s="262" t="s">
        <v>185</v>
      </c>
      <c r="F113" s="249">
        <f>F112*'Fug Dust Assumptions'!$C$10</f>
        <v>56.784000000000006</v>
      </c>
      <c r="G113" s="249">
        <f>G112*'Fug Dust Assumptions'!$C$10</f>
        <v>31.668</v>
      </c>
      <c r="H113" s="249">
        <f>H112*'Fug Dust Assumptions'!$C$10</f>
        <v>54.6</v>
      </c>
      <c r="I113" s="252">
        <f>I112*'Fug Dust Assumptions'!$C$10</f>
        <v>56.784000000000006</v>
      </c>
      <c r="J113" s="187"/>
    </row>
    <row r="114" spans="5:10" s="19" customFormat="1" ht="13.5" thickBot="1">
      <c r="E114" s="263" t="s">
        <v>186</v>
      </c>
      <c r="F114" s="253">
        <f>F113*'Fug Dust Assumptions'!$C$11</f>
        <v>8.5176</v>
      </c>
      <c r="G114" s="253">
        <f>G113*'Fug Dust Assumptions'!$C$11</f>
        <v>4.7501999999999995</v>
      </c>
      <c r="H114" s="253">
        <f>H113*'Fug Dust Assumptions'!$C$11</f>
        <v>8.19</v>
      </c>
      <c r="I114" s="254">
        <f>I113*'Fug Dust Assumptions'!$C$11</f>
        <v>8.5176</v>
      </c>
      <c r="J114" s="187"/>
    </row>
    <row r="115" spans="5:10" s="19" customFormat="1" ht="12.75">
      <c r="E115" s="264"/>
      <c r="F115" s="264"/>
      <c r="G115" s="264"/>
      <c r="H115" s="264"/>
      <c r="I115" s="264"/>
      <c r="J115" s="187"/>
    </row>
    <row r="116" spans="5:10" s="19" customFormat="1" ht="13.5" thickBot="1">
      <c r="E116" s="264"/>
      <c r="F116" s="264"/>
      <c r="G116" s="264"/>
      <c r="H116" s="264"/>
      <c r="I116" s="264"/>
      <c r="J116" s="187"/>
    </row>
    <row r="117" spans="5:10" s="19" customFormat="1" ht="13.5" thickBot="1">
      <c r="E117" s="265" t="s">
        <v>187</v>
      </c>
      <c r="F117" s="257"/>
      <c r="G117" s="257"/>
      <c r="H117" s="257"/>
      <c r="I117" s="258"/>
      <c r="J117" s="187"/>
    </row>
    <row r="118" spans="5:10" s="19" customFormat="1" ht="12.75">
      <c r="E118" s="266"/>
      <c r="F118" s="260" t="s">
        <v>12</v>
      </c>
      <c r="G118" s="260" t="s">
        <v>13</v>
      </c>
      <c r="H118" s="260" t="s">
        <v>14</v>
      </c>
      <c r="I118" s="261" t="s">
        <v>15</v>
      </c>
      <c r="J118" s="187"/>
    </row>
    <row r="119" spans="5:10" s="19" customFormat="1" ht="12.75">
      <c r="E119" s="262" t="s">
        <v>177</v>
      </c>
      <c r="F119" s="245">
        <f>'Fug Dust Assumptions'!$C$7</f>
        <v>5</v>
      </c>
      <c r="G119" s="245">
        <f>'Fug Dust Assumptions'!$C$7</f>
        <v>5</v>
      </c>
      <c r="H119" s="245">
        <f>'Fug Dust Assumptions'!$C$7</f>
        <v>5</v>
      </c>
      <c r="I119" s="246">
        <f>'Fug Dust Assumptions'!$C$7</f>
        <v>5</v>
      </c>
      <c r="J119" s="187"/>
    </row>
    <row r="120" spans="5:10" s="19" customFormat="1" ht="12.75">
      <c r="E120" s="262" t="s">
        <v>178</v>
      </c>
      <c r="F120" s="247">
        <f>'Fug Dust Assumptions'!$C$5</f>
        <v>14</v>
      </c>
      <c r="G120" s="247">
        <f>'Fug Dust Assumptions'!$C$5</f>
        <v>14</v>
      </c>
      <c r="H120" s="247">
        <f>'Fug Dust Assumptions'!$C$5</f>
        <v>14</v>
      </c>
      <c r="I120" s="248">
        <f>'Fug Dust Assumptions'!$C$5</f>
        <v>14</v>
      </c>
      <c r="J120" s="187"/>
    </row>
    <row r="121" spans="5:10" s="19" customFormat="1" ht="12.75">
      <c r="E121" s="262" t="s">
        <v>179</v>
      </c>
      <c r="F121" s="249">
        <f>F6</f>
        <v>52</v>
      </c>
      <c r="G121" s="249">
        <f>G6</f>
        <v>29</v>
      </c>
      <c r="H121" s="249">
        <f>H6</f>
        <v>50</v>
      </c>
      <c r="I121" s="249">
        <f>I6</f>
        <v>52</v>
      </c>
      <c r="J121" s="187"/>
    </row>
    <row r="122" spans="5:10" s="19" customFormat="1" ht="12.75">
      <c r="E122" s="262" t="s">
        <v>180</v>
      </c>
      <c r="F122" s="250">
        <f>F119*F121</f>
        <v>260</v>
      </c>
      <c r="G122" s="250">
        <f>G119*G121</f>
        <v>145</v>
      </c>
      <c r="H122" s="250">
        <f>H119*H121</f>
        <v>250</v>
      </c>
      <c r="I122" s="251">
        <f>I119*I121</f>
        <v>260</v>
      </c>
      <c r="J122" s="187"/>
    </row>
    <row r="123" spans="5:10" s="19" customFormat="1" ht="12.75">
      <c r="E123" s="262" t="s">
        <v>181</v>
      </c>
      <c r="F123" s="249">
        <f>('Fug Dust Assumptions'!$C$9*F119*F120/30*2000)*(1-'Fug Dust Assumptions'!$C$8)</f>
        <v>4200</v>
      </c>
      <c r="G123" s="249">
        <f>('Fug Dust Assumptions'!$C$9*G119*G120/30*2000)*(1-'Fug Dust Assumptions'!$C$8)</f>
        <v>4200</v>
      </c>
      <c r="H123" s="249">
        <f>('Fug Dust Assumptions'!$C$9*H119*H120/30*2000)*(1-'Fug Dust Assumptions'!$C$8)</f>
        <v>4200</v>
      </c>
      <c r="I123" s="252">
        <f>('Fug Dust Assumptions'!$C$9*I119*I120/30*2000)*(1-'Fug Dust Assumptions'!$C$8)</f>
        <v>4200</v>
      </c>
      <c r="J123" s="187"/>
    </row>
    <row r="124" spans="5:10" s="19" customFormat="1" ht="12.75">
      <c r="E124" s="262" t="s">
        <v>182</v>
      </c>
      <c r="F124" s="249">
        <f>F123*'Fug Dust Assumptions'!$C$10</f>
        <v>1092</v>
      </c>
      <c r="G124" s="249">
        <f>G123*'Fug Dust Assumptions'!$C$10</f>
        <v>1092</v>
      </c>
      <c r="H124" s="249">
        <f>H123*'Fug Dust Assumptions'!$C$10</f>
        <v>1092</v>
      </c>
      <c r="I124" s="252">
        <f>I123*'Fug Dust Assumptions'!$C$10</f>
        <v>1092</v>
      </c>
      <c r="J124" s="187"/>
    </row>
    <row r="125" spans="5:10" s="19" customFormat="1" ht="12.75">
      <c r="E125" s="262" t="s">
        <v>183</v>
      </c>
      <c r="F125" s="249">
        <f>F124*'Fug Dust Assumptions'!$C$11</f>
        <v>163.79999999999998</v>
      </c>
      <c r="G125" s="249">
        <f>G124*'Fug Dust Assumptions'!$C$11</f>
        <v>163.79999999999998</v>
      </c>
      <c r="H125" s="249">
        <f>H124*'Fug Dust Assumptions'!$C$11</f>
        <v>163.79999999999998</v>
      </c>
      <c r="I125" s="252">
        <f>I124*'Fug Dust Assumptions'!$C$11</f>
        <v>163.79999999999998</v>
      </c>
      <c r="J125" s="187"/>
    </row>
    <row r="126" spans="5:10" s="19" customFormat="1" ht="12.75">
      <c r="E126" s="262" t="s">
        <v>184</v>
      </c>
      <c r="F126" s="249">
        <f>F123*F121/2000</f>
        <v>109.2</v>
      </c>
      <c r="G126" s="249">
        <f>G123*G121/2000</f>
        <v>60.9</v>
      </c>
      <c r="H126" s="249">
        <f>H123*H121/2000</f>
        <v>105</v>
      </c>
      <c r="I126" s="252">
        <f>I123*I121/2000</f>
        <v>109.2</v>
      </c>
      <c r="J126" s="187"/>
    </row>
    <row r="127" spans="5:10" s="19" customFormat="1" ht="12.75">
      <c r="E127" s="262" t="s">
        <v>185</v>
      </c>
      <c r="F127" s="249">
        <f>F126*'Fug Dust Assumptions'!$C$10</f>
        <v>28.392000000000003</v>
      </c>
      <c r="G127" s="249">
        <f>G126*'Fug Dust Assumptions'!$C$10</f>
        <v>15.834</v>
      </c>
      <c r="H127" s="249">
        <f>H126*'Fug Dust Assumptions'!$C$10</f>
        <v>27.3</v>
      </c>
      <c r="I127" s="252">
        <f>I126*'Fug Dust Assumptions'!$C$10</f>
        <v>28.392000000000003</v>
      </c>
      <c r="J127" s="187"/>
    </row>
    <row r="128" spans="5:10" s="19" customFormat="1" ht="13.5" thickBot="1">
      <c r="E128" s="263" t="s">
        <v>186</v>
      </c>
      <c r="F128" s="253">
        <f>F127*'Fug Dust Assumptions'!$C$11</f>
        <v>4.2588</v>
      </c>
      <c r="G128" s="253">
        <f>G127*'Fug Dust Assumptions'!$C$11</f>
        <v>2.3750999999999998</v>
      </c>
      <c r="H128" s="253">
        <f>H127*'Fug Dust Assumptions'!$C$11</f>
        <v>4.095</v>
      </c>
      <c r="I128" s="254">
        <f>I127*'Fug Dust Assumptions'!$C$11</f>
        <v>4.2588</v>
      </c>
      <c r="J128" s="187"/>
    </row>
    <row r="129" spans="5:10" s="19" customFormat="1" ht="12.75">
      <c r="E129" s="264"/>
      <c r="F129" s="264"/>
      <c r="G129" s="264"/>
      <c r="H129" s="264"/>
      <c r="I129" s="264"/>
      <c r="J129" s="187"/>
    </row>
    <row r="130" spans="5:10" s="19" customFormat="1" ht="13.5" thickBot="1">
      <c r="E130" s="264"/>
      <c r="F130" s="264"/>
      <c r="G130" s="264"/>
      <c r="H130" s="264"/>
      <c r="I130" s="264"/>
      <c r="J130" s="187"/>
    </row>
    <row r="131" spans="5:10" s="19" customFormat="1" ht="13.5" thickBot="1">
      <c r="E131" s="267" t="s">
        <v>188</v>
      </c>
      <c r="F131" s="257"/>
      <c r="G131" s="257"/>
      <c r="H131" s="257"/>
      <c r="I131" s="258"/>
      <c r="J131" s="187"/>
    </row>
    <row r="132" spans="5:10" s="19" customFormat="1" ht="12.75">
      <c r="E132" s="268"/>
      <c r="F132" s="260" t="s">
        <v>12</v>
      </c>
      <c r="G132" s="260" t="s">
        <v>13</v>
      </c>
      <c r="H132" s="260" t="s">
        <v>14</v>
      </c>
      <c r="I132" s="261" t="s">
        <v>15</v>
      </c>
      <c r="J132" s="187"/>
    </row>
    <row r="133" spans="5:10" s="19" customFormat="1" ht="12.75">
      <c r="E133" s="262" t="s">
        <v>189</v>
      </c>
      <c r="F133" s="269">
        <f>'Fug Dust Assumptions'!$H$53</f>
        <v>5683.648675867368</v>
      </c>
      <c r="G133" s="269">
        <f>'Fug Dust Assumptions'!$H$53</f>
        <v>5683.648675867368</v>
      </c>
      <c r="H133" s="269">
        <f>'Fug Dust Assumptions'!$H$53</f>
        <v>5683.648675867368</v>
      </c>
      <c r="I133" s="270">
        <f>'Fug Dust Assumptions'!$H$53</f>
        <v>5683.648675867368</v>
      </c>
      <c r="J133" s="187"/>
    </row>
    <row r="134" spans="5:10" s="19" customFormat="1" ht="12.75">
      <c r="E134" s="262" t="s">
        <v>190</v>
      </c>
      <c r="F134" s="269">
        <f>'Fug Dust Assumptions'!$J$53</f>
        <v>830.6871141652307</v>
      </c>
      <c r="G134" s="269">
        <f>'Fug Dust Assumptions'!$J$53</f>
        <v>830.6871141652307</v>
      </c>
      <c r="H134" s="269">
        <f>'Fug Dust Assumptions'!$J$53</f>
        <v>830.6871141652307</v>
      </c>
      <c r="I134" s="270">
        <f>'Fug Dust Assumptions'!$J$53</f>
        <v>830.6871141652307</v>
      </c>
      <c r="J134" s="187"/>
    </row>
    <row r="135" spans="5:10" s="19" customFormat="1" ht="12.75">
      <c r="E135" s="262" t="s">
        <v>179</v>
      </c>
      <c r="F135" s="192">
        <f>F6</f>
        <v>52</v>
      </c>
      <c r="G135" s="192">
        <f>G6</f>
        <v>29</v>
      </c>
      <c r="H135" s="192">
        <f>H6</f>
        <v>50</v>
      </c>
      <c r="I135" s="193">
        <f>I6</f>
        <v>52</v>
      </c>
      <c r="J135" s="187"/>
    </row>
    <row r="136" spans="5:10" s="19" customFormat="1" ht="12.75">
      <c r="E136" s="262" t="s">
        <v>191</v>
      </c>
      <c r="F136" s="271">
        <f>F133*F135/2000</f>
        <v>147.7748655725516</v>
      </c>
      <c r="G136" s="271">
        <f>G133*G135/2000</f>
        <v>82.41290580007684</v>
      </c>
      <c r="H136" s="271">
        <f>H133*H135/2000</f>
        <v>142.0912168966842</v>
      </c>
      <c r="I136" s="272">
        <f>I133*I135/2000</f>
        <v>147.7748655725516</v>
      </c>
      <c r="J136" s="187"/>
    </row>
    <row r="137" spans="5:10" s="19" customFormat="1" ht="13.5" thickBot="1">
      <c r="E137" s="263" t="s">
        <v>192</v>
      </c>
      <c r="F137" s="273">
        <f>F134*F135/2000</f>
        <v>21.597864968295998</v>
      </c>
      <c r="G137" s="273">
        <f>G134*G135/2000</f>
        <v>12.044963155395845</v>
      </c>
      <c r="H137" s="273">
        <f>H134*H135/2000</f>
        <v>20.767177854130768</v>
      </c>
      <c r="I137" s="274">
        <f>I134*I135/2000</f>
        <v>21.597864968295998</v>
      </c>
      <c r="J137" s="187"/>
    </row>
    <row r="138" spans="5:10" s="19" customFormat="1" ht="12.75">
      <c r="E138" s="187"/>
      <c r="F138" s="187"/>
      <c r="G138" s="187"/>
      <c r="H138" s="187"/>
      <c r="I138" s="187"/>
      <c r="J138" s="187"/>
    </row>
    <row r="139" spans="5:10" s="19" customFormat="1" ht="12.75">
      <c r="E139" s="187"/>
      <c r="F139" s="187"/>
      <c r="G139" s="187"/>
      <c r="H139" s="187"/>
      <c r="I139" s="187"/>
      <c r="J139" s="187"/>
    </row>
    <row r="140" spans="5:10" s="19" customFormat="1" ht="12.75">
      <c r="E140" s="187"/>
      <c r="F140" s="187"/>
      <c r="G140" s="187"/>
      <c r="H140" s="187"/>
      <c r="I140" s="187"/>
      <c r="J140" s="187"/>
    </row>
    <row r="141" spans="5:10" s="19" customFormat="1" ht="12.75">
      <c r="E141" s="187"/>
      <c r="F141" s="187"/>
      <c r="G141" s="187"/>
      <c r="H141" s="187"/>
      <c r="I141" s="187"/>
      <c r="J141" s="187"/>
    </row>
    <row r="142" spans="5:10" s="19" customFormat="1" ht="12.75">
      <c r="E142" s="187"/>
      <c r="F142" s="187"/>
      <c r="G142" s="187"/>
      <c r="H142" s="187"/>
      <c r="I142" s="187"/>
      <c r="J142" s="187"/>
    </row>
    <row r="143" spans="5:10" s="19" customFormat="1" ht="12.75">
      <c r="E143" s="187"/>
      <c r="F143" s="187"/>
      <c r="G143" s="187"/>
      <c r="H143" s="187"/>
      <c r="I143" s="187"/>
      <c r="J143" s="187"/>
    </row>
    <row r="144" spans="5:10" s="19" customFormat="1" ht="12.75">
      <c r="E144" s="187"/>
      <c r="F144" s="187"/>
      <c r="G144" s="187"/>
      <c r="H144" s="187"/>
      <c r="I144" s="187"/>
      <c r="J144" s="187"/>
    </row>
    <row r="145" spans="5:10" s="19" customFormat="1" ht="12.75">
      <c r="E145" s="187"/>
      <c r="F145" s="187"/>
      <c r="G145" s="187"/>
      <c r="H145" s="187"/>
      <c r="I145" s="187"/>
      <c r="J145" s="187"/>
    </row>
    <row r="146" spans="5:10" s="19" customFormat="1" ht="12.75">
      <c r="E146" s="187"/>
      <c r="F146" s="187"/>
      <c r="G146" s="187"/>
      <c r="H146" s="187"/>
      <c r="I146" s="187"/>
      <c r="J146" s="187"/>
    </row>
    <row r="147" spans="5:10" s="19" customFormat="1" ht="12.75">
      <c r="E147" s="187"/>
      <c r="F147" s="187"/>
      <c r="G147" s="187"/>
      <c r="H147" s="187"/>
      <c r="I147" s="187"/>
      <c r="J147" s="187"/>
    </row>
    <row r="148" spans="5:10" s="19" customFormat="1" ht="12.75">
      <c r="E148" s="187"/>
      <c r="F148" s="187"/>
      <c r="G148" s="187"/>
      <c r="H148" s="187"/>
      <c r="I148" s="187"/>
      <c r="J148" s="187"/>
    </row>
    <row r="149" spans="5:10" s="19" customFormat="1" ht="12.75">
      <c r="E149" s="187"/>
      <c r="F149" s="187"/>
      <c r="G149" s="187"/>
      <c r="H149" s="187"/>
      <c r="I149" s="187"/>
      <c r="J149" s="187"/>
    </row>
    <row r="150" spans="5:10" s="19" customFormat="1" ht="12.75">
      <c r="E150" s="187"/>
      <c r="F150" s="187"/>
      <c r="G150" s="187"/>
      <c r="H150" s="187"/>
      <c r="I150" s="187"/>
      <c r="J150" s="187"/>
    </row>
    <row r="151" spans="5:10" s="19" customFormat="1" ht="12.75">
      <c r="E151" s="187"/>
      <c r="F151" s="187"/>
      <c r="G151" s="187"/>
      <c r="H151" s="187"/>
      <c r="I151" s="187"/>
      <c r="J151" s="187"/>
    </row>
    <row r="152" spans="5:10" s="19" customFormat="1" ht="12.75">
      <c r="E152" s="187"/>
      <c r="F152" s="187"/>
      <c r="G152" s="187"/>
      <c r="H152" s="187"/>
      <c r="I152" s="187"/>
      <c r="J152" s="187"/>
    </row>
    <row r="153" spans="5:10" s="19" customFormat="1" ht="12.75">
      <c r="E153" s="187"/>
      <c r="F153" s="187"/>
      <c r="G153" s="187"/>
      <c r="H153" s="187"/>
      <c r="I153" s="187"/>
      <c r="J153" s="187"/>
    </row>
    <row r="154" spans="5:10" s="19" customFormat="1" ht="12.75">
      <c r="E154" s="187"/>
      <c r="F154" s="187"/>
      <c r="G154" s="187"/>
      <c r="H154" s="187"/>
      <c r="I154" s="187"/>
      <c r="J154" s="187"/>
    </row>
    <row r="155" spans="5:10" s="19" customFormat="1" ht="12.75">
      <c r="E155" s="187"/>
      <c r="F155" s="187"/>
      <c r="G155" s="187"/>
      <c r="H155" s="187"/>
      <c r="I155" s="187"/>
      <c r="J155" s="187"/>
    </row>
    <row r="156" spans="5:10" s="19" customFormat="1" ht="12.75">
      <c r="E156" s="187"/>
      <c r="F156" s="187"/>
      <c r="G156" s="187"/>
      <c r="H156" s="187"/>
      <c r="I156" s="187"/>
      <c r="J156" s="187"/>
    </row>
    <row r="157" spans="5:10" s="19" customFormat="1" ht="12.75">
      <c r="E157" s="187"/>
      <c r="F157" s="187"/>
      <c r="G157" s="187"/>
      <c r="H157" s="187"/>
      <c r="I157" s="187"/>
      <c r="J157" s="187"/>
    </row>
    <row r="158" spans="5:10" s="19" customFormat="1" ht="12.75">
      <c r="E158" s="187"/>
      <c r="F158" s="187"/>
      <c r="G158" s="187"/>
      <c r="H158" s="187"/>
      <c r="I158" s="187"/>
      <c r="J158" s="187"/>
    </row>
    <row r="159" spans="5:10" s="19" customFormat="1" ht="12.75">
      <c r="E159" s="187"/>
      <c r="F159" s="187"/>
      <c r="G159" s="187"/>
      <c r="H159" s="187"/>
      <c r="I159" s="187"/>
      <c r="J159" s="187"/>
    </row>
    <row r="160" spans="5:10" s="19" customFormat="1" ht="12.75">
      <c r="E160" s="187"/>
      <c r="F160" s="187"/>
      <c r="G160" s="187"/>
      <c r="H160" s="187"/>
      <c r="I160" s="187"/>
      <c r="J160" s="187"/>
    </row>
    <row r="161" spans="5:10" s="19" customFormat="1" ht="12.75">
      <c r="E161" s="187"/>
      <c r="F161" s="187"/>
      <c r="G161" s="187"/>
      <c r="H161" s="187"/>
      <c r="I161" s="187"/>
      <c r="J161" s="187"/>
    </row>
    <row r="162" spans="5:10" s="19" customFormat="1" ht="12.75">
      <c r="E162" s="187"/>
      <c r="F162" s="187"/>
      <c r="G162" s="187"/>
      <c r="H162" s="187"/>
      <c r="I162" s="187"/>
      <c r="J162" s="187"/>
    </row>
    <row r="163" spans="5:10" s="19" customFormat="1" ht="12.75">
      <c r="E163" s="187"/>
      <c r="F163" s="187"/>
      <c r="G163" s="187"/>
      <c r="H163" s="187"/>
      <c r="I163" s="187"/>
      <c r="J163" s="187"/>
    </row>
    <row r="164" spans="5:10" s="19" customFormat="1" ht="12.75">
      <c r="E164" s="187"/>
      <c r="F164" s="187"/>
      <c r="G164" s="187"/>
      <c r="H164" s="187"/>
      <c r="I164" s="187"/>
      <c r="J164" s="187"/>
    </row>
    <row r="165" spans="5:10" s="19" customFormat="1" ht="12.75">
      <c r="E165" s="187"/>
      <c r="F165" s="187"/>
      <c r="G165" s="187"/>
      <c r="H165" s="187"/>
      <c r="I165" s="187"/>
      <c r="J165" s="187"/>
    </row>
    <row r="166" spans="5:10" s="19" customFormat="1" ht="12.75">
      <c r="E166" s="187"/>
      <c r="F166" s="187"/>
      <c r="G166" s="187"/>
      <c r="H166" s="187"/>
      <c r="I166" s="187"/>
      <c r="J166" s="187"/>
    </row>
    <row r="167" spans="5:10" s="19" customFormat="1" ht="12.75">
      <c r="E167" s="187"/>
      <c r="F167" s="187"/>
      <c r="G167" s="187"/>
      <c r="H167" s="187"/>
      <c r="I167" s="187"/>
      <c r="J167" s="187"/>
    </row>
    <row r="168" spans="5:10" s="19" customFormat="1" ht="12.75">
      <c r="E168" s="187"/>
      <c r="F168" s="187"/>
      <c r="G168" s="187"/>
      <c r="H168" s="187"/>
      <c r="I168" s="187"/>
      <c r="J168" s="187"/>
    </row>
    <row r="169" spans="5:10" s="19" customFormat="1" ht="12.75">
      <c r="E169" s="187"/>
      <c r="F169" s="187"/>
      <c r="G169" s="187"/>
      <c r="H169" s="187"/>
      <c r="I169" s="187"/>
      <c r="J169" s="187"/>
    </row>
    <row r="170" spans="5:10" s="19" customFormat="1" ht="12.75">
      <c r="E170" s="187"/>
      <c r="F170" s="187"/>
      <c r="G170" s="187"/>
      <c r="H170" s="187"/>
      <c r="I170" s="187"/>
      <c r="J170" s="187"/>
    </row>
    <row r="171" spans="5:10" s="19" customFormat="1" ht="12.75">
      <c r="E171" s="187"/>
      <c r="F171" s="187"/>
      <c r="G171" s="187"/>
      <c r="H171" s="187"/>
      <c r="I171" s="187"/>
      <c r="J171" s="187"/>
    </row>
    <row r="172" spans="5:10" s="19" customFormat="1" ht="12.75">
      <c r="E172" s="187"/>
      <c r="F172" s="187"/>
      <c r="G172" s="187"/>
      <c r="H172" s="187"/>
      <c r="I172" s="187"/>
      <c r="J172" s="187"/>
    </row>
    <row r="173" spans="5:10" s="19" customFormat="1" ht="12.75">
      <c r="E173" s="187"/>
      <c r="F173" s="187"/>
      <c r="G173" s="187"/>
      <c r="H173" s="187"/>
      <c r="I173" s="187"/>
      <c r="J173" s="187"/>
    </row>
    <row r="174" spans="5:10" s="19" customFormat="1" ht="12.75">
      <c r="E174" s="187"/>
      <c r="F174" s="187"/>
      <c r="G174" s="187"/>
      <c r="H174" s="187"/>
      <c r="I174" s="187"/>
      <c r="J174" s="187"/>
    </row>
    <row r="175" spans="5:10" s="19" customFormat="1" ht="12.75">
      <c r="E175" s="187"/>
      <c r="F175" s="187"/>
      <c r="G175" s="187"/>
      <c r="H175" s="187"/>
      <c r="I175" s="187"/>
      <c r="J175" s="187"/>
    </row>
    <row r="176" spans="5:10" s="19" customFormat="1" ht="12.75">
      <c r="E176" s="187"/>
      <c r="F176" s="187"/>
      <c r="G176" s="187"/>
      <c r="H176" s="187"/>
      <c r="I176" s="187"/>
      <c r="J176" s="187"/>
    </row>
    <row r="177" spans="5:10" s="19" customFormat="1" ht="12.75">
      <c r="E177" s="187"/>
      <c r="F177" s="187"/>
      <c r="G177" s="187"/>
      <c r="H177" s="187"/>
      <c r="I177" s="187"/>
      <c r="J177" s="187"/>
    </row>
    <row r="178" spans="5:10" s="19" customFormat="1" ht="12.75">
      <c r="E178" s="187"/>
      <c r="F178" s="187"/>
      <c r="G178" s="187"/>
      <c r="H178" s="187"/>
      <c r="I178" s="187"/>
      <c r="J178" s="187"/>
    </row>
    <row r="179" spans="5:10" s="19" customFormat="1" ht="12.75">
      <c r="E179" s="187"/>
      <c r="F179" s="187"/>
      <c r="G179" s="187"/>
      <c r="H179" s="187"/>
      <c r="I179" s="187"/>
      <c r="J179" s="187"/>
    </row>
    <row r="180" spans="5:10" s="19" customFormat="1" ht="12.75">
      <c r="E180" s="187"/>
      <c r="F180" s="187"/>
      <c r="G180" s="187"/>
      <c r="H180" s="187"/>
      <c r="I180" s="187"/>
      <c r="J180" s="187"/>
    </row>
    <row r="181" spans="5:10" s="19" customFormat="1" ht="12.75">
      <c r="E181" s="187"/>
      <c r="F181" s="187"/>
      <c r="G181" s="187"/>
      <c r="H181" s="187"/>
      <c r="I181" s="187"/>
      <c r="J181" s="187"/>
    </row>
    <row r="182" spans="5:10" s="19" customFormat="1" ht="12.75">
      <c r="E182" s="187"/>
      <c r="F182" s="187"/>
      <c r="G182" s="187"/>
      <c r="H182" s="187"/>
      <c r="I182" s="187"/>
      <c r="J182" s="187"/>
    </row>
    <row r="183" spans="5:10" s="19" customFormat="1" ht="12.75">
      <c r="E183" s="187"/>
      <c r="F183" s="187"/>
      <c r="G183" s="187"/>
      <c r="H183" s="187"/>
      <c r="I183" s="187"/>
      <c r="J183" s="187"/>
    </row>
    <row r="184" spans="5:10" s="19" customFormat="1" ht="12.75">
      <c r="E184" s="187"/>
      <c r="F184" s="187"/>
      <c r="G184" s="187"/>
      <c r="H184" s="187"/>
      <c r="I184" s="187"/>
      <c r="J184" s="187"/>
    </row>
    <row r="185" spans="5:10" s="19" customFormat="1" ht="12.75">
      <c r="E185" s="187"/>
      <c r="F185" s="187"/>
      <c r="G185" s="187"/>
      <c r="H185" s="187"/>
      <c r="I185" s="187"/>
      <c r="J185" s="187"/>
    </row>
    <row r="186" spans="5:10" s="19" customFormat="1" ht="12.75">
      <c r="E186" s="187"/>
      <c r="F186" s="187"/>
      <c r="G186" s="187"/>
      <c r="H186" s="187"/>
      <c r="I186" s="187"/>
      <c r="J186" s="187"/>
    </row>
    <row r="187" spans="5:10" s="19" customFormat="1" ht="12.75">
      <c r="E187" s="187"/>
      <c r="F187" s="187"/>
      <c r="G187" s="187"/>
      <c r="H187" s="187"/>
      <c r="I187" s="187"/>
      <c r="J187" s="187"/>
    </row>
    <row r="188" spans="5:10" s="19" customFormat="1" ht="12.75">
      <c r="E188" s="187"/>
      <c r="F188" s="187"/>
      <c r="G188" s="187"/>
      <c r="H188" s="187"/>
      <c r="I188" s="187"/>
      <c r="J188" s="187"/>
    </row>
    <row r="189" spans="5:10" s="19" customFormat="1" ht="12.75">
      <c r="E189" s="187"/>
      <c r="F189" s="187"/>
      <c r="G189" s="187"/>
      <c r="H189" s="187"/>
      <c r="I189" s="187"/>
      <c r="J189" s="187"/>
    </row>
    <row r="190" spans="5:10" s="19" customFormat="1" ht="12.75">
      <c r="E190" s="187"/>
      <c r="F190" s="187"/>
      <c r="G190" s="187"/>
      <c r="H190" s="187"/>
      <c r="I190" s="187"/>
      <c r="J190" s="187"/>
    </row>
    <row r="191" spans="5:10" s="19" customFormat="1" ht="12.75">
      <c r="E191" s="187"/>
      <c r="F191" s="187"/>
      <c r="G191" s="187"/>
      <c r="H191" s="187"/>
      <c r="I191" s="187"/>
      <c r="J191" s="187"/>
    </row>
    <row r="192" spans="5:10" s="19" customFormat="1" ht="12.75">
      <c r="E192" s="187"/>
      <c r="F192" s="187"/>
      <c r="G192" s="187"/>
      <c r="H192" s="187"/>
      <c r="I192" s="187"/>
      <c r="J192" s="187"/>
    </row>
    <row r="193" spans="5:10" s="19" customFormat="1" ht="12.75">
      <c r="E193" s="187"/>
      <c r="F193" s="187"/>
      <c r="G193" s="187"/>
      <c r="H193" s="187"/>
      <c r="I193" s="187"/>
      <c r="J193" s="187"/>
    </row>
    <row r="194" spans="5:10" s="19" customFormat="1" ht="12.75">
      <c r="E194" s="187"/>
      <c r="F194" s="187"/>
      <c r="G194" s="187"/>
      <c r="H194" s="187"/>
      <c r="I194" s="187"/>
      <c r="J194" s="187"/>
    </row>
    <row r="195" spans="5:10" s="19" customFormat="1" ht="12.75">
      <c r="E195" s="187"/>
      <c r="F195" s="187"/>
      <c r="G195" s="187"/>
      <c r="H195" s="187"/>
      <c r="I195" s="187"/>
      <c r="J195" s="187"/>
    </row>
    <row r="196" spans="5:10" s="19" customFormat="1" ht="12.75">
      <c r="E196" s="187"/>
      <c r="F196" s="187"/>
      <c r="G196" s="187"/>
      <c r="H196" s="187"/>
      <c r="I196" s="187"/>
      <c r="J196" s="187"/>
    </row>
    <row r="197" spans="5:10" s="19" customFormat="1" ht="12.75">
      <c r="E197" s="187"/>
      <c r="F197" s="187"/>
      <c r="G197" s="187"/>
      <c r="H197" s="187"/>
      <c r="I197" s="187"/>
      <c r="J197" s="187"/>
    </row>
    <row r="198" spans="5:10" s="19" customFormat="1" ht="12.75">
      <c r="E198" s="187"/>
      <c r="F198" s="187"/>
      <c r="G198" s="187"/>
      <c r="H198" s="187"/>
      <c r="I198" s="187"/>
      <c r="J198" s="187"/>
    </row>
    <row r="199" spans="5:10" s="19" customFormat="1" ht="12.75">
      <c r="E199" s="187"/>
      <c r="F199" s="187"/>
      <c r="G199" s="187"/>
      <c r="H199" s="187"/>
      <c r="I199" s="187"/>
      <c r="J199" s="187"/>
    </row>
    <row r="200" spans="5:10" s="19" customFormat="1" ht="12.75">
      <c r="E200" s="187"/>
      <c r="F200" s="187"/>
      <c r="G200" s="187"/>
      <c r="H200" s="187"/>
      <c r="I200" s="187"/>
      <c r="J200" s="187"/>
    </row>
    <row r="201" spans="5:10" s="19" customFormat="1" ht="12.75">
      <c r="E201" s="187"/>
      <c r="F201" s="187"/>
      <c r="G201" s="187"/>
      <c r="H201" s="187"/>
      <c r="I201" s="187"/>
      <c r="J201" s="187"/>
    </row>
    <row r="202" spans="5:10" s="19" customFormat="1" ht="12.75">
      <c r="E202" s="187"/>
      <c r="F202" s="187"/>
      <c r="G202" s="187"/>
      <c r="H202" s="187"/>
      <c r="I202" s="187"/>
      <c r="J202" s="187"/>
    </row>
    <row r="203" spans="5:10" s="19" customFormat="1" ht="12.75">
      <c r="E203" s="187"/>
      <c r="F203" s="187"/>
      <c r="G203" s="187"/>
      <c r="H203" s="187"/>
      <c r="I203" s="187"/>
      <c r="J203" s="187"/>
    </row>
    <row r="204" spans="5:10" s="19" customFormat="1" ht="12.75">
      <c r="E204" s="187"/>
      <c r="F204" s="187"/>
      <c r="G204" s="187"/>
      <c r="H204" s="187"/>
      <c r="I204" s="187"/>
      <c r="J204" s="187"/>
    </row>
    <row r="205" spans="5:10" s="19" customFormat="1" ht="12.75">
      <c r="E205" s="187"/>
      <c r="F205" s="187"/>
      <c r="G205" s="187"/>
      <c r="H205" s="187"/>
      <c r="I205" s="187"/>
      <c r="J205" s="187"/>
    </row>
    <row r="206" spans="5:10" s="19" customFormat="1" ht="12.75">
      <c r="E206" s="187"/>
      <c r="F206" s="187"/>
      <c r="G206" s="187"/>
      <c r="H206" s="187"/>
      <c r="I206" s="187"/>
      <c r="J206" s="187"/>
    </row>
    <row r="207" spans="5:10" s="19" customFormat="1" ht="12.75">
      <c r="E207" s="187"/>
      <c r="F207" s="187"/>
      <c r="G207" s="187"/>
      <c r="H207" s="187"/>
      <c r="I207" s="187"/>
      <c r="J207" s="187"/>
    </row>
    <row r="208" spans="5:10" s="19" customFormat="1" ht="12.75">
      <c r="E208" s="187"/>
      <c r="F208" s="187"/>
      <c r="G208" s="187"/>
      <c r="H208" s="187"/>
      <c r="I208" s="187"/>
      <c r="J208" s="187"/>
    </row>
    <row r="209" spans="5:10" s="19" customFormat="1" ht="12.75">
      <c r="E209" s="187"/>
      <c r="F209" s="187"/>
      <c r="G209" s="187"/>
      <c r="H209" s="187"/>
      <c r="I209" s="187"/>
      <c r="J209" s="187"/>
    </row>
    <row r="210" spans="5:10" s="19" customFormat="1" ht="12.75">
      <c r="E210" s="187"/>
      <c r="F210" s="187"/>
      <c r="G210" s="187"/>
      <c r="H210" s="187"/>
      <c r="I210" s="187"/>
      <c r="J210" s="187"/>
    </row>
    <row r="211" spans="5:10" s="19" customFormat="1" ht="12.75">
      <c r="E211" s="187"/>
      <c r="F211" s="187"/>
      <c r="G211" s="187"/>
      <c r="H211" s="187"/>
      <c r="I211" s="187"/>
      <c r="J211" s="187"/>
    </row>
    <row r="212" spans="5:10" s="19" customFormat="1" ht="12.75">
      <c r="E212" s="187"/>
      <c r="F212" s="187"/>
      <c r="G212" s="187"/>
      <c r="H212" s="187"/>
      <c r="I212" s="187"/>
      <c r="J212" s="187"/>
    </row>
    <row r="213" spans="5:10" s="19" customFormat="1" ht="12.75">
      <c r="E213" s="187"/>
      <c r="F213" s="187"/>
      <c r="G213" s="187"/>
      <c r="H213" s="187"/>
      <c r="I213" s="187"/>
      <c r="J213" s="187"/>
    </row>
    <row r="214" spans="5:10" s="19" customFormat="1" ht="12.75">
      <c r="E214" s="187"/>
      <c r="F214" s="187"/>
      <c r="G214" s="187"/>
      <c r="H214" s="187"/>
      <c r="I214" s="187"/>
      <c r="J214" s="187"/>
    </row>
    <row r="215" spans="5:10" s="19" customFormat="1" ht="12.75">
      <c r="E215" s="187"/>
      <c r="F215" s="187"/>
      <c r="G215" s="187"/>
      <c r="H215" s="187"/>
      <c r="I215" s="187"/>
      <c r="J215" s="187"/>
    </row>
    <row r="216" spans="5:10" s="19" customFormat="1" ht="12.75">
      <c r="E216" s="187"/>
      <c r="F216" s="187"/>
      <c r="G216" s="187"/>
      <c r="H216" s="187"/>
      <c r="I216" s="187"/>
      <c r="J216" s="187"/>
    </row>
    <row r="217" spans="5:10" s="19" customFormat="1" ht="12.75">
      <c r="E217" s="187"/>
      <c r="F217" s="187"/>
      <c r="G217" s="187"/>
      <c r="H217" s="187"/>
      <c r="I217" s="187"/>
      <c r="J217" s="187"/>
    </row>
    <row r="218" spans="5:10" s="19" customFormat="1" ht="12.75">
      <c r="E218" s="187"/>
      <c r="F218" s="187"/>
      <c r="G218" s="187"/>
      <c r="H218" s="187"/>
      <c r="I218" s="187"/>
      <c r="J218" s="187"/>
    </row>
    <row r="219" spans="5:10" s="19" customFormat="1" ht="12.75">
      <c r="E219" s="187"/>
      <c r="F219" s="187"/>
      <c r="G219" s="187"/>
      <c r="H219" s="187"/>
      <c r="I219" s="187"/>
      <c r="J219" s="187"/>
    </row>
    <row r="220" spans="5:10" s="19" customFormat="1" ht="12.75">
      <c r="E220" s="187"/>
      <c r="F220" s="187"/>
      <c r="G220" s="187"/>
      <c r="H220" s="187"/>
      <c r="I220" s="187"/>
      <c r="J220" s="187"/>
    </row>
    <row r="221" spans="5:10" s="19" customFormat="1" ht="12.75">
      <c r="E221" s="187"/>
      <c r="F221" s="187"/>
      <c r="G221" s="187"/>
      <c r="H221" s="187"/>
      <c r="I221" s="187"/>
      <c r="J221" s="187"/>
    </row>
    <row r="222" spans="5:10" s="19" customFormat="1" ht="12.75">
      <c r="E222" s="187"/>
      <c r="F222" s="187"/>
      <c r="G222" s="187"/>
      <c r="H222" s="187"/>
      <c r="I222" s="187"/>
      <c r="J222" s="187"/>
    </row>
    <row r="223" spans="5:10" s="19" customFormat="1" ht="12.75">
      <c r="E223" s="187"/>
      <c r="F223" s="187"/>
      <c r="G223" s="187"/>
      <c r="H223" s="187"/>
      <c r="I223" s="187"/>
      <c r="J223" s="187"/>
    </row>
    <row r="224" spans="5:10" s="19" customFormat="1" ht="12.75">
      <c r="E224" s="187"/>
      <c r="F224" s="187"/>
      <c r="G224" s="187"/>
      <c r="H224" s="187"/>
      <c r="I224" s="187"/>
      <c r="J224" s="187"/>
    </row>
    <row r="225" spans="5:10" s="19" customFormat="1" ht="12.75">
      <c r="E225" s="187"/>
      <c r="F225" s="187"/>
      <c r="G225" s="187"/>
      <c r="H225" s="187"/>
      <c r="I225" s="187"/>
      <c r="J225" s="187"/>
    </row>
    <row r="226" spans="5:10" s="19" customFormat="1" ht="12.75">
      <c r="E226" s="187"/>
      <c r="F226" s="187"/>
      <c r="G226" s="187"/>
      <c r="H226" s="187"/>
      <c r="I226" s="187"/>
      <c r="J226" s="187"/>
    </row>
    <row r="227" spans="5:10" s="19" customFormat="1" ht="12.75">
      <c r="E227" s="187"/>
      <c r="F227" s="187"/>
      <c r="G227" s="187"/>
      <c r="H227" s="187"/>
      <c r="I227" s="187"/>
      <c r="J227" s="187"/>
    </row>
    <row r="228" spans="5:10" s="19" customFormat="1" ht="12.75">
      <c r="E228" s="187"/>
      <c r="F228" s="187"/>
      <c r="G228" s="187"/>
      <c r="H228" s="187"/>
      <c r="I228" s="187"/>
      <c r="J228" s="187"/>
    </row>
    <row r="229" spans="5:10" s="19" customFormat="1" ht="12.75">
      <c r="E229" s="187"/>
      <c r="F229" s="187"/>
      <c r="G229" s="187"/>
      <c r="H229" s="187"/>
      <c r="I229" s="187"/>
      <c r="J229" s="187"/>
    </row>
    <row r="230" spans="5:10" s="19" customFormat="1" ht="12.75">
      <c r="E230" s="187"/>
      <c r="F230" s="187"/>
      <c r="G230" s="187"/>
      <c r="H230" s="187"/>
      <c r="I230" s="187"/>
      <c r="J230" s="187"/>
    </row>
    <row r="231" spans="5:10" s="19" customFormat="1" ht="12.75">
      <c r="E231" s="187"/>
      <c r="F231" s="187"/>
      <c r="G231" s="187"/>
      <c r="H231" s="187"/>
      <c r="I231" s="187"/>
      <c r="J231" s="187"/>
    </row>
    <row r="232" spans="5:10" s="19" customFormat="1" ht="12.75">
      <c r="E232" s="187"/>
      <c r="F232" s="187"/>
      <c r="G232" s="187"/>
      <c r="H232" s="187"/>
      <c r="I232" s="187"/>
      <c r="J232" s="187"/>
    </row>
    <row r="233" spans="5:10" s="19" customFormat="1" ht="12.75">
      <c r="E233" s="187"/>
      <c r="F233" s="187"/>
      <c r="G233" s="187"/>
      <c r="H233" s="187"/>
      <c r="I233" s="187"/>
      <c r="J233" s="187"/>
    </row>
    <row r="234" spans="5:10" s="19" customFormat="1" ht="12.75">
      <c r="E234" s="187"/>
      <c r="F234" s="187"/>
      <c r="G234" s="187"/>
      <c r="H234" s="187"/>
      <c r="I234" s="187"/>
      <c r="J234" s="187"/>
    </row>
    <row r="235" spans="5:10" s="19" customFormat="1" ht="12.75">
      <c r="E235" s="187"/>
      <c r="F235" s="187"/>
      <c r="G235" s="187"/>
      <c r="H235" s="187"/>
      <c r="I235" s="187"/>
      <c r="J235" s="187"/>
    </row>
    <row r="236" spans="5:10" s="19" customFormat="1" ht="12.75">
      <c r="E236" s="187"/>
      <c r="F236" s="187"/>
      <c r="G236" s="187"/>
      <c r="H236" s="187"/>
      <c r="I236" s="187"/>
      <c r="J236" s="187"/>
    </row>
    <row r="237" spans="5:10" s="19" customFormat="1" ht="12.75">
      <c r="E237" s="187"/>
      <c r="F237" s="187"/>
      <c r="G237" s="187"/>
      <c r="H237" s="187"/>
      <c r="I237" s="187"/>
      <c r="J237" s="187"/>
    </row>
    <row r="238" spans="5:10" s="19" customFormat="1" ht="12.75">
      <c r="E238" s="187"/>
      <c r="F238" s="187"/>
      <c r="G238" s="187"/>
      <c r="H238" s="187"/>
      <c r="I238" s="187"/>
      <c r="J238" s="187"/>
    </row>
    <row r="239" spans="5:10" s="19" customFormat="1" ht="12.75">
      <c r="E239" s="187"/>
      <c r="F239" s="187"/>
      <c r="G239" s="187"/>
      <c r="H239" s="187"/>
      <c r="I239" s="187"/>
      <c r="J239" s="187"/>
    </row>
    <row r="240" spans="5:10" s="19" customFormat="1" ht="12.75">
      <c r="E240" s="187"/>
      <c r="F240" s="187"/>
      <c r="G240" s="187"/>
      <c r="H240" s="187"/>
      <c r="I240" s="187"/>
      <c r="J240" s="187"/>
    </row>
    <row r="241" spans="5:10" s="19" customFormat="1" ht="12.75">
      <c r="E241" s="187"/>
      <c r="F241" s="187"/>
      <c r="G241" s="187"/>
      <c r="H241" s="187"/>
      <c r="I241" s="187"/>
      <c r="J241" s="187"/>
    </row>
  </sheetData>
  <printOptions/>
  <pageMargins left="0.75" right="0.75" top="1" bottom="1" header="0.5" footer="0.5"/>
  <pageSetup fitToHeight="1" fitToWidth="1" horizontalDpi="600" verticalDpi="600" orientation="portrait" scale="28" r:id="rId3"/>
  <legacyDrawing r:id="rId2"/>
</worksheet>
</file>

<file path=xl/worksheets/sheet8.xml><?xml version="1.0" encoding="utf-8"?>
<worksheet xmlns="http://schemas.openxmlformats.org/spreadsheetml/2006/main" xmlns:r="http://schemas.openxmlformats.org/officeDocument/2006/relationships">
  <sheetPr>
    <tabColor indexed="50"/>
  </sheetPr>
  <dimension ref="A1:H64"/>
  <sheetViews>
    <sheetView workbookViewId="0" topLeftCell="A34">
      <selection activeCell="C64" sqref="C64"/>
    </sheetView>
  </sheetViews>
  <sheetFormatPr defaultColWidth="9.140625" defaultRowHeight="12.75"/>
  <cols>
    <col min="2" max="2" width="21.421875" style="0" customWidth="1"/>
    <col min="3" max="5" width="9.7109375" style="0" bestFit="1" customWidth="1"/>
    <col min="6" max="6" width="13.57421875" style="0" customWidth="1"/>
    <col min="7" max="55" width="9.140625" style="19" customWidth="1"/>
  </cols>
  <sheetData>
    <row r="1" spans="1:6" ht="12.75">
      <c r="A1" s="9" t="s">
        <v>26</v>
      </c>
      <c r="B1" s="10"/>
      <c r="C1" s="10"/>
      <c r="D1" s="10"/>
      <c r="E1" s="10"/>
      <c r="F1" s="10"/>
    </row>
    <row r="2" spans="1:6" ht="12.75">
      <c r="A2" s="19"/>
      <c r="B2" s="19"/>
      <c r="C2" s="19"/>
      <c r="D2" s="19"/>
      <c r="E2" s="19"/>
      <c r="F2" s="19"/>
    </row>
    <row r="3" spans="1:6" ht="13.5" thickBot="1">
      <c r="A3" s="19"/>
      <c r="B3" s="19"/>
      <c r="C3" s="19"/>
      <c r="D3" s="19"/>
      <c r="E3" s="19"/>
      <c r="F3" s="19"/>
    </row>
    <row r="4" spans="1:8" ht="12.75">
      <c r="A4" s="19"/>
      <c r="B4" s="11" t="s">
        <v>65</v>
      </c>
      <c r="C4" s="12"/>
      <c r="D4" s="12"/>
      <c r="E4" s="12"/>
      <c r="F4" s="48"/>
      <c r="G4" s="22"/>
      <c r="H4" s="22"/>
    </row>
    <row r="5" spans="1:8" ht="12.75">
      <c r="A5" s="19"/>
      <c r="B5" s="3"/>
      <c r="C5" s="1" t="s">
        <v>12</v>
      </c>
      <c r="D5" s="1" t="s">
        <v>13</v>
      </c>
      <c r="E5" s="1" t="s">
        <v>14</v>
      </c>
      <c r="F5" s="4" t="s">
        <v>15</v>
      </c>
      <c r="G5" s="22"/>
      <c r="H5" s="22"/>
    </row>
    <row r="6" spans="1:8" ht="12.75">
      <c r="A6" s="19"/>
      <c r="B6" s="3" t="str">
        <f>'Current Emissions'!A5</f>
        <v>CO</v>
      </c>
      <c r="C6" s="43">
        <f>'Moab Projected Emissions'!F15/('Current Emissions'!$J5)</f>
        <v>0.03748397357715034</v>
      </c>
      <c r="D6" s="43">
        <f>'Moab Projected Emissions'!G15/('Current Emissions'!$J5)</f>
        <v>0.026219807975175424</v>
      </c>
      <c r="E6" s="43">
        <f>'Moab Projected Emissions'!H15/('Current Emissions'!$J5)</f>
        <v>0.0369732915630576</v>
      </c>
      <c r="F6" s="44">
        <f>'Moab Projected Emissions'!I15/('Current Emissions'!$J5)</f>
        <v>0.03738183717433179</v>
      </c>
      <c r="G6" s="279"/>
      <c r="H6" s="22"/>
    </row>
    <row r="7" spans="1:8" ht="12.75">
      <c r="A7" s="19"/>
      <c r="B7" s="3" t="str">
        <f>'Current Emissions'!A6</f>
        <v>NOx</v>
      </c>
      <c r="C7" s="43">
        <f>'Moab Projected Emissions'!F16/('Current Emissions'!$J6)</f>
        <v>0.11729106512474406</v>
      </c>
      <c r="D7" s="43">
        <f>'Moab Projected Emissions'!G16/('Current Emissions'!$J6)</f>
        <v>0.08452154419218788</v>
      </c>
      <c r="E7" s="43">
        <f>'Moab Projected Emissions'!H16/('Current Emissions'!$J6)</f>
        <v>0.11623384460540977</v>
      </c>
      <c r="F7" s="44">
        <f>'Moab Projected Emissions'!I16/('Current Emissions'!$J6)</f>
        <v>0.1170796210208772</v>
      </c>
      <c r="G7" s="279"/>
      <c r="H7" s="22"/>
    </row>
    <row r="8" spans="1:8" ht="12.75">
      <c r="A8" s="19"/>
      <c r="B8" s="3" t="s">
        <v>61</v>
      </c>
      <c r="C8" s="43" t="e">
        <f>'Moab Projected Emissions'!F17/('Current Emissions'!$J7)</f>
        <v>#DIV/0!</v>
      </c>
      <c r="D8" s="43" t="e">
        <f>'Moab Projected Emissions'!G17/('Current Emissions'!$J7)</f>
        <v>#DIV/0!</v>
      </c>
      <c r="E8" s="43" t="e">
        <f>'Moab Projected Emissions'!H17/('Current Emissions'!$J7)</f>
        <v>#DIV/0!</v>
      </c>
      <c r="F8" s="44" t="e">
        <f>'Moab Projected Emissions'!I17/('Current Emissions'!$J7)</f>
        <v>#DIV/0!</v>
      </c>
      <c r="G8" s="279"/>
      <c r="H8" s="22"/>
    </row>
    <row r="9" spans="1:8" ht="12.75">
      <c r="A9" s="19"/>
      <c r="B9" s="3" t="str">
        <f>'Current Emissions'!A8</f>
        <v>PM10</v>
      </c>
      <c r="C9" s="43">
        <f>'Moab Projected Emissions'!F18/('Current Emissions'!$J8)</f>
        <v>0.2875154577864668</v>
      </c>
      <c r="D9" s="43">
        <f>'Moab Projected Emissions'!G18/('Current Emissions'!$J8)</f>
        <v>0.16234400693869835</v>
      </c>
      <c r="E9" s="43">
        <f>'Moab Projected Emissions'!H18/('Current Emissions'!$J8)</f>
        <v>0.27680869993758395</v>
      </c>
      <c r="F9" s="44">
        <f>'Moab Projected Emissions'!I18/('Current Emissions'!$J8)</f>
        <v>0.287479113717452</v>
      </c>
      <c r="G9" s="279"/>
      <c r="H9" s="22"/>
    </row>
    <row r="10" spans="1:8" ht="12.75">
      <c r="A10" s="19"/>
      <c r="B10" s="3" t="str">
        <f>'Current Emissions'!A9</f>
        <v>PM2.5</v>
      </c>
      <c r="C10" s="43">
        <f>'Moab Projected Emissions'!F19/('Current Emissions'!$J9)</f>
        <v>0.23096425321677583</v>
      </c>
      <c r="D10" s="43">
        <f>'Moab Projected Emissions'!G19/('Current Emissions'!$J9)</f>
        <v>0.13731776192679812</v>
      </c>
      <c r="E10" s="43">
        <f>'Moab Projected Emissions'!H19/('Current Emissions'!$J9)</f>
        <v>0.22357776698501303</v>
      </c>
      <c r="F10" s="44">
        <f>'Moab Projected Emissions'!I19/('Current Emissions'!$J9)</f>
        <v>0.23080950597709085</v>
      </c>
      <c r="G10" s="279"/>
      <c r="H10" s="22"/>
    </row>
    <row r="11" spans="1:8" ht="12.75">
      <c r="A11" s="19"/>
      <c r="B11" s="3" t="str">
        <f>'Current Emissions'!A10</f>
        <v>SOx</v>
      </c>
      <c r="C11" s="43">
        <f>'Moab Projected Emissions'!F20/('Current Emissions'!$J10)</f>
        <v>0.01637651190391646</v>
      </c>
      <c r="D11" s="43">
        <f>'Moab Projected Emissions'!G20/('Current Emissions'!$J10)</f>
        <v>0.012470278130549338</v>
      </c>
      <c r="E11" s="43">
        <f>'Moab Projected Emissions'!H20/('Current Emissions'!$J10)</f>
        <v>0.016374847131484856</v>
      </c>
      <c r="F11" s="44">
        <f>'Moab Projected Emissions'!I20/('Current Emissions'!$J10)</f>
        <v>0.016376326929201837</v>
      </c>
      <c r="G11" s="279"/>
      <c r="H11" s="22"/>
    </row>
    <row r="12" spans="1:8" ht="12.75">
      <c r="A12" s="19"/>
      <c r="B12" s="3" t="str">
        <f>'Current Emissions'!A11</f>
        <v>VOC</v>
      </c>
      <c r="C12" s="43">
        <f>'Moab Projected Emissions'!F21/('Current Emissions'!$J11)</f>
        <v>0.04737717966437566</v>
      </c>
      <c r="D12" s="43">
        <f>'Moab Projected Emissions'!G21/('Current Emissions'!$J11)</f>
        <v>0.028501042525909754</v>
      </c>
      <c r="E12" s="43">
        <f>'Moab Projected Emissions'!H21/('Current Emissions'!$J11)</f>
        <v>0.04558713373635428</v>
      </c>
      <c r="F12" s="44">
        <f>'Moab Projected Emissions'!I21/('Current Emissions'!$J11)</f>
        <v>0.047178285672373296</v>
      </c>
      <c r="G12" s="279"/>
      <c r="H12" s="22"/>
    </row>
    <row r="13" spans="1:8" ht="12.75">
      <c r="A13" s="19"/>
      <c r="B13" s="3" t="str">
        <f>'Current Emissions'!A12</f>
        <v>TOC</v>
      </c>
      <c r="C13" s="43" t="e">
        <f>'Moab Projected Emissions'!F22/('Current Emissions'!$J12)</f>
        <v>#DIV/0!</v>
      </c>
      <c r="D13" s="43" t="e">
        <f>'Moab Projected Emissions'!G22/('Current Emissions'!$J12)</f>
        <v>#DIV/0!</v>
      </c>
      <c r="E13" s="43" t="e">
        <f>'Moab Projected Emissions'!H22/('Current Emissions'!$J12)</f>
        <v>#DIV/0!</v>
      </c>
      <c r="F13" s="44" t="e">
        <f>'Moab Projected Emissions'!I22/('Current Emissions'!$J12)</f>
        <v>#DIV/0!</v>
      </c>
      <c r="G13" s="279"/>
      <c r="H13" s="22"/>
    </row>
    <row r="14" spans="1:8" ht="12.75">
      <c r="A14" s="19"/>
      <c r="B14" s="3" t="str">
        <f>'Current Emissions'!A13</f>
        <v>HAPs</v>
      </c>
      <c r="C14" s="43">
        <f>'Moab Projected Emissions'!F23/('Current Emissions'!$J13)</f>
        <v>90.8184953424214</v>
      </c>
      <c r="D14" s="43">
        <f>'Moab Projected Emissions'!G23/('Current Emissions'!$J13)</f>
        <v>54.33836853738706</v>
      </c>
      <c r="E14" s="43">
        <f>'Moab Projected Emissions'!H23/('Current Emissions'!$J13)</f>
        <v>87.31735858962524</v>
      </c>
      <c r="F14" s="44">
        <f>'Moab Projected Emissions'!I23/('Current Emissions'!$J13)</f>
        <v>90.42948014766627</v>
      </c>
      <c r="G14" s="279"/>
      <c r="H14" s="22"/>
    </row>
    <row r="15" spans="1:8" ht="12.75">
      <c r="A15" s="19"/>
      <c r="B15" s="3" t="str">
        <f>'Current Emissions'!A14</f>
        <v>1,3-Butadiene</v>
      </c>
      <c r="C15" s="43" t="e">
        <f>'Moab Projected Emissions'!F24/('Current Emissions'!$J14)</f>
        <v>#DIV/0!</v>
      </c>
      <c r="D15" s="43" t="e">
        <f>'Moab Projected Emissions'!G24/('Current Emissions'!$J14)</f>
        <v>#DIV/0!</v>
      </c>
      <c r="E15" s="43" t="e">
        <f>'Moab Projected Emissions'!H24/('Current Emissions'!$J14)</f>
        <v>#DIV/0!</v>
      </c>
      <c r="F15" s="44" t="e">
        <f>'Moab Projected Emissions'!I24/('Current Emissions'!$J14)</f>
        <v>#DIV/0!</v>
      </c>
      <c r="G15" s="279"/>
      <c r="H15" s="22"/>
    </row>
    <row r="16" spans="1:8" ht="12.75">
      <c r="A16" s="19"/>
      <c r="B16" s="3" t="str">
        <f>'Current Emissions'!A15</f>
        <v>Acetaldehyde</v>
      </c>
      <c r="C16" s="43">
        <f>'Moab Projected Emissions'!F25/('Current Emissions'!$J15)</f>
        <v>0.7105088959770021</v>
      </c>
      <c r="D16" s="43">
        <f>'Moab Projected Emissions'!G25/('Current Emissions'!$J15)</f>
        <v>0.5413401112205729</v>
      </c>
      <c r="E16" s="43">
        <f>'Moab Projected Emissions'!H25/('Current Emissions'!$J15)</f>
        <v>0.7105088959770021</v>
      </c>
      <c r="F16" s="44">
        <f>'Moab Projected Emissions'!I25/('Current Emissions'!$J15)</f>
        <v>0.7105088959770021</v>
      </c>
      <c r="G16" s="279"/>
      <c r="H16" s="22"/>
    </row>
    <row r="17" spans="1:8" ht="12.75">
      <c r="A17" s="19"/>
      <c r="B17" s="3" t="str">
        <f>'Current Emissions'!A16</f>
        <v>Acrolein</v>
      </c>
      <c r="C17" s="43">
        <f>'Moab Projected Emissions'!F26/('Current Emissions'!$J16)</f>
        <v>3.95176036388966</v>
      </c>
      <c r="D17" s="43">
        <f>'Moab Projected Emissions'!G26/('Current Emissions'!$J16)</f>
        <v>3.0108650391540266</v>
      </c>
      <c r="E17" s="43">
        <f>'Moab Projected Emissions'!H26/('Current Emissions'!$J16)</f>
        <v>3.95176036388966</v>
      </c>
      <c r="F17" s="44">
        <f>'Moab Projected Emissions'!I26/('Current Emissions'!$J16)</f>
        <v>3.95176036388966</v>
      </c>
      <c r="G17" s="279"/>
      <c r="H17" s="22"/>
    </row>
    <row r="18" spans="1:8" ht="12.75">
      <c r="A18" s="19"/>
      <c r="B18" s="3" t="str">
        <f>'Current Emissions'!A17</f>
        <v>Benzene</v>
      </c>
      <c r="C18" s="43">
        <f>'Moab Projected Emissions'!F27/('Current Emissions'!$J17)</f>
        <v>229.34043329984593</v>
      </c>
      <c r="D18" s="43">
        <f>'Moab Projected Emissions'!G27/('Current Emissions'!$J17)</f>
        <v>136.02521836671642</v>
      </c>
      <c r="E18" s="43">
        <f>'Moab Projected Emissions'!H27/('Current Emissions'!$J17)</f>
        <v>220.21791942968582</v>
      </c>
      <c r="F18" s="44">
        <f>'Moab Projected Emissions'!I27/('Current Emissions'!$J17)</f>
        <v>228.32682064760593</v>
      </c>
      <c r="G18" s="279"/>
      <c r="H18" s="22"/>
    </row>
    <row r="19" spans="1:8" ht="12.75">
      <c r="A19" s="19"/>
      <c r="B19" s="3" t="str">
        <f>'Current Emissions'!A18</f>
        <v>Ethylbenzene</v>
      </c>
      <c r="C19" s="43">
        <f>'Moab Projected Emissions'!F28/('Current Emissions'!$J18)</f>
        <v>7527.507859148269</v>
      </c>
      <c r="D19" s="43">
        <f>'Moab Projected Emissions'!G28/('Current Emissions'!$J18)</f>
        <v>4463.938128176328</v>
      </c>
      <c r="E19" s="43">
        <f>'Moab Projected Emissions'!H28/('Current Emissions'!$J18)</f>
        <v>7227.910819881406</v>
      </c>
      <c r="F19" s="44">
        <f>'Moab Projected Emissions'!I28/('Current Emissions'!$J18)</f>
        <v>7494.219299229729</v>
      </c>
      <c r="G19" s="279"/>
      <c r="H19" s="22"/>
    </row>
    <row r="20" spans="1:8" ht="12.75">
      <c r="A20" s="19"/>
      <c r="B20" s="3" t="str">
        <f>'Current Emissions'!A19</f>
        <v>Formaldehyde</v>
      </c>
      <c r="C20" s="43">
        <f>'Moab Projected Emissions'!F29/('Current Emissions'!$J19)</f>
        <v>5.34526615422141</v>
      </c>
      <c r="D20" s="43">
        <f>'Moab Projected Emissions'!G29/('Current Emissions'!$J19)</f>
        <v>4.072583736549646</v>
      </c>
      <c r="E20" s="43">
        <f>'Moab Projected Emissions'!H29/('Current Emissions'!$J19)</f>
        <v>5.34526615422141</v>
      </c>
      <c r="F20" s="44">
        <f>'Moab Projected Emissions'!I29/('Current Emissions'!$J19)</f>
        <v>5.34526615422141</v>
      </c>
      <c r="G20" s="279"/>
      <c r="H20" s="22"/>
    </row>
    <row r="21" spans="1:8" ht="12.75">
      <c r="A21" s="19"/>
      <c r="B21" s="3" t="str">
        <f>'Current Emissions'!A20</f>
        <v>H2S</v>
      </c>
      <c r="C21" s="43" t="e">
        <f>'Moab Projected Emissions'!F30/('Current Emissions'!$J20)</f>
        <v>#DIV/0!</v>
      </c>
      <c r="D21" s="43" t="e">
        <f>'Moab Projected Emissions'!G30/('Current Emissions'!$J20)</f>
        <v>#DIV/0!</v>
      </c>
      <c r="E21" s="43" t="e">
        <f>'Moab Projected Emissions'!H30/('Current Emissions'!$J20)</f>
        <v>#DIV/0!</v>
      </c>
      <c r="F21" s="44" t="e">
        <f>'Moab Projected Emissions'!I30/('Current Emissions'!$J20)</f>
        <v>#DIV/0!</v>
      </c>
      <c r="G21" s="279"/>
      <c r="H21" s="22"/>
    </row>
    <row r="22" spans="1:8" ht="12.75">
      <c r="A22" s="19"/>
      <c r="B22" s="3" t="str">
        <f>'Current Emissions'!A21</f>
        <v>Hexane</v>
      </c>
      <c r="C22" s="43" t="e">
        <f>'Moab Projected Emissions'!F31/('Current Emissions'!$J21)</f>
        <v>#DIV/0!</v>
      </c>
      <c r="D22" s="43" t="e">
        <f>'Moab Projected Emissions'!G31/('Current Emissions'!$J21)</f>
        <v>#DIV/0!</v>
      </c>
      <c r="E22" s="43" t="e">
        <f>'Moab Projected Emissions'!H31/('Current Emissions'!$J21)</f>
        <v>#DIV/0!</v>
      </c>
      <c r="F22" s="44" t="e">
        <f>'Moab Projected Emissions'!I31/('Current Emissions'!$J21)</f>
        <v>#DIV/0!</v>
      </c>
      <c r="G22" s="279"/>
      <c r="H22" s="22"/>
    </row>
    <row r="23" spans="1:8" ht="12.75">
      <c r="A23" s="19"/>
      <c r="B23" s="3" t="str">
        <f>'Current Emissions'!A22</f>
        <v>NAPHTHALENE</v>
      </c>
      <c r="C23" s="43" t="e">
        <f>'Moab Projected Emissions'!F32/('Current Emissions'!$J22)</f>
        <v>#DIV/0!</v>
      </c>
      <c r="D23" s="43" t="e">
        <f>'Moab Projected Emissions'!G32/('Current Emissions'!$J22)</f>
        <v>#DIV/0!</v>
      </c>
      <c r="E23" s="43" t="e">
        <f>'Moab Projected Emissions'!H32/('Current Emissions'!$J22)</f>
        <v>#DIV/0!</v>
      </c>
      <c r="F23" s="44" t="e">
        <f>'Moab Projected Emissions'!I32/('Current Emissions'!$J22)</f>
        <v>#DIV/0!</v>
      </c>
      <c r="G23" s="279"/>
      <c r="H23" s="22"/>
    </row>
    <row r="24" spans="1:8" ht="12.75">
      <c r="A24" s="19"/>
      <c r="B24" s="3" t="str">
        <f>'Current Emissions'!A23</f>
        <v>Toluene</v>
      </c>
      <c r="C24" s="43">
        <f>'Moab Projected Emissions'!F33/('Current Emissions'!$J23)</f>
        <v>3524.584664841672</v>
      </c>
      <c r="D24" s="43">
        <f>'Moab Projected Emissions'!G33/('Current Emissions'!$J23)</f>
        <v>2090.202579436923</v>
      </c>
      <c r="E24" s="43">
        <f>'Moab Projected Emissions'!H33/('Current Emissions'!$J23)</f>
        <v>3384.3204451114693</v>
      </c>
      <c r="F24" s="44">
        <f>'Moab Projected Emissions'!I33/('Current Emissions'!$J23)</f>
        <v>3508.9997515383156</v>
      </c>
      <c r="G24" s="279"/>
      <c r="H24" s="22"/>
    </row>
    <row r="25" spans="1:8" ht="13.5" thickBot="1">
      <c r="A25" s="19"/>
      <c r="B25" s="5" t="str">
        <f>'Current Emissions'!A24</f>
        <v>Xylenes</v>
      </c>
      <c r="C25" s="45">
        <f>'Moab Projected Emissions'!F34/('Current Emissions'!$J24)</f>
        <v>17341.00374197974</v>
      </c>
      <c r="D25" s="45">
        <f>'Moab Projected Emissions'!G34/('Current Emissions'!$J24)</f>
        <v>10282.309587266915</v>
      </c>
      <c r="E25" s="45">
        <f>'Moab Projected Emissions'!H34/('Current Emissions'!$J24)</f>
        <v>16650.544855631066</v>
      </c>
      <c r="F25" s="46">
        <f>'Moab Projected Emissions'!I34/('Current Emissions'!$J24)</f>
        <v>17264.286087941</v>
      </c>
      <c r="G25" s="279"/>
      <c r="H25" s="22"/>
    </row>
    <row r="26" spans="1:8" ht="12.75">
      <c r="A26" s="19"/>
      <c r="B26" s="280"/>
      <c r="C26" s="279"/>
      <c r="D26" s="279"/>
      <c r="E26" s="279"/>
      <c r="F26" s="279"/>
      <c r="G26" s="279"/>
      <c r="H26" s="22"/>
    </row>
    <row r="27" spans="1:8" ht="12.75">
      <c r="A27" s="19"/>
      <c r="B27" s="22"/>
      <c r="C27" s="279"/>
      <c r="D27" s="279"/>
      <c r="E27" s="279"/>
      <c r="F27" s="279"/>
      <c r="G27" s="279"/>
      <c r="H27" s="22"/>
    </row>
    <row r="28" spans="1:8" ht="12.75">
      <c r="A28" s="19"/>
      <c r="B28" s="22"/>
      <c r="C28" s="279"/>
      <c r="D28" s="279"/>
      <c r="E28" s="279"/>
      <c r="F28" s="279"/>
      <c r="G28" s="279"/>
      <c r="H28" s="22"/>
    </row>
    <row r="29" spans="1:8" ht="12.75">
      <c r="A29" s="19"/>
      <c r="B29" s="22"/>
      <c r="C29" s="279"/>
      <c r="D29" s="279"/>
      <c r="E29" s="279"/>
      <c r="F29" s="279"/>
      <c r="G29" s="279"/>
      <c r="H29" s="22"/>
    </row>
    <row r="30" spans="1:8" ht="13.5" thickBot="1">
      <c r="A30" s="19"/>
      <c r="B30" s="19"/>
      <c r="C30" s="19"/>
      <c r="D30" s="19"/>
      <c r="E30" s="19"/>
      <c r="F30" s="19"/>
      <c r="G30" s="22"/>
      <c r="H30" s="22"/>
    </row>
    <row r="31" spans="1:8" ht="13.5" thickBot="1">
      <c r="A31" s="19"/>
      <c r="B31" s="57" t="s">
        <v>20</v>
      </c>
      <c r="C31" s="58"/>
      <c r="D31" s="58"/>
      <c r="E31" s="58"/>
      <c r="F31" s="59"/>
      <c r="G31" s="22"/>
      <c r="H31" s="22"/>
    </row>
    <row r="32" spans="1:8" ht="12.75">
      <c r="A32" s="19"/>
      <c r="B32" s="54"/>
      <c r="C32" s="55" t="s">
        <v>12</v>
      </c>
      <c r="D32" s="55" t="s">
        <v>13</v>
      </c>
      <c r="E32" s="55" t="s">
        <v>14</v>
      </c>
      <c r="F32" s="56" t="s">
        <v>15</v>
      </c>
      <c r="G32" s="22"/>
      <c r="H32" s="22"/>
    </row>
    <row r="33" spans="1:8" ht="12.75">
      <c r="A33" s="19"/>
      <c r="B33" s="3" t="str">
        <f>'Current Emissions'!A5</f>
        <v>CO</v>
      </c>
      <c r="C33" s="43">
        <f>'Moab Projected Emissions'!F15/'Current Emissions'!$L5</f>
        <v>0.024999592531100776</v>
      </c>
      <c r="D33" s="43">
        <f>'Moab Projected Emissions'!G15/'Current Emissions'!$L5</f>
        <v>0.017487060550663323</v>
      </c>
      <c r="E33" s="43">
        <f>'Moab Projected Emissions'!H15/'Current Emissions'!$L5</f>
        <v>0.024658997843640455</v>
      </c>
      <c r="F33" s="44">
        <f>'Moab Projected Emissions'!I15/'Current Emissions'!$L5</f>
        <v>0.024931473593608713</v>
      </c>
      <c r="G33" s="279"/>
      <c r="H33" s="22"/>
    </row>
    <row r="34" spans="1:8" ht="12.75">
      <c r="A34" s="19"/>
      <c r="B34" s="3" t="str">
        <f>'Current Emissions'!A6</f>
        <v>NOx</v>
      </c>
      <c r="C34" s="43">
        <f>'Moab Projected Emissions'!F16/'Current Emissions'!$L6</f>
        <v>0.068378832923382</v>
      </c>
      <c r="D34" s="43">
        <f>'Moab Projected Emissions'!G16/'Current Emissions'!$L6</f>
        <v>0.04927472133190311</v>
      </c>
      <c r="E34" s="43">
        <f>'Moab Projected Emissions'!H16/'Current Emissions'!$L6</f>
        <v>0.06776249010837007</v>
      </c>
      <c r="F34" s="44">
        <f>'Moab Projected Emissions'!I16/'Current Emissions'!$L6</f>
        <v>0.0682555643603796</v>
      </c>
      <c r="G34" s="279"/>
      <c r="H34" s="22"/>
    </row>
    <row r="35" spans="1:8" ht="12.75">
      <c r="A35" s="19"/>
      <c r="B35" s="3" t="s">
        <v>61</v>
      </c>
      <c r="C35" s="43" t="e">
        <f>'Moab Projected Emissions'!F17/'Current Emissions'!$L7</f>
        <v>#DIV/0!</v>
      </c>
      <c r="D35" s="43" t="e">
        <f>'Moab Projected Emissions'!G17/'Current Emissions'!$L7</f>
        <v>#DIV/0!</v>
      </c>
      <c r="E35" s="43" t="e">
        <f>'Moab Projected Emissions'!H17/'Current Emissions'!$L7</f>
        <v>#DIV/0!</v>
      </c>
      <c r="F35" s="44" t="e">
        <f>'Moab Projected Emissions'!I17/'Current Emissions'!$L7</f>
        <v>#DIV/0!</v>
      </c>
      <c r="G35" s="279"/>
      <c r="H35" s="22"/>
    </row>
    <row r="36" spans="1:8" ht="12.75">
      <c r="A36" s="19"/>
      <c r="B36" s="3" t="str">
        <f>'Current Emissions'!A8</f>
        <v>PM10</v>
      </c>
      <c r="C36" s="43">
        <f>'Moab Projected Emissions'!F18/'Current Emissions'!$L8</f>
        <v>0.10284442809175642</v>
      </c>
      <c r="D36" s="43">
        <f>'Moab Projected Emissions'!G18/'Current Emissions'!$L8</f>
        <v>0.05807053532452002</v>
      </c>
      <c r="E36" s="43">
        <f>'Moab Projected Emissions'!H18/'Current Emissions'!$L8</f>
        <v>0.09901461526651668</v>
      </c>
      <c r="F36" s="44">
        <f>'Moab Projected Emissions'!I18/'Current Emissions'!$L8</f>
        <v>0.10283142779945516</v>
      </c>
      <c r="G36" s="279"/>
      <c r="H36" s="22"/>
    </row>
    <row r="37" spans="1:8" ht="12.75">
      <c r="A37" s="19"/>
      <c r="B37" s="3" t="str">
        <f>'Current Emissions'!A9</f>
        <v>PM2.5</v>
      </c>
      <c r="C37" s="43">
        <f>'Moab Projected Emissions'!F19/'Current Emissions'!$L9</f>
        <v>0.08674609848517809</v>
      </c>
      <c r="D37" s="43">
        <f>'Moab Projected Emissions'!G19/'Current Emissions'!$L9</f>
        <v>0.051574128610656654</v>
      </c>
      <c r="E37" s="43">
        <f>'Moab Projected Emissions'!H19/'Current Emissions'!$L9</f>
        <v>0.08397186458016542</v>
      </c>
      <c r="F37" s="44">
        <f>'Moab Projected Emissions'!I19/'Current Emissions'!$L9</f>
        <v>0.08668797815223885</v>
      </c>
      <c r="G37" s="279"/>
      <c r="H37" s="22"/>
    </row>
    <row r="38" spans="1:8" ht="12.75">
      <c r="A38" s="19"/>
      <c r="B38" s="3" t="str">
        <f>'Current Emissions'!A10</f>
        <v>SOx</v>
      </c>
      <c r="C38" s="43">
        <f>'Moab Projected Emissions'!F20/'Current Emissions'!$L10</f>
        <v>0.004733346938711536</v>
      </c>
      <c r="D38" s="43">
        <f>'Moab Projected Emissions'!G20/'Current Emissions'!$L10</f>
        <v>0.003604317766837818</v>
      </c>
      <c r="E38" s="43">
        <f>'Moab Projected Emissions'!H20/'Current Emissions'!$L10</f>
        <v>0.0047328657650929406</v>
      </c>
      <c r="F38" s="44">
        <f>'Moab Projected Emissions'!I20/'Current Emissions'!$L10</f>
        <v>0.004733293474976136</v>
      </c>
      <c r="G38" s="279"/>
      <c r="H38" s="22"/>
    </row>
    <row r="39" spans="1:8" ht="12.75">
      <c r="A39" s="19"/>
      <c r="B39" s="3" t="str">
        <f>'Current Emissions'!A11</f>
        <v>VOC</v>
      </c>
      <c r="C39" s="43">
        <f>'Moab Projected Emissions'!F21/'Current Emissions'!$L11</f>
        <v>0.045482312947654514</v>
      </c>
      <c r="D39" s="43">
        <f>'Moab Projected Emissions'!G21/'Current Emissions'!$L11</f>
        <v>0.027361133454563983</v>
      </c>
      <c r="E39" s="43">
        <f>'Moab Projected Emissions'!H21/'Current Emissions'!$L11</f>
        <v>0.04376386052676966</v>
      </c>
      <c r="F39" s="44">
        <f>'Moab Projected Emissions'!I21/'Current Emissions'!$L11</f>
        <v>0.04529137378977843</v>
      </c>
      <c r="G39" s="279"/>
      <c r="H39" s="22"/>
    </row>
    <row r="40" spans="1:8" ht="12.75">
      <c r="A40" s="19"/>
      <c r="B40" s="3" t="str">
        <f>'Current Emissions'!A12</f>
        <v>TOC</v>
      </c>
      <c r="C40" s="43" t="e">
        <f>'Moab Projected Emissions'!F22/'Current Emissions'!$L12</f>
        <v>#DIV/0!</v>
      </c>
      <c r="D40" s="43" t="e">
        <f>'Moab Projected Emissions'!G22/'Current Emissions'!$L12</f>
        <v>#DIV/0!</v>
      </c>
      <c r="E40" s="43" t="e">
        <f>'Moab Projected Emissions'!H22/'Current Emissions'!$L12</f>
        <v>#DIV/0!</v>
      </c>
      <c r="F40" s="44" t="e">
        <f>'Moab Projected Emissions'!I22/'Current Emissions'!$L12</f>
        <v>#DIV/0!</v>
      </c>
      <c r="G40" s="22"/>
      <c r="H40" s="22"/>
    </row>
    <row r="41" spans="1:6" ht="12.75">
      <c r="A41" s="19"/>
      <c r="B41" s="3" t="str">
        <f>'Current Emissions'!A13</f>
        <v>HAPs</v>
      </c>
      <c r="C41" s="43">
        <f>'Moab Projected Emissions'!F23/'Current Emissions'!$L13</f>
        <v>59.46863039152712</v>
      </c>
      <c r="D41" s="43">
        <f>'Moab Projected Emissions'!G23/'Current Emissions'!$L13</f>
        <v>35.58117036011997</v>
      </c>
      <c r="E41" s="43">
        <f>'Moab Projected Emissions'!H23/'Current Emissions'!$L13</f>
        <v>57.176059844996914</v>
      </c>
      <c r="F41" s="44">
        <f>'Moab Projected Emissions'!I23/'Current Emissions'!$L13</f>
        <v>59.21390033080154</v>
      </c>
    </row>
    <row r="42" spans="1:6" ht="12.75">
      <c r="A42" s="19"/>
      <c r="B42" s="3" t="str">
        <f>'Current Emissions'!A14</f>
        <v>1,3-Butadiene</v>
      </c>
      <c r="C42" s="304">
        <f>'Moab Projected Emissions'!F24/'Current Emissions'!$L14</f>
        <v>0</v>
      </c>
      <c r="D42" s="43">
        <f>'Moab Projected Emissions'!G24/'Current Emissions'!$L14</f>
        <v>0</v>
      </c>
      <c r="E42" s="43">
        <f>'Moab Projected Emissions'!H24/'Current Emissions'!$L14</f>
        <v>0</v>
      </c>
      <c r="F42" s="44">
        <f>'Moab Projected Emissions'!I24/'Current Emissions'!$L14</f>
        <v>0</v>
      </c>
    </row>
    <row r="43" spans="1:6" ht="12.75">
      <c r="A43" s="19"/>
      <c r="B43" s="3" t="str">
        <f>'Current Emissions'!A15</f>
        <v>Acetaldehyde</v>
      </c>
      <c r="C43" s="43">
        <f>'Moab Projected Emissions'!F25/'Current Emissions'!$L15</f>
        <v>0.6954912656847034</v>
      </c>
      <c r="D43" s="43">
        <f>'Moab Projected Emissions'!G25/'Current Emissions'!$L15</f>
        <v>0.5298981071883454</v>
      </c>
      <c r="E43" s="43">
        <f>'Moab Projected Emissions'!H25/'Current Emissions'!$L15</f>
        <v>0.6954912656847034</v>
      </c>
      <c r="F43" s="44">
        <f>'Moab Projected Emissions'!I25/'Current Emissions'!$L15</f>
        <v>0.6954912656847034</v>
      </c>
    </row>
    <row r="44" spans="1:6" ht="12.75">
      <c r="A44" s="19"/>
      <c r="B44" s="3" t="str">
        <f>'Current Emissions'!A16</f>
        <v>Acrolein</v>
      </c>
      <c r="C44" s="43">
        <f>'Moab Projected Emissions'!F26/'Current Emissions'!$L16</f>
        <v>3.93989621970208</v>
      </c>
      <c r="D44" s="43">
        <f>'Moab Projected Emissions'!G26/'Current Emissions'!$L16</f>
        <v>3.001825691201585</v>
      </c>
      <c r="E44" s="43">
        <f>'Moab Projected Emissions'!H26/'Current Emissions'!$L16</f>
        <v>3.93989621970208</v>
      </c>
      <c r="F44" s="44">
        <f>'Moab Projected Emissions'!I26/'Current Emissions'!$L16</f>
        <v>3.93989621970208</v>
      </c>
    </row>
    <row r="45" spans="1:6" ht="12.75">
      <c r="A45" s="19"/>
      <c r="B45" s="3" t="str">
        <f>'Current Emissions'!A17</f>
        <v>Benzene</v>
      </c>
      <c r="C45" s="43">
        <f>'Moab Projected Emissions'!F27/'Current Emissions'!$L17</f>
        <v>54.4313488617763</v>
      </c>
      <c r="D45" s="43">
        <f>'Moab Projected Emissions'!G27/'Current Emissions'!$L17</f>
        <v>32.28404171207701</v>
      </c>
      <c r="E45" s="43">
        <f>'Moab Projected Emissions'!H27/'Current Emissions'!$L17</f>
        <v>52.26622373395431</v>
      </c>
      <c r="F45" s="44">
        <f>'Moab Projected Emissions'!I27/'Current Emissions'!$L17</f>
        <v>54.19077940312941</v>
      </c>
    </row>
    <row r="46" spans="1:6" ht="12.75">
      <c r="A46" s="19"/>
      <c r="B46" s="3" t="str">
        <f>'Current Emissions'!A18</f>
        <v>Ethylbenzene</v>
      </c>
      <c r="C46" s="43">
        <f>'Moab Projected Emissions'!F28/'Current Emissions'!$L18</f>
        <v>7527.507859148269</v>
      </c>
      <c r="D46" s="43">
        <f>'Moab Projected Emissions'!G28/'Current Emissions'!$L18</f>
        <v>4463.938128176328</v>
      </c>
      <c r="E46" s="43">
        <f>'Moab Projected Emissions'!H28/'Current Emissions'!$L18</f>
        <v>7227.910819881406</v>
      </c>
      <c r="F46" s="44">
        <f>'Moab Projected Emissions'!I28/'Current Emissions'!$L18</f>
        <v>7494.219299229729</v>
      </c>
    </row>
    <row r="47" spans="1:6" ht="12.75">
      <c r="A47" s="19"/>
      <c r="B47" s="3" t="str">
        <f>'Current Emissions'!A19</f>
        <v>Formaldehyde</v>
      </c>
      <c r="C47" s="43">
        <f>'Moab Projected Emissions'!F29/'Current Emissions'!$L19</f>
        <v>4.525584417385356</v>
      </c>
      <c r="D47" s="43">
        <f>'Moab Projected Emissions'!G29/'Current Emissions'!$L19</f>
        <v>3.4480643180078903</v>
      </c>
      <c r="E47" s="43">
        <f>'Moab Projected Emissions'!H29/'Current Emissions'!$L19</f>
        <v>4.525584417385356</v>
      </c>
      <c r="F47" s="44">
        <f>'Moab Projected Emissions'!I29/'Current Emissions'!$L19</f>
        <v>4.525584417385356</v>
      </c>
    </row>
    <row r="48" spans="1:6" ht="12.75">
      <c r="A48" s="19"/>
      <c r="B48" s="3" t="s">
        <v>22</v>
      </c>
      <c r="C48" s="43" t="e">
        <f>'Moab Projected Emissions'!F30/'Current Emissions'!$L20</f>
        <v>#DIV/0!</v>
      </c>
      <c r="D48" s="43" t="e">
        <f>'Moab Projected Emissions'!G30/'Current Emissions'!$L20</f>
        <v>#DIV/0!</v>
      </c>
      <c r="E48" s="43" t="e">
        <f>'Moab Projected Emissions'!H30/'Current Emissions'!$L20</f>
        <v>#DIV/0!</v>
      </c>
      <c r="F48" s="44" t="e">
        <f>'Moab Projected Emissions'!I30/'Current Emissions'!$L20</f>
        <v>#DIV/0!</v>
      </c>
    </row>
    <row r="49" spans="1:6" ht="12.75">
      <c r="A49" s="19"/>
      <c r="B49" s="3" t="str">
        <f>'Current Emissions'!A21</f>
        <v>Hexane</v>
      </c>
      <c r="C49" s="43">
        <f>'Moab Projected Emissions'!F31/'Current Emissions'!$L21</f>
        <v>0</v>
      </c>
      <c r="D49" s="43">
        <f>'Moab Projected Emissions'!G31/'Current Emissions'!$L21</f>
        <v>0</v>
      </c>
      <c r="E49" s="43">
        <f>'Moab Projected Emissions'!H31/'Current Emissions'!$L21</f>
        <v>0</v>
      </c>
      <c r="F49" s="44">
        <f>'Moab Projected Emissions'!I31/'Current Emissions'!$L21</f>
        <v>0</v>
      </c>
    </row>
    <row r="50" spans="1:6" ht="12.75">
      <c r="A50" s="19"/>
      <c r="B50" s="3" t="str">
        <f>'Current Emissions'!A22</f>
        <v>NAPHTHALENE</v>
      </c>
      <c r="C50" s="43">
        <f>'Moab Projected Emissions'!F32/'Current Emissions'!$L22</f>
        <v>662.6047664179281</v>
      </c>
      <c r="D50" s="43">
        <f>'Moab Projected Emissions'!G32/'Current Emissions'!$L22</f>
        <v>504.8417267946119</v>
      </c>
      <c r="E50" s="43">
        <f>'Moab Projected Emissions'!H32/'Current Emissions'!$L22</f>
        <v>662.6047664179281</v>
      </c>
      <c r="F50" s="44">
        <f>'Moab Projected Emissions'!I32/'Current Emissions'!$L22</f>
        <v>662.6047664179281</v>
      </c>
    </row>
    <row r="51" spans="1:6" ht="12.75">
      <c r="A51" s="19"/>
      <c r="B51" s="3" t="str">
        <f>'Current Emissions'!A23</f>
        <v>Toluene</v>
      </c>
      <c r="C51" s="43">
        <f>'Moab Projected Emissions'!F33/'Current Emissions'!$L23</f>
        <v>190.3426222483257</v>
      </c>
      <c r="D51" s="43">
        <f>'Moab Projected Emissions'!G33/'Current Emissions'!$L23</f>
        <v>112.87986467424248</v>
      </c>
      <c r="E51" s="43">
        <f>'Moab Projected Emissions'!H33/'Current Emissions'!$L23</f>
        <v>182.76775543993784</v>
      </c>
      <c r="F51" s="44">
        <f>'Moab Projected Emissions'!I33/'Current Emissions'!$L23</f>
        <v>189.50097038072707</v>
      </c>
    </row>
    <row r="52" spans="1:6" ht="13.5" thickBot="1">
      <c r="A52" s="19"/>
      <c r="B52" s="5" t="str">
        <f>'Current Emissions'!A24</f>
        <v>Xylenes</v>
      </c>
      <c r="C52" s="45">
        <f>'Moab Projected Emissions'!F34/'Current Emissions'!$L24</f>
        <v>17243.464950341444</v>
      </c>
      <c r="D52" s="45">
        <f>'Moab Projected Emissions'!G34/'Current Emissions'!$L24</f>
        <v>10224.474177776461</v>
      </c>
      <c r="E52" s="45">
        <f>'Moab Projected Emissions'!H34/'Current Emissions'!$L24</f>
        <v>16556.889721850897</v>
      </c>
      <c r="F52" s="46">
        <f>'Moab Projected Emissions'!I34/'Current Emissions'!$L24</f>
        <v>17167.178813842496</v>
      </c>
    </row>
    <row r="53" spans="1:6" ht="12.75">
      <c r="A53" s="19"/>
      <c r="B53" s="19"/>
      <c r="C53" s="19"/>
      <c r="D53" s="19"/>
      <c r="E53" s="19"/>
      <c r="F53" s="19"/>
    </row>
    <row r="54" spans="1:6" ht="12.75">
      <c r="A54" s="19"/>
      <c r="B54" s="19"/>
      <c r="C54" s="19"/>
      <c r="D54" s="19"/>
      <c r="E54" s="19"/>
      <c r="F54" s="19"/>
    </row>
    <row r="55" spans="1:6" ht="12.75">
      <c r="A55" s="19"/>
      <c r="B55" s="19"/>
      <c r="C55" s="19"/>
      <c r="D55" s="19"/>
      <c r="E55" s="19"/>
      <c r="F55" s="19"/>
    </row>
    <row r="56" spans="1:6" ht="12.75">
      <c r="A56" s="19"/>
      <c r="B56" s="19"/>
      <c r="C56" s="19"/>
      <c r="D56" s="19"/>
      <c r="E56" s="19"/>
      <c r="F56" s="19"/>
    </row>
    <row r="57" spans="1:6" ht="12.75">
      <c r="A57" s="19"/>
      <c r="B57" s="19"/>
      <c r="C57" s="19"/>
      <c r="D57" s="19"/>
      <c r="E57" s="19"/>
      <c r="F57" s="19"/>
    </row>
    <row r="58" spans="1:6" ht="12.75">
      <c r="A58" s="19"/>
      <c r="B58" s="19"/>
      <c r="C58" s="19"/>
      <c r="D58" s="19"/>
      <c r="E58" s="19"/>
      <c r="F58" s="19"/>
    </row>
    <row r="59" spans="1:6" ht="12.75">
      <c r="A59" s="19"/>
      <c r="B59" s="19"/>
      <c r="C59" s="19"/>
      <c r="D59" s="19"/>
      <c r="E59" s="19"/>
      <c r="F59" s="19"/>
    </row>
    <row r="60" spans="1:6" ht="12.75">
      <c r="A60" s="19"/>
      <c r="B60" s="19"/>
      <c r="C60" s="19"/>
      <c r="D60" s="19"/>
      <c r="E60" s="19"/>
      <c r="F60" s="19"/>
    </row>
    <row r="61" spans="1:6" ht="12.75">
      <c r="A61" s="19"/>
      <c r="B61" s="19"/>
      <c r="C61" s="19"/>
      <c r="D61" s="19"/>
      <c r="E61" s="19"/>
      <c r="F61" s="19"/>
    </row>
    <row r="62" spans="1:6" ht="12.75">
      <c r="A62" s="19"/>
      <c r="B62" s="19"/>
      <c r="C62" s="19"/>
      <c r="D62" s="19"/>
      <c r="E62" s="19"/>
      <c r="F62" s="19"/>
    </row>
    <row r="63" spans="1:6" ht="12.75">
      <c r="A63" s="19"/>
      <c r="B63" s="19"/>
      <c r="C63" s="19"/>
      <c r="D63" s="19"/>
      <c r="E63" s="19"/>
      <c r="F63" s="19"/>
    </row>
    <row r="64" spans="1:6" ht="12.75">
      <c r="A64" s="19"/>
      <c r="B64" s="19"/>
      <c r="C64" s="19"/>
      <c r="D64" s="19"/>
      <c r="E64" s="19"/>
      <c r="F64" s="19"/>
    </row>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50"/>
  </sheetPr>
  <dimension ref="B3:I23"/>
  <sheetViews>
    <sheetView workbookViewId="0" topLeftCell="A11">
      <selection activeCell="J14" sqref="J14"/>
    </sheetView>
  </sheetViews>
  <sheetFormatPr defaultColWidth="9.140625" defaultRowHeight="12.75"/>
  <cols>
    <col min="3" max="4" width="10.28125" style="0" bestFit="1" customWidth="1"/>
    <col min="5" max="5" width="13.57421875" style="0" bestFit="1" customWidth="1"/>
    <col min="6" max="6" width="10.28125" style="0" bestFit="1" customWidth="1"/>
    <col min="7" max="7" width="13.140625" style="0" customWidth="1"/>
    <col min="8" max="8" width="10.28125" style="0" bestFit="1" customWidth="1"/>
    <col min="9" max="9" width="13.421875" style="0" customWidth="1"/>
  </cols>
  <sheetData>
    <row r="3" spans="3:8" ht="12.75">
      <c r="C3" t="str">
        <f>'Moab Projected Emissions'!F14</f>
        <v>Alt A</v>
      </c>
      <c r="D3" t="str">
        <f>'Moab Projected Emissions'!G14</f>
        <v>Alt B</v>
      </c>
      <c r="F3" t="str">
        <f>'Moab Projected Emissions'!H14</f>
        <v>Alt C</v>
      </c>
      <c r="H3" t="str">
        <f>'Moab Projected Emissions'!I14</f>
        <v>Alt D</v>
      </c>
    </row>
    <row r="4" spans="3:9" s="42" customFormat="1" ht="38.25">
      <c r="C4" s="42" t="s">
        <v>214</v>
      </c>
      <c r="D4" s="42" t="s">
        <v>214</v>
      </c>
      <c r="E4" s="42" t="s">
        <v>215</v>
      </c>
      <c r="F4" s="42" t="s">
        <v>214</v>
      </c>
      <c r="G4" s="42" t="s">
        <v>215</v>
      </c>
      <c r="H4" s="42" t="s">
        <v>214</v>
      </c>
      <c r="I4" s="42" t="s">
        <v>215</v>
      </c>
    </row>
    <row r="5" spans="2:9" ht="12.75">
      <c r="B5" t="str">
        <f>'Moab Projected Emissions'!E15</f>
        <v>CO</v>
      </c>
      <c r="C5" s="295">
        <f>'Moab Projected Emissions'!F15</f>
        <v>678.7151876064815</v>
      </c>
      <c r="D5" s="293">
        <f>'Moab Projected Emissions'!G15</f>
        <v>474.75708124298615</v>
      </c>
      <c r="E5" s="292">
        <f>(D5-C5)/C5</f>
        <v>-0.3005061770943457</v>
      </c>
      <c r="F5" s="295">
        <f>'Moab Projected Emissions'!H15</f>
        <v>669.468365406887</v>
      </c>
      <c r="G5" s="292">
        <f>(F5-C5)/C5</f>
        <v>-0.013624009552819803</v>
      </c>
      <c r="H5" s="295">
        <f>'Moab Projected Emissions'!I15</f>
        <v>676.8658231665627</v>
      </c>
      <c r="I5" s="294">
        <f>(H5-C5)/C5</f>
        <v>-0.0027248019105638936</v>
      </c>
    </row>
    <row r="6" spans="2:9" ht="12.75">
      <c r="B6" t="str">
        <f>'Moab Projected Emissions'!E16</f>
        <v>NO x</v>
      </c>
      <c r="C6" s="295">
        <f>'Moab Projected Emissions'!F16</f>
        <v>188.97584539703388</v>
      </c>
      <c r="D6" s="293">
        <f>'Moab Projected Emissions'!G16</f>
        <v>136.17857635612734</v>
      </c>
      <c r="E6" s="292">
        <f aca="true" t="shared" si="0" ref="E6:E23">(D6-C6)/C6</f>
        <v>-0.27938633601548757</v>
      </c>
      <c r="F6" s="295">
        <f>'Moab Projected Emissions'!H16</f>
        <v>187.27248341289803</v>
      </c>
      <c r="G6" s="292">
        <f aca="true" t="shared" si="1" ref="G6:G23">(F6-C6)/C6</f>
        <v>-0.009013649234150158</v>
      </c>
      <c r="H6" s="295">
        <f>'Moab Projected Emissions'!I16</f>
        <v>188.6351730002067</v>
      </c>
      <c r="I6" s="294">
        <f aca="true" t="shared" si="2" ref="I6:I23">(H6-C6)/C6</f>
        <v>-0.0018027298468301217</v>
      </c>
    </row>
    <row r="7" spans="2:9" ht="12.75">
      <c r="B7" t="str">
        <f>'Moab Projected Emissions'!E17</f>
        <v>CO2</v>
      </c>
      <c r="C7" s="295">
        <f>'Moab Projected Emissions'!F17</f>
        <v>83270.8947044036</v>
      </c>
      <c r="D7" s="293">
        <f>'Moab Projected Emissions'!G17</f>
        <v>63444.49120335512</v>
      </c>
      <c r="E7" s="292">
        <f t="shared" si="0"/>
        <v>-0.23809523809523814</v>
      </c>
      <c r="F7" s="295">
        <f>'Moab Projected Emissions'!H17</f>
        <v>83270.8947044036</v>
      </c>
      <c r="G7" s="292">
        <f t="shared" si="1"/>
        <v>0</v>
      </c>
      <c r="H7" s="295">
        <f>'Moab Projected Emissions'!I17</f>
        <v>83270.8947044036</v>
      </c>
      <c r="I7" s="294">
        <f t="shared" si="2"/>
        <v>0</v>
      </c>
    </row>
    <row r="8" spans="2:9" ht="12.75">
      <c r="B8" t="str">
        <f>'Moab Projected Emissions'!E18</f>
        <v>PM10</v>
      </c>
      <c r="C8" s="295">
        <f>'Moab Projected Emissions'!F18</f>
        <v>244.7532837498856</v>
      </c>
      <c r="D8" s="293">
        <f>'Moab Projected Emissions'!G18</f>
        <v>138.19858278670574</v>
      </c>
      <c r="E8" s="292">
        <f t="shared" si="0"/>
        <v>-0.4353555520508095</v>
      </c>
      <c r="F8" s="295">
        <f>'Moab Projected Emissions'!H18</f>
        <v>235.63894199586707</v>
      </c>
      <c r="G8" s="292">
        <f t="shared" si="1"/>
        <v>-0.037238894671307136</v>
      </c>
      <c r="H8" s="295">
        <f>'Moab Projected Emissions'!I18</f>
        <v>244.72234513425536</v>
      </c>
      <c r="I8" s="294">
        <f t="shared" si="2"/>
        <v>-0.00012640735665007185</v>
      </c>
    </row>
    <row r="9" spans="2:9" ht="12.75">
      <c r="B9" t="str">
        <f>'Moab Projected Emissions'!E19</f>
        <v>PM 2.5</v>
      </c>
      <c r="C9" s="295">
        <f>'Moab Projected Emissions'!F19</f>
        <v>46.176683145629994</v>
      </c>
      <c r="D9" s="293">
        <f>'Moab Projected Emissions'!G19</f>
        <v>27.45394014202475</v>
      </c>
      <c r="E9" s="292">
        <f t="shared" si="0"/>
        <v>-0.4054588101219458</v>
      </c>
      <c r="F9" s="295">
        <f>'Moab Projected Emissions'!H19</f>
        <v>44.699902953313654</v>
      </c>
      <c r="G9" s="292">
        <f t="shared" si="1"/>
        <v>-0.03198107988092033</v>
      </c>
      <c r="H9" s="295">
        <f>'Moab Projected Emissions'!I19</f>
        <v>46.145744529999774</v>
      </c>
      <c r="I9" s="294">
        <f t="shared" si="2"/>
        <v>-0.0006700051524412603</v>
      </c>
    </row>
    <row r="10" spans="2:9" ht="12.75">
      <c r="B10" t="str">
        <f>'Moab Projected Emissions'!E20</f>
        <v>SO x</v>
      </c>
      <c r="C10" s="293">
        <f>'Moab Projected Emissions'!F20</f>
        <v>0.4462599493817236</v>
      </c>
      <c r="D10" s="293">
        <f>'Moab Projected Emissions'!G20</f>
        <v>0.3398150790574695</v>
      </c>
      <c r="E10" s="292">
        <f t="shared" si="0"/>
        <v>-0.23852660421740618</v>
      </c>
      <c r="F10" s="293">
        <f>'Moab Projected Emissions'!H20</f>
        <v>0.4462145843329624</v>
      </c>
      <c r="G10" s="292">
        <f t="shared" si="1"/>
        <v>-0.0001016561060969795</v>
      </c>
      <c r="H10" s="293">
        <f>'Moab Projected Emissions'!I20</f>
        <v>0.4462549088207501</v>
      </c>
      <c r="I10" s="294">
        <f t="shared" si="2"/>
        <v>-1.1295122899747316E-05</v>
      </c>
    </row>
    <row r="11" spans="2:9" ht="12.75">
      <c r="B11" t="str">
        <f>'Moab Projected Emissions'!E21</f>
        <v>VOC</v>
      </c>
      <c r="C11" s="295">
        <f>'Moab Projected Emissions'!F21</f>
        <v>1743.6422416034764</v>
      </c>
      <c r="D11" s="293">
        <f>'Moab Projected Emissions'!G21</f>
        <v>1048.9358385189175</v>
      </c>
      <c r="E11" s="292">
        <f t="shared" si="0"/>
        <v>-0.3984225585437169</v>
      </c>
      <c r="F11" s="295">
        <f>'Moab Projected Emissions'!H21</f>
        <v>1677.7624294952157</v>
      </c>
      <c r="G11" s="292">
        <f t="shared" si="1"/>
        <v>-0.03778287227526488</v>
      </c>
      <c r="H11" s="295">
        <f>'Moab Projected Emissions'!I21</f>
        <v>1736.3222624803368</v>
      </c>
      <c r="I11" s="294">
        <f t="shared" si="2"/>
        <v>-0.004198096919473571</v>
      </c>
    </row>
    <row r="12" spans="2:9" ht="12.75">
      <c r="B12" t="str">
        <f>'Moab Projected Emissions'!E22</f>
        <v>TOC</v>
      </c>
      <c r="C12" s="295">
        <f>'Moab Projected Emissions'!F22</f>
        <v>2767.1172383339645</v>
      </c>
      <c r="D12" s="293">
        <f>'Moab Projected Emissions'!G22</f>
        <v>1828.726312218337</v>
      </c>
      <c r="E12" s="292">
        <f t="shared" si="0"/>
        <v>-0.3391222146701009</v>
      </c>
      <c r="F12" s="295">
        <f>'Moab Projected Emissions'!H22</f>
        <v>2701.2374262257035</v>
      </c>
      <c r="G12" s="292">
        <f t="shared" si="1"/>
        <v>-0.02380810295841533</v>
      </c>
      <c r="H12" s="295">
        <f>'Moab Projected Emissions'!I22</f>
        <v>2759.7972592108244</v>
      </c>
      <c r="I12" s="294">
        <f t="shared" si="2"/>
        <v>-0.0026453447731572227</v>
      </c>
    </row>
    <row r="13" spans="2:9" ht="12.75">
      <c r="B13" t="str">
        <f>'Moab Projected Emissions'!E23</f>
        <v>HAPs</v>
      </c>
      <c r="C13" s="295">
        <f>'Moab Projected Emissions'!F23</f>
        <v>1708.9048354022173</v>
      </c>
      <c r="D13" s="293">
        <f>'Moab Projected Emissions'!G23</f>
        <v>1022.4690509492938</v>
      </c>
      <c r="E13" s="292">
        <f t="shared" si="0"/>
        <v>-0.4016816912402031</v>
      </c>
      <c r="F13" s="295">
        <f>'Moab Projected Emissions'!H23</f>
        <v>1643.024977960194</v>
      </c>
      <c r="G13" s="292">
        <f t="shared" si="1"/>
        <v>-0.03855092224987318</v>
      </c>
      <c r="H13" s="295">
        <f>'Moab Projected Emissions'!I23</f>
        <v>1701.5848512419925</v>
      </c>
      <c r="I13" s="294">
        <f t="shared" si="2"/>
        <v>-0.004283435805541434</v>
      </c>
    </row>
    <row r="14" spans="2:9" ht="12.75">
      <c r="B14" t="str">
        <f>'Moab Projected Emissions'!E25</f>
        <v> Acetaldehyde</v>
      </c>
      <c r="C14" s="293">
        <f>'Moab Projected Emissions'!F25</f>
        <v>6.328587997534675</v>
      </c>
      <c r="D14" s="293">
        <f>'Moab Projected Emissions'!G25</f>
        <v>4.82178133145499</v>
      </c>
      <c r="E14" s="292">
        <f t="shared" si="0"/>
        <v>-0.23809523809523814</v>
      </c>
      <c r="F14" s="293">
        <f>'Moab Projected Emissions'!H25</f>
        <v>6.328587997534675</v>
      </c>
      <c r="G14" s="292">
        <f t="shared" si="1"/>
        <v>0</v>
      </c>
      <c r="H14" s="293">
        <f>'Moab Projected Emissions'!I25</f>
        <v>6.328587997534675</v>
      </c>
      <c r="I14" s="294">
        <f t="shared" si="2"/>
        <v>0</v>
      </c>
    </row>
    <row r="15" spans="2:9" ht="12.75">
      <c r="B15" t="str">
        <f>'Moab Projected Emissions'!E26</f>
        <v> Acrolein</v>
      </c>
      <c r="C15" s="293">
        <f>'Moab Projected Emissions'!F26</f>
        <v>3.891021807096676</v>
      </c>
      <c r="D15" s="293">
        <f>'Moab Projected Emissions'!G26</f>
        <v>2.9645880435022294</v>
      </c>
      <c r="E15" s="292">
        <f t="shared" si="0"/>
        <v>-0.23809523809523808</v>
      </c>
      <c r="F15" s="293">
        <f>'Moab Projected Emissions'!H26</f>
        <v>3.891021807096676</v>
      </c>
      <c r="G15" s="292">
        <f t="shared" si="1"/>
        <v>0</v>
      </c>
      <c r="H15" s="293">
        <f>'Moab Projected Emissions'!I26</f>
        <v>3.891021807096676</v>
      </c>
      <c r="I15" s="294">
        <f t="shared" si="2"/>
        <v>0</v>
      </c>
    </row>
    <row r="16" spans="2:9" ht="12.75">
      <c r="B16" t="str">
        <f>'Moab Projected Emissions'!E27</f>
        <v>Benzene</v>
      </c>
      <c r="C16" s="295">
        <f>'Moab Projected Emissions'!F27</f>
        <v>289.3829054399121</v>
      </c>
      <c r="D16" s="295">
        <f>'Moab Projected Emissions'!G27</f>
        <v>171.63730066121462</v>
      </c>
      <c r="E16" s="292">
        <f t="shared" si="0"/>
        <v>-0.40688514271326354</v>
      </c>
      <c r="F16" s="295">
        <f>'Moab Projected Emissions'!H27</f>
        <v>277.87207182597473</v>
      </c>
      <c r="G16" s="292">
        <f t="shared" si="1"/>
        <v>-0.039777172035918754</v>
      </c>
      <c r="H16" s="295">
        <f>'Moab Projected Emissions'!I27</f>
        <v>288.1039239272524</v>
      </c>
      <c r="I16" s="294">
        <f t="shared" si="2"/>
        <v>-0.004419685781768707</v>
      </c>
    </row>
    <row r="17" spans="2:9" ht="12.75">
      <c r="B17" t="str">
        <f>'Moab Projected Emissions'!E28</f>
        <v>Ethylbenzene</v>
      </c>
      <c r="C17" s="295">
        <f>'Moab Projected Emissions'!F28</f>
        <v>52.692555014037886</v>
      </c>
      <c r="D17" s="295">
        <f>'Moab Projected Emissions'!G28</f>
        <v>31.2475668972343</v>
      </c>
      <c r="E17" s="292">
        <f t="shared" si="0"/>
        <v>-0.4069832656831767</v>
      </c>
      <c r="F17" s="295">
        <f>'Moab Projected Emissions'!H28</f>
        <v>50.59537573916984</v>
      </c>
      <c r="G17" s="292">
        <f t="shared" si="1"/>
        <v>-0.03980029577820501</v>
      </c>
      <c r="H17" s="295">
        <f>'Moab Projected Emissions'!I28</f>
        <v>52.4595350946081</v>
      </c>
      <c r="I17" s="294">
        <f t="shared" si="2"/>
        <v>-0.004422255086467283</v>
      </c>
    </row>
    <row r="18" spans="2:9" ht="12.75">
      <c r="B18" t="str">
        <f>'Moab Projected Emissions'!E29</f>
        <v>Formaldehyde</v>
      </c>
      <c r="C18" s="295">
        <f>'Moab Projected Emissions'!F29</f>
        <v>39.97002945811373</v>
      </c>
      <c r="D18" s="295">
        <f>'Moab Projected Emissions'!G29</f>
        <v>30.453355777610458</v>
      </c>
      <c r="E18" s="292">
        <f t="shared" si="0"/>
        <v>-0.23809523809523814</v>
      </c>
      <c r="F18" s="295">
        <f>'Moab Projected Emissions'!H29</f>
        <v>39.97002945811373</v>
      </c>
      <c r="G18" s="292">
        <f t="shared" si="1"/>
        <v>0</v>
      </c>
      <c r="H18" s="295">
        <f>'Moab Projected Emissions'!I29</f>
        <v>39.97002945811373</v>
      </c>
      <c r="I18" s="294">
        <f t="shared" si="2"/>
        <v>0</v>
      </c>
    </row>
    <row r="19" spans="2:9" ht="12.75">
      <c r="B19" t="str">
        <f>'Moab Projected Emissions'!E30</f>
        <v>H2S</v>
      </c>
      <c r="C19" s="293">
        <f>'Moab Projected Emissions'!F30</f>
        <v>0.001138381147740612</v>
      </c>
      <c r="D19" s="293">
        <f>'Moab Projected Emissions'!G30</f>
        <v>0.0006749693530851416</v>
      </c>
      <c r="E19" s="292">
        <f t="shared" si="0"/>
        <v>-0.40707964601769914</v>
      </c>
      <c r="F19" s="293">
        <f>'Moab Projected Emissions'!H30</f>
        <v>0.001093047385219968</v>
      </c>
      <c r="G19" s="292">
        <f t="shared" si="1"/>
        <v>-0.03982300884955757</v>
      </c>
      <c r="H19" s="293">
        <f>'Moab Projected Emissions'!I30</f>
        <v>0.0011333440630160961</v>
      </c>
      <c r="I19" s="294">
        <f t="shared" si="2"/>
        <v>-0.004424778761061846</v>
      </c>
    </row>
    <row r="20" spans="2:9" ht="12.75">
      <c r="B20" t="str">
        <f>'Moab Projected Emissions'!E32</f>
        <v> Naphthalene</v>
      </c>
      <c r="C20" s="293">
        <f>'Moab Projected Emissions'!F32</f>
        <v>0.05632140514552389</v>
      </c>
      <c r="D20" s="293">
        <f>'Moab Projected Emissions'!G32</f>
        <v>0.04291154677754201</v>
      </c>
      <c r="E20" s="292">
        <f t="shared" si="0"/>
        <v>-0.23809523809523808</v>
      </c>
      <c r="F20" s="293">
        <f>'Moab Projected Emissions'!H32</f>
        <v>0.05632140514552389</v>
      </c>
      <c r="G20" s="292">
        <f t="shared" si="1"/>
        <v>0</v>
      </c>
      <c r="H20" s="293">
        <f>'Moab Projected Emissions'!I32</f>
        <v>0.05632140514552389</v>
      </c>
      <c r="I20" s="294">
        <f t="shared" si="2"/>
        <v>0</v>
      </c>
    </row>
    <row r="21" spans="2:9" ht="12.75">
      <c r="B21" t="str">
        <f>'Moab Projected Emissions'!E33</f>
        <v>Toluene</v>
      </c>
      <c r="C21" s="295">
        <f>'Moab Projected Emissions'!F33</f>
        <v>454.67142176457565</v>
      </c>
      <c r="D21" s="295">
        <f>'Moab Projected Emissions'!G33</f>
        <v>269.63613274736304</v>
      </c>
      <c r="E21" s="292">
        <f t="shared" si="0"/>
        <v>-0.4069648545296565</v>
      </c>
      <c r="F21" s="295">
        <f>'Moab Projected Emissions'!H33</f>
        <v>436.57733741937955</v>
      </c>
      <c r="G21" s="292">
        <f t="shared" si="1"/>
        <v>-0.03979595699015595</v>
      </c>
      <c r="H21" s="295">
        <f>'Moab Projected Emissions'!I33</f>
        <v>452.66096794844276</v>
      </c>
      <c r="I21" s="294">
        <f t="shared" si="2"/>
        <v>-0.004421772998906203</v>
      </c>
    </row>
    <row r="22" spans="2:9" ht="12.75">
      <c r="B22" t="str">
        <f>'Moab Projected Emissions'!E34</f>
        <v>Xylenes</v>
      </c>
      <c r="C22" s="295">
        <f>'Moab Projected Emissions'!F34</f>
        <v>858.3796852279971</v>
      </c>
      <c r="D22" s="295">
        <f>'Moab Projected Emissions'!G34</f>
        <v>508.9743245697123</v>
      </c>
      <c r="E22" s="292">
        <f t="shared" si="0"/>
        <v>-0.40705222487351633</v>
      </c>
      <c r="F22" s="295">
        <f>'Moab Projected Emissions'!H34</f>
        <v>824.2019703537378</v>
      </c>
      <c r="G22" s="292">
        <f t="shared" si="1"/>
        <v>-0.03981654675946957</v>
      </c>
      <c r="H22" s="295">
        <f>'Moab Projected Emissions'!I34</f>
        <v>854.5821613530795</v>
      </c>
      <c r="I22" s="294">
        <f t="shared" si="2"/>
        <v>-0.004424060751052057</v>
      </c>
    </row>
    <row r="23" spans="2:9" ht="12.75">
      <c r="B23" t="str">
        <f>'Moab Projected Emissions'!E35</f>
        <v>Other HAPS</v>
      </c>
      <c r="C23" s="293">
        <f>'Moab Projected Emissions'!F35</f>
        <v>13.807100116432874</v>
      </c>
      <c r="D23" s="293">
        <f>'Moab Projected Emissions'!G35</f>
        <v>10.519695326805998</v>
      </c>
      <c r="E23" s="292">
        <f t="shared" si="0"/>
        <v>-0.2380952380952382</v>
      </c>
      <c r="F23" s="293">
        <f>'Moab Projected Emissions'!H35</f>
        <v>13.807100116432874</v>
      </c>
      <c r="G23" s="292">
        <f t="shared" si="1"/>
        <v>0</v>
      </c>
      <c r="H23" s="293">
        <f>'Moab Projected Emissions'!I35</f>
        <v>13.807100116432874</v>
      </c>
      <c r="I23" s="294">
        <f t="shared" si="2"/>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egaddis</dc:creator>
  <cp:keywords/>
  <dc:description/>
  <cp:lastModifiedBy>egaddis</cp:lastModifiedBy>
  <cp:lastPrinted>2008-03-26T19:50:57Z</cp:lastPrinted>
  <dcterms:created xsi:type="dcterms:W3CDTF">2007-08-23T03:38:21Z</dcterms:created>
  <dcterms:modified xsi:type="dcterms:W3CDTF">2008-08-13T22:29:57Z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