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4365" tabRatio="835" activeTab="0"/>
  </bookViews>
  <sheets>
    <sheet name="Programmable Thermostat Savings" sheetId="1" r:id="rId1"/>
    <sheet name="Assumptions" sheetId="2" r:id="rId2"/>
  </sheets>
  <definedNames>
    <definedName name="_xlfn.AVERAGEIF" hidden="1">#NAME?</definedName>
    <definedName name="_xlnm.Print_Area" localSheetId="1">'Assumptions'!$B$1:$E$277</definedName>
    <definedName name="_xlnm.Print_Area" localSheetId="0">'Programmable Thermostat Savings'!$A$1:$N$63</definedName>
    <definedName name="_xlnm.Print_Titles" localSheetId="1">'Assumptions'!$1:$3</definedName>
  </definedNames>
  <calcPr fullCalcOnLoad="1"/>
</workbook>
</file>

<file path=xl/sharedStrings.xml><?xml version="1.0" encoding="utf-8"?>
<sst xmlns="http://schemas.openxmlformats.org/spreadsheetml/2006/main" count="617" uniqueCount="358">
  <si>
    <t>Total</t>
  </si>
  <si>
    <t>Category</t>
  </si>
  <si>
    <t>Value</t>
  </si>
  <si>
    <t>Data Source</t>
  </si>
  <si>
    <t>Usage</t>
  </si>
  <si>
    <t>Carbon Dioxide Emissions Factors</t>
  </si>
  <si>
    <t>This energy savings calculator was developed by the U.S. EPA and U.S. DOE and is provided for estimating purposes only.  Actual energy savings may vary based on use and other factors.</t>
  </si>
  <si>
    <t>AK-Anchorage</t>
  </si>
  <si>
    <t>AK-Barrow</t>
  </si>
  <si>
    <t>AK-Fairbanks</t>
  </si>
  <si>
    <t>AK-Juneau</t>
  </si>
  <si>
    <t>AK-Nome</t>
  </si>
  <si>
    <t>AL-Huntsville</t>
  </si>
  <si>
    <t>AL-Mobile</t>
  </si>
  <si>
    <t>AL-Montgomery</t>
  </si>
  <si>
    <t>AR-Fort Smith</t>
  </si>
  <si>
    <t>AR-Little Rock</t>
  </si>
  <si>
    <t>AZ-Flagstaff</t>
  </si>
  <si>
    <t>AZ-Phoenix</t>
  </si>
  <si>
    <t>AZ-Tucson</t>
  </si>
  <si>
    <t>AZ-Winslow</t>
  </si>
  <si>
    <t>AZ-Yuma</t>
  </si>
  <si>
    <t>CA-Beverly Hills</t>
  </si>
  <si>
    <t>CA-Los Angeles</t>
  </si>
  <si>
    <t>CA-Palm Springs</t>
  </si>
  <si>
    <t>CA-Sacramento</t>
  </si>
  <si>
    <t>CA-San Diego</t>
  </si>
  <si>
    <t>CA-San Francisco</t>
  </si>
  <si>
    <t>CA-Stockton</t>
  </si>
  <si>
    <t>CO-Alamosa</t>
  </si>
  <si>
    <t>CO-Denver</t>
  </si>
  <si>
    <t>CO-Grand Junction</t>
  </si>
  <si>
    <t>CO-Pueblo</t>
  </si>
  <si>
    <t>CT-Bridgeport</t>
  </si>
  <si>
    <t>CT-Hartford</t>
  </si>
  <si>
    <t>DC-Washington</t>
  </si>
  <si>
    <t>DE-Wilmington</t>
  </si>
  <si>
    <t>FL-Daytona Beach</t>
  </si>
  <si>
    <t>FL-Fort Myers</t>
  </si>
  <si>
    <t>FL-Gainesville</t>
  </si>
  <si>
    <t>FL-Jacksonville</t>
  </si>
  <si>
    <t>FL-Key West</t>
  </si>
  <si>
    <t>FL-Miami</t>
  </si>
  <si>
    <t>FL-Orlando</t>
  </si>
  <si>
    <t>FL-Pensacola</t>
  </si>
  <si>
    <t>FL-Tallahassee</t>
  </si>
  <si>
    <t>FL-Tampa</t>
  </si>
  <si>
    <t>FL-W. Palm Beach</t>
  </si>
  <si>
    <t>GA-Athens</t>
  </si>
  <si>
    <t>GA-Atlanta</t>
  </si>
  <si>
    <t>GA-Augusta</t>
  </si>
  <si>
    <t>GA-Columbus</t>
  </si>
  <si>
    <t>GA-Macon</t>
  </si>
  <si>
    <t>GA-Savannah</t>
  </si>
  <si>
    <t>HI-Hilo</t>
  </si>
  <si>
    <t>HI-Honolulu</t>
  </si>
  <si>
    <t>IA-Des Moines</t>
  </si>
  <si>
    <t>IA-Dubuque</t>
  </si>
  <si>
    <t>IA-Sioux City</t>
  </si>
  <si>
    <t>IA-Waterloo</t>
  </si>
  <si>
    <t>ID-Boise</t>
  </si>
  <si>
    <t>ID-Lewiston</t>
  </si>
  <si>
    <t>ID-Pocatello</t>
  </si>
  <si>
    <t>IL-Chicago</t>
  </si>
  <si>
    <t>IL-Moline</t>
  </si>
  <si>
    <t>IL-Peoria</t>
  </si>
  <si>
    <t>IL-Rockford</t>
  </si>
  <si>
    <t>IL-Springfield</t>
  </si>
  <si>
    <t>AL-Birmingham</t>
  </si>
  <si>
    <t>CO-Colorado Springs</t>
  </si>
  <si>
    <r>
      <t>CO</t>
    </r>
    <r>
      <rPr>
        <b/>
        <vertAlign val="subscript"/>
        <sz val="11"/>
        <rFont val="Univers"/>
        <family val="2"/>
      </rPr>
      <t>2</t>
    </r>
    <r>
      <rPr>
        <b/>
        <sz val="11"/>
        <rFont val="Univers"/>
        <family val="2"/>
      </rPr>
      <t xml:space="preserve"> Equivalents</t>
    </r>
  </si>
  <si>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</si>
  <si>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</si>
  <si>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t>City</t>
  </si>
  <si>
    <t>Heating System Type</t>
  </si>
  <si>
    <t>Gas Furnace</t>
  </si>
  <si>
    <t>Gas Boiler</t>
  </si>
  <si>
    <t>Oil Furnace</t>
  </si>
  <si>
    <t>Oil Boiler</t>
  </si>
  <si>
    <t>Central AC</t>
  </si>
  <si>
    <t>Cooling System Type</t>
  </si>
  <si>
    <t>Number of Units</t>
  </si>
  <si>
    <t>Control Matrix</t>
  </si>
  <si>
    <t>Unit Fuel Cost (Cooling) ($/kWh)</t>
  </si>
  <si>
    <t>$/MBTU</t>
  </si>
  <si>
    <t>None</t>
  </si>
  <si>
    <t>Efficiency</t>
  </si>
  <si>
    <t>kWh</t>
  </si>
  <si>
    <t>gallons</t>
  </si>
  <si>
    <t>Technology</t>
  </si>
  <si>
    <t>in MBTU's</t>
  </si>
  <si>
    <t>Units(2)</t>
  </si>
  <si>
    <t>LBNL 2004, Average of ENERGY STAR and Conventional</t>
  </si>
  <si>
    <t>Reference Degree Days (Heating/Cooling)</t>
  </si>
  <si>
    <t>Energy Prices</t>
  </si>
  <si>
    <t>Fuel Oil ($/Gallon)</t>
  </si>
  <si>
    <t>Central Air Conditioner</t>
  </si>
  <si>
    <t>Baseline Energy Consumption (MBTU)</t>
  </si>
  <si>
    <t>CO2 Offset</t>
  </si>
  <si>
    <t>Thermostat Savings</t>
  </si>
  <si>
    <t>IN-Evansville</t>
  </si>
  <si>
    <t>IN-Fort Wayne</t>
  </si>
  <si>
    <t>IN-Indianapolis</t>
  </si>
  <si>
    <t>IN-South Bend</t>
  </si>
  <si>
    <t>KS-Dodge City</t>
  </si>
  <si>
    <t>KS-Goodland</t>
  </si>
  <si>
    <t>KS-Topeka</t>
  </si>
  <si>
    <t>KS-Wichita</t>
  </si>
  <si>
    <t>KY-Lexington</t>
  </si>
  <si>
    <t>KY-Louisville</t>
  </si>
  <si>
    <t>KY-Paducah</t>
  </si>
  <si>
    <t>LA-Baton Rouge</t>
  </si>
  <si>
    <t>LA-Lake Charles</t>
  </si>
  <si>
    <t>LA-New Orleans</t>
  </si>
  <si>
    <t>LA-Shreveport</t>
  </si>
  <si>
    <t>MA-Boston</t>
  </si>
  <si>
    <t>MA-Worcester</t>
  </si>
  <si>
    <t>MD-Baltimore</t>
  </si>
  <si>
    <t>ME-Caribou</t>
  </si>
  <si>
    <t>ME-Portland</t>
  </si>
  <si>
    <t>MI-Alpena</t>
  </si>
  <si>
    <t>MI-Detroit</t>
  </si>
  <si>
    <t>MI-Flint</t>
  </si>
  <si>
    <t>MI-Grand Rapids</t>
  </si>
  <si>
    <t>MI-Lansing</t>
  </si>
  <si>
    <t>MI-Marquette</t>
  </si>
  <si>
    <t>MI-Muskegon</t>
  </si>
  <si>
    <t>MI-Sault St Marie</t>
  </si>
  <si>
    <t>MN-Duluth</t>
  </si>
  <si>
    <t>MN-International Falls</t>
  </si>
  <si>
    <t>MN-Minneapolis</t>
  </si>
  <si>
    <t>MN-Rochester</t>
  </si>
  <si>
    <t>MN-St. Cloud</t>
  </si>
  <si>
    <t>MO-Columbia</t>
  </si>
  <si>
    <t>MO-Kansas City</t>
  </si>
  <si>
    <t>MO-Springfield</t>
  </si>
  <si>
    <t>MO-St. Louis</t>
  </si>
  <si>
    <t>MS-Jackson</t>
  </si>
  <si>
    <t>MS-Meridian</t>
  </si>
  <si>
    <t>MS-Tupelo</t>
  </si>
  <si>
    <t>MT-Billings</t>
  </si>
  <si>
    <t>MT-Glasgow</t>
  </si>
  <si>
    <t>MT-Great Falls</t>
  </si>
  <si>
    <t>MT-Havre</t>
  </si>
  <si>
    <t>MT-Helena</t>
  </si>
  <si>
    <t>MT-Kalispell</t>
  </si>
  <si>
    <t>MT-Miles city</t>
  </si>
  <si>
    <t>MT-Missoula</t>
  </si>
  <si>
    <t>NC-Asheville</t>
  </si>
  <si>
    <t>NC-Charlotte</t>
  </si>
  <si>
    <t>NC-Greensboro</t>
  </si>
  <si>
    <t>NC-Raleigh</t>
  </si>
  <si>
    <t>NC-Wilmington</t>
  </si>
  <si>
    <t>ND-Bismarck</t>
  </si>
  <si>
    <t>ND-Fargo</t>
  </si>
  <si>
    <t>ND-Williston</t>
  </si>
  <si>
    <t>NE-Grand Island</t>
  </si>
  <si>
    <t>NE-Lincoln</t>
  </si>
  <si>
    <t>NE-Norfolk</t>
  </si>
  <si>
    <t>NE-North Platte</t>
  </si>
  <si>
    <t>NE-Omaha</t>
  </si>
  <si>
    <t>NE-Scottsbluff</t>
  </si>
  <si>
    <t>NH-Concord</t>
  </si>
  <si>
    <t>NJ-Atlantic City</t>
  </si>
  <si>
    <t>NJ-Newark</t>
  </si>
  <si>
    <t>NM-Albuquerque</t>
  </si>
  <si>
    <t>NM-Roswell</t>
  </si>
  <si>
    <t>NV-Elko</t>
  </si>
  <si>
    <t>NV-Ely</t>
  </si>
  <si>
    <t>NV-Las Vegas</t>
  </si>
  <si>
    <t>NV-Reno</t>
  </si>
  <si>
    <t>NV-Winnemucca</t>
  </si>
  <si>
    <t>NY-Albany</t>
  </si>
  <si>
    <t>NY-Binghamton</t>
  </si>
  <si>
    <t>NY-Buffalo</t>
  </si>
  <si>
    <t>NY-New York</t>
  </si>
  <si>
    <t>NY-Rochester</t>
  </si>
  <si>
    <t>NY-Syracuse</t>
  </si>
  <si>
    <t>OH-Akron</t>
  </si>
  <si>
    <t>OH-Cincinnati</t>
  </si>
  <si>
    <t>OH-Cleveland</t>
  </si>
  <si>
    <t>OH-Columbus</t>
  </si>
  <si>
    <t>OH-Dayton</t>
  </si>
  <si>
    <t>OH-Mansfield</t>
  </si>
  <si>
    <t>OH-Toledo</t>
  </si>
  <si>
    <t>OH-Youngstown</t>
  </si>
  <si>
    <t>OK-Oklahoma City</t>
  </si>
  <si>
    <t>OK-Tulsa</t>
  </si>
  <si>
    <t>OR-Astoria</t>
  </si>
  <si>
    <t>OR-Eugene</t>
  </si>
  <si>
    <t>OR-Medford</t>
  </si>
  <si>
    <t>OR-Pendleton</t>
  </si>
  <si>
    <t>OR-Portland</t>
  </si>
  <si>
    <t>OR-Salem</t>
  </si>
  <si>
    <t>PA-Allentown</t>
  </si>
  <si>
    <t>PA-Erie</t>
  </si>
  <si>
    <t>PA-Harrisburg</t>
  </si>
  <si>
    <t>PA-Philadelphia</t>
  </si>
  <si>
    <t>PA-Pittsburgh</t>
  </si>
  <si>
    <t>PA-Scranton</t>
  </si>
  <si>
    <t>PA-Williamsport</t>
  </si>
  <si>
    <t>RI-Providence</t>
  </si>
  <si>
    <t>SC-Charleston</t>
  </si>
  <si>
    <t>SC-Columbia</t>
  </si>
  <si>
    <t>SC-Greenville</t>
  </si>
  <si>
    <t>SD-Aberdeen</t>
  </si>
  <si>
    <t>SD-Huron</t>
  </si>
  <si>
    <t>SD-Rapid City</t>
  </si>
  <si>
    <t>SD-Sioux Falls</t>
  </si>
  <si>
    <t>TN-Bristol</t>
  </si>
  <si>
    <t>TN-Chattanooga</t>
  </si>
  <si>
    <t>TN-Knoxville</t>
  </si>
  <si>
    <t>TN-Memphis</t>
  </si>
  <si>
    <t>TN-Nashville</t>
  </si>
  <si>
    <t>TX-Abilene</t>
  </si>
  <si>
    <t>TX-Amarillo</t>
  </si>
  <si>
    <t>TX-Austin</t>
  </si>
  <si>
    <t>TX-Brownsville</t>
  </si>
  <si>
    <t>TX-Corpus Christi</t>
  </si>
  <si>
    <t>TX-Dallas</t>
  </si>
  <si>
    <t>TX-Del Rio</t>
  </si>
  <si>
    <t>TX-El Paso</t>
  </si>
  <si>
    <t>TX-Galveston</t>
  </si>
  <si>
    <t>TX-Houston</t>
  </si>
  <si>
    <t>TX-Lubbock</t>
  </si>
  <si>
    <t>TX-Midland</t>
  </si>
  <si>
    <t>TX-Port Arthur</t>
  </si>
  <si>
    <t>TX-San Angelo</t>
  </si>
  <si>
    <t>TX-San Antonio</t>
  </si>
  <si>
    <t>TX-Victoria</t>
  </si>
  <si>
    <t>TX-Waco</t>
  </si>
  <si>
    <t>TX-Wichita Falls</t>
  </si>
  <si>
    <t>UT-Salt Lake City</t>
  </si>
  <si>
    <t>VA-Lynchburg</t>
  </si>
  <si>
    <t>VA-Norfolk</t>
  </si>
  <si>
    <t>VA-Richmond</t>
  </si>
  <si>
    <t>VA-Roanoke</t>
  </si>
  <si>
    <t>VT-Burlington</t>
  </si>
  <si>
    <t>WA-Olympia</t>
  </si>
  <si>
    <t>WA-Seattle</t>
  </si>
  <si>
    <t>WA-Spokane</t>
  </si>
  <si>
    <t>WA-Walla Walla</t>
  </si>
  <si>
    <t>WA-Yakima</t>
  </si>
  <si>
    <t>WI-Green Bay</t>
  </si>
  <si>
    <t>WI-La Crosse</t>
  </si>
  <si>
    <t>WI-Madison</t>
  </si>
  <si>
    <t>WI-Milwaukee</t>
  </si>
  <si>
    <t>WV-Beckley</t>
  </si>
  <si>
    <t>WV-Charleston</t>
  </si>
  <si>
    <t>WV-Elkins</t>
  </si>
  <si>
    <t>WV-Huntington</t>
  </si>
  <si>
    <t>WY-Casper</t>
  </si>
  <si>
    <t>WY-Cheyenne</t>
  </si>
  <si>
    <t>WY-Lander</t>
  </si>
  <si>
    <t>WY-Sheridan</t>
  </si>
  <si>
    <t>For Selected City</t>
  </si>
  <si>
    <t>Simple payback of initial cost (years)</t>
  </si>
  <si>
    <t>Consumption</t>
  </si>
  <si>
    <t>Adjusted Consumption (1)</t>
  </si>
  <si>
    <t>1. Consumption normalized to reflect the efficiencies of different heating/cooling technology</t>
  </si>
  <si>
    <t>2. TCF=Thousand Cubic Feet</t>
  </si>
  <si>
    <t>TCF</t>
  </si>
  <si>
    <t>Avg. HDD's</t>
  </si>
  <si>
    <t>Avg. CDD's</t>
  </si>
  <si>
    <t>Cost/Unit</t>
  </si>
  <si>
    <t>Heating Setpoint (Weighted Average)</t>
  </si>
  <si>
    <t>Cooling Setpoint (Weighted Average)</t>
  </si>
  <si>
    <t>Natural Gas ($/Therm)</t>
  </si>
  <si>
    <t>in TCF</t>
  </si>
  <si>
    <t>in Therms</t>
  </si>
  <si>
    <t>(for gas)</t>
  </si>
  <si>
    <t>Assumptions for  Programmable Thermostats</t>
  </si>
  <si>
    <t>Heating/Cooling System Efficiencies</t>
  </si>
  <si>
    <t xml:space="preserve"> </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</si>
  <si>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</si>
  <si>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</si>
  <si>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</si>
  <si>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</si>
  <si>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</si>
  <si>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</si>
  <si>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</si>
  <si>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Savings</t>
  </si>
  <si>
    <t xml:space="preserve"> Savings with ENERGY STAR</t>
  </si>
  <si>
    <t>Annual Energy Costs</t>
  </si>
  <si>
    <t>Total Savings</t>
  </si>
  <si>
    <t>Electricity Carbon Emission Factor</t>
  </si>
  <si>
    <t>Gas Carbon Emission Factor</t>
  </si>
  <si>
    <t>Oil Carbon Emission Factor</t>
  </si>
  <si>
    <r>
      <t>lbs CO</t>
    </r>
    <r>
      <rPr>
        <vertAlign val="subscript"/>
        <sz val="10"/>
        <rFont val="Univers"/>
        <family val="2"/>
      </rPr>
      <t>2</t>
    </r>
    <r>
      <rPr>
        <sz val="10"/>
        <rFont val="Univers"/>
        <family val="2"/>
      </rPr>
      <t>/kWh</t>
    </r>
  </si>
  <si>
    <t>Heating Energy Consumption (MBTU)</t>
  </si>
  <si>
    <t>Cooling Energy Cost</t>
  </si>
  <si>
    <t>Thermostat Lifetime</t>
  </si>
  <si>
    <t>years</t>
  </si>
  <si>
    <t>Heating Energy Cost</t>
  </si>
  <si>
    <t>Typical Indoor Temperature (Cooling Season)</t>
  </si>
  <si>
    <t>Typical Indoor Temperature (Heating Season)</t>
  </si>
  <si>
    <t>Life Cycle Costs</t>
  </si>
  <si>
    <t>Energy Costs</t>
  </si>
  <si>
    <t>Heating Energy Costs</t>
  </si>
  <si>
    <t>Cooling Energy Costs</t>
  </si>
  <si>
    <t>Discount Rate</t>
  </si>
  <si>
    <t>Commercial and Residential Discount Rate (real)</t>
  </si>
  <si>
    <t>A real discount rate of 4 percent is assumed, which is roughly equivalent to the nominal discount rate of 7 percent (4 percent real discount rate + 3 percent inflation rate).</t>
  </si>
  <si>
    <t>Life Cycle Cost Estimate for</t>
  </si>
  <si>
    <t>Cooling Energy Consumption (MBTU)</t>
  </si>
  <si>
    <t>Original</t>
  </si>
  <si>
    <t>Savings per Degree of Setback (Heating Season)</t>
  </si>
  <si>
    <t>Savings per Degree of Setback (Cooling Season)</t>
  </si>
  <si>
    <t>DOE 2001</t>
  </si>
  <si>
    <t>Industry Data 2004</t>
  </si>
  <si>
    <t>Heating</t>
  </si>
  <si>
    <t>Cooling</t>
  </si>
  <si>
    <t>EPA 2002</t>
  </si>
  <si>
    <t>MBTU/Unit</t>
  </si>
  <si>
    <t>Weekday</t>
  </si>
  <si>
    <t>Weekend</t>
  </si>
  <si>
    <r>
      <t xml:space="preserve">ENERGY STAR Programmable Thermostat Eligibility Criteria. Pre-programmed settings for heating include a morning and evening temperature </t>
    </r>
    <r>
      <rPr>
        <sz val="10"/>
        <rFont val="Arial"/>
        <family val="2"/>
      </rPr>
      <t>≤</t>
    </r>
    <r>
      <rPr>
        <sz val="10"/>
        <rFont val="Univers"/>
        <family val="2"/>
      </rPr>
      <t>70°F and an adjustment of at least 8</t>
    </r>
    <r>
      <rPr>
        <sz val="10"/>
        <rFont val="Courier New"/>
        <family val="3"/>
      </rPr>
      <t>°</t>
    </r>
    <r>
      <rPr>
        <sz val="10"/>
        <rFont val="Univers"/>
        <family val="2"/>
      </rPr>
      <t>F (≤62°F) during daytime and nighttime.</t>
    </r>
  </si>
  <si>
    <r>
      <t xml:space="preserve">ENERGY STAR Programmable Thermostat Eligibility Criteria. Pre-programmed settings for cooling include a morning and evening temperature </t>
    </r>
    <r>
      <rPr>
        <sz val="10"/>
        <rFont val="Arial"/>
        <family val="2"/>
      </rPr>
      <t>≥</t>
    </r>
    <r>
      <rPr>
        <sz val="10"/>
        <rFont val="Univers"/>
        <family val="2"/>
      </rPr>
      <t>78°F and an adjustment of at least 7</t>
    </r>
    <r>
      <rPr>
        <sz val="10"/>
        <rFont val="Courier New"/>
        <family val="3"/>
      </rPr>
      <t>°</t>
    </r>
    <r>
      <rPr>
        <sz val="10"/>
        <rFont val="Univers"/>
        <family val="2"/>
      </rPr>
      <t>F (≥85°F) during daytime and an adjustment of at least 4°F (≥82°F) at nighttime.</t>
    </r>
  </si>
  <si>
    <t>Heating Season*</t>
  </si>
  <si>
    <t>Cooling Season*</t>
  </si>
  <si>
    <t>Enter your own values in the gray boxes or use our default values.</t>
  </si>
  <si>
    <t xml:space="preserve">24 Hour Typical Usage Patterns* </t>
  </si>
  <si>
    <t>Typical Indoor Temperature w/o Set-Up</t>
  </si>
  <si>
    <t>Typical Indoor Temperature w/o Set-Back</t>
  </si>
  <si>
    <t>Daytime Hours</t>
  </si>
  <si>
    <t>Nighttime Hours</t>
  </si>
  <si>
    <t>Initial Cost</t>
  </si>
  <si>
    <t>ENERGY STAR Programmable Thermostat</t>
  </si>
  <si>
    <t>Conventional Thermostat</t>
  </si>
  <si>
    <t>Initial Cost per ENERGY STAR Unit (retail price)</t>
  </si>
  <si>
    <t>Initial Cost per Conventional Unit (retail price)</t>
  </si>
  <si>
    <t>Initial cost difference</t>
  </si>
  <si>
    <t xml:space="preserve">*All temperatures are in degrees Fahrenheit. Setpoint is defined as the temperature setting for any given time period. Set-back temperature is defined as the lower setpoint temperature for the energy-savings periods during the heating season, generally nighttime and daytime. Set-up temperature is defined as the higher setpoint temperature for the energy-savings periods during the cooling season, generally nighttime and daytime. </t>
  </si>
  <si>
    <t>Nighttime Set-Back/Set-Up Hours</t>
  </si>
  <si>
    <t>Daytime Set-Back/Set-Up Hours</t>
  </si>
  <si>
    <t>Hours without Set-Back/Set-Up</t>
  </si>
  <si>
    <t>Nighttime Set-Up Temperature (Average)</t>
  </si>
  <si>
    <t>Daytime Set-Up Temperature (Average)</t>
  </si>
  <si>
    <t>Nighttime Set-Back Temperature (Average)</t>
  </si>
  <si>
    <t>Daytime Set-Back Temperature (Average)</t>
  </si>
  <si>
    <t>Life cycle energy saved (MBTU)-includes both Heating and Cooling</t>
  </si>
  <si>
    <t>Not Used</t>
  </si>
  <si>
    <r>
      <t>lbs CO</t>
    </r>
    <r>
      <rPr>
        <vertAlign val="subscript"/>
        <sz val="10"/>
        <rFont val="Univers"/>
        <family val="2"/>
      </rPr>
      <t>2</t>
    </r>
    <r>
      <rPr>
        <sz val="10"/>
        <rFont val="Univers"/>
        <family val="2"/>
      </rPr>
      <t>/MBtu</t>
    </r>
  </si>
  <si>
    <t>Electric Price (Residential)</t>
  </si>
  <si>
    <t>$/kWh</t>
  </si>
  <si>
    <t>$/gal</t>
  </si>
  <si>
    <t>$/Therm</t>
  </si>
  <si>
    <t xml:space="preserve">For questions or comments, please send your email to: </t>
  </si>
  <si>
    <t>Escalcs@cadmusgroup.com</t>
  </si>
  <si>
    <r>
      <t>lbs CO</t>
    </r>
    <r>
      <rPr>
        <vertAlign val="subscript"/>
        <sz val="10"/>
        <rFont val="Univers"/>
        <family val="2"/>
      </rPr>
      <t>2</t>
    </r>
    <r>
      <rPr>
        <sz val="10"/>
        <rFont val="Univers"/>
        <family val="2"/>
      </rPr>
      <t>/acre-yr</t>
    </r>
  </si>
  <si>
    <t>LBNL 2007</t>
  </si>
  <si>
    <t>EPA 2007</t>
  </si>
  <si>
    <t>Industry Data 2008</t>
  </si>
  <si>
    <t>Climate Data Heating and Cooling Degree Days</t>
  </si>
  <si>
    <t>Default shipped setting, ENERGY STAR specification</t>
  </si>
  <si>
    <t>EIA 2008</t>
  </si>
  <si>
    <t>EPA 2008</t>
  </si>
  <si>
    <t>updated 08/08</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</si>
</sst>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0;[Red]&quot;$&quot;#,##0.000"/>
    <numFmt numFmtId="179" formatCode="0.0000"/>
    <numFmt numFmtId="180" formatCode="_(* #,##0.0_);_(* \(#,##0.0\);_(* &quot;-&quot;?_);_(@_)"/>
    <numFmt numFmtId="181" formatCode="&quot;Yes&quot;;&quot;Yes&quot;;&quot;No&quot;"/>
    <numFmt numFmtId="182" formatCode="&quot;True&quot;;&quot;True&quot;;&quot;False&quot;"/>
    <numFmt numFmtId="183" formatCode="&quot;On&quot;;&quot;On&quot;;&quot;Off&quot;"/>
    <numFmt numFmtId="184" formatCode="[$€-2]\ #,##0.00_);[Red]\([$€-2]\ #,##0.00\)"/>
    <numFmt numFmtId="185" formatCode="&quot;$&quot;#,##0.0000"/>
  </numFmts>
  <fonts count="44">
    <font>
      <sz val="10"/>
      <name val="Arial"/>
      <family val="0"/>
    </font>
    <font>
      <sz val="10"/>
      <name val="Univers"/>
      <family val="2"/>
    </font>
    <font>
      <i/>
      <sz val="10"/>
      <name val="Univers"/>
      <family val="2"/>
    </font>
    <font>
      <b/>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2"/>
    </font>
    <font>
      <b/>
      <sz val="14"/>
      <color indexed="48"/>
      <name val="Univers"/>
      <family val="2"/>
    </font>
    <font>
      <b/>
      <sz val="12"/>
      <color indexed="48"/>
      <name val="Univers"/>
      <family val="2"/>
    </font>
    <font>
      <b/>
      <u val="single"/>
      <sz val="11"/>
      <name val="Univers"/>
      <family val="2"/>
    </font>
    <font>
      <sz val="9"/>
      <name val="Univers"/>
      <family val="2"/>
    </font>
    <font>
      <u val="single"/>
      <sz val="10"/>
      <color indexed="12"/>
      <name val="Arial"/>
      <family val="2"/>
    </font>
    <font>
      <b/>
      <sz val="12"/>
      <name val="Univers"/>
      <family val="2"/>
    </font>
    <font>
      <b/>
      <vertAlign val="subscript"/>
      <sz val="11"/>
      <name val="Univers"/>
      <family val="2"/>
    </font>
    <font>
      <i/>
      <sz val="10"/>
      <color indexed="10"/>
      <name val="Univers"/>
      <family val="2"/>
    </font>
    <font>
      <b/>
      <sz val="12"/>
      <color indexed="10"/>
      <name val="Univers"/>
      <family val="2"/>
    </font>
    <font>
      <sz val="10"/>
      <color indexed="9"/>
      <name val="Univers"/>
      <family val="2"/>
    </font>
    <font>
      <sz val="10"/>
      <color indexed="47"/>
      <name val="Univers"/>
      <family val="2"/>
    </font>
    <font>
      <sz val="11"/>
      <name val="Arial"/>
      <family val="2"/>
    </font>
    <font>
      <sz val="10"/>
      <name val="Courier New"/>
      <family val="3"/>
    </font>
    <font>
      <sz val="10"/>
      <color indexed="60"/>
      <name val="Univers"/>
      <family val="2"/>
    </font>
    <font>
      <sz val="10"/>
      <color indexed="10"/>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Univers"/>
      <family val="2"/>
    </font>
    <font>
      <sz val="8"/>
      <name val="Tahoma"/>
      <family val="2"/>
    </font>
    <font>
      <sz val="8"/>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thin"/>
      <right style="thin"/>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27">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5" fillId="0" borderId="0" xfId="0" applyFont="1" applyAlignment="1">
      <alignment horizontal="center" wrapText="1"/>
    </xf>
    <xf numFmtId="0" fontId="3" fillId="7" borderId="17"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6" fillId="0" borderId="0" xfId="0" applyFont="1" applyAlignment="1" applyProtection="1">
      <alignment/>
      <protection/>
    </xf>
    <xf numFmtId="0" fontId="3" fillId="4" borderId="17" xfId="0" applyFont="1" applyFill="1" applyBorder="1" applyAlignment="1" applyProtection="1">
      <alignment horizontal="center" wrapText="1"/>
      <protection/>
    </xf>
    <xf numFmtId="0" fontId="3" fillId="4" borderId="11" xfId="0" applyFont="1" applyFill="1" applyBorder="1" applyAlignment="1" applyProtection="1">
      <alignment/>
      <protection/>
    </xf>
    <xf numFmtId="167" fontId="3" fillId="4" borderId="0" xfId="0" applyNumberFormat="1"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18" xfId="0" applyNumberFormat="1" applyFont="1" applyFill="1" applyBorder="1" applyAlignment="1" applyProtection="1">
      <alignment/>
      <protection locked="0"/>
    </xf>
    <xf numFmtId="168" fontId="8" fillId="4" borderId="0" xfId="0" applyNumberFormat="1" applyFont="1" applyFill="1" applyBorder="1" applyAlignment="1" applyProtection="1">
      <alignment horizontal="right"/>
      <protection/>
    </xf>
    <xf numFmtId="166" fontId="1" fillId="20" borderId="18" xfId="0" applyNumberFormat="1" applyFont="1" applyFill="1" applyBorder="1" applyAlignment="1" applyProtection="1">
      <alignment horizontal="right"/>
      <protection locked="0"/>
    </xf>
    <xf numFmtId="3" fontId="1" fillId="20" borderId="18" xfId="0" applyNumberFormat="1" applyFont="1" applyFill="1" applyBorder="1" applyAlignment="1" applyProtection="1">
      <alignment horizontal="right"/>
      <protection locked="0"/>
    </xf>
    <xf numFmtId="0" fontId="1" fillId="0" borderId="19" xfId="0" applyFont="1" applyFill="1" applyBorder="1" applyAlignment="1" applyProtection="1">
      <alignment/>
      <protection/>
    </xf>
    <xf numFmtId="3" fontId="1" fillId="7" borderId="0" xfId="0" applyNumberFormat="1" applyFont="1" applyFill="1" applyBorder="1" applyAlignment="1" applyProtection="1">
      <alignment/>
      <protection/>
    </xf>
    <xf numFmtId="0" fontId="2" fillId="4" borderId="0" xfId="0" applyFont="1" applyFill="1" applyBorder="1" applyAlignment="1" applyProtection="1">
      <alignment/>
      <protection/>
    </xf>
    <xf numFmtId="0" fontId="2" fillId="4" borderId="12" xfId="0" applyFont="1" applyFill="1" applyBorder="1" applyAlignment="1" applyProtection="1">
      <alignment/>
      <protection/>
    </xf>
    <xf numFmtId="175" fontId="1" fillId="7" borderId="0" xfId="0" applyNumberFormat="1" applyFont="1" applyFill="1" applyBorder="1" applyAlignment="1" applyProtection="1">
      <alignment/>
      <protection/>
    </xf>
    <xf numFmtId="0" fontId="1" fillId="0" borderId="0" xfId="0" applyFont="1" applyBorder="1" applyAlignment="1" applyProtection="1">
      <alignment/>
      <protection/>
    </xf>
    <xf numFmtId="0" fontId="14" fillId="0" borderId="11" xfId="0" applyFont="1" applyBorder="1" applyAlignment="1" applyProtection="1">
      <alignment horizontal="center"/>
      <protection/>
    </xf>
    <xf numFmtId="0" fontId="14" fillId="0" borderId="0" xfId="0" applyFont="1" applyFill="1" applyBorder="1" applyAlignment="1" applyProtection="1">
      <alignment horizontal="center"/>
      <protection/>
    </xf>
    <xf numFmtId="0" fontId="14" fillId="0" borderId="12" xfId="0" applyFont="1" applyFill="1" applyBorder="1" applyAlignment="1" applyProtection="1">
      <alignment horizontal="center"/>
      <protection/>
    </xf>
    <xf numFmtId="0" fontId="8" fillId="0" borderId="11" xfId="0" applyFont="1" applyBorder="1" applyAlignment="1" applyProtection="1">
      <alignment/>
      <protection/>
    </xf>
    <xf numFmtId="0" fontId="3" fillId="0" borderId="15" xfId="0" applyFont="1" applyFill="1" applyBorder="1" applyAlignment="1" applyProtection="1">
      <alignment/>
      <protection/>
    </xf>
    <xf numFmtId="38" fontId="1" fillId="0" borderId="12" xfId="0" applyNumberFormat="1" applyFont="1" applyFill="1" applyBorder="1" applyAlignment="1" applyProtection="1">
      <alignment horizontal="left"/>
      <protection/>
    </xf>
    <xf numFmtId="0" fontId="1" fillId="0" borderId="11" xfId="0" applyFont="1" applyBorder="1" applyAlignment="1" applyProtection="1">
      <alignment horizontal="left" indent="1"/>
      <protection/>
    </xf>
    <xf numFmtId="0" fontId="1" fillId="0" borderId="0" xfId="0" applyNumberFormat="1" applyFont="1" applyAlignment="1" quotePrefix="1">
      <alignment/>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1" fontId="1" fillId="0" borderId="0" xfId="0" applyNumberFormat="1" applyFont="1" applyAlignment="1" applyProtection="1">
      <alignment/>
      <protection/>
    </xf>
    <xf numFmtId="0" fontId="3" fillId="0" borderId="12" xfId="0" applyFont="1" applyFill="1" applyBorder="1" applyAlignment="1" applyProtection="1">
      <alignment/>
      <protection/>
    </xf>
    <xf numFmtId="1" fontId="1" fillId="20" borderId="18" xfId="0" applyNumberFormat="1" applyFont="1" applyFill="1" applyBorder="1" applyAlignment="1" applyProtection="1">
      <alignment horizontal="right"/>
      <protection locked="0"/>
    </xf>
    <xf numFmtId="1" fontId="1" fillId="20" borderId="18" xfId="0" applyNumberFormat="1" applyFont="1" applyFill="1" applyBorder="1" applyAlignment="1" applyProtection="1">
      <alignment horizontal="right"/>
      <protection locked="0"/>
    </xf>
    <xf numFmtId="0" fontId="1" fillId="0" borderId="12" xfId="0" applyFont="1" applyFill="1" applyBorder="1" applyAlignment="1" applyProtection="1">
      <alignment horizontal="left"/>
      <protection/>
    </xf>
    <xf numFmtId="0" fontId="1" fillId="0" borderId="11" xfId="0" applyFont="1" applyFill="1" applyBorder="1" applyAlignment="1" applyProtection="1">
      <alignment horizontal="left" indent="1"/>
      <protection/>
    </xf>
    <xf numFmtId="0" fontId="1" fillId="7" borderId="0" xfId="0" applyFont="1" applyFill="1" applyBorder="1" applyAlignment="1" applyProtection="1">
      <alignment horizontal="left"/>
      <protection/>
    </xf>
    <xf numFmtId="0" fontId="17" fillId="7" borderId="0" xfId="0" applyNumberFormat="1" applyFont="1" applyFill="1" applyBorder="1" applyAlignment="1" applyProtection="1">
      <alignment horizontal="center"/>
      <protection/>
    </xf>
    <xf numFmtId="171" fontId="1" fillId="20" borderId="20" xfId="0" applyNumberFormat="1" applyFont="1" applyFill="1" applyBorder="1" applyAlignment="1" applyProtection="1">
      <alignment horizontal="right"/>
      <protection locked="0"/>
    </xf>
    <xf numFmtId="177" fontId="1" fillId="20" borderId="20" xfId="0" applyNumberFormat="1" applyFont="1" applyFill="1" applyBorder="1" applyAlignment="1" applyProtection="1">
      <alignment/>
      <protection locked="0"/>
    </xf>
    <xf numFmtId="0" fontId="12" fillId="0" borderId="17" xfId="0" applyFont="1" applyBorder="1" applyAlignment="1" applyProtection="1">
      <alignment horizontal="left" wrapText="1"/>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0"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4" borderId="0" xfId="0" applyFont="1" applyFill="1" applyBorder="1" applyAlignment="1" applyProtection="1">
      <alignment horizontal="right"/>
      <protection/>
    </xf>
    <xf numFmtId="0" fontId="8" fillId="0" borderId="13" xfId="0" applyFont="1" applyBorder="1" applyAlignment="1" applyProtection="1">
      <alignment/>
      <protection/>
    </xf>
    <xf numFmtId="0" fontId="1" fillId="0" borderId="11" xfId="0" applyNumberFormat="1" applyFont="1" applyBorder="1" applyAlignment="1" quotePrefix="1">
      <alignment horizontal="left" indent="1"/>
    </xf>
    <xf numFmtId="0" fontId="8" fillId="0" borderId="11" xfId="0" applyFont="1" applyFill="1" applyBorder="1" applyAlignment="1" applyProtection="1">
      <alignment/>
      <protection/>
    </xf>
    <xf numFmtId="0" fontId="1" fillId="0" borderId="12" xfId="0" applyFont="1" applyFill="1" applyBorder="1" applyAlignment="1" applyProtection="1">
      <alignment/>
      <protection/>
    </xf>
    <xf numFmtId="0" fontId="3" fillId="0" borderId="16" xfId="0" applyFont="1" applyFill="1" applyBorder="1" applyAlignment="1" applyProtection="1">
      <alignment horizontal="center"/>
      <protection/>
    </xf>
    <xf numFmtId="0" fontId="3" fillId="0" borderId="10"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1" fillId="0" borderId="11" xfId="0" applyFont="1" applyFill="1" applyBorder="1" applyAlignment="1" applyProtection="1">
      <alignment horizontal="right"/>
      <protection/>
    </xf>
    <xf numFmtId="0" fontId="1" fillId="0" borderId="12" xfId="0" applyFont="1" applyBorder="1" applyAlignment="1" applyProtection="1">
      <alignment/>
      <protection/>
    </xf>
    <xf numFmtId="3" fontId="1" fillId="0" borderId="11" xfId="0" applyNumberFormat="1" applyFont="1" applyFill="1" applyBorder="1" applyAlignment="1" applyProtection="1">
      <alignment horizontal="right"/>
      <protection/>
    </xf>
    <xf numFmtId="0" fontId="8" fillId="0" borderId="16" xfId="0" applyFont="1" applyBorder="1" applyAlignment="1" applyProtection="1">
      <alignment/>
      <protection/>
    </xf>
    <xf numFmtId="0" fontId="3" fillId="0" borderId="10" xfId="0" applyFont="1" applyFill="1" applyBorder="1" applyAlignment="1" applyProtection="1">
      <alignment/>
      <protection/>
    </xf>
    <xf numFmtId="0" fontId="1" fillId="0" borderId="11" xfId="0" applyFont="1" applyBorder="1" applyAlignment="1" applyProtection="1">
      <alignment horizontal="left" vertical="top" indent="1"/>
      <protection/>
    </xf>
    <xf numFmtId="9" fontId="1" fillId="0" borderId="11" xfId="0" applyNumberFormat="1" applyFont="1" applyFill="1" applyBorder="1" applyAlignment="1" applyProtection="1">
      <alignment vertical="top"/>
      <protection locked="0"/>
    </xf>
    <xf numFmtId="0" fontId="1" fillId="0" borderId="19" xfId="0" applyFont="1" applyFill="1" applyBorder="1" applyAlignment="1" applyProtection="1">
      <alignment wrapText="1"/>
      <protection/>
    </xf>
    <xf numFmtId="0" fontId="1" fillId="0" borderId="12" xfId="0" applyFont="1" applyFill="1" applyBorder="1" applyAlignment="1" applyProtection="1">
      <alignment wrapText="1"/>
      <protection/>
    </xf>
    <xf numFmtId="167" fontId="1" fillId="4" borderId="0" xfId="0" applyNumberFormat="1" applyFont="1" applyFill="1" applyBorder="1" applyAlignment="1" applyProtection="1">
      <alignment horizontal="right"/>
      <protection/>
    </xf>
    <xf numFmtId="3" fontId="16" fillId="4" borderId="0" xfId="0" applyNumberFormat="1" applyFont="1" applyFill="1" applyBorder="1" applyAlignment="1" applyProtection="1">
      <alignment horizontal="right"/>
      <protection/>
    </xf>
    <xf numFmtId="167" fontId="3" fillId="4" borderId="17" xfId="0" applyNumberFormat="1" applyFont="1" applyFill="1" applyBorder="1" applyAlignment="1" applyProtection="1">
      <alignment horizontal="right"/>
      <protection/>
    </xf>
    <xf numFmtId="0" fontId="3" fillId="4" borderId="0" xfId="0" applyFont="1" applyFill="1" applyBorder="1" applyAlignment="1" applyProtection="1">
      <alignment horizontal="right"/>
      <protection/>
    </xf>
    <xf numFmtId="167" fontId="1" fillId="4" borderId="0" xfId="0" applyNumberFormat="1" applyFont="1" applyFill="1" applyBorder="1" applyAlignment="1" applyProtection="1">
      <alignment horizontal="right"/>
      <protection/>
    </xf>
    <xf numFmtId="3" fontId="1" fillId="4" borderId="0" xfId="0" applyNumberFormat="1" applyFont="1" applyFill="1" applyBorder="1" applyAlignment="1" applyProtection="1">
      <alignment horizontal="right"/>
      <protection/>
    </xf>
    <xf numFmtId="167" fontId="3" fillId="4" borderId="17" xfId="0" applyNumberFormat="1" applyFont="1" applyFill="1" applyBorder="1" applyAlignment="1" applyProtection="1">
      <alignment horizontal="right"/>
      <protection/>
    </xf>
    <xf numFmtId="3" fontId="1" fillId="4" borderId="0" xfId="0" applyNumberFormat="1" applyFont="1" applyFill="1" applyBorder="1" applyAlignment="1" applyProtection="1">
      <alignment horizontal="right"/>
      <protection/>
    </xf>
    <xf numFmtId="3" fontId="2" fillId="4" borderId="0" xfId="0" applyNumberFormat="1" applyFont="1" applyFill="1" applyBorder="1" applyAlignment="1" applyProtection="1">
      <alignment horizontal="right"/>
      <protection/>
    </xf>
    <xf numFmtId="0" fontId="8" fillId="7" borderId="0" xfId="0" applyFont="1" applyFill="1" applyBorder="1" applyAlignment="1" applyProtection="1">
      <alignment/>
      <protection/>
    </xf>
    <xf numFmtId="0" fontId="1" fillId="7" borderId="0" xfId="0" applyFont="1" applyFill="1" applyBorder="1" applyAlignment="1" applyProtection="1">
      <alignment/>
      <protection/>
    </xf>
    <xf numFmtId="3" fontId="1" fillId="0" borderId="11" xfId="0" applyNumberFormat="1" applyFont="1" applyBorder="1" applyAlignment="1" applyProtection="1">
      <alignment/>
      <protection/>
    </xf>
    <xf numFmtId="3" fontId="1" fillId="0" borderId="12" xfId="0" applyNumberFormat="1" applyFont="1" applyBorder="1" applyAlignment="1" applyProtection="1">
      <alignment/>
      <protection/>
    </xf>
    <xf numFmtId="0" fontId="1" fillId="7" borderId="0" xfId="0" applyFont="1" applyFill="1" applyBorder="1" applyAlignment="1" applyProtection="1">
      <alignment/>
      <protection/>
    </xf>
    <xf numFmtId="1" fontId="19" fillId="7" borderId="12" xfId="0" applyNumberFormat="1" applyFont="1" applyFill="1" applyBorder="1" applyAlignment="1" applyProtection="1">
      <alignment/>
      <protection/>
    </xf>
    <xf numFmtId="0" fontId="3" fillId="7" borderId="0" xfId="0" applyFont="1" applyFill="1" applyBorder="1" applyAlignment="1" applyProtection="1">
      <alignment horizontal="center" vertical="top"/>
      <protection/>
    </xf>
    <xf numFmtId="0" fontId="18" fillId="0" borderId="0" xfId="0" applyFont="1" applyAlignment="1" applyProtection="1">
      <alignment/>
      <protection/>
    </xf>
    <xf numFmtId="1" fontId="1" fillId="7" borderId="21" xfId="0" applyNumberFormat="1" applyFont="1" applyFill="1" applyBorder="1" applyAlignment="1" applyProtection="1">
      <alignment horizontal="right"/>
      <protection/>
    </xf>
    <xf numFmtId="0" fontId="3" fillId="7" borderId="0"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0" fontId="3" fillId="0" borderId="11" xfId="0" applyFont="1" applyFill="1" applyBorder="1" applyAlignment="1" applyProtection="1">
      <alignment horizontal="left"/>
      <protection/>
    </xf>
    <xf numFmtId="3" fontId="1" fillId="0" borderId="11" xfId="0" applyNumberFormat="1" applyFont="1" applyBorder="1" applyAlignment="1" quotePrefix="1">
      <alignment/>
    </xf>
    <xf numFmtId="3" fontId="1" fillId="0" borderId="12" xfId="0" applyNumberFormat="1" applyFont="1" applyBorder="1" applyAlignment="1" quotePrefix="1">
      <alignment/>
    </xf>
    <xf numFmtId="0" fontId="1" fillId="0" borderId="13" xfId="0" applyNumberFormat="1" applyFont="1" applyBorder="1" applyAlignment="1" quotePrefix="1">
      <alignment horizontal="left" indent="1"/>
    </xf>
    <xf numFmtId="3" fontId="1" fillId="0" borderId="13" xfId="0" applyNumberFormat="1" applyFont="1" applyBorder="1" applyAlignment="1" quotePrefix="1">
      <alignment/>
    </xf>
    <xf numFmtId="3" fontId="1" fillId="0" borderId="15" xfId="0" applyNumberFormat="1" applyFont="1" applyBorder="1" applyAlignment="1" quotePrefix="1">
      <alignment/>
    </xf>
    <xf numFmtId="0" fontId="1" fillId="0" borderId="11" xfId="0" applyFont="1" applyBorder="1" applyAlignment="1" applyProtection="1">
      <alignment horizontal="left" vertical="top"/>
      <protection/>
    </xf>
    <xf numFmtId="0" fontId="1" fillId="7" borderId="22" xfId="0" applyFont="1" applyFill="1" applyBorder="1" applyAlignment="1" applyProtection="1">
      <alignment/>
      <protection/>
    </xf>
    <xf numFmtId="0" fontId="1" fillId="7" borderId="22" xfId="0" applyFont="1" applyFill="1" applyBorder="1" applyAlignment="1" applyProtection="1">
      <alignment/>
      <protection/>
    </xf>
    <xf numFmtId="167" fontId="8" fillId="22" borderId="0" xfId="0" applyNumberFormat="1" applyFont="1" applyFill="1" applyBorder="1" applyAlignment="1" applyProtection="1">
      <alignment/>
      <protection/>
    </xf>
    <xf numFmtId="0" fontId="18" fillId="0" borderId="0" xfId="0" applyFont="1" applyFill="1" applyAlignment="1" applyProtection="1">
      <alignment/>
      <protection/>
    </xf>
    <xf numFmtId="171" fontId="3" fillId="7" borderId="0" xfId="0" applyNumberFormat="1" applyFont="1" applyFill="1" applyBorder="1" applyAlignment="1" applyProtection="1">
      <alignment vertical="center"/>
      <protection locked="0"/>
    </xf>
    <xf numFmtId="0" fontId="1" fillId="7" borderId="0" xfId="0" applyFont="1" applyFill="1" applyAlignment="1" applyProtection="1">
      <alignment/>
      <protection/>
    </xf>
    <xf numFmtId="0" fontId="22" fillId="0" borderId="0" xfId="0" applyFont="1" applyAlignment="1" applyProtection="1">
      <alignment/>
      <protection/>
    </xf>
    <xf numFmtId="0" fontId="22" fillId="0" borderId="0" xfId="0" applyFont="1" applyFill="1" applyAlignment="1" applyProtection="1">
      <alignment/>
      <protection/>
    </xf>
    <xf numFmtId="169" fontId="8" fillId="22" borderId="0" xfId="0" applyNumberFormat="1" applyFont="1" applyFill="1" applyBorder="1" applyAlignment="1" applyProtection="1">
      <alignment/>
      <protection/>
    </xf>
    <xf numFmtId="3" fontId="8" fillId="22" borderId="0" xfId="0" applyNumberFormat="1" applyFont="1" applyFill="1" applyBorder="1" applyAlignment="1" applyProtection="1">
      <alignment/>
      <protection/>
    </xf>
    <xf numFmtId="9" fontId="8" fillId="22" borderId="0" xfId="58" applyFont="1" applyFill="1" applyBorder="1" applyAlignment="1" applyProtection="1">
      <alignment/>
      <protection/>
    </xf>
    <xf numFmtId="167" fontId="8" fillId="22" borderId="12" xfId="0" applyNumberFormat="1" applyFont="1" applyFill="1" applyBorder="1" applyAlignment="1" applyProtection="1">
      <alignment/>
      <protection/>
    </xf>
    <xf numFmtId="0" fontId="20" fillId="22" borderId="12" xfId="0" applyFont="1" applyFill="1" applyBorder="1" applyAlignment="1">
      <alignment/>
    </xf>
    <xf numFmtId="0" fontId="2" fillId="7" borderId="17" xfId="0" applyFont="1" applyFill="1" applyBorder="1" applyAlignment="1" applyProtection="1">
      <alignment/>
      <protection/>
    </xf>
    <xf numFmtId="0" fontId="1" fillId="7" borderId="16" xfId="0" applyFont="1" applyFill="1" applyBorder="1" applyAlignment="1" applyProtection="1">
      <alignment/>
      <protection/>
    </xf>
    <xf numFmtId="0" fontId="1" fillId="4" borderId="17" xfId="0" applyFont="1" applyFill="1" applyBorder="1" applyAlignment="1" applyProtection="1">
      <alignment/>
      <protection/>
    </xf>
    <xf numFmtId="0" fontId="11" fillId="4" borderId="0" xfId="0" applyFont="1" applyFill="1" applyBorder="1" applyAlignment="1" applyProtection="1">
      <alignment/>
      <protection/>
    </xf>
    <xf numFmtId="0" fontId="1" fillId="4" borderId="0" xfId="0" applyFont="1" applyFill="1" applyBorder="1" applyAlignment="1" applyProtection="1">
      <alignment horizontal="left" indent="2"/>
      <protection/>
    </xf>
    <xf numFmtId="0" fontId="2" fillId="4" borderId="0" xfId="0" applyFont="1" applyFill="1" applyBorder="1" applyAlignment="1" applyProtection="1">
      <alignment horizontal="left" indent="3"/>
      <protection/>
    </xf>
    <xf numFmtId="0" fontId="8" fillId="4" borderId="0" xfId="0" applyFont="1" applyFill="1" applyBorder="1" applyAlignment="1" applyProtection="1">
      <alignment/>
      <protection/>
    </xf>
    <xf numFmtId="0" fontId="1" fillId="4" borderId="0" xfId="0" applyFont="1" applyFill="1" applyBorder="1" applyAlignment="1" applyProtection="1">
      <alignment horizontal="left" indent="3"/>
      <protection/>
    </xf>
    <xf numFmtId="0" fontId="2" fillId="4" borderId="0" xfId="0" applyFont="1" applyFill="1" applyBorder="1" applyAlignment="1" applyProtection="1">
      <alignment horizontal="left" indent="4"/>
      <protection/>
    </xf>
    <xf numFmtId="0" fontId="1" fillId="4" borderId="0" xfId="0" applyFont="1" applyFill="1" applyBorder="1" applyAlignment="1" applyProtection="1">
      <alignment horizontal="left" indent="2"/>
      <protection/>
    </xf>
    <xf numFmtId="0" fontId="8" fillId="4" borderId="0" xfId="0" applyFont="1" applyFill="1" applyBorder="1" applyAlignment="1" applyProtection="1">
      <alignment horizontal="left"/>
      <protection/>
    </xf>
    <xf numFmtId="0" fontId="7" fillId="4" borderId="0" xfId="0" applyFont="1" applyFill="1" applyBorder="1" applyAlignment="1" applyProtection="1">
      <alignment/>
      <protection/>
    </xf>
    <xf numFmtId="0" fontId="2" fillId="4" borderId="11" xfId="0" applyFont="1" applyFill="1" applyBorder="1" applyAlignment="1" applyProtection="1">
      <alignment/>
      <protection/>
    </xf>
    <xf numFmtId="0" fontId="1" fillId="22" borderId="0" xfId="0" applyFont="1" applyFill="1" applyBorder="1" applyAlignment="1" applyProtection="1">
      <alignment horizontal="left"/>
      <protection/>
    </xf>
    <xf numFmtId="2" fontId="1" fillId="22" borderId="0" xfId="0" applyNumberFormat="1" applyFont="1" applyFill="1" applyBorder="1" applyAlignment="1" applyProtection="1">
      <alignment horizontal="left" vertical="center"/>
      <protection/>
    </xf>
    <xf numFmtId="0" fontId="2" fillId="22" borderId="14" xfId="0" applyFont="1" applyFill="1" applyBorder="1" applyAlignment="1" applyProtection="1">
      <alignment/>
      <protection/>
    </xf>
    <xf numFmtId="0" fontId="1" fillId="22" borderId="11" xfId="0" applyFont="1" applyFill="1" applyBorder="1" applyAlignment="1" applyProtection="1">
      <alignment/>
      <protection/>
    </xf>
    <xf numFmtId="0" fontId="1" fillId="22" borderId="13" xfId="0" applyFont="1" applyFill="1" applyBorder="1" applyAlignment="1" applyProtection="1">
      <alignment/>
      <protection/>
    </xf>
    <xf numFmtId="0" fontId="1" fillId="0" borderId="23" xfId="0" applyFont="1" applyBorder="1" applyAlignment="1" applyProtection="1">
      <alignment/>
      <protection/>
    </xf>
    <xf numFmtId="3" fontId="23" fillId="4" borderId="0" xfId="0" applyNumberFormat="1" applyFont="1" applyFill="1" applyBorder="1" applyAlignment="1" applyProtection="1">
      <alignment horizontal="right"/>
      <protection/>
    </xf>
    <xf numFmtId="0" fontId="1" fillId="4" borderId="0" xfId="0" applyFont="1" applyFill="1" applyBorder="1" applyAlignment="1" applyProtection="1">
      <alignment horizontal="right"/>
      <protection/>
    </xf>
    <xf numFmtId="169" fontId="2" fillId="4" borderId="0" xfId="0" applyNumberFormat="1" applyFont="1" applyFill="1" applyBorder="1" applyAlignment="1" applyProtection="1">
      <alignment horizontal="right"/>
      <protection/>
    </xf>
    <xf numFmtId="169" fontId="2" fillId="4" borderId="0" xfId="0" applyNumberFormat="1" applyFont="1" applyFill="1" applyBorder="1" applyAlignment="1" applyProtection="1">
      <alignment horizontal="right"/>
      <protection/>
    </xf>
    <xf numFmtId="167" fontId="2" fillId="4" borderId="0" xfId="0" applyNumberFormat="1" applyFont="1" applyFill="1" applyBorder="1" applyAlignment="1" applyProtection="1">
      <alignment horizontal="right"/>
      <protection/>
    </xf>
    <xf numFmtId="3" fontId="2" fillId="4" borderId="0" xfId="0" applyNumberFormat="1" applyFont="1" applyFill="1" applyBorder="1" applyAlignment="1" applyProtection="1">
      <alignment horizontal="right"/>
      <protection/>
    </xf>
    <xf numFmtId="0" fontId="8" fillId="0" borderId="11" xfId="0" applyFont="1" applyFill="1" applyBorder="1" applyAlignment="1" applyProtection="1">
      <alignment horizontal="left"/>
      <protection/>
    </xf>
    <xf numFmtId="0" fontId="18" fillId="0" borderId="0" xfId="0" applyFont="1" applyAlignment="1" applyProtection="1">
      <alignment/>
      <protection/>
    </xf>
    <xf numFmtId="0" fontId="1" fillId="0" borderId="0" xfId="0" applyFont="1" applyAlignment="1">
      <alignment wrapText="1"/>
    </xf>
    <xf numFmtId="0" fontId="13" fillId="0" borderId="0" xfId="52" applyAlignment="1" applyProtection="1">
      <alignment/>
      <protection/>
    </xf>
    <xf numFmtId="185" fontId="1" fillId="0" borderId="11" xfId="0" applyNumberFormat="1" applyFont="1" applyFill="1" applyBorder="1" applyAlignment="1" applyProtection="1">
      <alignment/>
      <protection/>
    </xf>
    <xf numFmtId="185" fontId="1" fillId="0" borderId="11" xfId="0" applyNumberFormat="1" applyFont="1" applyFill="1" applyBorder="1" applyAlignment="1" applyProtection="1">
      <alignment horizontal="right"/>
      <protection/>
    </xf>
    <xf numFmtId="167" fontId="1" fillId="0" borderId="11" xfId="0" applyNumberFormat="1"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Border="1" applyAlignment="1" applyProtection="1">
      <alignment/>
      <protection/>
    </xf>
    <xf numFmtId="0" fontId="23" fillId="0" borderId="0" xfId="0" applyFont="1" applyBorder="1" applyAlignment="1" applyProtection="1">
      <alignment/>
      <protection/>
    </xf>
    <xf numFmtId="0" fontId="23" fillId="0" borderId="0" xfId="0" applyFont="1" applyAlignment="1" applyProtection="1">
      <alignment/>
      <protection/>
    </xf>
    <xf numFmtId="0" fontId="23" fillId="0" borderId="0" xfId="0" applyFont="1" applyFill="1" applyBorder="1" applyAlignment="1" applyProtection="1">
      <alignment/>
      <protection/>
    </xf>
    <xf numFmtId="0" fontId="16" fillId="0" borderId="0" xfId="0" applyFont="1" applyAlignment="1" applyProtection="1">
      <alignment/>
      <protection/>
    </xf>
    <xf numFmtId="172" fontId="16" fillId="0" borderId="0" xfId="0" applyNumberFormat="1" applyFont="1" applyAlignment="1" applyProtection="1">
      <alignment/>
      <protection/>
    </xf>
    <xf numFmtId="0" fontId="23" fillId="0" borderId="0" xfId="0" applyFont="1" applyFill="1" applyAlignment="1" applyProtection="1">
      <alignment/>
      <protection/>
    </xf>
    <xf numFmtId="0" fontId="23" fillId="0" borderId="0" xfId="0" applyFont="1" applyAlignment="1">
      <alignment/>
    </xf>
    <xf numFmtId="0" fontId="1" fillId="0" borderId="11" xfId="0" applyNumberFormat="1" applyFont="1" applyFill="1" applyBorder="1" applyAlignment="1" quotePrefix="1">
      <alignment/>
    </xf>
    <xf numFmtId="0" fontId="1" fillId="0" borderId="12" xfId="0" applyNumberFormat="1" applyFont="1" applyFill="1" applyBorder="1" applyAlignment="1" quotePrefix="1">
      <alignment/>
    </xf>
    <xf numFmtId="0" fontId="1" fillId="0" borderId="11" xfId="0" applyFont="1" applyFill="1" applyBorder="1" applyAlignment="1" applyProtection="1">
      <alignment/>
      <protection/>
    </xf>
    <xf numFmtId="0" fontId="1" fillId="0" borderId="11" xfId="0" applyFont="1" applyFill="1" applyBorder="1" applyAlignment="1" applyProtection="1">
      <alignment horizontal="right" vertical="top"/>
      <protection/>
    </xf>
    <xf numFmtId="0" fontId="3" fillId="0" borderId="12" xfId="0" applyFont="1" applyFill="1" applyBorder="1" applyAlignment="1" applyProtection="1">
      <alignment horizontal="center" vertical="top"/>
      <protection/>
    </xf>
    <xf numFmtId="1" fontId="1" fillId="0" borderId="11" xfId="0" applyNumberFormat="1" applyFont="1" applyFill="1" applyBorder="1" applyAlignment="1" applyProtection="1">
      <alignment/>
      <protection/>
    </xf>
    <xf numFmtId="0" fontId="8" fillId="0" borderId="11" xfId="0" applyFont="1" applyBorder="1" applyAlignment="1" applyProtection="1">
      <alignment/>
      <protection/>
    </xf>
    <xf numFmtId="3" fontId="23" fillId="0" borderId="0" xfId="0" applyNumberFormat="1" applyFont="1" applyFill="1" applyBorder="1" applyAlignment="1" applyProtection="1">
      <alignment/>
      <protection/>
    </xf>
    <xf numFmtId="0" fontId="1" fillId="0" borderId="11" xfId="0" applyNumberFormat="1" applyFont="1" applyFill="1" applyBorder="1" applyAlignment="1">
      <alignment/>
    </xf>
    <xf numFmtId="0" fontId="1" fillId="0" borderId="12" xfId="0" applyNumberFormat="1" applyFont="1" applyFill="1" applyBorder="1" applyAlignment="1">
      <alignment/>
    </xf>
    <xf numFmtId="0" fontId="1" fillId="0" borderId="11" xfId="0" applyNumberFormat="1" applyFont="1" applyFill="1" applyBorder="1" applyAlignment="1">
      <alignment horizontal="left" indent="1"/>
    </xf>
    <xf numFmtId="9" fontId="1" fillId="0" borderId="11" xfId="0" applyNumberFormat="1" applyFont="1" applyFill="1" applyBorder="1" applyAlignment="1" applyProtection="1">
      <alignment/>
      <protection/>
    </xf>
    <xf numFmtId="10" fontId="1" fillId="0" borderId="11" xfId="0" applyNumberFormat="1" applyFont="1" applyFill="1" applyBorder="1" applyAlignment="1" applyProtection="1">
      <alignment/>
      <protection/>
    </xf>
    <xf numFmtId="0" fontId="18" fillId="0" borderId="0" xfId="0" applyFont="1" applyFill="1" applyBorder="1" applyAlignment="1" applyProtection="1">
      <alignment/>
      <protection/>
    </xf>
    <xf numFmtId="0" fontId="18" fillId="0" borderId="0" xfId="0" applyFont="1" applyBorder="1" applyAlignment="1" applyProtection="1">
      <alignment/>
      <protection/>
    </xf>
    <xf numFmtId="171" fontId="18" fillId="0" borderId="0" xfId="0" applyNumberFormat="1" applyFont="1" applyBorder="1" applyAlignment="1" applyProtection="1">
      <alignment/>
      <protection/>
    </xf>
    <xf numFmtId="0" fontId="18" fillId="0" borderId="0" xfId="0" applyFont="1" applyAlignment="1" applyProtection="1">
      <alignment/>
      <protection/>
    </xf>
    <xf numFmtId="0" fontId="41" fillId="0" borderId="0" xfId="0" applyFont="1" applyBorder="1" applyAlignment="1" applyProtection="1">
      <alignment/>
      <protection/>
    </xf>
    <xf numFmtId="0" fontId="18" fillId="0" borderId="0" xfId="0" applyFont="1" applyAlignment="1">
      <alignment/>
    </xf>
    <xf numFmtId="1" fontId="18" fillId="0" borderId="0" xfId="0" applyNumberFormat="1" applyFont="1" applyBorder="1" applyAlignment="1" applyProtection="1">
      <alignment/>
      <protection/>
    </xf>
    <xf numFmtId="169" fontId="18" fillId="0" borderId="0" xfId="0" applyNumberFormat="1" applyFont="1" applyBorder="1" applyAlignment="1" applyProtection="1">
      <alignment/>
      <protection/>
    </xf>
    <xf numFmtId="7" fontId="18" fillId="0" borderId="0" xfId="44" applyNumberFormat="1" applyFont="1" applyBorder="1" applyAlignment="1" applyProtection="1">
      <alignment/>
      <protection/>
    </xf>
    <xf numFmtId="2" fontId="18" fillId="0" borderId="0" xfId="0" applyNumberFormat="1" applyFont="1" applyBorder="1" applyAlignment="1" applyProtection="1">
      <alignment/>
      <protection/>
    </xf>
    <xf numFmtId="179" fontId="18" fillId="0" borderId="0" xfId="0" applyNumberFormat="1" applyFont="1" applyBorder="1" applyAlignment="1" applyProtection="1">
      <alignment/>
      <protection/>
    </xf>
    <xf numFmtId="168" fontId="18" fillId="0" borderId="0" xfId="0" applyNumberFormat="1" applyFont="1" applyBorder="1" applyAlignment="1" applyProtection="1">
      <alignment/>
      <protection/>
    </xf>
    <xf numFmtId="180" fontId="1" fillId="0" borderId="11" xfId="0" applyNumberFormat="1" applyFont="1" applyFill="1" applyBorder="1" applyAlignment="1" applyProtection="1">
      <alignment horizontal="right"/>
      <protection/>
    </xf>
    <xf numFmtId="180" fontId="3" fillId="0" borderId="11" xfId="0" applyNumberFormat="1" applyFont="1" applyFill="1" applyBorder="1" applyAlignment="1" applyProtection="1">
      <alignment horizontal="right"/>
      <protection/>
    </xf>
    <xf numFmtId="41" fontId="1" fillId="0" borderId="11" xfId="0" applyNumberFormat="1" applyFont="1" applyFill="1" applyBorder="1" applyAlignment="1" applyProtection="1">
      <alignment horizontal="right"/>
      <protection/>
    </xf>
    <xf numFmtId="0" fontId="1" fillId="0" borderId="12" xfId="0" applyFont="1" applyFill="1" applyBorder="1" applyAlignment="1" applyProtection="1">
      <alignment horizontal="center"/>
      <protection/>
    </xf>
    <xf numFmtId="8" fontId="23" fillId="0" borderId="0" xfId="0" applyNumberFormat="1" applyFont="1" applyBorder="1" applyAlignment="1" applyProtection="1">
      <alignment/>
      <protection/>
    </xf>
    <xf numFmtId="8" fontId="23" fillId="0" borderId="0" xfId="0" applyNumberFormat="1" applyFont="1" applyAlignment="1" applyProtection="1">
      <alignment/>
      <protection/>
    </xf>
    <xf numFmtId="0" fontId="1" fillId="0" borderId="0" xfId="0" applyFont="1" applyFill="1" applyBorder="1" applyAlignment="1" applyProtection="1">
      <alignment/>
      <protection/>
    </xf>
    <xf numFmtId="0" fontId="1" fillId="0" borderId="11" xfId="0" applyNumberFormat="1" applyFont="1" applyFill="1" applyBorder="1" applyAlignment="1" quotePrefix="1">
      <alignment horizontal="left" indent="1"/>
    </xf>
    <xf numFmtId="0" fontId="1" fillId="0" borderId="11" xfId="0" applyFont="1" applyFill="1" applyBorder="1" applyAlignment="1" applyProtection="1">
      <alignment horizontal="left" vertical="top" indent="1"/>
      <protection/>
    </xf>
    <xf numFmtId="0" fontId="10" fillId="0" borderId="14" xfId="0" applyFont="1" applyBorder="1" applyAlignment="1">
      <alignment horizontal="center" wrapText="1"/>
    </xf>
    <xf numFmtId="0" fontId="8" fillId="4" borderId="24" xfId="0" applyFont="1" applyFill="1" applyBorder="1" applyAlignment="1" applyProtection="1">
      <alignment horizontal="center" wrapText="1"/>
      <protection/>
    </xf>
    <xf numFmtId="0" fontId="1" fillId="7" borderId="0" xfId="0" applyFont="1" applyFill="1" applyBorder="1" applyAlignment="1" applyProtection="1">
      <alignment horizontal="left" wrapText="1"/>
      <protection/>
    </xf>
    <xf numFmtId="0" fontId="0" fillId="0" borderId="0" xfId="0" applyBorder="1" applyAlignment="1">
      <alignment horizontal="left"/>
    </xf>
    <xf numFmtId="0" fontId="6" fillId="0" borderId="17" xfId="0" applyFont="1" applyBorder="1" applyAlignment="1" applyProtection="1">
      <alignment vertical="top" wrapText="1"/>
      <protection/>
    </xf>
    <xf numFmtId="0" fontId="9" fillId="0" borderId="0" xfId="0" applyFont="1" applyAlignment="1">
      <alignment horizontal="center" wrapText="1"/>
    </xf>
    <xf numFmtId="0" fontId="8" fillId="7" borderId="0" xfId="0" applyFont="1" applyFill="1" applyBorder="1" applyAlignment="1" applyProtection="1">
      <alignment horizontal="left"/>
      <protection/>
    </xf>
    <xf numFmtId="4" fontId="8" fillId="7" borderId="0" xfId="0" applyNumberFormat="1" applyFont="1" applyFill="1" applyBorder="1" applyAlignment="1" applyProtection="1">
      <alignment horizontal="left" wrapText="1"/>
      <protection/>
    </xf>
    <xf numFmtId="0" fontId="1" fillId="7" borderId="0" xfId="0" applyFont="1" applyFill="1" applyBorder="1" applyAlignment="1" applyProtection="1">
      <alignment horizontal="center"/>
      <protection/>
    </xf>
    <xf numFmtId="0" fontId="1" fillId="7" borderId="22" xfId="0" applyFont="1" applyFill="1" applyBorder="1" applyAlignment="1" applyProtection="1">
      <alignment horizontal="center"/>
      <protection/>
    </xf>
    <xf numFmtId="0" fontId="10" fillId="0" borderId="0" xfId="0" applyFont="1" applyAlignment="1">
      <alignment horizontal="center" wrapText="1"/>
    </xf>
    <xf numFmtId="171" fontId="3" fillId="7" borderId="21" xfId="0" applyNumberFormat="1" applyFont="1" applyFill="1" applyBorder="1" applyAlignment="1" applyProtection="1">
      <alignment horizontal="center" vertical="center"/>
      <protection locked="0"/>
    </xf>
    <xf numFmtId="171" fontId="3" fillId="7" borderId="0" xfId="0" applyNumberFormat="1" applyFont="1" applyFill="1" applyBorder="1" applyAlignment="1" applyProtection="1">
      <alignment horizontal="center" vertical="center"/>
      <protection locked="0"/>
    </xf>
    <xf numFmtId="0" fontId="1" fillId="0" borderId="0" xfId="0" applyFont="1" applyAlignment="1">
      <alignment horizontal="center" wrapText="1"/>
    </xf>
    <xf numFmtId="0" fontId="14" fillId="0" borderId="16" xfId="0" applyFont="1" applyBorder="1" applyAlignment="1" applyProtection="1">
      <alignment horizontal="center"/>
      <protection/>
    </xf>
    <xf numFmtId="0" fontId="14" fillId="0" borderId="17" xfId="0" applyFont="1" applyBorder="1" applyAlignment="1" applyProtection="1">
      <alignment horizontal="center"/>
      <protection/>
    </xf>
    <xf numFmtId="0" fontId="14" fillId="0" borderId="10" xfId="0" applyFont="1" applyBorder="1" applyAlignment="1" applyProtection="1">
      <alignment horizontal="center"/>
      <protection/>
    </xf>
    <xf numFmtId="0" fontId="3" fillId="0" borderId="14" xfId="0" applyFont="1" applyFill="1" applyBorder="1" applyAlignment="1" applyProtection="1">
      <alignment horizontal="center"/>
      <protection/>
    </xf>
    <xf numFmtId="0" fontId="18" fillId="0" borderId="0" xfId="0" applyFont="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13</xdr:col>
      <xdr:colOff>133350</xdr:colOff>
      <xdr:row>4</xdr:row>
      <xdr:rowOff>152400</xdr:rowOff>
    </xdr:to>
    <xdr:pic>
      <xdr:nvPicPr>
        <xdr:cNvPr id="1" name="Picture 1" descr="ES promo with VOA"/>
        <xdr:cNvPicPr preferRelativeResize="1">
          <a:picLocks noChangeAspect="1"/>
        </xdr:cNvPicPr>
      </xdr:nvPicPr>
      <xdr:blipFill>
        <a:blip r:embed="rId1"/>
        <a:stretch>
          <a:fillRect/>
        </a:stretch>
      </xdr:blipFill>
      <xdr:spPr>
        <a:xfrm>
          <a:off x="95250" y="66675"/>
          <a:ext cx="8258175" cy="885825"/>
        </a:xfrm>
        <a:prstGeom prst="rect">
          <a:avLst/>
        </a:prstGeom>
        <a:noFill/>
        <a:ln w="9525" cmpd="sng">
          <a:noFill/>
        </a:ln>
      </xdr:spPr>
    </xdr:pic>
    <xdr:clientData/>
  </xdr:twoCellAnchor>
  <xdr:twoCellAnchor>
    <xdr:from>
      <xdr:col>1</xdr:col>
      <xdr:colOff>66675</xdr:colOff>
      <xdr:row>19</xdr:row>
      <xdr:rowOff>190500</xdr:rowOff>
    </xdr:from>
    <xdr:to>
      <xdr:col>1</xdr:col>
      <xdr:colOff>2600325</xdr:colOff>
      <xdr:row>22</xdr:row>
      <xdr:rowOff>38100</xdr:rowOff>
    </xdr:to>
    <xdr:sp>
      <xdr:nvSpPr>
        <xdr:cNvPr id="2" name="AutoShape 97"/>
        <xdr:cNvSpPr>
          <a:spLocks/>
        </xdr:cNvSpPr>
      </xdr:nvSpPr>
      <xdr:spPr>
        <a:xfrm>
          <a:off x="228600" y="3790950"/>
          <a:ext cx="2533650" cy="447675"/>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Choose your city from the drop-down 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O67"/>
  <sheetViews>
    <sheetView tabSelected="1" zoomScale="85" zoomScaleNormal="85" zoomScaleSheetLayoutView="100" zoomScalePageLayoutView="0" workbookViewId="0" topLeftCell="A1">
      <selection activeCell="P4" sqref="P4"/>
    </sheetView>
  </sheetViews>
  <sheetFormatPr defaultColWidth="9.140625" defaultRowHeight="12.75" outlineLevelRow="1"/>
  <cols>
    <col min="1" max="1" width="2.421875" style="1" customWidth="1"/>
    <col min="2" max="2" width="40.28125" style="1" customWidth="1"/>
    <col min="3" max="3" width="5.8515625" style="1" customWidth="1"/>
    <col min="4" max="4" width="11.421875" style="1" customWidth="1"/>
    <col min="5" max="5" width="5.28125" style="1" customWidth="1"/>
    <col min="6" max="6" width="4.7109375" style="1" customWidth="1"/>
    <col min="7" max="7" width="3.421875" style="1" customWidth="1"/>
    <col min="8" max="8" width="16.28125" style="1" customWidth="1"/>
    <col min="9" max="9" width="9.421875" style="1" customWidth="1"/>
    <col min="10" max="10" width="1.57421875" style="1" customWidth="1"/>
    <col min="11" max="11" width="2.8515625" style="1" customWidth="1"/>
    <col min="12" max="13" width="9.8515625" style="1" customWidth="1"/>
    <col min="14" max="14" width="3.00390625" style="1" customWidth="1"/>
    <col min="15" max="15" width="8.00390625" style="1" customWidth="1"/>
    <col min="16" max="16384" width="9.140625" style="1" customWidth="1"/>
  </cols>
  <sheetData>
    <row r="1" ht="15.75" customHeight="1"/>
    <row r="2" ht="15.75" customHeight="1"/>
    <row r="3" ht="15.75" customHeight="1"/>
    <row r="4" ht="15.75" customHeight="1"/>
    <row r="5" ht="15.75" customHeight="1"/>
    <row r="6" ht="15.75" customHeight="1"/>
    <row r="7" spans="1:14" ht="18" customHeight="1">
      <c r="A7" s="213" t="s">
        <v>303</v>
      </c>
      <c r="B7" s="213"/>
      <c r="C7" s="213"/>
      <c r="D7" s="213"/>
      <c r="E7" s="213"/>
      <c r="F7" s="213"/>
      <c r="G7" s="213"/>
      <c r="H7" s="213"/>
      <c r="I7" s="213"/>
      <c r="J7" s="213"/>
      <c r="K7" s="213"/>
      <c r="L7" s="213"/>
      <c r="M7" s="213"/>
      <c r="N7" s="213"/>
    </row>
    <row r="8" spans="1:14" ht="15.75" customHeight="1">
      <c r="A8" s="213" t="str">
        <f>""&amp;D15&amp;" ENERGY STAR Qualified Programmable Thermostat(s)"</f>
        <v>1 ENERGY STAR Qualified Programmable Thermostat(s)</v>
      </c>
      <c r="B8" s="213"/>
      <c r="C8" s="213"/>
      <c r="D8" s="213"/>
      <c r="E8" s="213"/>
      <c r="F8" s="213"/>
      <c r="G8" s="213"/>
      <c r="H8" s="213"/>
      <c r="I8" s="213"/>
      <c r="J8" s="213"/>
      <c r="K8" s="213"/>
      <c r="L8" s="213"/>
      <c r="M8" s="213"/>
      <c r="N8" s="213"/>
    </row>
    <row r="9" spans="2:14" s="3" customFormat="1" ht="12.75">
      <c r="B9" s="2"/>
      <c r="C9" s="2"/>
      <c r="D9" s="2"/>
      <c r="E9" s="2"/>
      <c r="F9" s="2"/>
      <c r="G9" s="2"/>
      <c r="H9" s="2"/>
      <c r="I9" s="2"/>
      <c r="J9" s="2"/>
      <c r="K9" s="2"/>
      <c r="L9" s="2"/>
      <c r="M9" s="2"/>
      <c r="N9" s="2"/>
    </row>
    <row r="10" spans="2:14" ht="15.75" customHeight="1">
      <c r="B10" s="29"/>
      <c r="C10" s="29"/>
      <c r="D10" s="29"/>
      <c r="E10" s="29"/>
      <c r="F10" s="29"/>
      <c r="G10" s="29"/>
      <c r="H10" s="29"/>
      <c r="I10" s="29"/>
      <c r="J10" s="29"/>
      <c r="K10" s="29"/>
      <c r="L10" s="29"/>
      <c r="M10" s="29"/>
      <c r="N10" s="29"/>
    </row>
    <row r="11" spans="1:14" s="3" customFormat="1" ht="24" customHeight="1">
      <c r="A11" s="221" t="s">
        <v>6</v>
      </c>
      <c r="B11" s="221"/>
      <c r="C11" s="221"/>
      <c r="D11" s="221"/>
      <c r="E11" s="221"/>
      <c r="F11" s="221"/>
      <c r="G11" s="221"/>
      <c r="H11" s="221"/>
      <c r="I11" s="221"/>
      <c r="J11" s="221"/>
      <c r="K11" s="221"/>
      <c r="L11" s="221"/>
      <c r="M11" s="221"/>
      <c r="N11" s="221"/>
    </row>
    <row r="12" spans="2:14" s="3" customFormat="1" ht="12.75">
      <c r="B12" s="2"/>
      <c r="C12" s="2"/>
      <c r="D12" s="2"/>
      <c r="E12" s="2"/>
      <c r="F12" s="2"/>
      <c r="G12" s="2"/>
      <c r="N12" s="2"/>
    </row>
    <row r="13" spans="2:14" ht="15.75">
      <c r="B13" s="218" t="s">
        <v>320</v>
      </c>
      <c r="C13" s="218"/>
      <c r="D13" s="218"/>
      <c r="E13" s="218"/>
      <c r="F13" s="218"/>
      <c r="G13" s="218"/>
      <c r="H13" s="218"/>
      <c r="I13" s="218"/>
      <c r="J13" s="218"/>
      <c r="K13" s="218"/>
      <c r="L13" s="218"/>
      <c r="M13" s="218"/>
      <c r="N13" s="218"/>
    </row>
    <row r="14" spans="1:14" ht="4.5" customHeight="1" thickBot="1">
      <c r="A14" s="134"/>
      <c r="B14" s="133"/>
      <c r="C14" s="30"/>
      <c r="D14" s="30"/>
      <c r="E14" s="30">
        <v>4</v>
      </c>
      <c r="F14" s="30"/>
      <c r="G14" s="30"/>
      <c r="H14" s="30"/>
      <c r="I14" s="30"/>
      <c r="J14" s="30"/>
      <c r="K14" s="30"/>
      <c r="L14" s="30"/>
      <c r="M14" s="30"/>
      <c r="N14" s="4"/>
    </row>
    <row r="15" spans="1:15" ht="15.75" thickBot="1">
      <c r="A15" s="5"/>
      <c r="B15" s="7" t="s">
        <v>81</v>
      </c>
      <c r="C15" s="6"/>
      <c r="D15" s="38">
        <v>1</v>
      </c>
      <c r="E15" s="7"/>
      <c r="F15" s="7"/>
      <c r="G15" s="102" t="s">
        <v>321</v>
      </c>
      <c r="H15" s="106"/>
      <c r="I15" s="106"/>
      <c r="J15" s="106"/>
      <c r="K15" s="106"/>
      <c r="L15" s="106"/>
      <c r="M15" s="106"/>
      <c r="N15" s="8"/>
      <c r="O15" s="9"/>
    </row>
    <row r="16" spans="1:15" ht="13.5" thickBot="1">
      <c r="A16" s="5"/>
      <c r="B16" s="7" t="s">
        <v>329</v>
      </c>
      <c r="C16" s="7"/>
      <c r="D16" s="40">
        <f>Assumptions!C48</f>
        <v>92</v>
      </c>
      <c r="E16" s="7"/>
      <c r="F16" s="7"/>
      <c r="G16" s="7"/>
      <c r="H16" s="7"/>
      <c r="I16" s="7"/>
      <c r="J16" s="7"/>
      <c r="K16" s="7"/>
      <c r="L16" s="111" t="s">
        <v>314</v>
      </c>
      <c r="M16" s="111" t="s">
        <v>315</v>
      </c>
      <c r="N16" s="8"/>
      <c r="O16" s="9"/>
    </row>
    <row r="17" spans="1:15" ht="13.5" thickBot="1">
      <c r="A17" s="5"/>
      <c r="B17" s="7" t="s">
        <v>330</v>
      </c>
      <c r="C17" s="125"/>
      <c r="D17" s="40">
        <f>Assumptions!C49</f>
        <v>73</v>
      </c>
      <c r="E17" s="7"/>
      <c r="F17" s="7"/>
      <c r="G17" s="106" t="s">
        <v>333</v>
      </c>
      <c r="H17" s="7"/>
      <c r="I17" s="7"/>
      <c r="J17" s="216"/>
      <c r="K17" s="217"/>
      <c r="L17" s="60">
        <f>Assumptions!C33</f>
        <v>8</v>
      </c>
      <c r="M17" s="60">
        <f>Assumptions!C33</f>
        <v>8</v>
      </c>
      <c r="N17" s="8"/>
      <c r="O17" s="9"/>
    </row>
    <row r="18" spans="1:14" ht="13.5" thickBot="1">
      <c r="A18" s="5"/>
      <c r="B18" s="7" t="s">
        <v>83</v>
      </c>
      <c r="C18" s="6"/>
      <c r="D18" s="67">
        <f>Assumptions!C30</f>
        <v>0.1059</v>
      </c>
      <c r="E18" s="7"/>
      <c r="F18" s="7"/>
      <c r="G18" s="106" t="s">
        <v>334</v>
      </c>
      <c r="H18" s="7"/>
      <c r="I18" s="7"/>
      <c r="J18" s="216"/>
      <c r="K18" s="217"/>
      <c r="L18" s="60">
        <f>Assumptions!C34</f>
        <v>10</v>
      </c>
      <c r="M18" s="60">
        <f>Assumptions!C34</f>
        <v>10</v>
      </c>
      <c r="N18" s="107"/>
    </row>
    <row r="19" spans="1:14" ht="13.5" thickBot="1">
      <c r="A19" s="5"/>
      <c r="B19" s="7" t="str">
        <f>"Unit Fuel Cost (Heating)"&amp;(IF(Assumptions!H68=1,"",IF(Assumptions!H68=2," ($/Therm)",IF(Assumptions!H68=3," ($/Therm)",IF(Assumptions!H68=4," ($/gallon)",IF(Assumptions!H68=5,"($/gallon)"))))))</f>
        <v>Unit Fuel Cost (Heating) ($/Therm)</v>
      </c>
      <c r="C19" s="6"/>
      <c r="D19" s="66">
        <f>IF(Assumptions!H68=1,"None Selected",IF(Assumptions!H68=2,Assumptions!C28,IF(Assumptions!H68=3,Assumptions!C28,IF(Assumptions!H68=4,Assumptions!C29,IF(Assumptions!H68=5,Assumptions!C29)))))</f>
        <v>1.27</v>
      </c>
      <c r="E19" s="124"/>
      <c r="F19" s="7"/>
      <c r="G19" s="106" t="s">
        <v>335</v>
      </c>
      <c r="H19" s="7"/>
      <c r="I19" s="7"/>
      <c r="J19" s="7"/>
      <c r="K19" s="7"/>
      <c r="L19" s="110">
        <f>24-(L17+L18)</f>
        <v>6</v>
      </c>
      <c r="M19" s="110">
        <f>24-(M17+M18)</f>
        <v>6</v>
      </c>
      <c r="N19" s="8"/>
    </row>
    <row r="20" spans="1:14" ht="15.75" customHeight="1">
      <c r="A20" s="5"/>
      <c r="B20" s="7"/>
      <c r="C20" s="124"/>
      <c r="D20" s="219" t="s">
        <v>73</v>
      </c>
      <c r="E20" s="124"/>
      <c r="F20" s="65"/>
      <c r="G20" s="103"/>
      <c r="H20" s="108"/>
      <c r="I20" s="108"/>
      <c r="J20" s="108"/>
      <c r="K20" s="108"/>
      <c r="L20" s="108"/>
      <c r="M20" s="108"/>
      <c r="N20" s="8"/>
    </row>
    <row r="21" spans="1:14" ht="15.75" customHeight="1">
      <c r="A21" s="5"/>
      <c r="B21" s="7"/>
      <c r="C21" s="124"/>
      <c r="D21" s="220"/>
      <c r="E21" s="28"/>
      <c r="F21" s="65"/>
      <c r="G21" s="106"/>
      <c r="H21" s="7"/>
      <c r="I21" s="7"/>
      <c r="J21" s="7"/>
      <c r="K21" s="7"/>
      <c r="L21" s="108"/>
      <c r="M21" s="108"/>
      <c r="N21" s="8"/>
    </row>
    <row r="22" spans="1:14" ht="15.75" customHeight="1">
      <c r="A22" s="5"/>
      <c r="B22" s="7"/>
      <c r="C22" s="7"/>
      <c r="D22" s="7"/>
      <c r="E22" s="28"/>
      <c r="F22" s="65"/>
      <c r="G22" s="106"/>
      <c r="H22" s="7"/>
      <c r="I22" s="7"/>
      <c r="J22" s="7"/>
      <c r="K22" s="7"/>
      <c r="L22" s="108"/>
      <c r="M22" s="108"/>
      <c r="N22" s="8"/>
    </row>
    <row r="23" spans="1:14" ht="15.75" customHeight="1" thickBot="1">
      <c r="A23" s="5"/>
      <c r="B23" s="214" t="s">
        <v>318</v>
      </c>
      <c r="C23" s="214"/>
      <c r="D23" s="214"/>
      <c r="E23" s="31"/>
      <c r="F23" s="31"/>
      <c r="G23" s="215" t="s">
        <v>319</v>
      </c>
      <c r="H23" s="215"/>
      <c r="I23" s="215"/>
      <c r="J23" s="215"/>
      <c r="K23" s="215"/>
      <c r="L23" s="215"/>
      <c r="M23" s="215"/>
      <c r="N23" s="8"/>
    </row>
    <row r="24" spans="1:14" ht="13.5" thickBot="1">
      <c r="A24" s="5"/>
      <c r="B24" s="64" t="s">
        <v>323</v>
      </c>
      <c r="C24" s="64"/>
      <c r="D24" s="60">
        <f>Assumptions!C24</f>
        <v>70</v>
      </c>
      <c r="E24" s="31"/>
      <c r="F24" s="31"/>
      <c r="G24" s="64" t="s">
        <v>322</v>
      </c>
      <c r="H24" s="64"/>
      <c r="I24" s="31"/>
      <c r="J24" s="31"/>
      <c r="K24" s="31"/>
      <c r="L24" s="31"/>
      <c r="M24" s="60">
        <f>Assumptions!C25</f>
        <v>78</v>
      </c>
      <c r="N24" s="8"/>
    </row>
    <row r="25" spans="1:14" ht="13.5" thickBot="1">
      <c r="A25" s="5"/>
      <c r="B25" s="7" t="s">
        <v>338</v>
      </c>
      <c r="C25" s="7"/>
      <c r="D25" s="60">
        <v>62</v>
      </c>
      <c r="E25" s="46"/>
      <c r="F25" s="46"/>
      <c r="G25" s="106" t="s">
        <v>336</v>
      </c>
      <c r="H25" s="106"/>
      <c r="I25" s="106"/>
      <c r="J25" s="106"/>
      <c r="K25" s="106"/>
      <c r="L25" s="120"/>
      <c r="M25" s="60">
        <v>82</v>
      </c>
      <c r="N25" s="8"/>
    </row>
    <row r="26" spans="1:14" ht="13.5" thickBot="1">
      <c r="A26" s="5"/>
      <c r="B26" s="7" t="s">
        <v>339</v>
      </c>
      <c r="C26" s="7"/>
      <c r="D26" s="61">
        <v>62</v>
      </c>
      <c r="E26" s="43"/>
      <c r="F26" s="43"/>
      <c r="G26" s="103" t="s">
        <v>337</v>
      </c>
      <c r="H26" s="103"/>
      <c r="I26" s="103"/>
      <c r="J26" s="103"/>
      <c r="K26" s="103"/>
      <c r="L26" s="121"/>
      <c r="M26" s="61">
        <v>85</v>
      </c>
      <c r="N26" s="8"/>
    </row>
    <row r="27" spans="1:14" ht="13.5" thickBot="1">
      <c r="A27" s="5"/>
      <c r="B27" s="7" t="s">
        <v>74</v>
      </c>
      <c r="C27" s="7"/>
      <c r="D27" s="41"/>
      <c r="E27" s="28"/>
      <c r="F27" s="28"/>
      <c r="G27" s="210" t="s">
        <v>80</v>
      </c>
      <c r="H27" s="211"/>
      <c r="I27" s="211"/>
      <c r="J27" s="10"/>
      <c r="K27" s="10"/>
      <c r="L27" s="11"/>
      <c r="M27" s="7"/>
      <c r="N27" s="8"/>
    </row>
    <row r="28" spans="1:14" ht="8.25" customHeight="1">
      <c r="A28" s="12"/>
      <c r="B28" s="13"/>
      <c r="C28" s="13"/>
      <c r="D28" s="36"/>
      <c r="E28" s="13"/>
      <c r="F28" s="13"/>
      <c r="G28" s="13"/>
      <c r="H28" s="37"/>
      <c r="I28" s="13"/>
      <c r="J28" s="13"/>
      <c r="K28" s="13"/>
      <c r="L28" s="13"/>
      <c r="M28" s="13"/>
      <c r="N28" s="14"/>
    </row>
    <row r="29" spans="1:14" ht="51.75" customHeight="1">
      <c r="A29" s="212" t="s">
        <v>332</v>
      </c>
      <c r="B29" s="212"/>
      <c r="C29" s="212"/>
      <c r="D29" s="212"/>
      <c r="E29" s="212"/>
      <c r="F29" s="212"/>
      <c r="G29" s="212"/>
      <c r="H29" s="212"/>
      <c r="I29" s="212"/>
      <c r="J29" s="212"/>
      <c r="K29" s="212"/>
      <c r="L29" s="212"/>
      <c r="M29" s="212"/>
      <c r="N29" s="212"/>
    </row>
    <row r="30" ht="15.75" customHeight="1">
      <c r="B30" s="32"/>
    </row>
    <row r="31" spans="2:14" ht="15.75" customHeight="1">
      <c r="B31" s="208" t="str">
        <f>"Annual and Life Cycle Costs and Savings for "&amp;D15&amp;" Programmable Thermostat(s)"</f>
        <v>Annual and Life Cycle Costs and Savings for 1 Programmable Thermostat(s)</v>
      </c>
      <c r="C31" s="208"/>
      <c r="D31" s="208"/>
      <c r="E31" s="208"/>
      <c r="F31" s="208"/>
      <c r="G31" s="208"/>
      <c r="H31" s="208"/>
      <c r="I31" s="208"/>
      <c r="J31" s="208"/>
      <c r="K31" s="208"/>
      <c r="L31" s="208"/>
      <c r="M31" s="208"/>
      <c r="N31" s="208"/>
    </row>
    <row r="32" spans="1:14" ht="31.5" customHeight="1">
      <c r="A32" s="15"/>
      <c r="B32" s="135"/>
      <c r="C32" s="209" t="str">
        <f>""&amp;D15&amp;" ENERGY STAR Unit(s)"</f>
        <v>1 ENERGY STAR Unit(s)</v>
      </c>
      <c r="D32" s="209"/>
      <c r="E32" s="209"/>
      <c r="F32" s="33"/>
      <c r="G32" s="209" t="str">
        <f>""&amp;D15&amp;" Conventional Unit(s)"</f>
        <v>1 Conventional Unit(s)</v>
      </c>
      <c r="H32" s="209"/>
      <c r="I32" s="209"/>
      <c r="J32" s="33"/>
      <c r="K32" s="33"/>
      <c r="L32" s="209" t="s">
        <v>282</v>
      </c>
      <c r="M32" s="209"/>
      <c r="N32" s="16"/>
    </row>
    <row r="33" spans="1:14" ht="15.75" customHeight="1">
      <c r="A33" s="19"/>
      <c r="B33" s="136" t="s">
        <v>283</v>
      </c>
      <c r="C33" s="17"/>
      <c r="D33" s="17"/>
      <c r="E33" s="17"/>
      <c r="F33" s="17"/>
      <c r="G33" s="17"/>
      <c r="H33" s="17"/>
      <c r="I33" s="17"/>
      <c r="J33" s="17"/>
      <c r="K33" s="17"/>
      <c r="L33" s="17"/>
      <c r="M33" s="17"/>
      <c r="N33" s="18"/>
    </row>
    <row r="34" spans="1:14" ht="15.75" customHeight="1">
      <c r="A34" s="19"/>
      <c r="B34" s="137" t="s">
        <v>293</v>
      </c>
      <c r="C34" s="17"/>
      <c r="D34" s="97">
        <f>$D$35*VLOOKUP(Assumptions!$H$68,Assumptions!$H$69:$V$74,14)</f>
        <v>545.7510631828101</v>
      </c>
      <c r="E34" s="153"/>
      <c r="F34" s="153"/>
      <c r="G34" s="153"/>
      <c r="H34" s="97">
        <f>$H$35*VLOOKUP(Assumptions!$H$68,Assumptions!$H$69:$V$74,14)</f>
        <v>665.5500770522075</v>
      </c>
      <c r="I34" s="75"/>
      <c r="J34" s="75"/>
      <c r="K34" s="75"/>
      <c r="L34" s="75"/>
      <c r="M34" s="93">
        <f>H34-D34</f>
        <v>119.79901386939741</v>
      </c>
      <c r="N34" s="18"/>
    </row>
    <row r="35" spans="1:14" s="3" customFormat="1" ht="15.75" customHeight="1" outlineLevel="1">
      <c r="A35" s="145"/>
      <c r="B35" s="138" t="s">
        <v>289</v>
      </c>
      <c r="C35" s="44"/>
      <c r="D35" s="101">
        <f>IF(VLOOKUP(Assumptions!$H$68,Assumptions!$H$69:$V$74,6)&lt;=0,0,VLOOKUP(Assumptions!$H$68,Assumptions!$H$69:$V$74,6)*(Assumptions!C59/VLOOKUP(Assumptions!$H$68,Assumptions!$H$69:$V$74,8))*(1+(Assumptions!C42*(Assumptions!K81-Assumptions!C24))))</f>
        <v>42.97252466006379</v>
      </c>
      <c r="E35" s="94"/>
      <c r="F35" s="94"/>
      <c r="G35" s="75"/>
      <c r="H35" s="101">
        <f>IF(VLOOKUP(Assumptions!$H$68,Assumptions!$H$69:$V$74,6)&lt;=0,0,VLOOKUP(Assumptions!$H$68,Assumptions!$H$69:$V$74,6)*(Assumptions!C59/VLOOKUP(Assumptions!$H$68,Assumptions!$H$69:$V$74,8))*(1+(Assumptions!C42*(D24-Assumptions!C24))))</f>
        <v>52.405517878126574</v>
      </c>
      <c r="I35" s="75"/>
      <c r="J35" s="75"/>
      <c r="K35" s="75"/>
      <c r="L35" s="75"/>
      <c r="M35" s="157">
        <f>H35-D35</f>
        <v>9.432993218062784</v>
      </c>
      <c r="N35" s="45"/>
    </row>
    <row r="36" spans="1:14" s="3" customFormat="1" ht="15.75" customHeight="1">
      <c r="A36" s="145"/>
      <c r="B36" s="137" t="s">
        <v>290</v>
      </c>
      <c r="C36" s="44"/>
      <c r="D36" s="97">
        <f>$D$37*VLOOKUP(Assumptions!$H$77,Assumptions!$H$78:$V$79,14)</f>
        <v>185.32271112148564</v>
      </c>
      <c r="E36" s="152"/>
      <c r="F36" s="152"/>
      <c r="G36" s="153"/>
      <c r="H36" s="97">
        <f>$H$37*VLOOKUP(Assumptions!$H$77,Assumptions!$H$78:$V$79,14)</f>
        <v>248.75531694159147</v>
      </c>
      <c r="I36" s="75"/>
      <c r="J36" s="75"/>
      <c r="K36" s="75"/>
      <c r="L36" s="75"/>
      <c r="M36" s="93">
        <f>H36-D36</f>
        <v>63.432605820105834</v>
      </c>
      <c r="N36" s="45"/>
    </row>
    <row r="37" spans="1:14" s="3" customFormat="1" ht="15.75" customHeight="1" outlineLevel="1">
      <c r="A37" s="145"/>
      <c r="B37" s="138" t="s">
        <v>304</v>
      </c>
      <c r="C37" s="44"/>
      <c r="D37" s="154">
        <f>IF(VLOOKUP(Assumptions!$H$77,Assumptions!$H$78:$V$79,6)*(1+((Assumptions!C25-Assumptions!K82)*Assumptions!C43))&lt;=0,0,VLOOKUP(Assumptions!$H$77,Assumptions!$H$78:$V$79,6)*(Assumptions!D59/VLOOKUP(Assumptions!$H$77,Assumptions!$H$78:$V$79,9))*(1+((Assumptions!C25-Assumptions!K82)*Assumptions!C43)))</f>
        <v>5.949926513815402</v>
      </c>
      <c r="E37" s="94"/>
      <c r="F37" s="94"/>
      <c r="G37" s="75"/>
      <c r="H37" s="155">
        <f>IF(VLOOKUP(Assumptions!$H$77,Assumptions!$H$78:$V$79,6)*(1+((Assumptions!C25-'Programmable Thermostat Savings'!M24)*Assumptions!C43))&lt;=0,0,VLOOKUP(Assumptions!$H$77,Assumptions!$H$78:$V$79,6)*(Assumptions!D59/VLOOKUP(Assumptions!$H$77,Assumptions!$H$78:$V$79,9))*(1+((Assumptions!C25-'Programmable Thermostat Savings'!M24)*Assumptions!C43)))</f>
        <v>7.986478542034098</v>
      </c>
      <c r="I37" s="75"/>
      <c r="J37" s="75"/>
      <c r="K37" s="75"/>
      <c r="L37" s="75"/>
      <c r="M37" s="157">
        <f>H37-D37</f>
        <v>2.0365520282186953</v>
      </c>
      <c r="N37" s="45"/>
    </row>
    <row r="38" spans="1:14" s="22" customFormat="1" ht="15.75" customHeight="1">
      <c r="A38" s="34"/>
      <c r="B38" s="139" t="s">
        <v>0</v>
      </c>
      <c r="C38" s="20"/>
      <c r="D38" s="95">
        <f>D34+D36</f>
        <v>731.0737743042957</v>
      </c>
      <c r="E38" s="96"/>
      <c r="F38" s="96"/>
      <c r="G38" s="75"/>
      <c r="H38" s="95">
        <f>H34+H36</f>
        <v>914.3053939937989</v>
      </c>
      <c r="I38" s="75"/>
      <c r="J38" s="75"/>
      <c r="K38" s="75"/>
      <c r="L38" s="75"/>
      <c r="M38" s="95">
        <f>H38-D38</f>
        <v>183.2316196895032</v>
      </c>
      <c r="N38" s="21"/>
    </row>
    <row r="39" spans="1:14" ht="15.75" customHeight="1">
      <c r="A39" s="19"/>
      <c r="B39" s="17"/>
      <c r="C39" s="17"/>
      <c r="D39" s="75"/>
      <c r="E39" s="75"/>
      <c r="F39" s="75"/>
      <c r="G39" s="75"/>
      <c r="H39" s="75"/>
      <c r="I39" s="75"/>
      <c r="J39" s="75"/>
      <c r="K39" s="75"/>
      <c r="L39" s="75"/>
      <c r="M39" s="75"/>
      <c r="N39" s="18"/>
    </row>
    <row r="40" spans="1:14" ht="15.75" customHeight="1">
      <c r="A40" s="19"/>
      <c r="B40" s="136" t="s">
        <v>296</v>
      </c>
      <c r="C40" s="17"/>
      <c r="D40" s="75"/>
      <c r="E40" s="75"/>
      <c r="F40" s="75"/>
      <c r="G40" s="75"/>
      <c r="H40" s="75"/>
      <c r="I40" s="75"/>
      <c r="J40" s="75"/>
      <c r="K40" s="75"/>
      <c r="L40" s="75"/>
      <c r="M40" s="75"/>
      <c r="N40" s="18"/>
    </row>
    <row r="41" spans="1:14" ht="15.75" customHeight="1">
      <c r="A41" s="19"/>
      <c r="B41" s="137" t="s">
        <v>297</v>
      </c>
      <c r="C41" s="17"/>
      <c r="D41" s="97">
        <f>D42+D44</f>
        <v>8128.361464212601</v>
      </c>
      <c r="E41" s="75"/>
      <c r="F41" s="75"/>
      <c r="G41" s="75"/>
      <c r="H41" s="97">
        <f>H42+H44</f>
        <v>10165.601601744185</v>
      </c>
      <c r="I41" s="75"/>
      <c r="J41" s="75"/>
      <c r="K41" s="75"/>
      <c r="L41" s="75"/>
      <c r="M41" s="93">
        <f>H41-D41</f>
        <v>2037.240137531584</v>
      </c>
      <c r="N41" s="18"/>
    </row>
    <row r="42" spans="1:14" ht="15.75" customHeight="1">
      <c r="A42" s="19"/>
      <c r="B42" s="140" t="s">
        <v>298</v>
      </c>
      <c r="C42" s="17"/>
      <c r="D42" s="156">
        <f>PV(Assumptions!$C$56,Assumptions!$C$45,-'Programmable Thermostat Savings'!D34,0)</f>
        <v>6067.87176198415</v>
      </c>
      <c r="E42" s="75"/>
      <c r="F42" s="75"/>
      <c r="G42" s="75"/>
      <c r="H42" s="156">
        <f>PV(Assumptions!$C$56,Assumptions!$C$45,-'Programmable Thermostat Savings'!H34,0)</f>
        <v>7399.843612175795</v>
      </c>
      <c r="I42" s="75"/>
      <c r="J42" s="75"/>
      <c r="K42" s="75"/>
      <c r="L42" s="75"/>
      <c r="M42" s="156">
        <f aca="true" t="shared" si="0" ref="M42:M47">H42-D42</f>
        <v>1331.971850191645</v>
      </c>
      <c r="N42" s="18"/>
    </row>
    <row r="43" spans="1:14" ht="15.75" customHeight="1" outlineLevel="1">
      <c r="A43" s="19"/>
      <c r="B43" s="141" t="s">
        <v>289</v>
      </c>
      <c r="C43" s="17"/>
      <c r="D43" s="98">
        <f>D35*Assumptions!C45</f>
        <v>644.5878699009569</v>
      </c>
      <c r="E43" s="75"/>
      <c r="F43" s="75"/>
      <c r="G43" s="75"/>
      <c r="H43" s="98">
        <f>H35*Assumptions!C45</f>
        <v>786.0827681718986</v>
      </c>
      <c r="I43" s="75"/>
      <c r="J43" s="75"/>
      <c r="K43" s="75"/>
      <c r="L43" s="75"/>
      <c r="M43" s="100">
        <f t="shared" si="0"/>
        <v>141.4948982709417</v>
      </c>
      <c r="N43" s="18"/>
    </row>
    <row r="44" spans="1:14" ht="15.75" customHeight="1">
      <c r="A44" s="19"/>
      <c r="B44" s="140" t="s">
        <v>299</v>
      </c>
      <c r="C44" s="17"/>
      <c r="D44" s="97">
        <f>PV(Assumptions!$C$56,Assumptions!$C$45,-'Programmable Thermostat Savings'!D36,0)</f>
        <v>2060.489702228451</v>
      </c>
      <c r="E44" s="75"/>
      <c r="F44" s="75"/>
      <c r="G44" s="75"/>
      <c r="H44" s="97">
        <f>PV(Assumptions!$C$56,Assumptions!$C$45,-'Programmable Thermostat Savings'!H36,0)</f>
        <v>2765.7579895683907</v>
      </c>
      <c r="I44" s="75"/>
      <c r="J44" s="75"/>
      <c r="K44" s="75"/>
      <c r="L44" s="75"/>
      <c r="M44" s="93">
        <f t="shared" si="0"/>
        <v>705.2682873399399</v>
      </c>
      <c r="N44" s="18"/>
    </row>
    <row r="45" spans="1:14" ht="15.75" customHeight="1" outlineLevel="1">
      <c r="A45" s="19"/>
      <c r="B45" s="141" t="s">
        <v>304</v>
      </c>
      <c r="C45" s="17"/>
      <c r="D45" s="98">
        <f>D37*Assumptions!C45</f>
        <v>89.24889770723104</v>
      </c>
      <c r="E45" s="75"/>
      <c r="F45" s="75"/>
      <c r="G45" s="75"/>
      <c r="H45" s="98">
        <f>H37*Assumptions!C45</f>
        <v>119.79717813051147</v>
      </c>
      <c r="I45" s="75"/>
      <c r="J45" s="75"/>
      <c r="K45" s="75"/>
      <c r="L45" s="75"/>
      <c r="M45" s="100">
        <f t="shared" si="0"/>
        <v>30.54828042328043</v>
      </c>
      <c r="N45" s="18"/>
    </row>
    <row r="46" spans="1:14" ht="15.75" customHeight="1">
      <c r="A46" s="19"/>
      <c r="B46" s="142" t="str">
        <f>"Purchase Price for "&amp;D15&amp;" Unit(s)"</f>
        <v>Purchase Price for 1 Unit(s)</v>
      </c>
      <c r="C46" s="17"/>
      <c r="D46" s="156">
        <f>D15*D16</f>
        <v>92</v>
      </c>
      <c r="E46" s="75"/>
      <c r="F46" s="75"/>
      <c r="G46" s="75"/>
      <c r="H46" s="156">
        <f>D15*D17</f>
        <v>73</v>
      </c>
      <c r="I46" s="75"/>
      <c r="J46" s="75"/>
      <c r="K46" s="75"/>
      <c r="L46" s="75"/>
      <c r="M46" s="156">
        <f t="shared" si="0"/>
        <v>-19</v>
      </c>
      <c r="N46" s="18"/>
    </row>
    <row r="47" spans="1:14" ht="15.75" customHeight="1">
      <c r="A47" s="19"/>
      <c r="B47" s="143" t="s">
        <v>0</v>
      </c>
      <c r="C47" s="17"/>
      <c r="D47" s="99">
        <f>D41+D46</f>
        <v>8220.361464212601</v>
      </c>
      <c r="E47" s="75"/>
      <c r="F47" s="75"/>
      <c r="G47" s="75"/>
      <c r="H47" s="99">
        <f>H41+H46</f>
        <v>10238.601601744185</v>
      </c>
      <c r="I47" s="75"/>
      <c r="J47" s="75"/>
      <c r="K47" s="75"/>
      <c r="L47" s="75"/>
      <c r="M47" s="99">
        <f t="shared" si="0"/>
        <v>2018.240137531584</v>
      </c>
      <c r="N47" s="18"/>
    </row>
    <row r="48" spans="1:14" s="22" customFormat="1" ht="15.75" customHeight="1">
      <c r="A48" s="34"/>
      <c r="B48" s="20"/>
      <c r="C48" s="20"/>
      <c r="D48" s="35"/>
      <c r="E48" s="20"/>
      <c r="F48" s="20"/>
      <c r="G48" s="20"/>
      <c r="H48" s="35"/>
      <c r="I48" s="20"/>
      <c r="J48" s="20"/>
      <c r="K48" s="20"/>
      <c r="L48" s="20"/>
      <c r="M48" s="35"/>
      <c r="N48" s="21"/>
    </row>
    <row r="49" spans="1:14" ht="15.75" customHeight="1">
      <c r="A49" s="19"/>
      <c r="B49" s="144"/>
      <c r="C49" s="17"/>
      <c r="D49" s="17"/>
      <c r="E49" s="17"/>
      <c r="F49" s="17"/>
      <c r="G49" s="17"/>
      <c r="H49" s="17"/>
      <c r="I49" s="17"/>
      <c r="J49" s="17"/>
      <c r="K49" s="17"/>
      <c r="L49" s="23" t="s">
        <v>256</v>
      </c>
      <c r="M49" s="39">
        <f>IF(M54&lt;0,0,IF(M38&lt;0,"N/A",IF(M38=0,"&gt;"&amp;Assumptions!C45&amp;"",IF(M54/M38&gt;Assumptions!C45,"&gt;"&amp;Assumptions!C45&amp;"",M54/M38))))</f>
        <v>0.10369389318392001</v>
      </c>
      <c r="N49" s="18"/>
    </row>
    <row r="50" spans="1:14" ht="4.5" customHeight="1">
      <c r="A50" s="24"/>
      <c r="B50" s="25"/>
      <c r="C50" s="25"/>
      <c r="D50" s="25"/>
      <c r="E50" s="25"/>
      <c r="F50" s="25"/>
      <c r="G50" s="25"/>
      <c r="H50" s="25"/>
      <c r="I50" s="25"/>
      <c r="J50" s="25"/>
      <c r="K50" s="25"/>
      <c r="L50" s="25"/>
      <c r="M50" s="25"/>
      <c r="N50" s="26"/>
    </row>
    <row r="51" spans="2:14" ht="24" customHeight="1">
      <c r="B51" s="68"/>
      <c r="C51" s="68"/>
      <c r="D51" s="68"/>
      <c r="E51" s="68"/>
      <c r="F51" s="68"/>
      <c r="G51" s="68"/>
      <c r="H51" s="68"/>
      <c r="I51" s="68"/>
      <c r="J51" s="68"/>
      <c r="K51" s="68"/>
      <c r="L51" s="68"/>
      <c r="M51" s="68"/>
      <c r="N51" s="68"/>
    </row>
    <row r="52" spans="2:14" ht="15.75" customHeight="1">
      <c r="B52" s="208" t="str">
        <f>"Summary of Benefits for "&amp;D15&amp;"  Programmable Thermostat(s)"</f>
        <v>Summary of Benefits for 1  Programmable Thermostat(s)</v>
      </c>
      <c r="C52" s="208"/>
      <c r="D52" s="208"/>
      <c r="E52" s="208"/>
      <c r="F52" s="208"/>
      <c r="G52" s="208"/>
      <c r="H52" s="208"/>
      <c r="I52" s="208"/>
      <c r="J52" s="208"/>
      <c r="K52" s="208"/>
      <c r="L52" s="208"/>
      <c r="M52" s="208"/>
      <c r="N52" s="208"/>
    </row>
    <row r="53" spans="1:14" ht="4.5" customHeight="1">
      <c r="A53" s="69"/>
      <c r="B53" s="70" t="s">
        <v>273</v>
      </c>
      <c r="C53" s="70"/>
      <c r="D53" s="70"/>
      <c r="E53" s="70"/>
      <c r="F53" s="70"/>
      <c r="G53" s="70"/>
      <c r="H53" s="70"/>
      <c r="I53" s="70"/>
      <c r="J53" s="70"/>
      <c r="K53" s="70"/>
      <c r="L53" s="70"/>
      <c r="M53" s="70"/>
      <c r="N53" s="71"/>
    </row>
    <row r="54" spans="1:14" ht="15" customHeight="1">
      <c r="A54" s="149"/>
      <c r="B54" s="146" t="s">
        <v>331</v>
      </c>
      <c r="C54" s="72"/>
      <c r="D54" s="72"/>
      <c r="E54" s="72"/>
      <c r="F54" s="72"/>
      <c r="G54" s="72"/>
      <c r="H54" s="72"/>
      <c r="I54" s="72"/>
      <c r="J54" s="72"/>
      <c r="K54" s="72"/>
      <c r="L54" s="72"/>
      <c r="M54" s="122">
        <f>D46-H46</f>
        <v>19</v>
      </c>
      <c r="N54" s="131"/>
    </row>
    <row r="55" spans="1:14" ht="15.75" customHeight="1">
      <c r="A55" s="149"/>
      <c r="B55" s="146" t="s">
        <v>274</v>
      </c>
      <c r="C55" s="72"/>
      <c r="D55" s="72"/>
      <c r="E55" s="72"/>
      <c r="F55" s="72"/>
      <c r="G55" s="72"/>
      <c r="H55" s="72"/>
      <c r="I55" s="72"/>
      <c r="J55" s="72"/>
      <c r="K55" s="72"/>
      <c r="L55" s="72"/>
      <c r="M55" s="122">
        <f>IF(M41&gt;0,M41,"No Savings")</f>
        <v>2037.240137531584</v>
      </c>
      <c r="N55" s="132"/>
    </row>
    <row r="56" spans="1:14" ht="15.75" customHeight="1">
      <c r="A56" s="149"/>
      <c r="B56" s="146" t="s">
        <v>275</v>
      </c>
      <c r="C56" s="72"/>
      <c r="D56" s="72"/>
      <c r="E56" s="72"/>
      <c r="F56" s="72"/>
      <c r="G56" s="72"/>
      <c r="H56" s="72"/>
      <c r="I56" s="72"/>
      <c r="J56" s="72"/>
      <c r="K56" s="72"/>
      <c r="L56" s="72"/>
      <c r="M56" s="122">
        <f>IF(M47&gt;0,M47,"No Savings")</f>
        <v>2018.240137531584</v>
      </c>
      <c r="N56" s="132"/>
    </row>
    <row r="57" spans="1:14" ht="15.75" customHeight="1">
      <c r="A57" s="149"/>
      <c r="B57" s="146" t="s">
        <v>340</v>
      </c>
      <c r="C57" s="72"/>
      <c r="D57" s="72"/>
      <c r="E57" s="72"/>
      <c r="F57" s="72"/>
      <c r="G57" s="72"/>
      <c r="H57" s="72"/>
      <c r="I57" s="72"/>
      <c r="J57" s="72"/>
      <c r="K57" s="72"/>
      <c r="L57" s="72"/>
      <c r="M57" s="129">
        <f>IF(M43+M45&gt;0,M43+M45,"No Savings")</f>
        <v>172.04317869422212</v>
      </c>
      <c r="N57" s="132"/>
    </row>
    <row r="58" spans="1:14" ht="15.75" customHeight="1">
      <c r="A58" s="149"/>
      <c r="B58" s="146" t="s">
        <v>276</v>
      </c>
      <c r="C58" s="72"/>
      <c r="D58" s="72"/>
      <c r="E58" s="72"/>
      <c r="F58" s="72"/>
      <c r="G58" s="72"/>
      <c r="H58" s="72"/>
      <c r="I58" s="72"/>
      <c r="J58" s="72"/>
      <c r="K58" s="72"/>
      <c r="L58" s="72"/>
      <c r="M58" s="128">
        <f>M49</f>
        <v>0.10369389318392001</v>
      </c>
      <c r="N58" s="132"/>
    </row>
    <row r="59" spans="1:14" ht="15.75" customHeight="1">
      <c r="A59" s="149"/>
      <c r="B59" s="146" t="s">
        <v>277</v>
      </c>
      <c r="C59" s="72"/>
      <c r="D59" s="72"/>
      <c r="E59" s="72"/>
      <c r="F59" s="72"/>
      <c r="G59" s="72"/>
      <c r="H59" s="72"/>
      <c r="I59" s="72"/>
      <c r="J59" s="72"/>
      <c r="K59" s="72"/>
      <c r="L59" s="72"/>
      <c r="M59" s="129">
        <f>IF(Assumptions!C45*(VLOOKUP(Assumptions!H68,Assumptions!H69:V73,15)+VLOOKUP(Assumptions!H77,Assumptions!H78:V79,15))&gt;0,Assumptions!C45*(VLOOKUP(Assumptions!H68,Assumptions!H69:V73,15)+VLOOKUP(Assumptions!H77,Assumptions!H78:V79,15)),"No Savings")</f>
        <v>25541.499520593326</v>
      </c>
      <c r="N59" s="132"/>
    </row>
    <row r="60" spans="1:14" ht="15.75" customHeight="1">
      <c r="A60" s="149"/>
      <c r="B60" s="146" t="s">
        <v>278</v>
      </c>
      <c r="C60" s="72"/>
      <c r="D60" s="72"/>
      <c r="E60" s="72"/>
      <c r="F60" s="72"/>
      <c r="G60" s="72"/>
      <c r="H60" s="72"/>
      <c r="I60" s="72"/>
      <c r="J60" s="72"/>
      <c r="K60" s="72"/>
      <c r="L60" s="72"/>
      <c r="M60" s="129">
        <f>IF(Assumptions!C45*(VLOOKUP(Assumptions!H68,Assumptions!H69:V73,15)+VLOOKUP(Assumptions!H77,Assumptions!H78:V79,15))&gt;0,M59/Assumptions!C53,"No Savings")</f>
        <v>2.121915719913045</v>
      </c>
      <c r="N60" s="132"/>
    </row>
    <row r="61" spans="1:14" ht="15.75" customHeight="1">
      <c r="A61" s="149"/>
      <c r="B61" s="146" t="s">
        <v>279</v>
      </c>
      <c r="C61" s="72"/>
      <c r="D61" s="72"/>
      <c r="E61" s="72"/>
      <c r="F61" s="72"/>
      <c r="G61" s="72"/>
      <c r="H61" s="72"/>
      <c r="I61" s="72"/>
      <c r="J61" s="72"/>
      <c r="K61" s="72"/>
      <c r="L61" s="72"/>
      <c r="M61" s="129">
        <f>IF(Assumptions!C45*(VLOOKUP(Assumptions!H68,Assumptions!H69:V73,15)+VLOOKUP(Assumptions!H77,Assumptions!H78:V79,15))&gt;0,M59/Assumptions!C52,"No Savings")</f>
        <v>2.6331442804735388</v>
      </c>
      <c r="N61" s="132"/>
    </row>
    <row r="62" spans="1:14" ht="15.75" customHeight="1">
      <c r="A62" s="149"/>
      <c r="B62" s="147" t="s">
        <v>280</v>
      </c>
      <c r="C62" s="72"/>
      <c r="D62" s="72"/>
      <c r="E62" s="72"/>
      <c r="F62" s="72"/>
      <c r="G62" s="72"/>
      <c r="H62" s="72"/>
      <c r="I62" s="72"/>
      <c r="J62" s="72"/>
      <c r="K62" s="72"/>
      <c r="L62" s="72"/>
      <c r="M62" s="130">
        <f>IF(M47/D47&gt;0,M47/D46,"No Savings")</f>
        <v>21.937392799256347</v>
      </c>
      <c r="N62" s="132"/>
    </row>
    <row r="63" spans="1:14" ht="8.25" customHeight="1">
      <c r="A63" s="150"/>
      <c r="B63" s="148"/>
      <c r="C63" s="73"/>
      <c r="D63" s="73"/>
      <c r="E63" s="73"/>
      <c r="F63" s="73"/>
      <c r="G63" s="73"/>
      <c r="H63" s="73"/>
      <c r="I63" s="73"/>
      <c r="J63" s="73"/>
      <c r="K63" s="73"/>
      <c r="L63" s="73"/>
      <c r="M63" s="73"/>
      <c r="N63" s="74"/>
    </row>
    <row r="64" ht="15.75" customHeight="1"/>
    <row r="65" ht="15.75" customHeight="1"/>
    <row r="66" spans="2:14" s="27" customFormat="1" ht="4.5" customHeight="1">
      <c r="B66" s="1"/>
      <c r="C66" s="1"/>
      <c r="D66" s="1"/>
      <c r="E66" s="1"/>
      <c r="F66" s="1"/>
      <c r="G66" s="1"/>
      <c r="H66" s="1"/>
      <c r="I66" s="1"/>
      <c r="J66" s="1"/>
      <c r="K66" s="1"/>
      <c r="L66" s="1"/>
      <c r="M66" s="1"/>
      <c r="N66" s="1"/>
    </row>
    <row r="67" spans="2:14" s="27" customFormat="1" ht="15.75" customHeight="1">
      <c r="B67" s="1"/>
      <c r="C67" s="1"/>
      <c r="D67" s="1"/>
      <c r="E67" s="1"/>
      <c r="F67" s="1"/>
      <c r="G67" s="1"/>
      <c r="H67" s="1"/>
      <c r="I67" s="1"/>
      <c r="J67" s="1"/>
      <c r="K67" s="1"/>
      <c r="L67" s="1"/>
      <c r="M67" s="1"/>
      <c r="N67" s="1"/>
    </row>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sheetData>
  <sheetProtection/>
  <mergeCells count="16">
    <mergeCell ref="A7:N7"/>
    <mergeCell ref="B23:D23"/>
    <mergeCell ref="G23:M23"/>
    <mergeCell ref="J18:K18"/>
    <mergeCell ref="J17:K17"/>
    <mergeCell ref="B13:N13"/>
    <mergeCell ref="D20:D21"/>
    <mergeCell ref="A11:N11"/>
    <mergeCell ref="A8:N8"/>
    <mergeCell ref="B52:N52"/>
    <mergeCell ref="C32:E32"/>
    <mergeCell ref="G32:I32"/>
    <mergeCell ref="G27:I27"/>
    <mergeCell ref="L32:M32"/>
    <mergeCell ref="B31:N31"/>
    <mergeCell ref="A29:N29"/>
  </mergeCells>
  <dataValidations count="8">
    <dataValidation type="decimal" operator="greaterThan" showInputMessage="1" showErrorMessage="1" errorTitle="Input Error" error="Please use a value greater than 0.&#10;&#10;Thank you." sqref="D15:D17 D27">
      <formula1>0</formula1>
    </dataValidation>
    <dataValidation type="decimal" operator="greaterThanOrEqual" showInputMessage="1" showErrorMessage="1" errorTitle="Input Error" error="Please use a value greater than 0.&#10;&#10;Thank you." sqref="D18:D19">
      <formula1>0</formula1>
    </dataValidation>
    <dataValidation type="decimal" allowBlank="1" showInputMessage="1" showErrorMessage="1" error="Please Enter a Value between 0 and 24.&#10;&#10;Thank you." sqref="M17 L17">
      <formula1>0</formula1>
      <formula2>24</formula2>
    </dataValidation>
    <dataValidation type="decimal" operator="lessThan" allowBlank="1" showInputMessage="1" showErrorMessage="1" sqref="N18">
      <formula1>24</formula1>
    </dataValidation>
    <dataValidation type="decimal" showInputMessage="1" showErrorMessage="1" errorTitle="Input Error" error="Please enter a value between 70 and 90 degrees." sqref="M25:M26">
      <formula1>70</formula1>
      <formula2>90</formula2>
    </dataValidation>
    <dataValidation type="decimal" showInputMessage="1" showErrorMessage="1" errorTitle="Input Error" error="Please enter a value between 50 and 80 degrees." sqref="D25:D26">
      <formula1>50</formula1>
      <formula2>80</formula2>
    </dataValidation>
    <dataValidation type="decimal" allowBlank="1" showInputMessage="1" showErrorMessage="1" error="Usage pattern hours must sum to 24 hours per day." sqref="L18">
      <formula1>0</formula1>
      <formula2>24-L17</formula2>
    </dataValidation>
    <dataValidation type="whole" allowBlank="1" showInputMessage="1" showErrorMessage="1" error="Usage pattern hours must sum to 24 hours per day." sqref="M18">
      <formula1>0</formula1>
      <formula2>24-M17</formula2>
    </dataValidation>
  </dataValidations>
  <printOptions horizontalCentered="1"/>
  <pageMargins left="1" right="1" top="0.5" bottom="0.5" header="0.25" footer="0.25"/>
  <pageSetup fitToHeight="1" fitToWidth="1" horizontalDpi="600" verticalDpi="600" orientation="portrait" scale="66"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HQ281"/>
  <sheetViews>
    <sheetView zoomScale="85" zoomScaleNormal="85" zoomScaleSheetLayoutView="100" zoomScalePageLayoutView="0" workbookViewId="0" topLeftCell="B13">
      <selection activeCell="E29" sqref="E29"/>
    </sheetView>
  </sheetViews>
  <sheetFormatPr defaultColWidth="9.140625" defaultRowHeight="12.75"/>
  <cols>
    <col min="1" max="1" width="3.57421875" style="1" hidden="1" customWidth="1"/>
    <col min="2" max="2" width="48.00390625" style="47" bestFit="1" customWidth="1"/>
    <col min="3" max="3" width="10.140625" style="56" bestFit="1" customWidth="1"/>
    <col min="4" max="4" width="16.140625" style="57" bestFit="1" customWidth="1"/>
    <col min="5" max="5" width="51.140625" style="27" customWidth="1"/>
    <col min="6" max="6" width="9.140625" style="169" customWidth="1"/>
    <col min="7" max="7" width="10.8515625" style="167" bestFit="1" customWidth="1"/>
    <col min="8" max="8" width="10.57421875" style="167" bestFit="1" customWidth="1"/>
    <col min="9" max="9" width="11.421875" style="167" customWidth="1"/>
    <col min="10" max="10" width="20.140625" style="167" customWidth="1"/>
    <col min="11" max="11" width="22.8515625" style="167" bestFit="1" customWidth="1"/>
    <col min="12" max="12" width="7.421875" style="167" bestFit="1" customWidth="1"/>
    <col min="13" max="13" width="9.7109375" style="167" bestFit="1" customWidth="1"/>
    <col min="14" max="14" width="9.28125" style="167" bestFit="1" customWidth="1"/>
    <col min="15" max="16" width="10.8515625" style="167" bestFit="1" customWidth="1"/>
    <col min="17" max="17" width="10.8515625" style="167" customWidth="1"/>
    <col min="18" max="18" width="10.28125" style="167" bestFit="1" customWidth="1"/>
    <col min="19" max="19" width="7.421875" style="167" bestFit="1" customWidth="1"/>
    <col min="20" max="20" width="13.7109375" style="167" bestFit="1" customWidth="1"/>
    <col min="21" max="22" width="9.140625" style="167" customWidth="1"/>
    <col min="23" max="24" width="9.140625" style="168" customWidth="1"/>
    <col min="25" max="225" width="9.140625" style="109" customWidth="1"/>
    <col min="226" max="16384" width="9.140625" style="126" customWidth="1"/>
  </cols>
  <sheetData>
    <row r="1" spans="2:10" ht="15.75">
      <c r="B1" s="222" t="s">
        <v>271</v>
      </c>
      <c r="C1" s="223"/>
      <c r="D1" s="223"/>
      <c r="E1" s="224"/>
      <c r="F1" s="165"/>
      <c r="G1" s="166"/>
      <c r="H1" s="166"/>
      <c r="I1" s="166"/>
      <c r="J1" s="166"/>
    </row>
    <row r="2" spans="2:10" ht="15.75">
      <c r="B2" s="48"/>
      <c r="C2" s="49"/>
      <c r="D2" s="49"/>
      <c r="E2" s="50"/>
      <c r="F2" s="165"/>
      <c r="G2" s="166"/>
      <c r="H2" s="166"/>
      <c r="I2" s="166"/>
      <c r="J2" s="166"/>
    </row>
    <row r="3" spans="2:5" ht="15">
      <c r="B3" s="76" t="s">
        <v>1</v>
      </c>
      <c r="C3" s="225" t="s">
        <v>2</v>
      </c>
      <c r="D3" s="225"/>
      <c r="E3" s="52" t="s">
        <v>3</v>
      </c>
    </row>
    <row r="4" spans="2:5" ht="15">
      <c r="B4" s="87"/>
      <c r="C4" s="80"/>
      <c r="D4" s="81"/>
      <c r="E4" s="88"/>
    </row>
    <row r="5" spans="2:5" ht="15">
      <c r="B5" s="51" t="s">
        <v>272</v>
      </c>
      <c r="C5" s="82"/>
      <c r="D5" s="83"/>
      <c r="E5" s="59"/>
    </row>
    <row r="6" spans="2:5" ht="12.75">
      <c r="B6" s="54" t="s">
        <v>75</v>
      </c>
      <c r="C6" s="199">
        <v>84</v>
      </c>
      <c r="D6" s="83"/>
      <c r="E6" s="79" t="s">
        <v>92</v>
      </c>
    </row>
    <row r="7" spans="2:5" ht="12.75">
      <c r="B7" s="54" t="s">
        <v>76</v>
      </c>
      <c r="C7" s="199">
        <v>82.5</v>
      </c>
      <c r="D7" s="83"/>
      <c r="E7" s="79" t="s">
        <v>92</v>
      </c>
    </row>
    <row r="8" spans="2:5" ht="12.75">
      <c r="B8" s="54" t="s">
        <v>77</v>
      </c>
      <c r="C8" s="199">
        <v>84</v>
      </c>
      <c r="D8" s="83"/>
      <c r="E8" s="79" t="s">
        <v>92</v>
      </c>
    </row>
    <row r="9" spans="2:5" ht="12.75">
      <c r="B9" s="54" t="s">
        <v>78</v>
      </c>
      <c r="C9" s="199">
        <v>82.5</v>
      </c>
      <c r="D9" s="83"/>
      <c r="E9" s="79" t="s">
        <v>92</v>
      </c>
    </row>
    <row r="10" spans="2:5" ht="15">
      <c r="B10" s="51"/>
      <c r="C10" s="200"/>
      <c r="D10" s="83"/>
      <c r="E10" s="59"/>
    </row>
    <row r="11" spans="2:5" ht="15">
      <c r="B11" s="51" t="s">
        <v>97</v>
      </c>
      <c r="C11" s="199"/>
      <c r="D11" s="83"/>
      <c r="E11" s="59"/>
    </row>
    <row r="12" spans="2:5" ht="12.75">
      <c r="B12" s="54" t="s">
        <v>75</v>
      </c>
      <c r="C12" s="199">
        <f>M70</f>
        <v>54.096428571428575</v>
      </c>
      <c r="D12" s="83"/>
      <c r="E12" s="79" t="s">
        <v>308</v>
      </c>
    </row>
    <row r="13" spans="2:5" ht="12.75">
      <c r="B13" s="54" t="s">
        <v>76</v>
      </c>
      <c r="C13" s="199">
        <f>M71</f>
        <v>56.08145454545454</v>
      </c>
      <c r="D13" s="83"/>
      <c r="E13" s="79" t="s">
        <v>308</v>
      </c>
    </row>
    <row r="14" spans="2:7" ht="12.75">
      <c r="B14" s="54" t="s">
        <v>77</v>
      </c>
      <c r="C14" s="199">
        <f>M72</f>
        <v>68.71660714285714</v>
      </c>
      <c r="D14" s="83"/>
      <c r="E14" s="79" t="s">
        <v>308</v>
      </c>
      <c r="G14" s="203"/>
    </row>
    <row r="15" spans="2:7" ht="12.75">
      <c r="B15" s="54" t="s">
        <v>78</v>
      </c>
      <c r="C15" s="199">
        <f>M73</f>
        <v>71.2381090909091</v>
      </c>
      <c r="D15" s="83"/>
      <c r="E15" s="79" t="s">
        <v>308</v>
      </c>
      <c r="G15" s="203"/>
    </row>
    <row r="16" spans="2:5" ht="12.75">
      <c r="B16" s="54" t="s">
        <v>96</v>
      </c>
      <c r="C16" s="199">
        <v>9.5</v>
      </c>
      <c r="D16" s="83"/>
      <c r="E16" s="79" t="s">
        <v>308</v>
      </c>
    </row>
    <row r="17" spans="1:5" ht="12.75">
      <c r="A17" s="27"/>
      <c r="B17" s="54"/>
      <c r="C17" s="84"/>
      <c r="D17" s="83"/>
      <c r="E17" s="59"/>
    </row>
    <row r="18" spans="1:5" ht="15">
      <c r="A18" s="58"/>
      <c r="B18" s="51" t="s">
        <v>93</v>
      </c>
      <c r="C18" s="84"/>
      <c r="D18" s="83"/>
      <c r="E18" s="59"/>
    </row>
    <row r="19" spans="1:5" ht="12.75">
      <c r="A19" s="58"/>
      <c r="B19" s="54" t="s">
        <v>75</v>
      </c>
      <c r="C19" s="201">
        <f>O70</f>
        <v>4255</v>
      </c>
      <c r="D19" s="83"/>
      <c r="E19" s="79" t="s">
        <v>308</v>
      </c>
    </row>
    <row r="20" spans="1:9" ht="12.75">
      <c r="A20" s="55"/>
      <c r="B20" s="54" t="s">
        <v>76</v>
      </c>
      <c r="C20" s="201">
        <f>O71</f>
        <v>4255</v>
      </c>
      <c r="D20" s="83"/>
      <c r="E20" s="79" t="s">
        <v>308</v>
      </c>
      <c r="H20" s="171"/>
      <c r="I20" s="170"/>
    </row>
    <row r="21" spans="1:9" ht="12.75">
      <c r="A21" s="55"/>
      <c r="B21" s="54" t="s">
        <v>77</v>
      </c>
      <c r="C21" s="201">
        <f>O72</f>
        <v>5339</v>
      </c>
      <c r="D21" s="83"/>
      <c r="E21" s="79" t="s">
        <v>308</v>
      </c>
      <c r="H21" s="171"/>
      <c r="I21" s="170"/>
    </row>
    <row r="22" spans="1:9" ht="12.75">
      <c r="A22" s="55"/>
      <c r="B22" s="54" t="s">
        <v>78</v>
      </c>
      <c r="C22" s="201">
        <f>O73</f>
        <v>5339</v>
      </c>
      <c r="D22" s="83"/>
      <c r="E22" s="79" t="s">
        <v>308</v>
      </c>
      <c r="G22" s="204"/>
      <c r="H22" s="171"/>
      <c r="I22" s="170"/>
    </row>
    <row r="23" spans="1:9" ht="12.75">
      <c r="A23" s="55"/>
      <c r="B23" s="54" t="s">
        <v>96</v>
      </c>
      <c r="C23" s="84"/>
      <c r="D23" s="202">
        <f>P79</f>
        <v>1701</v>
      </c>
      <c r="E23" s="79" t="s">
        <v>308</v>
      </c>
      <c r="G23" s="203"/>
      <c r="H23" s="171"/>
      <c r="I23" s="170"/>
    </row>
    <row r="24" spans="1:5" ht="51.75" customHeight="1">
      <c r="A24" s="55"/>
      <c r="B24" s="119" t="s">
        <v>295</v>
      </c>
      <c r="C24" s="177">
        <v>70</v>
      </c>
      <c r="D24" s="178"/>
      <c r="E24" s="92" t="s">
        <v>316</v>
      </c>
    </row>
    <row r="25" spans="1:5" ht="64.5">
      <c r="A25" s="55"/>
      <c r="B25" s="119" t="s">
        <v>294</v>
      </c>
      <c r="C25" s="177">
        <v>78</v>
      </c>
      <c r="D25" s="178"/>
      <c r="E25" s="92" t="s">
        <v>317</v>
      </c>
    </row>
    <row r="26" spans="1:5" ht="12.75">
      <c r="A26" s="55"/>
      <c r="B26" s="54"/>
      <c r="C26" s="112"/>
      <c r="D26" s="83"/>
      <c r="E26" s="59"/>
    </row>
    <row r="27" spans="1:6" ht="15">
      <c r="A27" s="55"/>
      <c r="B27" s="51" t="s">
        <v>94</v>
      </c>
      <c r="C27" s="82"/>
      <c r="D27" s="83"/>
      <c r="E27" s="59"/>
      <c r="F27" s="187">
        <v>1</v>
      </c>
    </row>
    <row r="28" spans="1:5" ht="12.75">
      <c r="A28" s="55"/>
      <c r="B28" s="63" t="s">
        <v>267</v>
      </c>
      <c r="C28" s="162">
        <v>1.27</v>
      </c>
      <c r="D28" s="53" t="s">
        <v>346</v>
      </c>
      <c r="E28" s="79" t="s">
        <v>355</v>
      </c>
    </row>
    <row r="29" spans="1:5" ht="12.75">
      <c r="A29" s="55"/>
      <c r="B29" s="63" t="s">
        <v>95</v>
      </c>
      <c r="C29" s="163">
        <v>2.68</v>
      </c>
      <c r="D29" s="62" t="s">
        <v>345</v>
      </c>
      <c r="E29" s="79" t="s">
        <v>355</v>
      </c>
    </row>
    <row r="30" spans="1:5" ht="12.75">
      <c r="A30" s="55"/>
      <c r="B30" s="63" t="s">
        <v>343</v>
      </c>
      <c r="C30" s="163">
        <v>0.1059</v>
      </c>
      <c r="D30" s="62" t="s">
        <v>344</v>
      </c>
      <c r="E30" s="79" t="s">
        <v>355</v>
      </c>
    </row>
    <row r="31" spans="1:225" s="127" customFormat="1" ht="12.75">
      <c r="A31" s="55"/>
      <c r="B31" s="206"/>
      <c r="C31" s="174"/>
      <c r="D31" s="175"/>
      <c r="E31" s="79"/>
      <c r="F31" s="169"/>
      <c r="G31" s="169"/>
      <c r="H31" s="169"/>
      <c r="I31" s="169"/>
      <c r="J31" s="169"/>
      <c r="K31" s="169"/>
      <c r="L31" s="169"/>
      <c r="M31" s="169"/>
      <c r="N31" s="169"/>
      <c r="O31" s="169"/>
      <c r="P31" s="169"/>
      <c r="Q31" s="169"/>
      <c r="R31" s="169"/>
      <c r="S31" s="169"/>
      <c r="T31" s="169"/>
      <c r="U31" s="169"/>
      <c r="V31" s="169"/>
      <c r="W31" s="172"/>
      <c r="X31" s="172"/>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23"/>
      <c r="DK31" s="123"/>
      <c r="DL31" s="123"/>
      <c r="DM31" s="123"/>
      <c r="DN31" s="123"/>
      <c r="DO31" s="123"/>
      <c r="DP31" s="123"/>
      <c r="DQ31" s="123"/>
      <c r="DR31" s="123"/>
      <c r="DS31" s="123"/>
      <c r="DT31" s="123"/>
      <c r="DU31" s="123"/>
      <c r="DV31" s="123"/>
      <c r="DW31" s="123"/>
      <c r="DX31" s="123"/>
      <c r="DY31" s="123"/>
      <c r="DZ31" s="123"/>
      <c r="EA31" s="123"/>
      <c r="EB31" s="123"/>
      <c r="EC31" s="123"/>
      <c r="ED31" s="123"/>
      <c r="EE31" s="123"/>
      <c r="EF31" s="123"/>
      <c r="EG31" s="123"/>
      <c r="EH31" s="123"/>
      <c r="EI31" s="123"/>
      <c r="EJ31" s="123"/>
      <c r="EK31" s="123"/>
      <c r="EL31" s="123"/>
      <c r="EM31" s="123"/>
      <c r="EN31" s="123"/>
      <c r="EO31" s="123"/>
      <c r="EP31" s="123"/>
      <c r="EQ31" s="123"/>
      <c r="ER31" s="123"/>
      <c r="ES31" s="123"/>
      <c r="ET31" s="123"/>
      <c r="EU31" s="123"/>
      <c r="EV31" s="123"/>
      <c r="EW31" s="123"/>
      <c r="EX31" s="123"/>
      <c r="EY31" s="123"/>
      <c r="EZ31" s="123"/>
      <c r="FA31" s="123"/>
      <c r="FB31" s="123"/>
      <c r="FC31" s="123"/>
      <c r="FD31" s="123"/>
      <c r="FE31" s="123"/>
      <c r="FF31" s="123"/>
      <c r="FG31" s="123"/>
      <c r="FH31" s="123"/>
      <c r="FI31" s="123"/>
      <c r="FJ31" s="123"/>
      <c r="FK31" s="123"/>
      <c r="FL31" s="123"/>
      <c r="FM31" s="123"/>
      <c r="FN31" s="123"/>
      <c r="FO31" s="123"/>
      <c r="FP31" s="123"/>
      <c r="FQ31" s="123"/>
      <c r="FR31" s="123"/>
      <c r="FS31" s="123"/>
      <c r="FT31" s="123"/>
      <c r="FU31" s="123"/>
      <c r="FV31" s="123"/>
      <c r="FW31" s="123"/>
      <c r="FX31" s="123"/>
      <c r="FY31" s="123"/>
      <c r="FZ31" s="123"/>
      <c r="GA31" s="123"/>
      <c r="GB31" s="123"/>
      <c r="GC31" s="123"/>
      <c r="GD31" s="123"/>
      <c r="GE31" s="123"/>
      <c r="GF31" s="123"/>
      <c r="GG31" s="123"/>
      <c r="GH31" s="123"/>
      <c r="GI31" s="123"/>
      <c r="GJ31" s="123"/>
      <c r="GK31" s="123"/>
      <c r="GL31" s="123"/>
      <c r="GM31" s="123"/>
      <c r="GN31" s="123"/>
      <c r="GO31" s="123"/>
      <c r="GP31" s="123"/>
      <c r="GQ31" s="123"/>
      <c r="GR31" s="123"/>
      <c r="GS31" s="123"/>
      <c r="GT31" s="123"/>
      <c r="GU31" s="123"/>
      <c r="GV31" s="123"/>
      <c r="GW31" s="123"/>
      <c r="GX31" s="123"/>
      <c r="GY31" s="123"/>
      <c r="GZ31" s="123"/>
      <c r="HA31" s="123"/>
      <c r="HB31" s="123"/>
      <c r="HC31" s="123"/>
      <c r="HD31" s="123"/>
      <c r="HE31" s="123"/>
      <c r="HF31" s="123"/>
      <c r="HG31" s="123"/>
      <c r="HH31" s="123"/>
      <c r="HI31" s="123"/>
      <c r="HJ31" s="123"/>
      <c r="HK31" s="123"/>
      <c r="HL31" s="123"/>
      <c r="HM31" s="123"/>
      <c r="HN31" s="123"/>
      <c r="HO31" s="123"/>
      <c r="HP31" s="123"/>
      <c r="HQ31" s="123"/>
    </row>
    <row r="32" spans="1:225" s="127" customFormat="1" ht="15">
      <c r="A32" s="55"/>
      <c r="B32" s="78" t="s">
        <v>4</v>
      </c>
      <c r="C32" s="174"/>
      <c r="D32" s="175"/>
      <c r="E32" s="79"/>
      <c r="F32" s="169"/>
      <c r="G32" s="169"/>
      <c r="H32" s="169"/>
      <c r="I32" s="169"/>
      <c r="J32" s="169"/>
      <c r="K32" s="169"/>
      <c r="L32" s="169"/>
      <c r="M32" s="169"/>
      <c r="N32" s="169"/>
      <c r="O32" s="169"/>
      <c r="P32" s="169"/>
      <c r="Q32" s="169"/>
      <c r="R32" s="169"/>
      <c r="S32" s="169"/>
      <c r="T32" s="169"/>
      <c r="U32" s="169"/>
      <c r="V32" s="169"/>
      <c r="W32" s="172"/>
      <c r="X32" s="172"/>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c r="DI32" s="123"/>
      <c r="DJ32" s="123"/>
      <c r="DK32" s="123"/>
      <c r="DL32" s="123"/>
      <c r="DM32" s="123"/>
      <c r="DN32" s="123"/>
      <c r="DO32" s="123"/>
      <c r="DP32" s="123"/>
      <c r="DQ32" s="123"/>
      <c r="DR32" s="123"/>
      <c r="DS32" s="123"/>
      <c r="DT32" s="123"/>
      <c r="DU32" s="123"/>
      <c r="DV32" s="123"/>
      <c r="DW32" s="123"/>
      <c r="DX32" s="123"/>
      <c r="DY32" s="123"/>
      <c r="DZ32" s="123"/>
      <c r="EA32" s="123"/>
      <c r="EB32" s="123"/>
      <c r="EC32" s="123"/>
      <c r="ED32" s="123"/>
      <c r="EE32" s="123"/>
      <c r="EF32" s="123"/>
      <c r="EG32" s="123"/>
      <c r="EH32" s="123"/>
      <c r="EI32" s="123"/>
      <c r="EJ32" s="123"/>
      <c r="EK32" s="123"/>
      <c r="EL32" s="123"/>
      <c r="EM32" s="123"/>
      <c r="EN32" s="123"/>
      <c r="EO32" s="123"/>
      <c r="EP32" s="123"/>
      <c r="EQ32" s="123"/>
      <c r="ER32" s="123"/>
      <c r="ES32" s="123"/>
      <c r="ET32" s="123"/>
      <c r="EU32" s="123"/>
      <c r="EV32" s="123"/>
      <c r="EW32" s="123"/>
      <c r="EX32" s="123"/>
      <c r="EY32" s="123"/>
      <c r="EZ32" s="123"/>
      <c r="FA32" s="123"/>
      <c r="FB32" s="123"/>
      <c r="FC32" s="123"/>
      <c r="FD32" s="123"/>
      <c r="FE32" s="123"/>
      <c r="FF32" s="123"/>
      <c r="FG32" s="123"/>
      <c r="FH32" s="123"/>
      <c r="FI32" s="123"/>
      <c r="FJ32" s="123"/>
      <c r="FK32" s="123"/>
      <c r="FL32" s="123"/>
      <c r="FM32" s="123"/>
      <c r="FN32" s="123"/>
      <c r="FO32" s="123"/>
      <c r="FP32" s="123"/>
      <c r="FQ32" s="123"/>
      <c r="FR32" s="123"/>
      <c r="FS32" s="123"/>
      <c r="FT32" s="123"/>
      <c r="FU32" s="123"/>
      <c r="FV32" s="123"/>
      <c r="FW32" s="123"/>
      <c r="FX32" s="123"/>
      <c r="FY32" s="123"/>
      <c r="FZ32" s="123"/>
      <c r="GA32" s="123"/>
      <c r="GB32" s="123"/>
      <c r="GC32" s="123"/>
      <c r="GD32" s="123"/>
      <c r="GE32" s="123"/>
      <c r="GF32" s="123"/>
      <c r="GG32" s="123"/>
      <c r="GH32" s="123"/>
      <c r="GI32" s="123"/>
      <c r="GJ32" s="123"/>
      <c r="GK32" s="123"/>
      <c r="GL32" s="123"/>
      <c r="GM32" s="123"/>
      <c r="GN32" s="123"/>
      <c r="GO32" s="123"/>
      <c r="GP32" s="123"/>
      <c r="GQ32" s="123"/>
      <c r="GR32" s="123"/>
      <c r="GS32" s="123"/>
      <c r="GT32" s="123"/>
      <c r="GU32" s="123"/>
      <c r="GV32" s="123"/>
      <c r="GW32" s="123"/>
      <c r="GX32" s="123"/>
      <c r="GY32" s="123"/>
      <c r="GZ32" s="123"/>
      <c r="HA32" s="123"/>
      <c r="HB32" s="123"/>
      <c r="HC32" s="123"/>
      <c r="HD32" s="123"/>
      <c r="HE32" s="123"/>
      <c r="HF32" s="123"/>
      <c r="HG32" s="123"/>
      <c r="HH32" s="123"/>
      <c r="HI32" s="123"/>
      <c r="HJ32" s="123"/>
      <c r="HK32" s="123"/>
      <c r="HL32" s="123"/>
      <c r="HM32" s="123"/>
      <c r="HN32" s="123"/>
      <c r="HO32" s="123"/>
      <c r="HP32" s="123"/>
      <c r="HQ32" s="123"/>
    </row>
    <row r="33" spans="1:5" ht="12.75">
      <c r="A33" s="55"/>
      <c r="B33" s="184" t="s">
        <v>325</v>
      </c>
      <c r="C33" s="174">
        <v>8</v>
      </c>
      <c r="D33" s="175"/>
      <c r="E33" s="79" t="s">
        <v>354</v>
      </c>
    </row>
    <row r="34" spans="1:5" ht="12.75" customHeight="1">
      <c r="A34" s="55"/>
      <c r="B34" s="184" t="s">
        <v>324</v>
      </c>
      <c r="C34" s="174">
        <v>10</v>
      </c>
      <c r="D34" s="175"/>
      <c r="E34" s="79" t="s">
        <v>354</v>
      </c>
    </row>
    <row r="35" spans="1:5" ht="12.75" customHeight="1">
      <c r="A35" s="55"/>
      <c r="B35" s="206"/>
      <c r="C35" s="174"/>
      <c r="D35" s="175"/>
      <c r="E35" s="79"/>
    </row>
    <row r="36" spans="1:9" ht="15">
      <c r="A36" s="55"/>
      <c r="B36" s="78" t="s">
        <v>5</v>
      </c>
      <c r="C36" s="84"/>
      <c r="D36" s="62"/>
      <c r="E36" s="79"/>
      <c r="I36" s="168"/>
    </row>
    <row r="37" spans="1:22" ht="15.75">
      <c r="A37" s="55"/>
      <c r="B37" s="63" t="s">
        <v>287</v>
      </c>
      <c r="C37" s="84">
        <v>161.27</v>
      </c>
      <c r="D37" s="62" t="s">
        <v>342</v>
      </c>
      <c r="E37" s="79" t="s">
        <v>351</v>
      </c>
      <c r="I37" s="173"/>
      <c r="J37" s="173"/>
      <c r="V37" s="168"/>
    </row>
    <row r="38" spans="1:22" ht="15.75">
      <c r="A38" s="55"/>
      <c r="B38" s="63" t="s">
        <v>286</v>
      </c>
      <c r="C38" s="84">
        <v>116.97</v>
      </c>
      <c r="D38" s="62" t="s">
        <v>342</v>
      </c>
      <c r="E38" s="79" t="s">
        <v>351</v>
      </c>
      <c r="I38" s="173"/>
      <c r="J38" s="173"/>
      <c r="V38" s="168"/>
    </row>
    <row r="39" spans="1:22" ht="15.75">
      <c r="A39" s="55"/>
      <c r="B39" s="63" t="s">
        <v>285</v>
      </c>
      <c r="C39" s="84">
        <v>1.54</v>
      </c>
      <c r="D39" s="62" t="s">
        <v>288</v>
      </c>
      <c r="E39" s="79" t="s">
        <v>356</v>
      </c>
      <c r="I39" s="173"/>
      <c r="J39" s="173"/>
      <c r="V39" s="168"/>
    </row>
    <row r="40" spans="1:22" ht="12.75">
      <c r="A40" s="55"/>
      <c r="B40" s="206"/>
      <c r="C40" s="174"/>
      <c r="D40" s="175"/>
      <c r="E40" s="79"/>
      <c r="I40" s="173"/>
      <c r="J40" s="173"/>
      <c r="V40" s="168"/>
    </row>
    <row r="41" spans="1:22" ht="15">
      <c r="A41" s="55"/>
      <c r="B41" s="78" t="s">
        <v>99</v>
      </c>
      <c r="C41" s="176"/>
      <c r="D41" s="79"/>
      <c r="E41" s="79"/>
      <c r="I41" s="173"/>
      <c r="J41" s="173"/>
      <c r="V41" s="168"/>
    </row>
    <row r="42" spans="1:22" ht="12.75">
      <c r="A42" s="55"/>
      <c r="B42" s="63" t="s">
        <v>306</v>
      </c>
      <c r="C42" s="185">
        <v>0.03</v>
      </c>
      <c r="D42" s="79"/>
      <c r="E42" s="79" t="s">
        <v>309</v>
      </c>
      <c r="I42" s="173"/>
      <c r="J42" s="173"/>
      <c r="V42" s="168"/>
    </row>
    <row r="43" spans="1:22" ht="12.75">
      <c r="A43" s="55"/>
      <c r="B43" s="63" t="s">
        <v>307</v>
      </c>
      <c r="C43" s="185">
        <v>0.06</v>
      </c>
      <c r="D43" s="79"/>
      <c r="E43" s="79" t="s">
        <v>309</v>
      </c>
      <c r="I43" s="173"/>
      <c r="J43" s="173"/>
      <c r="V43" s="168"/>
    </row>
    <row r="44" spans="1:22" ht="12.75">
      <c r="A44" s="55"/>
      <c r="B44" s="63"/>
      <c r="C44" s="186"/>
      <c r="D44" s="79"/>
      <c r="E44" s="79"/>
      <c r="I44" s="173"/>
      <c r="J44" s="173"/>
      <c r="V44" s="168"/>
    </row>
    <row r="45" spans="1:22" ht="15">
      <c r="A45" s="55"/>
      <c r="B45" s="158" t="s">
        <v>291</v>
      </c>
      <c r="C45" s="179">
        <v>15</v>
      </c>
      <c r="D45" s="79" t="s">
        <v>292</v>
      </c>
      <c r="E45" s="79" t="s">
        <v>350</v>
      </c>
      <c r="I45" s="173"/>
      <c r="J45" s="173"/>
      <c r="V45" s="168"/>
    </row>
    <row r="46" spans="1:22" ht="12.75">
      <c r="A46" s="55"/>
      <c r="B46" s="113"/>
      <c r="C46" s="179"/>
      <c r="D46" s="79"/>
      <c r="E46" s="79"/>
      <c r="I46" s="173"/>
      <c r="J46" s="173"/>
      <c r="V46" s="168"/>
    </row>
    <row r="47" spans="1:22" ht="15">
      <c r="A47" s="55"/>
      <c r="B47" s="158" t="s">
        <v>326</v>
      </c>
      <c r="C47" s="186"/>
      <c r="D47" s="79"/>
      <c r="E47" s="79"/>
      <c r="I47" s="173"/>
      <c r="J47" s="173"/>
      <c r="V47" s="168"/>
    </row>
    <row r="48" spans="1:22" ht="12.75">
      <c r="A48" s="55"/>
      <c r="B48" s="63" t="s">
        <v>327</v>
      </c>
      <c r="C48" s="164">
        <v>92</v>
      </c>
      <c r="D48" s="79"/>
      <c r="E48" s="79" t="s">
        <v>352</v>
      </c>
      <c r="I48" s="173"/>
      <c r="J48" s="173"/>
      <c r="V48" s="168"/>
    </row>
    <row r="49" spans="1:22" ht="12.75">
      <c r="A49" s="55"/>
      <c r="B49" s="63" t="s">
        <v>328</v>
      </c>
      <c r="C49" s="164">
        <v>73</v>
      </c>
      <c r="D49" s="79"/>
      <c r="E49" s="79" t="s">
        <v>352</v>
      </c>
      <c r="I49" s="173"/>
      <c r="J49" s="173"/>
      <c r="V49" s="168"/>
    </row>
    <row r="50" spans="1:22" ht="12.75">
      <c r="A50" s="55"/>
      <c r="B50" s="63"/>
      <c r="C50" s="186"/>
      <c r="D50" s="79"/>
      <c r="E50" s="79"/>
      <c r="I50" s="173"/>
      <c r="J50" s="173"/>
      <c r="V50" s="168"/>
    </row>
    <row r="51" spans="1:22" ht="16.5">
      <c r="A51" s="55"/>
      <c r="B51" s="78" t="s">
        <v>70</v>
      </c>
      <c r="C51" s="86"/>
      <c r="D51" s="62"/>
      <c r="E51" s="79"/>
      <c r="V51" s="168"/>
    </row>
    <row r="52" spans="1:22" ht="15.75">
      <c r="A52" s="55"/>
      <c r="B52" s="63" t="s">
        <v>71</v>
      </c>
      <c r="C52" s="86">
        <v>9700</v>
      </c>
      <c r="D52" s="62" t="s">
        <v>349</v>
      </c>
      <c r="E52" s="79" t="s">
        <v>351</v>
      </c>
      <c r="V52" s="168"/>
    </row>
    <row r="53" spans="1:22" ht="15.75">
      <c r="A53" s="55"/>
      <c r="B53" s="63" t="s">
        <v>72</v>
      </c>
      <c r="C53" s="86">
        <v>12037</v>
      </c>
      <c r="D53" s="62" t="s">
        <v>349</v>
      </c>
      <c r="E53" s="79" t="s">
        <v>351</v>
      </c>
      <c r="I53" s="168"/>
      <c r="V53" s="168"/>
    </row>
    <row r="54" spans="1:5" ht="37.5" customHeight="1">
      <c r="A54" s="55"/>
      <c r="B54" s="63"/>
      <c r="C54" s="86"/>
      <c r="D54" s="62"/>
      <c r="E54" s="79"/>
    </row>
    <row r="55" spans="1:5" ht="15">
      <c r="A55" s="55"/>
      <c r="B55" s="78" t="s">
        <v>300</v>
      </c>
      <c r="C55" s="84"/>
      <c r="D55" s="62"/>
      <c r="E55" s="42"/>
    </row>
    <row r="56" spans="1:5" ht="38.25">
      <c r="A56" s="55"/>
      <c r="B56" s="207" t="s">
        <v>301</v>
      </c>
      <c r="C56" s="90">
        <v>0.04</v>
      </c>
      <c r="D56" s="62"/>
      <c r="E56" s="91" t="s">
        <v>302</v>
      </c>
    </row>
    <row r="57" spans="1:5" ht="12.75">
      <c r="A57" s="55">
        <v>31</v>
      </c>
      <c r="B57" s="89"/>
      <c r="C57" s="90"/>
      <c r="D57" s="62"/>
      <c r="E57" s="92"/>
    </row>
    <row r="58" spans="1:5" ht="15">
      <c r="A58" s="55"/>
      <c r="B58" s="180" t="s">
        <v>353</v>
      </c>
      <c r="C58" s="182" t="s">
        <v>310</v>
      </c>
      <c r="D58" s="183" t="s">
        <v>311</v>
      </c>
      <c r="E58" s="79"/>
    </row>
    <row r="59" spans="1:5" ht="12.75">
      <c r="A59" s="55"/>
      <c r="B59" s="54" t="s">
        <v>255</v>
      </c>
      <c r="C59" s="104">
        <f>VLOOKUP(A57,A58:C277,3,FALSE)</f>
        <v>4122</v>
      </c>
      <c r="D59" s="105">
        <f>VLOOKUP(A57,A58:D277,4,FALSE)</f>
        <v>1430</v>
      </c>
      <c r="E59" s="85"/>
    </row>
    <row r="60" spans="1:5" ht="12.75">
      <c r="A60" s="55">
        <v>1</v>
      </c>
      <c r="B60" s="77" t="s">
        <v>7</v>
      </c>
      <c r="C60" s="114">
        <v>10816</v>
      </c>
      <c r="D60" s="115">
        <v>0</v>
      </c>
      <c r="E60" s="85" t="s">
        <v>312</v>
      </c>
    </row>
    <row r="61" spans="1:25" ht="12.75">
      <c r="A61" s="55">
        <f aca="true" t="shared" si="0" ref="A61:A123">A60+1</f>
        <v>2</v>
      </c>
      <c r="B61" s="77" t="s">
        <v>8</v>
      </c>
      <c r="C61" s="114">
        <v>20370</v>
      </c>
      <c r="D61" s="115">
        <v>0</v>
      </c>
      <c r="E61" s="85" t="s">
        <v>312</v>
      </c>
      <c r="H61" s="188"/>
      <c r="I61" s="188"/>
      <c r="J61" s="188"/>
      <c r="K61" s="188"/>
      <c r="L61" s="189"/>
      <c r="M61" s="188"/>
      <c r="N61" s="188"/>
      <c r="O61" s="188"/>
      <c r="P61" s="188"/>
      <c r="Q61" s="188"/>
      <c r="R61" s="188"/>
      <c r="S61" s="188"/>
      <c r="T61" s="188"/>
      <c r="U61" s="188"/>
      <c r="V61" s="188"/>
      <c r="W61" s="190"/>
      <c r="X61" s="190"/>
      <c r="Y61" s="190"/>
    </row>
    <row r="62" spans="1:30" ht="12.75">
      <c r="A62" s="55">
        <f t="shared" si="0"/>
        <v>3</v>
      </c>
      <c r="B62" s="77" t="s">
        <v>9</v>
      </c>
      <c r="C62" s="114">
        <v>14274</v>
      </c>
      <c r="D62" s="115">
        <v>70</v>
      </c>
      <c r="E62" s="85" t="s">
        <v>312</v>
      </c>
      <c r="F62" s="181"/>
      <c r="G62" s="181"/>
      <c r="H62" s="188"/>
      <c r="I62" s="191" t="s">
        <v>82</v>
      </c>
      <c r="J62" s="188"/>
      <c r="K62" s="188"/>
      <c r="L62" s="189"/>
      <c r="M62" s="188"/>
      <c r="N62" s="188"/>
      <c r="O62" s="188"/>
      <c r="P62" s="188"/>
      <c r="Q62" s="188"/>
      <c r="R62" s="188"/>
      <c r="S62" s="188"/>
      <c r="T62" s="188"/>
      <c r="U62" s="188"/>
      <c r="V62" s="188"/>
      <c r="W62" s="190"/>
      <c r="X62" s="190"/>
      <c r="Y62" s="190"/>
      <c r="Z62" s="159"/>
      <c r="AA62" s="159"/>
      <c r="AB62" s="159"/>
      <c r="AC62" s="159"/>
      <c r="AD62" s="159"/>
    </row>
    <row r="63" spans="1:30" ht="12.75">
      <c r="A63" s="55">
        <f t="shared" si="0"/>
        <v>4</v>
      </c>
      <c r="B63" s="77" t="s">
        <v>10</v>
      </c>
      <c r="C63" s="114">
        <v>9105</v>
      </c>
      <c r="D63" s="115">
        <v>0</v>
      </c>
      <c r="E63" s="85" t="s">
        <v>312</v>
      </c>
      <c r="H63" s="188"/>
      <c r="I63" s="188"/>
      <c r="J63" s="188"/>
      <c r="K63" s="188"/>
      <c r="L63" s="189"/>
      <c r="M63" s="188"/>
      <c r="N63" s="188"/>
      <c r="O63" s="188"/>
      <c r="P63" s="188"/>
      <c r="Q63" s="188"/>
      <c r="R63" s="188"/>
      <c r="S63" s="188"/>
      <c r="T63" s="188"/>
      <c r="U63" s="188"/>
      <c r="V63" s="188"/>
      <c r="W63" s="190"/>
      <c r="X63" s="190"/>
      <c r="Y63" s="190"/>
      <c r="Z63" s="159"/>
      <c r="AA63" s="159"/>
      <c r="AB63" s="159"/>
      <c r="AC63" s="159"/>
      <c r="AD63" s="159"/>
    </row>
    <row r="64" spans="1:30" ht="12.75">
      <c r="A64" s="55">
        <f t="shared" si="0"/>
        <v>5</v>
      </c>
      <c r="B64" s="77" t="s">
        <v>11</v>
      </c>
      <c r="C64" s="114">
        <v>14371</v>
      </c>
      <c r="D64" s="115">
        <v>0</v>
      </c>
      <c r="E64" s="85" t="s">
        <v>312</v>
      </c>
      <c r="H64" s="188">
        <v>1</v>
      </c>
      <c r="I64" s="188">
        <f>H64+1</f>
        <v>2</v>
      </c>
      <c r="J64" s="188">
        <f aca="true" t="shared" si="1" ref="J64:V64">I64+1</f>
        <v>3</v>
      </c>
      <c r="K64" s="188">
        <f t="shared" si="1"/>
        <v>4</v>
      </c>
      <c r="L64" s="188">
        <f t="shared" si="1"/>
        <v>5</v>
      </c>
      <c r="M64" s="188">
        <f t="shared" si="1"/>
        <v>6</v>
      </c>
      <c r="N64" s="188">
        <f t="shared" si="1"/>
        <v>7</v>
      </c>
      <c r="O64" s="188">
        <f t="shared" si="1"/>
        <v>8</v>
      </c>
      <c r="P64" s="188">
        <f t="shared" si="1"/>
        <v>9</v>
      </c>
      <c r="Q64" s="188">
        <f t="shared" si="1"/>
        <v>10</v>
      </c>
      <c r="R64" s="188">
        <f t="shared" si="1"/>
        <v>11</v>
      </c>
      <c r="S64" s="188">
        <f t="shared" si="1"/>
        <v>12</v>
      </c>
      <c r="T64" s="188">
        <f t="shared" si="1"/>
        <v>13</v>
      </c>
      <c r="U64" s="188">
        <f t="shared" si="1"/>
        <v>14</v>
      </c>
      <c r="V64" s="188">
        <f t="shared" si="1"/>
        <v>15</v>
      </c>
      <c r="W64" s="190"/>
      <c r="X64" s="190"/>
      <c r="Y64" s="190"/>
      <c r="Z64" s="159"/>
      <c r="AA64" s="159"/>
      <c r="AB64" s="159"/>
      <c r="AC64" s="159"/>
      <c r="AD64" s="159"/>
    </row>
    <row r="65" spans="1:30" ht="12.75">
      <c r="A65" s="55">
        <f t="shared" si="0"/>
        <v>6</v>
      </c>
      <c r="B65" s="77" t="s">
        <v>68</v>
      </c>
      <c r="C65" s="114">
        <v>2863</v>
      </c>
      <c r="D65" s="115">
        <v>1881</v>
      </c>
      <c r="E65" s="85" t="s">
        <v>312</v>
      </c>
      <c r="H65" s="188">
        <v>1</v>
      </c>
      <c r="I65" s="188">
        <f>H65+1</f>
        <v>2</v>
      </c>
      <c r="J65" s="188">
        <f aca="true" t="shared" si="2" ref="J65:V65">I65+1</f>
        <v>3</v>
      </c>
      <c r="K65" s="188">
        <f t="shared" si="2"/>
        <v>4</v>
      </c>
      <c r="L65" s="188">
        <f t="shared" si="2"/>
        <v>5</v>
      </c>
      <c r="M65" s="188">
        <f t="shared" si="2"/>
        <v>6</v>
      </c>
      <c r="N65" s="188">
        <f t="shared" si="2"/>
        <v>7</v>
      </c>
      <c r="O65" s="188">
        <f t="shared" si="2"/>
        <v>8</v>
      </c>
      <c r="P65" s="188">
        <f t="shared" si="2"/>
        <v>9</v>
      </c>
      <c r="Q65" s="188">
        <f t="shared" si="2"/>
        <v>10</v>
      </c>
      <c r="R65" s="188">
        <f t="shared" si="2"/>
        <v>11</v>
      </c>
      <c r="S65" s="188">
        <f t="shared" si="2"/>
        <v>12</v>
      </c>
      <c r="T65" s="188">
        <f t="shared" si="2"/>
        <v>13</v>
      </c>
      <c r="U65" s="188">
        <f t="shared" si="2"/>
        <v>14</v>
      </c>
      <c r="V65" s="188">
        <f t="shared" si="2"/>
        <v>15</v>
      </c>
      <c r="W65" s="190"/>
      <c r="X65" s="190"/>
      <c r="Y65" s="190"/>
      <c r="Z65" s="159"/>
      <c r="AA65" s="159"/>
      <c r="AB65" s="159"/>
      <c r="AC65" s="159"/>
      <c r="AD65" s="159"/>
    </row>
    <row r="66" spans="1:30" ht="12.75">
      <c r="A66" s="55">
        <f t="shared" si="0"/>
        <v>7</v>
      </c>
      <c r="B66" s="77" t="s">
        <v>12</v>
      </c>
      <c r="C66" s="114">
        <v>3279</v>
      </c>
      <c r="D66" s="115">
        <v>1708</v>
      </c>
      <c r="E66" s="85" t="s">
        <v>312</v>
      </c>
      <c r="H66" s="188"/>
      <c r="I66" s="192"/>
      <c r="J66" s="192"/>
      <c r="K66" s="188" t="s">
        <v>86</v>
      </c>
      <c r="L66" s="188" t="s">
        <v>305</v>
      </c>
      <c r="M66" s="188"/>
      <c r="N66" s="188"/>
      <c r="O66" s="188"/>
      <c r="P66" s="188"/>
      <c r="Q66" s="226" t="s">
        <v>341</v>
      </c>
      <c r="R66" s="226"/>
      <c r="S66" s="226"/>
      <c r="T66" s="226"/>
      <c r="U66" s="226"/>
      <c r="V66" s="226"/>
      <c r="W66" s="190"/>
      <c r="X66" s="190"/>
      <c r="Y66" s="190"/>
      <c r="Z66" s="159"/>
      <c r="AA66" s="159"/>
      <c r="AB66" s="159"/>
      <c r="AC66" s="159"/>
      <c r="AD66" s="159"/>
    </row>
    <row r="67" spans="1:30" ht="12.75">
      <c r="A67" s="55">
        <f t="shared" si="0"/>
        <v>8</v>
      </c>
      <c r="B67" s="77" t="s">
        <v>13</v>
      </c>
      <c r="C67" s="114">
        <v>1695</v>
      </c>
      <c r="D67" s="115">
        <v>2643</v>
      </c>
      <c r="E67" s="85" t="s">
        <v>312</v>
      </c>
      <c r="H67" s="188"/>
      <c r="I67" s="192" t="s">
        <v>89</v>
      </c>
      <c r="J67" s="192" t="s">
        <v>257</v>
      </c>
      <c r="K67" s="188" t="s">
        <v>258</v>
      </c>
      <c r="L67" s="188" t="s">
        <v>91</v>
      </c>
      <c r="M67" s="188" t="s">
        <v>90</v>
      </c>
      <c r="N67" s="188" t="s">
        <v>86</v>
      </c>
      <c r="O67" s="188" t="s">
        <v>262</v>
      </c>
      <c r="P67" s="188" t="s">
        <v>263</v>
      </c>
      <c r="Q67" s="188" t="s">
        <v>264</v>
      </c>
      <c r="R67" s="188" t="s">
        <v>313</v>
      </c>
      <c r="S67" s="190" t="s">
        <v>281</v>
      </c>
      <c r="T67" s="190" t="s">
        <v>284</v>
      </c>
      <c r="U67" s="188" t="s">
        <v>84</v>
      </c>
      <c r="V67" s="188" t="s">
        <v>98</v>
      </c>
      <c r="W67" s="190"/>
      <c r="X67" s="190"/>
      <c r="Y67" s="190"/>
      <c r="Z67" s="159"/>
      <c r="AA67" s="159"/>
      <c r="AB67" s="159"/>
      <c r="AC67" s="159"/>
      <c r="AD67" s="159"/>
    </row>
    <row r="68" spans="1:30" ht="12.75">
      <c r="A68" s="55">
        <f>A67+1</f>
        <v>9</v>
      </c>
      <c r="B68" s="77" t="s">
        <v>14</v>
      </c>
      <c r="C68" s="114">
        <v>2277</v>
      </c>
      <c r="D68" s="115">
        <v>2274</v>
      </c>
      <c r="E68" s="85" t="s">
        <v>312</v>
      </c>
      <c r="H68" s="188">
        <v>2</v>
      </c>
      <c r="I68" s="192"/>
      <c r="J68" s="192"/>
      <c r="K68" s="188"/>
      <c r="L68" s="188"/>
      <c r="M68" s="188"/>
      <c r="N68" s="188"/>
      <c r="O68" s="188"/>
      <c r="P68" s="188"/>
      <c r="Q68" s="188"/>
      <c r="R68" s="188"/>
      <c r="S68" s="190" t="str">
        <f>"/degree"</f>
        <v>/degree</v>
      </c>
      <c r="T68" s="190"/>
      <c r="U68" s="188"/>
      <c r="V68" s="188"/>
      <c r="W68" s="190"/>
      <c r="X68" s="190"/>
      <c r="Y68" s="190"/>
      <c r="Z68" s="159"/>
      <c r="AA68" s="159"/>
      <c r="AB68" s="159"/>
      <c r="AC68" s="159"/>
      <c r="AD68" s="159"/>
    </row>
    <row r="69" spans="1:30" ht="12.75">
      <c r="A69" s="55">
        <f t="shared" si="0"/>
        <v>10</v>
      </c>
      <c r="B69" s="77" t="s">
        <v>15</v>
      </c>
      <c r="C69" s="114">
        <v>3477</v>
      </c>
      <c r="D69" s="115">
        <v>1969</v>
      </c>
      <c r="E69" s="85" t="s">
        <v>312</v>
      </c>
      <c r="H69" s="188">
        <v>1</v>
      </c>
      <c r="I69" s="192" t="s">
        <v>85</v>
      </c>
      <c r="J69" s="192"/>
      <c r="K69" s="188"/>
      <c r="L69" s="188"/>
      <c r="M69" s="188"/>
      <c r="N69" s="188"/>
      <c r="O69" s="188"/>
      <c r="P69" s="188"/>
      <c r="Q69" s="188"/>
      <c r="R69" s="188"/>
      <c r="S69" s="188"/>
      <c r="T69" s="188"/>
      <c r="U69" s="188"/>
      <c r="V69" s="188"/>
      <c r="W69" s="190"/>
      <c r="X69" s="190"/>
      <c r="Y69" s="190"/>
      <c r="Z69" s="159"/>
      <c r="AA69" s="159"/>
      <c r="AB69" s="159"/>
      <c r="AC69" s="159"/>
      <c r="AD69" s="159"/>
    </row>
    <row r="70" spans="1:30" ht="12.75">
      <c r="A70" s="55">
        <f t="shared" si="0"/>
        <v>11</v>
      </c>
      <c r="B70" s="77" t="s">
        <v>16</v>
      </c>
      <c r="C70" s="114">
        <v>3152</v>
      </c>
      <c r="D70" s="115">
        <v>2045</v>
      </c>
      <c r="E70" s="85" t="s">
        <v>312</v>
      </c>
      <c r="H70" s="188">
        <v>2</v>
      </c>
      <c r="I70" s="192" t="s">
        <v>75</v>
      </c>
      <c r="J70" s="192">
        <v>54</v>
      </c>
      <c r="K70" s="193">
        <f>J70*(N71/N70)*10</f>
        <v>530.3571428571429</v>
      </c>
      <c r="L70" s="188" t="s">
        <v>261</v>
      </c>
      <c r="M70" s="194">
        <f>1.02*K70/10</f>
        <v>54.096428571428575</v>
      </c>
      <c r="N70" s="188">
        <f>AVERAGE(78,90)</f>
        <v>84</v>
      </c>
      <c r="O70" s="188">
        <v>4255</v>
      </c>
      <c r="P70" s="188"/>
      <c r="Q70" s="195">
        <f>'Programmable Thermostat Savings'!$D$19</f>
        <v>1.27</v>
      </c>
      <c r="R70" s="196">
        <v>0.1</v>
      </c>
      <c r="S70" s="190">
        <f>C42*M70*($C$59/O70)</f>
        <v>1.5721655363437972</v>
      </c>
      <c r="T70" s="190">
        <f>S70*('Programmable Thermostat Savings'!$D$24-$K$81)</f>
        <v>9.432993218062784</v>
      </c>
      <c r="U70" s="189">
        <f>Q70/R70</f>
        <v>12.7</v>
      </c>
      <c r="V70" s="188">
        <f>T70*$C$38</f>
        <v>1103.3772167168038</v>
      </c>
      <c r="W70" s="190"/>
      <c r="X70" s="190"/>
      <c r="Y70" s="190"/>
      <c r="Z70" s="159"/>
      <c r="AA70" s="159"/>
      <c r="AB70" s="159"/>
      <c r="AC70" s="159"/>
      <c r="AD70" s="159"/>
    </row>
    <row r="71" spans="1:30" ht="12.75">
      <c r="A71" s="55">
        <f t="shared" si="0"/>
        <v>12</v>
      </c>
      <c r="B71" s="77" t="s">
        <v>17</v>
      </c>
      <c r="C71" s="114">
        <v>7254</v>
      </c>
      <c r="D71" s="115">
        <v>127</v>
      </c>
      <c r="E71" s="85" t="s">
        <v>312</v>
      </c>
      <c r="H71" s="188">
        <v>3</v>
      </c>
      <c r="I71" s="192" t="s">
        <v>76</v>
      </c>
      <c r="J71" s="192">
        <v>54</v>
      </c>
      <c r="K71" s="193">
        <f>J71*(N70/N71)*10</f>
        <v>549.8181818181818</v>
      </c>
      <c r="L71" s="188" t="s">
        <v>261</v>
      </c>
      <c r="M71" s="194">
        <f>1.02*K71/10</f>
        <v>56.08145454545454</v>
      </c>
      <c r="N71" s="188">
        <f>AVERAGE(80,85)</f>
        <v>82.5</v>
      </c>
      <c r="O71" s="188">
        <v>4255</v>
      </c>
      <c r="P71" s="188"/>
      <c r="Q71" s="195">
        <f>'Programmable Thermostat Savings'!$D$19</f>
        <v>1.27</v>
      </c>
      <c r="R71" s="196">
        <v>0.1</v>
      </c>
      <c r="S71" s="190">
        <f>C42*M71*($C$59/O71)</f>
        <v>1.62985491635509</v>
      </c>
      <c r="T71" s="190">
        <f>S71*('Programmable Thermostat Savings'!$D$24-$K$81)</f>
        <v>9.77912949813054</v>
      </c>
      <c r="U71" s="189">
        <f>Q71/R71</f>
        <v>12.7</v>
      </c>
      <c r="V71" s="188">
        <f>T71*$C$38</f>
        <v>1143.8647773963294</v>
      </c>
      <c r="W71" s="190"/>
      <c r="X71" s="190"/>
      <c r="Y71" s="190"/>
      <c r="Z71" s="159"/>
      <c r="AA71" s="159"/>
      <c r="AB71" s="159"/>
      <c r="AC71" s="159"/>
      <c r="AD71" s="159"/>
    </row>
    <row r="72" spans="1:30" ht="12.75">
      <c r="A72" s="55">
        <f t="shared" si="0"/>
        <v>13</v>
      </c>
      <c r="B72" s="77" t="s">
        <v>18</v>
      </c>
      <c r="C72" s="114">
        <v>1442</v>
      </c>
      <c r="D72" s="115">
        <v>3746</v>
      </c>
      <c r="E72" s="85" t="s">
        <v>312</v>
      </c>
      <c r="H72" s="188">
        <v>4</v>
      </c>
      <c r="I72" s="192" t="s">
        <v>77</v>
      </c>
      <c r="J72" s="192">
        <v>507</v>
      </c>
      <c r="K72" s="193">
        <f>J72*N73/N72</f>
        <v>497.94642857142856</v>
      </c>
      <c r="L72" s="188" t="s">
        <v>88</v>
      </c>
      <c r="M72" s="194">
        <f>K72*0.138</f>
        <v>68.71660714285714</v>
      </c>
      <c r="N72" s="188">
        <f>AVERAGE(78,90)</f>
        <v>84</v>
      </c>
      <c r="O72" s="188">
        <v>5339</v>
      </c>
      <c r="P72" s="188"/>
      <c r="Q72" s="195">
        <f>'Programmable Thermostat Savings'!$D$19</f>
        <v>1.27</v>
      </c>
      <c r="R72" s="196">
        <v>0.14</v>
      </c>
      <c r="S72" s="190">
        <f>C42*M72*($C$59/O72)</f>
        <v>1.591589368661868</v>
      </c>
      <c r="T72" s="190">
        <f>S72*('Programmable Thermostat Savings'!$D$24-$K$81)</f>
        <v>9.549536211971208</v>
      </c>
      <c r="U72" s="189">
        <f>Q72/R72</f>
        <v>9.071428571428571</v>
      </c>
      <c r="V72" s="188">
        <f>T72*$C$38</f>
        <v>1117.0092507142722</v>
      </c>
      <c r="W72" s="190"/>
      <c r="X72" s="190"/>
      <c r="Y72" s="190"/>
      <c r="Z72" s="159"/>
      <c r="AA72" s="159"/>
      <c r="AB72" s="159"/>
      <c r="AC72" s="159"/>
      <c r="AD72" s="159"/>
    </row>
    <row r="73" spans="1:30" ht="12.75">
      <c r="A73" s="55">
        <f t="shared" si="0"/>
        <v>14</v>
      </c>
      <c r="B73" s="77" t="s">
        <v>19</v>
      </c>
      <c r="C73" s="114">
        <v>1734</v>
      </c>
      <c r="D73" s="115">
        <v>2840</v>
      </c>
      <c r="E73" s="85" t="s">
        <v>312</v>
      </c>
      <c r="H73" s="188">
        <v>5</v>
      </c>
      <c r="I73" s="192" t="s">
        <v>78</v>
      </c>
      <c r="J73" s="192">
        <v>507</v>
      </c>
      <c r="K73" s="193">
        <f>J73*N72/N73</f>
        <v>516.2181818181818</v>
      </c>
      <c r="L73" s="188" t="s">
        <v>88</v>
      </c>
      <c r="M73" s="194">
        <f>K73*0.138</f>
        <v>71.2381090909091</v>
      </c>
      <c r="N73" s="188">
        <f>AVERAGE(80,85)</f>
        <v>82.5</v>
      </c>
      <c r="O73" s="188">
        <v>5339</v>
      </c>
      <c r="P73" s="188"/>
      <c r="Q73" s="195">
        <f>'Programmable Thermostat Savings'!$D$19</f>
        <v>1.27</v>
      </c>
      <c r="R73" s="196">
        <v>0.14</v>
      </c>
      <c r="S73" s="190">
        <f>C42*M73*($C$59/O73)</f>
        <v>1.649991490949957</v>
      </c>
      <c r="T73" s="190">
        <f>S73*('Programmable Thermostat Savings'!$D$24-$K$81)</f>
        <v>9.899948945699741</v>
      </c>
      <c r="U73" s="189">
        <f>Q73/R73</f>
        <v>9.071428571428571</v>
      </c>
      <c r="V73" s="188">
        <f>T73*$C$38</f>
        <v>1157.9970281784988</v>
      </c>
      <c r="W73" s="190"/>
      <c r="X73" s="190"/>
      <c r="Y73" s="190"/>
      <c r="Z73" s="159"/>
      <c r="AA73" s="159"/>
      <c r="AB73" s="159"/>
      <c r="AC73" s="159"/>
      <c r="AD73" s="159"/>
    </row>
    <row r="74" spans="1:30" ht="12.75">
      <c r="A74" s="55">
        <f t="shared" si="0"/>
        <v>15</v>
      </c>
      <c r="B74" s="77" t="s">
        <v>20</v>
      </c>
      <c r="C74" s="114">
        <v>4839</v>
      </c>
      <c r="D74" s="115">
        <v>1187</v>
      </c>
      <c r="E74" s="85" t="s">
        <v>312</v>
      </c>
      <c r="H74" s="188"/>
      <c r="I74" s="192" t="s">
        <v>270</v>
      </c>
      <c r="J74" s="192" t="s">
        <v>268</v>
      </c>
      <c r="K74" s="193" t="s">
        <v>269</v>
      </c>
      <c r="L74" s="188"/>
      <c r="M74" s="188"/>
      <c r="N74" s="188"/>
      <c r="O74" s="188"/>
      <c r="P74" s="188"/>
      <c r="Q74" s="188"/>
      <c r="R74" s="188"/>
      <c r="S74" s="188"/>
      <c r="T74" s="188"/>
      <c r="U74" s="188"/>
      <c r="V74" s="188"/>
      <c r="W74" s="190"/>
      <c r="X74" s="190"/>
      <c r="Y74" s="190"/>
      <c r="Z74" s="159"/>
      <c r="AA74" s="159"/>
      <c r="AB74" s="159"/>
      <c r="AC74" s="159"/>
      <c r="AD74" s="159"/>
    </row>
    <row r="75" spans="1:30" ht="12.75">
      <c r="A75" s="55">
        <f t="shared" si="0"/>
        <v>16</v>
      </c>
      <c r="B75" s="77" t="s">
        <v>21</v>
      </c>
      <c r="C75" s="114">
        <v>983</v>
      </c>
      <c r="D75" s="115">
        <v>4244</v>
      </c>
      <c r="E75" s="85" t="s">
        <v>312</v>
      </c>
      <c r="H75" s="188"/>
      <c r="I75" s="188"/>
      <c r="J75" s="188"/>
      <c r="K75" s="193"/>
      <c r="L75" s="188"/>
      <c r="M75" s="188"/>
      <c r="N75" s="188"/>
      <c r="O75" s="188"/>
      <c r="P75" s="188"/>
      <c r="Q75" s="188"/>
      <c r="R75" s="188"/>
      <c r="S75" s="188"/>
      <c r="T75" s="188"/>
      <c r="U75" s="188"/>
      <c r="V75" s="188"/>
      <c r="W75" s="190"/>
      <c r="X75" s="190"/>
      <c r="Y75" s="190"/>
      <c r="Z75" s="159"/>
      <c r="AA75" s="159"/>
      <c r="AB75" s="159"/>
      <c r="AC75" s="159"/>
      <c r="AD75" s="159"/>
    </row>
    <row r="76" spans="1:30" ht="12.75">
      <c r="A76" s="55">
        <f t="shared" si="0"/>
        <v>17</v>
      </c>
      <c r="B76" s="77" t="s">
        <v>22</v>
      </c>
      <c r="C76" s="114">
        <v>1383</v>
      </c>
      <c r="D76" s="115">
        <v>729</v>
      </c>
      <c r="E76" s="85" t="s">
        <v>312</v>
      </c>
      <c r="H76" s="188"/>
      <c r="I76" s="188"/>
      <c r="J76" s="188"/>
      <c r="K76" s="188"/>
      <c r="L76" s="188"/>
      <c r="M76" s="188"/>
      <c r="N76" s="188"/>
      <c r="O76" s="188"/>
      <c r="P76" s="188"/>
      <c r="Q76" s="188"/>
      <c r="R76" s="196"/>
      <c r="S76" s="190"/>
      <c r="T76" s="190"/>
      <c r="U76" s="189"/>
      <c r="V76" s="188"/>
      <c r="W76" s="190"/>
      <c r="X76" s="190"/>
      <c r="Y76" s="190"/>
      <c r="Z76" s="159"/>
      <c r="AA76" s="159"/>
      <c r="AB76" s="159"/>
      <c r="AC76" s="159"/>
      <c r="AD76" s="159"/>
    </row>
    <row r="77" spans="1:30" ht="12.75">
      <c r="A77" s="55">
        <f t="shared" si="0"/>
        <v>18</v>
      </c>
      <c r="B77" s="77" t="s">
        <v>23</v>
      </c>
      <c r="C77" s="114">
        <v>1204</v>
      </c>
      <c r="D77" s="115">
        <v>1339</v>
      </c>
      <c r="E77" s="85" t="s">
        <v>312</v>
      </c>
      <c r="H77" s="188">
        <v>2</v>
      </c>
      <c r="I77" s="188"/>
      <c r="J77" s="188"/>
      <c r="K77" s="188"/>
      <c r="L77" s="188"/>
      <c r="M77" s="188"/>
      <c r="N77" s="188"/>
      <c r="O77" s="188"/>
      <c r="P77" s="188"/>
      <c r="Q77" s="188"/>
      <c r="R77" s="196"/>
      <c r="S77" s="188"/>
      <c r="T77" s="188"/>
      <c r="U77" s="188"/>
      <c r="V77" s="188"/>
      <c r="W77" s="190"/>
      <c r="X77" s="190"/>
      <c r="Y77" s="190"/>
      <c r="Z77" s="159"/>
      <c r="AA77" s="159"/>
      <c r="AB77" s="159"/>
      <c r="AC77" s="159"/>
      <c r="AD77" s="159"/>
    </row>
    <row r="78" spans="1:30" ht="12.75">
      <c r="A78" s="55">
        <f t="shared" si="0"/>
        <v>19</v>
      </c>
      <c r="B78" s="77" t="s">
        <v>24</v>
      </c>
      <c r="C78" s="114">
        <v>1024</v>
      </c>
      <c r="D78" s="115">
        <v>3836</v>
      </c>
      <c r="E78" s="85" t="s">
        <v>312</v>
      </c>
      <c r="H78" s="188">
        <v>1</v>
      </c>
      <c r="I78" s="188" t="s">
        <v>85</v>
      </c>
      <c r="J78" s="188"/>
      <c r="K78" s="188"/>
      <c r="L78" s="188"/>
      <c r="M78" s="188"/>
      <c r="N78" s="188"/>
      <c r="O78" s="188"/>
      <c r="P78" s="188"/>
      <c r="Q78" s="188"/>
      <c r="R78" s="196"/>
      <c r="S78" s="188"/>
      <c r="T78" s="188"/>
      <c r="U78" s="188"/>
      <c r="V78" s="188"/>
      <c r="W78" s="190"/>
      <c r="X78" s="190"/>
      <c r="Y78" s="190"/>
      <c r="Z78" s="159"/>
      <c r="AA78" s="159"/>
      <c r="AB78" s="159"/>
      <c r="AC78" s="159"/>
      <c r="AD78" s="159"/>
    </row>
    <row r="79" spans="1:30" ht="12.75">
      <c r="A79" s="55">
        <f t="shared" si="0"/>
        <v>20</v>
      </c>
      <c r="B79" s="77" t="s">
        <v>25</v>
      </c>
      <c r="C79" s="114">
        <v>2772</v>
      </c>
      <c r="D79" s="115">
        <v>1198</v>
      </c>
      <c r="E79" s="85" t="s">
        <v>312</v>
      </c>
      <c r="H79" s="188">
        <v>2</v>
      </c>
      <c r="I79" s="188" t="s">
        <v>79</v>
      </c>
      <c r="J79" s="188">
        <v>2796</v>
      </c>
      <c r="K79" s="188">
        <v>2796</v>
      </c>
      <c r="L79" s="188" t="s">
        <v>87</v>
      </c>
      <c r="M79" s="188">
        <v>9.5</v>
      </c>
      <c r="N79" s="188"/>
      <c r="O79" s="188"/>
      <c r="P79" s="188">
        <v>1701</v>
      </c>
      <c r="Q79" s="188">
        <f>'Programmable Thermostat Savings'!D18</f>
        <v>0.1059</v>
      </c>
      <c r="R79" s="197">
        <v>0.0034</v>
      </c>
      <c r="S79" s="198">
        <f>C43*M79*(D59/P79)</f>
        <v>0.4791887125220458</v>
      </c>
      <c r="T79" s="190">
        <f>S79*(Assumptions!$K$82-'Programmable Thermostat Savings'!M24)</f>
        <v>2.036552028218695</v>
      </c>
      <c r="U79" s="188">
        <f>Q79/R79</f>
        <v>31.147058823529413</v>
      </c>
      <c r="V79" s="188">
        <f>(K79/M79)*T79</f>
        <v>599.389417989418</v>
      </c>
      <c r="W79" s="190"/>
      <c r="X79" s="190"/>
      <c r="Y79" s="190"/>
      <c r="Z79" s="159"/>
      <c r="AA79" s="159"/>
      <c r="AB79" s="159"/>
      <c r="AC79" s="159"/>
      <c r="AD79" s="159"/>
    </row>
    <row r="80" spans="1:30" ht="12.75">
      <c r="A80" s="55">
        <f t="shared" si="0"/>
        <v>21</v>
      </c>
      <c r="B80" s="77" t="s">
        <v>26</v>
      </c>
      <c r="C80" s="114">
        <v>1284</v>
      </c>
      <c r="D80" s="115">
        <v>842</v>
      </c>
      <c r="E80" s="85" t="s">
        <v>312</v>
      </c>
      <c r="H80" s="188"/>
      <c r="I80" s="188"/>
      <c r="J80" s="188"/>
      <c r="K80" s="188"/>
      <c r="L80" s="188"/>
      <c r="M80" s="188"/>
      <c r="N80" s="188"/>
      <c r="O80" s="188"/>
      <c r="P80" s="188"/>
      <c r="Q80" s="190"/>
      <c r="R80" s="196"/>
      <c r="S80" s="188"/>
      <c r="T80" s="188"/>
      <c r="U80" s="188"/>
      <c r="V80" s="188"/>
      <c r="W80" s="190"/>
      <c r="X80" s="190"/>
      <c r="Y80" s="190"/>
      <c r="Z80" s="159"/>
      <c r="AA80" s="159"/>
      <c r="AB80" s="159"/>
      <c r="AC80" s="159"/>
      <c r="AD80" s="159"/>
    </row>
    <row r="81" spans="1:30" ht="12.75">
      <c r="A81" s="55">
        <f t="shared" si="0"/>
        <v>22</v>
      </c>
      <c r="B81" s="77" t="s">
        <v>27</v>
      </c>
      <c r="C81" s="114">
        <v>3071</v>
      </c>
      <c r="D81" s="115">
        <v>56</v>
      </c>
      <c r="E81" s="85" t="s">
        <v>312</v>
      </c>
      <c r="H81" s="188"/>
      <c r="I81" s="188" t="s">
        <v>265</v>
      </c>
      <c r="J81" s="188"/>
      <c r="K81" s="196">
        <f>(5/7)*('Programmable Thermostat Savings'!L17/24*'Programmable Thermostat Savings'!D25+'Programmable Thermostat Savings'!L18/24*'Programmable Thermostat Savings'!D26+('Programmable Thermostat Savings'!L19)/24*'Programmable Thermostat Savings'!D24)+(2/7)*('Programmable Thermostat Savings'!M17/24*'Programmable Thermostat Savings'!D25+'Programmable Thermostat Savings'!M18/24*'Programmable Thermostat Savings'!D26+('Programmable Thermostat Savings'!M19)/24*'Programmable Thermostat Savings'!D24)</f>
        <v>64</v>
      </c>
      <c r="L81" s="188"/>
      <c r="M81" s="188"/>
      <c r="N81" s="188"/>
      <c r="O81" s="188"/>
      <c r="P81" s="188"/>
      <c r="Q81" s="188"/>
      <c r="R81" s="188"/>
      <c r="S81" s="188"/>
      <c r="T81" s="188"/>
      <c r="U81" s="188"/>
      <c r="V81" s="188"/>
      <c r="W81" s="190"/>
      <c r="X81" s="190"/>
      <c r="Y81" s="190"/>
      <c r="Z81" s="159"/>
      <c r="AA81" s="159"/>
      <c r="AB81" s="159"/>
      <c r="AC81" s="159"/>
      <c r="AD81" s="159"/>
    </row>
    <row r="82" spans="1:30" ht="12.75">
      <c r="A82" s="55">
        <f t="shared" si="0"/>
        <v>23</v>
      </c>
      <c r="B82" s="77" t="s">
        <v>28</v>
      </c>
      <c r="C82" s="114">
        <v>2674</v>
      </c>
      <c r="D82" s="115">
        <v>1448</v>
      </c>
      <c r="E82" s="85" t="s">
        <v>312</v>
      </c>
      <c r="H82" s="188"/>
      <c r="I82" s="188" t="s">
        <v>266</v>
      </c>
      <c r="J82" s="188"/>
      <c r="K82" s="196">
        <f>(5/7)*('Programmable Thermostat Savings'!L17/24*'Programmable Thermostat Savings'!M25+'Programmable Thermostat Savings'!M26*'Programmable Thermostat Savings'!L18/24+('Programmable Thermostat Savings'!L19)/24*'Programmable Thermostat Savings'!M24)+(2/7)*('Programmable Thermostat Savings'!M17/24*'Programmable Thermostat Savings'!M25+'Programmable Thermostat Savings'!M26*'Programmable Thermostat Savings'!M18/24+('Programmable Thermostat Savings'!M19)/24*'Programmable Thermostat Savings'!M24)</f>
        <v>82.25</v>
      </c>
      <c r="L82" s="188"/>
      <c r="M82" s="188"/>
      <c r="N82" s="188"/>
      <c r="O82" s="196"/>
      <c r="P82" s="188"/>
      <c r="Q82" s="188"/>
      <c r="R82" s="188"/>
      <c r="S82" s="188"/>
      <c r="T82" s="188"/>
      <c r="U82" s="188"/>
      <c r="V82" s="188"/>
      <c r="W82" s="190"/>
      <c r="X82" s="190"/>
      <c r="Y82" s="190"/>
      <c r="Z82" s="159"/>
      <c r="AA82" s="159"/>
      <c r="AB82" s="159"/>
      <c r="AC82" s="159"/>
      <c r="AD82" s="159"/>
    </row>
    <row r="83" spans="1:30" ht="12.75">
      <c r="A83" s="55">
        <f t="shared" si="0"/>
        <v>24</v>
      </c>
      <c r="B83" s="77" t="s">
        <v>29</v>
      </c>
      <c r="C83" s="114">
        <v>8717</v>
      </c>
      <c r="D83" s="115">
        <v>69</v>
      </c>
      <c r="E83" s="85" t="s">
        <v>312</v>
      </c>
      <c r="H83" s="188"/>
      <c r="I83" s="188"/>
      <c r="J83" s="188"/>
      <c r="K83" s="188"/>
      <c r="L83" s="188"/>
      <c r="M83" s="188"/>
      <c r="N83" s="188"/>
      <c r="O83" s="188"/>
      <c r="P83" s="188"/>
      <c r="Q83" s="188"/>
      <c r="R83" s="188"/>
      <c r="S83" s="188"/>
      <c r="T83" s="188"/>
      <c r="U83" s="188"/>
      <c r="V83" s="188"/>
      <c r="W83" s="190"/>
      <c r="X83" s="190"/>
      <c r="Y83" s="190"/>
      <c r="Z83" s="159"/>
      <c r="AA83" s="159"/>
      <c r="AB83" s="159"/>
      <c r="AC83" s="159"/>
      <c r="AD83" s="159"/>
    </row>
    <row r="84" spans="1:30" ht="12.75">
      <c r="A84" s="55">
        <f t="shared" si="0"/>
        <v>25</v>
      </c>
      <c r="B84" s="77" t="s">
        <v>69</v>
      </c>
      <c r="C84" s="114">
        <v>6346</v>
      </c>
      <c r="D84" s="115">
        <v>501</v>
      </c>
      <c r="E84" s="85" t="s">
        <v>312</v>
      </c>
      <c r="H84" s="188"/>
      <c r="I84" s="188" t="s">
        <v>259</v>
      </c>
      <c r="J84" s="188"/>
      <c r="K84" s="188"/>
      <c r="L84" s="188"/>
      <c r="M84" s="188"/>
      <c r="N84" s="188"/>
      <c r="O84" s="188"/>
      <c r="P84" s="188"/>
      <c r="Q84" s="188"/>
      <c r="R84" s="188"/>
      <c r="S84" s="188"/>
      <c r="T84" s="188"/>
      <c r="U84" s="188"/>
      <c r="V84" s="188"/>
      <c r="W84" s="190"/>
      <c r="X84" s="190"/>
      <c r="Y84" s="190"/>
      <c r="Z84" s="159"/>
      <c r="AA84" s="159"/>
      <c r="AB84" s="159"/>
      <c r="AC84" s="159"/>
      <c r="AD84" s="159"/>
    </row>
    <row r="85" spans="1:30" ht="12.75">
      <c r="A85" s="55">
        <f t="shared" si="0"/>
        <v>26</v>
      </c>
      <c r="B85" s="77" t="s">
        <v>30</v>
      </c>
      <c r="C85" s="114">
        <v>6014</v>
      </c>
      <c r="D85" s="115">
        <v>680</v>
      </c>
      <c r="E85" s="85" t="s">
        <v>312</v>
      </c>
      <c r="H85" s="188"/>
      <c r="I85" s="188" t="s">
        <v>260</v>
      </c>
      <c r="J85" s="188"/>
      <c r="K85" s="188"/>
      <c r="L85" s="188"/>
      <c r="M85" s="188"/>
      <c r="N85" s="188"/>
      <c r="O85" s="188"/>
      <c r="P85" s="188"/>
      <c r="Q85" s="188"/>
      <c r="R85" s="188"/>
      <c r="S85" s="188"/>
      <c r="T85" s="188"/>
      <c r="U85" s="188"/>
      <c r="V85" s="188"/>
      <c r="W85" s="190"/>
      <c r="X85" s="190"/>
      <c r="Y85" s="190"/>
      <c r="Z85" s="159"/>
      <c r="AA85" s="159"/>
      <c r="AB85" s="159"/>
      <c r="AC85" s="159"/>
      <c r="AD85" s="159"/>
    </row>
    <row r="86" spans="1:30" ht="12.75">
      <c r="A86" s="55">
        <f t="shared" si="0"/>
        <v>27</v>
      </c>
      <c r="B86" s="77" t="s">
        <v>31</v>
      </c>
      <c r="C86" s="114">
        <v>5683</v>
      </c>
      <c r="D86" s="115">
        <v>1205</v>
      </c>
      <c r="E86" s="85" t="s">
        <v>312</v>
      </c>
      <c r="H86" s="188"/>
      <c r="I86" s="188"/>
      <c r="J86" s="188"/>
      <c r="K86" s="188"/>
      <c r="L86" s="188"/>
      <c r="M86" s="188"/>
      <c r="N86" s="188"/>
      <c r="O86" s="188"/>
      <c r="P86" s="188"/>
      <c r="Q86" s="188"/>
      <c r="R86" s="188"/>
      <c r="S86" s="188"/>
      <c r="T86" s="188"/>
      <c r="U86" s="188"/>
      <c r="V86" s="188"/>
      <c r="W86" s="190"/>
      <c r="X86" s="190"/>
      <c r="Y86" s="190"/>
      <c r="Z86" s="159"/>
      <c r="AA86" s="159"/>
      <c r="AB86" s="159"/>
      <c r="AC86" s="159"/>
      <c r="AD86" s="159"/>
    </row>
    <row r="87" spans="1:30" ht="12.75">
      <c r="A87" s="55">
        <f t="shared" si="0"/>
        <v>28</v>
      </c>
      <c r="B87" s="77" t="s">
        <v>32</v>
      </c>
      <c r="C87" s="114">
        <v>5465</v>
      </c>
      <c r="D87" s="115">
        <v>1042</v>
      </c>
      <c r="E87" s="85" t="s">
        <v>312</v>
      </c>
      <c r="H87" s="188"/>
      <c r="I87" s="188"/>
      <c r="J87" s="188"/>
      <c r="K87" s="188"/>
      <c r="L87" s="188"/>
      <c r="M87" s="188"/>
      <c r="N87" s="188"/>
      <c r="O87" s="188"/>
      <c r="P87" s="188"/>
      <c r="Q87" s="188"/>
      <c r="R87" s="188"/>
      <c r="S87" s="188"/>
      <c r="T87" s="188"/>
      <c r="U87" s="188"/>
      <c r="V87" s="188"/>
      <c r="W87" s="190"/>
      <c r="X87" s="190"/>
      <c r="Y87" s="190"/>
      <c r="Z87" s="159"/>
      <c r="AA87" s="159"/>
      <c r="AB87" s="159"/>
      <c r="AC87" s="159"/>
      <c r="AD87" s="159"/>
    </row>
    <row r="88" spans="1:30" ht="12.75">
      <c r="A88" s="55">
        <f t="shared" si="0"/>
        <v>29</v>
      </c>
      <c r="B88" s="77" t="s">
        <v>33</v>
      </c>
      <c r="C88" s="114">
        <v>5501</v>
      </c>
      <c r="D88" s="115">
        <v>746</v>
      </c>
      <c r="E88" s="85" t="s">
        <v>312</v>
      </c>
      <c r="H88" s="188"/>
      <c r="I88" s="188">
        <f>('Programmable Thermostat Savings'!L17/24*'Programmable Thermostat Savings'!D25+'Programmable Thermostat Savings'!L18/24*'Programmable Thermostat Savings'!D26+('Programmable Thermostat Savings'!L19)/24*'Programmable Thermostat Savings'!D24)</f>
        <v>64</v>
      </c>
      <c r="J88" s="188">
        <f>I88*5/7</f>
        <v>45.714285714285715</v>
      </c>
      <c r="K88" s="188"/>
      <c r="L88" s="188"/>
      <c r="M88" s="188"/>
      <c r="N88" s="188"/>
      <c r="O88" s="188"/>
      <c r="P88" s="188"/>
      <c r="Q88" s="188"/>
      <c r="R88" s="188"/>
      <c r="S88" s="188"/>
      <c r="T88" s="188"/>
      <c r="U88" s="188"/>
      <c r="V88" s="188"/>
      <c r="W88" s="190"/>
      <c r="X88" s="190"/>
      <c r="Y88" s="190"/>
      <c r="Z88" s="159"/>
      <c r="AA88" s="159"/>
      <c r="AB88" s="159"/>
      <c r="AC88" s="159"/>
      <c r="AD88" s="159"/>
    </row>
    <row r="89" spans="1:30" ht="12.75">
      <c r="A89" s="55">
        <f t="shared" si="0"/>
        <v>30</v>
      </c>
      <c r="B89" s="77" t="s">
        <v>34</v>
      </c>
      <c r="C89" s="114">
        <v>6174</v>
      </c>
      <c r="D89" s="115">
        <v>666</v>
      </c>
      <c r="E89" s="85" t="s">
        <v>312</v>
      </c>
      <c r="H89" s="188"/>
      <c r="I89" s="188">
        <f>('Programmable Thermostat Savings'!M17/24*'Programmable Thermostat Savings'!D25+'Programmable Thermostat Savings'!M18/24*'Programmable Thermostat Savings'!D26+('Programmable Thermostat Savings'!M19)/24*'Programmable Thermostat Savings'!D24)</f>
        <v>64</v>
      </c>
      <c r="J89" s="188">
        <f>I89*2/7</f>
        <v>18.285714285714285</v>
      </c>
      <c r="K89" s="188"/>
      <c r="L89" s="188"/>
      <c r="M89" s="188"/>
      <c r="N89" s="188"/>
      <c r="O89" s="188"/>
      <c r="P89" s="188"/>
      <c r="Q89" s="188"/>
      <c r="R89" s="188"/>
      <c r="S89" s="188"/>
      <c r="T89" s="188"/>
      <c r="U89" s="188"/>
      <c r="V89" s="188"/>
      <c r="W89" s="190"/>
      <c r="X89" s="190"/>
      <c r="Y89" s="190"/>
      <c r="Z89" s="159"/>
      <c r="AA89" s="159"/>
      <c r="AB89" s="159"/>
      <c r="AC89" s="159"/>
      <c r="AD89" s="159"/>
    </row>
    <row r="90" spans="1:30" ht="12.75">
      <c r="A90" s="55">
        <f t="shared" si="0"/>
        <v>31</v>
      </c>
      <c r="B90" s="77" t="s">
        <v>35</v>
      </c>
      <c r="C90" s="114">
        <v>4122</v>
      </c>
      <c r="D90" s="115">
        <v>1430</v>
      </c>
      <c r="E90" s="85" t="s">
        <v>312</v>
      </c>
      <c r="H90" s="188"/>
      <c r="I90" s="188"/>
      <c r="J90" s="188">
        <f>J88+J89</f>
        <v>64</v>
      </c>
      <c r="K90" s="188"/>
      <c r="L90" s="188"/>
      <c r="M90" s="188"/>
      <c r="N90" s="188"/>
      <c r="O90" s="188"/>
      <c r="P90" s="188"/>
      <c r="Q90" s="188"/>
      <c r="R90" s="188"/>
      <c r="S90" s="188"/>
      <c r="T90" s="188"/>
      <c r="U90" s="188"/>
      <c r="V90" s="188"/>
      <c r="W90" s="190"/>
      <c r="X90" s="190"/>
      <c r="Y90" s="190"/>
      <c r="Z90" s="159"/>
      <c r="AA90" s="159"/>
      <c r="AB90" s="159"/>
      <c r="AC90" s="159"/>
      <c r="AD90" s="159"/>
    </row>
    <row r="91" spans="1:30" ht="12.75">
      <c r="A91" s="55">
        <f t="shared" si="0"/>
        <v>32</v>
      </c>
      <c r="B91" s="77" t="s">
        <v>36</v>
      </c>
      <c r="C91" s="114">
        <v>4986</v>
      </c>
      <c r="D91" s="115">
        <v>1015</v>
      </c>
      <c r="E91" s="85" t="s">
        <v>312</v>
      </c>
      <c r="H91" s="188"/>
      <c r="I91" s="188"/>
      <c r="J91" s="188"/>
      <c r="K91" s="188"/>
      <c r="L91" s="188"/>
      <c r="M91" s="188"/>
      <c r="N91" s="188"/>
      <c r="O91" s="188"/>
      <c r="P91" s="188"/>
      <c r="Q91" s="188"/>
      <c r="R91" s="188"/>
      <c r="S91" s="188"/>
      <c r="T91" s="188"/>
      <c r="U91" s="188"/>
      <c r="V91" s="188"/>
      <c r="W91" s="190"/>
      <c r="X91" s="190"/>
      <c r="Y91" s="190"/>
      <c r="Z91" s="159"/>
      <c r="AA91" s="159"/>
      <c r="AB91" s="159"/>
      <c r="AC91" s="159"/>
      <c r="AD91" s="159"/>
    </row>
    <row r="92" spans="1:30" ht="12.75">
      <c r="A92" s="55">
        <f t="shared" si="0"/>
        <v>33</v>
      </c>
      <c r="B92" s="77" t="s">
        <v>37</v>
      </c>
      <c r="C92" s="114">
        <v>900</v>
      </c>
      <c r="D92" s="115">
        <v>2878</v>
      </c>
      <c r="E92" s="85" t="s">
        <v>312</v>
      </c>
      <c r="H92" s="188"/>
      <c r="I92" s="188"/>
      <c r="J92" s="188"/>
      <c r="K92" s="188"/>
      <c r="L92" s="188"/>
      <c r="M92" s="188"/>
      <c r="N92" s="188"/>
      <c r="O92" s="188"/>
      <c r="P92" s="188"/>
      <c r="Q92" s="188"/>
      <c r="R92" s="188"/>
      <c r="S92" s="188"/>
      <c r="T92" s="188"/>
      <c r="U92" s="188"/>
      <c r="V92" s="188"/>
      <c r="W92" s="190"/>
      <c r="X92" s="190"/>
      <c r="Y92" s="190"/>
      <c r="Z92" s="159"/>
      <c r="AA92" s="159"/>
      <c r="AB92" s="159"/>
      <c r="AC92" s="159"/>
      <c r="AD92" s="159"/>
    </row>
    <row r="93" spans="1:30" ht="12.75">
      <c r="A93" s="55">
        <f t="shared" si="0"/>
        <v>34</v>
      </c>
      <c r="B93" s="77" t="s">
        <v>38</v>
      </c>
      <c r="C93" s="114">
        <v>441</v>
      </c>
      <c r="D93" s="115">
        <v>3699</v>
      </c>
      <c r="E93" s="85" t="s">
        <v>312</v>
      </c>
      <c r="H93" s="188"/>
      <c r="I93" s="188"/>
      <c r="J93" s="188"/>
      <c r="K93" s="188"/>
      <c r="L93" s="188"/>
      <c r="M93" s="188"/>
      <c r="N93" s="188"/>
      <c r="O93" s="188"/>
      <c r="P93" s="188"/>
      <c r="Q93" s="188"/>
      <c r="R93" s="188"/>
      <c r="S93" s="188"/>
      <c r="T93" s="188"/>
      <c r="U93" s="188"/>
      <c r="V93" s="188"/>
      <c r="W93" s="190"/>
      <c r="X93" s="190"/>
      <c r="Y93" s="190"/>
      <c r="Z93" s="159"/>
      <c r="AA93" s="159"/>
      <c r="AB93" s="159"/>
      <c r="AC93" s="159"/>
      <c r="AD93" s="159"/>
    </row>
    <row r="94" spans="1:30" ht="12.75">
      <c r="A94" s="55">
        <f t="shared" si="0"/>
        <v>35</v>
      </c>
      <c r="B94" s="77" t="s">
        <v>39</v>
      </c>
      <c r="C94" s="114">
        <v>1259</v>
      </c>
      <c r="D94" s="115">
        <v>2599</v>
      </c>
      <c r="E94" s="85" t="s">
        <v>312</v>
      </c>
      <c r="H94" s="188"/>
      <c r="I94" s="188"/>
      <c r="J94" s="188"/>
      <c r="K94" s="188"/>
      <c r="L94" s="188"/>
      <c r="M94" s="188"/>
      <c r="N94" s="188"/>
      <c r="O94" s="188"/>
      <c r="P94" s="188"/>
      <c r="Q94" s="188"/>
      <c r="R94" s="188"/>
      <c r="S94" s="188"/>
      <c r="T94" s="188"/>
      <c r="U94" s="188"/>
      <c r="V94" s="188"/>
      <c r="W94" s="190"/>
      <c r="X94" s="190"/>
      <c r="Y94" s="190"/>
      <c r="Z94" s="159"/>
      <c r="AA94" s="159"/>
      <c r="AB94" s="159"/>
      <c r="AC94" s="159"/>
      <c r="AD94" s="159"/>
    </row>
    <row r="95" spans="1:30" ht="12.75">
      <c r="A95" s="55">
        <f t="shared" si="0"/>
        <v>36</v>
      </c>
      <c r="B95" s="77" t="s">
        <v>40</v>
      </c>
      <c r="C95" s="114">
        <v>1402</v>
      </c>
      <c r="D95" s="115">
        <v>2520</v>
      </c>
      <c r="E95" s="85" t="s">
        <v>312</v>
      </c>
      <c r="H95" s="188"/>
      <c r="I95" s="188"/>
      <c r="J95" s="188"/>
      <c r="K95" s="188"/>
      <c r="L95" s="188"/>
      <c r="M95" s="188"/>
      <c r="N95" s="188"/>
      <c r="O95" s="188"/>
      <c r="P95" s="188"/>
      <c r="Q95" s="188"/>
      <c r="R95" s="188"/>
      <c r="S95" s="188"/>
      <c r="T95" s="188"/>
      <c r="U95" s="188"/>
      <c r="V95" s="188"/>
      <c r="W95" s="190"/>
      <c r="X95" s="190"/>
      <c r="Y95" s="190"/>
      <c r="Z95" s="159"/>
      <c r="AA95" s="159"/>
      <c r="AB95" s="159"/>
      <c r="AC95" s="159"/>
      <c r="AD95" s="159"/>
    </row>
    <row r="96" spans="1:30" ht="12.75">
      <c r="A96" s="55">
        <f t="shared" si="0"/>
        <v>37</v>
      </c>
      <c r="B96" s="77" t="s">
        <v>41</v>
      </c>
      <c r="C96" s="114">
        <v>114</v>
      </c>
      <c r="D96" s="115">
        <v>4756</v>
      </c>
      <c r="E96" s="85" t="s">
        <v>312</v>
      </c>
      <c r="Y96" s="159"/>
      <c r="Z96" s="159"/>
      <c r="AA96" s="159"/>
      <c r="AB96" s="159"/>
      <c r="AC96" s="159"/>
      <c r="AD96" s="159"/>
    </row>
    <row r="97" spans="1:30" ht="12.75">
      <c r="A97" s="55">
        <f t="shared" si="0"/>
        <v>38</v>
      </c>
      <c r="B97" s="77" t="s">
        <v>42</v>
      </c>
      <c r="C97" s="114">
        <v>199</v>
      </c>
      <c r="D97" s="115">
        <v>4095</v>
      </c>
      <c r="E97" s="85" t="s">
        <v>312</v>
      </c>
      <c r="Y97" s="159"/>
      <c r="Z97" s="159"/>
      <c r="AA97" s="159"/>
      <c r="AB97" s="159"/>
      <c r="AC97" s="159"/>
      <c r="AD97" s="159"/>
    </row>
    <row r="98" spans="1:30" ht="12.75">
      <c r="A98" s="55">
        <f t="shared" si="0"/>
        <v>39</v>
      </c>
      <c r="B98" s="77" t="s">
        <v>43</v>
      </c>
      <c r="C98" s="114">
        <v>656</v>
      </c>
      <c r="D98" s="115">
        <v>3401</v>
      </c>
      <c r="E98" s="85" t="s">
        <v>312</v>
      </c>
      <c r="Y98" s="159"/>
      <c r="Z98" s="159"/>
      <c r="AA98" s="159"/>
      <c r="AB98" s="159"/>
      <c r="AC98" s="159"/>
      <c r="AD98" s="159"/>
    </row>
    <row r="99" spans="1:30" ht="12.75">
      <c r="A99" s="55">
        <f t="shared" si="0"/>
        <v>40</v>
      </c>
      <c r="B99" s="77" t="s">
        <v>44</v>
      </c>
      <c r="C99" s="114">
        <v>1571</v>
      </c>
      <c r="D99" s="115">
        <v>2680</v>
      </c>
      <c r="E99" s="85" t="s">
        <v>312</v>
      </c>
      <c r="Y99" s="159"/>
      <c r="Z99" s="159"/>
      <c r="AA99" s="159"/>
      <c r="AB99" s="159"/>
      <c r="AC99" s="159"/>
      <c r="AD99" s="159"/>
    </row>
    <row r="100" spans="1:5" ht="12.75">
      <c r="A100" s="55">
        <f t="shared" si="0"/>
        <v>41</v>
      </c>
      <c r="B100" s="77" t="s">
        <v>45</v>
      </c>
      <c r="C100" s="114">
        <v>1652</v>
      </c>
      <c r="D100" s="115">
        <v>2492</v>
      </c>
      <c r="E100" s="85" t="s">
        <v>312</v>
      </c>
    </row>
    <row r="101" spans="1:5" ht="12.75">
      <c r="A101" s="55">
        <f t="shared" si="0"/>
        <v>42</v>
      </c>
      <c r="B101" s="77" t="s">
        <v>46</v>
      </c>
      <c r="C101" s="114">
        <v>739</v>
      </c>
      <c r="D101" s="115">
        <v>3324</v>
      </c>
      <c r="E101" s="85" t="s">
        <v>312</v>
      </c>
    </row>
    <row r="102" spans="1:5" ht="12.75">
      <c r="A102" s="55">
        <f t="shared" si="0"/>
        <v>43</v>
      </c>
      <c r="B102" s="77" t="s">
        <v>47</v>
      </c>
      <c r="C102" s="114">
        <v>262</v>
      </c>
      <c r="D102" s="115">
        <v>3769</v>
      </c>
      <c r="E102" s="85" t="s">
        <v>312</v>
      </c>
    </row>
    <row r="103" spans="1:5" ht="12.75">
      <c r="A103" s="55">
        <f t="shared" si="0"/>
        <v>44</v>
      </c>
      <c r="B103" s="77" t="s">
        <v>48</v>
      </c>
      <c r="C103" s="114">
        <v>2965</v>
      </c>
      <c r="D103" s="115">
        <v>1680</v>
      </c>
      <c r="E103" s="85" t="s">
        <v>312</v>
      </c>
    </row>
    <row r="104" spans="1:5" ht="12.75">
      <c r="A104" s="55">
        <f t="shared" si="0"/>
        <v>45</v>
      </c>
      <c r="B104" s="77" t="s">
        <v>49</v>
      </c>
      <c r="C104" s="114">
        <v>3021</v>
      </c>
      <c r="D104" s="115">
        <v>1670</v>
      </c>
      <c r="E104" s="85" t="s">
        <v>312</v>
      </c>
    </row>
    <row r="105" spans="1:5" ht="12.75">
      <c r="A105" s="55">
        <f t="shared" si="0"/>
        <v>46</v>
      </c>
      <c r="B105" s="77" t="s">
        <v>50</v>
      </c>
      <c r="C105" s="114">
        <v>2568</v>
      </c>
      <c r="D105" s="115">
        <v>1935</v>
      </c>
      <c r="E105" s="85" t="s">
        <v>312</v>
      </c>
    </row>
    <row r="106" spans="1:5" ht="12.75">
      <c r="A106" s="55">
        <f t="shared" si="0"/>
        <v>47</v>
      </c>
      <c r="B106" s="77" t="s">
        <v>51</v>
      </c>
      <c r="C106" s="114">
        <v>2356</v>
      </c>
      <c r="D106" s="115">
        <v>2152</v>
      </c>
      <c r="E106" s="85" t="s">
        <v>312</v>
      </c>
    </row>
    <row r="107" spans="1:5" ht="12.75">
      <c r="A107" s="55">
        <f t="shared" si="0"/>
        <v>48</v>
      </c>
      <c r="B107" s="77" t="s">
        <v>52</v>
      </c>
      <c r="C107" s="114">
        <v>2279</v>
      </c>
      <c r="D107" s="115">
        <v>2217</v>
      </c>
      <c r="E107" s="85" t="s">
        <v>312</v>
      </c>
    </row>
    <row r="108" spans="1:5" ht="12.75">
      <c r="A108" s="55">
        <f t="shared" si="0"/>
        <v>49</v>
      </c>
      <c r="B108" s="77" t="s">
        <v>53</v>
      </c>
      <c r="C108" s="114">
        <v>1921</v>
      </c>
      <c r="D108" s="115">
        <v>2290</v>
      </c>
      <c r="E108" s="85" t="s">
        <v>312</v>
      </c>
    </row>
    <row r="109" spans="1:5" ht="12.75">
      <c r="A109" s="55">
        <f t="shared" si="0"/>
        <v>50</v>
      </c>
      <c r="B109" s="77" t="s">
        <v>54</v>
      </c>
      <c r="C109" s="114">
        <v>0</v>
      </c>
      <c r="D109" s="115">
        <v>3134</v>
      </c>
      <c r="E109" s="85" t="s">
        <v>312</v>
      </c>
    </row>
    <row r="110" spans="1:5" ht="12.75">
      <c r="A110" s="55">
        <f t="shared" si="0"/>
        <v>51</v>
      </c>
      <c r="B110" s="77" t="s">
        <v>55</v>
      </c>
      <c r="C110" s="114">
        <v>0</v>
      </c>
      <c r="D110" s="115">
        <v>4389</v>
      </c>
      <c r="E110" s="85" t="s">
        <v>312</v>
      </c>
    </row>
    <row r="111" spans="1:5" ht="12.75">
      <c r="A111" s="55">
        <f t="shared" si="0"/>
        <v>52</v>
      </c>
      <c r="B111" s="77" t="s">
        <v>56</v>
      </c>
      <c r="C111" s="114">
        <v>6554</v>
      </c>
      <c r="D111" s="115">
        <v>1019</v>
      </c>
      <c r="E111" s="85" t="s">
        <v>312</v>
      </c>
    </row>
    <row r="112" spans="1:5" ht="12.75">
      <c r="A112" s="55">
        <f t="shared" si="0"/>
        <v>53</v>
      </c>
      <c r="B112" s="77" t="s">
        <v>57</v>
      </c>
      <c r="C112" s="114">
        <v>7375</v>
      </c>
      <c r="D112" s="115">
        <v>580</v>
      </c>
      <c r="E112" s="85" t="s">
        <v>312</v>
      </c>
    </row>
    <row r="113" spans="1:5" ht="12.75">
      <c r="A113" s="55">
        <f t="shared" si="0"/>
        <v>54</v>
      </c>
      <c r="B113" s="77" t="s">
        <v>58</v>
      </c>
      <c r="C113" s="114">
        <v>6947</v>
      </c>
      <c r="D113" s="115">
        <v>940</v>
      </c>
      <c r="E113" s="85" t="s">
        <v>312</v>
      </c>
    </row>
    <row r="114" spans="1:5" ht="12.75">
      <c r="A114" s="55">
        <f t="shared" si="0"/>
        <v>55</v>
      </c>
      <c r="B114" s="77" t="s">
        <v>59</v>
      </c>
      <c r="C114" s="114">
        <v>7537</v>
      </c>
      <c r="D114" s="115">
        <v>667</v>
      </c>
      <c r="E114" s="85" t="s">
        <v>312</v>
      </c>
    </row>
    <row r="115" spans="1:5" ht="12.75">
      <c r="A115" s="55">
        <f t="shared" si="0"/>
        <v>56</v>
      </c>
      <c r="B115" s="77" t="s">
        <v>60</v>
      </c>
      <c r="C115" s="114">
        <v>5802</v>
      </c>
      <c r="D115" s="115">
        <v>742</v>
      </c>
      <c r="E115" s="85" t="s">
        <v>312</v>
      </c>
    </row>
    <row r="116" spans="1:5" ht="12.75">
      <c r="A116" s="55">
        <f t="shared" si="0"/>
        <v>57</v>
      </c>
      <c r="B116" s="77" t="s">
        <v>61</v>
      </c>
      <c r="C116" s="114">
        <v>5429</v>
      </c>
      <c r="D116" s="115">
        <v>742</v>
      </c>
      <c r="E116" s="85" t="s">
        <v>312</v>
      </c>
    </row>
    <row r="117" spans="1:5" ht="12.75">
      <c r="A117" s="55">
        <f t="shared" si="0"/>
        <v>58</v>
      </c>
      <c r="B117" s="77" t="s">
        <v>62</v>
      </c>
      <c r="C117" s="114">
        <v>7123</v>
      </c>
      <c r="D117" s="115">
        <v>445</v>
      </c>
      <c r="E117" s="85" t="s">
        <v>312</v>
      </c>
    </row>
    <row r="118" spans="1:5" ht="12.75">
      <c r="A118" s="55">
        <f t="shared" si="0"/>
        <v>59</v>
      </c>
      <c r="B118" s="77" t="s">
        <v>63</v>
      </c>
      <c r="C118" s="114">
        <v>6455</v>
      </c>
      <c r="D118" s="115">
        <v>740</v>
      </c>
      <c r="E118" s="85" t="s">
        <v>312</v>
      </c>
    </row>
    <row r="119" spans="1:5" ht="12.75">
      <c r="A119" s="55">
        <f t="shared" si="0"/>
        <v>60</v>
      </c>
      <c r="B119" s="77" t="s">
        <v>64</v>
      </c>
      <c r="C119" s="114">
        <v>6498</v>
      </c>
      <c r="D119" s="115">
        <v>899</v>
      </c>
      <c r="E119" s="85" t="s">
        <v>312</v>
      </c>
    </row>
    <row r="120" spans="1:5" ht="12.75">
      <c r="A120" s="55">
        <f t="shared" si="0"/>
        <v>61</v>
      </c>
      <c r="B120" s="77" t="s">
        <v>65</v>
      </c>
      <c r="C120" s="114">
        <v>6226</v>
      </c>
      <c r="D120" s="115">
        <v>948</v>
      </c>
      <c r="E120" s="85" t="s">
        <v>312</v>
      </c>
    </row>
    <row r="121" spans="1:5" ht="12.75">
      <c r="A121" s="55">
        <f t="shared" si="0"/>
        <v>62</v>
      </c>
      <c r="B121" s="77" t="s">
        <v>66</v>
      </c>
      <c r="C121" s="114">
        <v>6952</v>
      </c>
      <c r="D121" s="115">
        <v>714</v>
      </c>
      <c r="E121" s="85" t="s">
        <v>312</v>
      </c>
    </row>
    <row r="122" spans="1:5" ht="12.75">
      <c r="A122" s="55">
        <f t="shared" si="0"/>
        <v>63</v>
      </c>
      <c r="B122" s="77" t="s">
        <v>67</v>
      </c>
      <c r="C122" s="114">
        <v>5654</v>
      </c>
      <c r="D122" s="115">
        <v>1165</v>
      </c>
      <c r="E122" s="85" t="s">
        <v>312</v>
      </c>
    </row>
    <row r="123" spans="1:5" ht="12.75">
      <c r="A123" s="55">
        <f t="shared" si="0"/>
        <v>64</v>
      </c>
      <c r="B123" s="77" t="s">
        <v>100</v>
      </c>
      <c r="C123" s="114">
        <v>4729</v>
      </c>
      <c r="D123" s="115">
        <v>1378</v>
      </c>
      <c r="E123" s="85" t="s">
        <v>312</v>
      </c>
    </row>
    <row r="124" spans="1:5" ht="12.75">
      <c r="A124" s="55">
        <f aca="true" t="shared" si="3" ref="A124:A187">A123+1</f>
        <v>65</v>
      </c>
      <c r="B124" s="77" t="s">
        <v>101</v>
      </c>
      <c r="C124" s="114">
        <v>6320</v>
      </c>
      <c r="D124" s="115">
        <v>786</v>
      </c>
      <c r="E124" s="85" t="s">
        <v>312</v>
      </c>
    </row>
    <row r="125" spans="1:5" ht="12.75">
      <c r="A125" s="55">
        <f t="shared" si="3"/>
        <v>66</v>
      </c>
      <c r="B125" s="77" t="s">
        <v>102</v>
      </c>
      <c r="C125" s="114">
        <v>5650</v>
      </c>
      <c r="D125" s="115">
        <v>988</v>
      </c>
      <c r="E125" s="85" t="s">
        <v>312</v>
      </c>
    </row>
    <row r="126" spans="1:5" ht="12.75">
      <c r="A126" s="55">
        <f t="shared" si="3"/>
        <v>67</v>
      </c>
      <c r="B126" s="77" t="s">
        <v>103</v>
      </c>
      <c r="C126" s="114">
        <v>6377</v>
      </c>
      <c r="D126" s="115">
        <v>710</v>
      </c>
      <c r="E126" s="85" t="s">
        <v>312</v>
      </c>
    </row>
    <row r="127" spans="1:5" ht="12.75">
      <c r="A127" s="55">
        <f t="shared" si="3"/>
        <v>68</v>
      </c>
      <c r="B127" s="77" t="s">
        <v>104</v>
      </c>
      <c r="C127" s="114">
        <v>5059</v>
      </c>
      <c r="D127" s="115">
        <v>1479</v>
      </c>
      <c r="E127" s="85" t="s">
        <v>312</v>
      </c>
    </row>
    <row r="128" spans="1:5" ht="12.75">
      <c r="A128" s="55">
        <f t="shared" si="3"/>
        <v>69</v>
      </c>
      <c r="B128" s="77" t="s">
        <v>105</v>
      </c>
      <c r="C128" s="114">
        <v>6099</v>
      </c>
      <c r="D128" s="115">
        <v>934</v>
      </c>
      <c r="E128" s="85" t="s">
        <v>312</v>
      </c>
    </row>
    <row r="129" spans="1:5" ht="12.75">
      <c r="A129" s="55">
        <f t="shared" si="3"/>
        <v>70</v>
      </c>
      <c r="B129" s="77" t="s">
        <v>106</v>
      </c>
      <c r="C129" s="114">
        <v>5319</v>
      </c>
      <c r="D129" s="115">
        <v>1380</v>
      </c>
      <c r="E129" s="85" t="s">
        <v>312</v>
      </c>
    </row>
    <row r="130" spans="1:5" ht="12.75">
      <c r="A130" s="55">
        <f t="shared" si="3"/>
        <v>71</v>
      </c>
      <c r="B130" s="77" t="s">
        <v>107</v>
      </c>
      <c r="C130" s="114">
        <v>4787</v>
      </c>
      <c r="D130" s="115">
        <v>1684</v>
      </c>
      <c r="E130" s="85" t="s">
        <v>312</v>
      </c>
    </row>
    <row r="131" spans="1:5" ht="12.75">
      <c r="A131" s="55">
        <f t="shared" si="3"/>
        <v>72</v>
      </c>
      <c r="B131" s="77" t="s">
        <v>108</v>
      </c>
      <c r="C131" s="114">
        <v>4814</v>
      </c>
      <c r="D131" s="115">
        <v>1170</v>
      </c>
      <c r="E131" s="85" t="s">
        <v>312</v>
      </c>
    </row>
    <row r="132" spans="1:5" ht="12.75">
      <c r="A132" s="55">
        <f t="shared" si="3"/>
        <v>73</v>
      </c>
      <c r="B132" s="77" t="s">
        <v>109</v>
      </c>
      <c r="C132" s="114">
        <v>4525</v>
      </c>
      <c r="D132" s="115">
        <v>1342</v>
      </c>
      <c r="E132" s="85" t="s">
        <v>312</v>
      </c>
    </row>
    <row r="133" spans="1:5" ht="12.75">
      <c r="A133" s="55">
        <f t="shared" si="3"/>
        <v>74</v>
      </c>
      <c r="B133" s="77" t="s">
        <v>110</v>
      </c>
      <c r="C133" s="114">
        <v>4283</v>
      </c>
      <c r="D133" s="115">
        <v>1491</v>
      </c>
      <c r="E133" s="85" t="s">
        <v>312</v>
      </c>
    </row>
    <row r="134" spans="1:5" ht="12.75">
      <c r="A134" s="55">
        <f t="shared" si="3"/>
        <v>75</v>
      </c>
      <c r="B134" s="77" t="s">
        <v>111</v>
      </c>
      <c r="C134" s="114">
        <v>1673</v>
      </c>
      <c r="D134" s="115">
        <v>2605</v>
      </c>
      <c r="E134" s="85" t="s">
        <v>312</v>
      </c>
    </row>
    <row r="135" spans="1:5" ht="12.75">
      <c r="A135" s="55">
        <f t="shared" si="3"/>
        <v>76</v>
      </c>
      <c r="B135" s="77" t="s">
        <v>112</v>
      </c>
      <c r="C135" s="114">
        <v>1579</v>
      </c>
      <c r="D135" s="115">
        <v>2682</v>
      </c>
      <c r="E135" s="85" t="s">
        <v>312</v>
      </c>
    </row>
    <row r="136" spans="1:5" ht="12.75">
      <c r="A136" s="55">
        <f t="shared" si="3"/>
        <v>77</v>
      </c>
      <c r="B136" s="77" t="s">
        <v>113</v>
      </c>
      <c r="C136" s="114">
        <v>1490</v>
      </c>
      <c r="D136" s="115">
        <v>2686</v>
      </c>
      <c r="E136" s="85" t="s">
        <v>312</v>
      </c>
    </row>
    <row r="137" spans="1:5" ht="12.75">
      <c r="A137" s="55">
        <f t="shared" si="3"/>
        <v>78</v>
      </c>
      <c r="B137" s="77" t="s">
        <v>114</v>
      </c>
      <c r="C137" s="114">
        <v>2269</v>
      </c>
      <c r="D137" s="115">
        <v>2444</v>
      </c>
      <c r="E137" s="85" t="s">
        <v>312</v>
      </c>
    </row>
    <row r="138" spans="1:5" ht="12.75">
      <c r="A138" s="55">
        <f t="shared" si="3"/>
        <v>79</v>
      </c>
      <c r="B138" s="77" t="s">
        <v>115</v>
      </c>
      <c r="C138" s="114">
        <v>5593</v>
      </c>
      <c r="D138" s="115">
        <v>699</v>
      </c>
      <c r="E138" s="85" t="s">
        <v>312</v>
      </c>
    </row>
    <row r="139" spans="1:5" ht="12.75">
      <c r="A139" s="55">
        <f t="shared" si="3"/>
        <v>80</v>
      </c>
      <c r="B139" s="77" t="s">
        <v>116</v>
      </c>
      <c r="C139" s="114">
        <v>6950</v>
      </c>
      <c r="D139" s="115">
        <v>359</v>
      </c>
      <c r="E139" s="85" t="s">
        <v>312</v>
      </c>
    </row>
    <row r="140" spans="1:5" ht="12.75">
      <c r="A140" s="55">
        <f t="shared" si="3"/>
        <v>81</v>
      </c>
      <c r="B140" s="77" t="s">
        <v>117</v>
      </c>
      <c r="C140" s="114">
        <v>4706</v>
      </c>
      <c r="D140" s="115">
        <v>1138</v>
      </c>
      <c r="E140" s="85" t="s">
        <v>312</v>
      </c>
    </row>
    <row r="141" spans="1:5" ht="12.75">
      <c r="A141" s="55">
        <f t="shared" si="3"/>
        <v>82</v>
      </c>
      <c r="B141" s="77" t="s">
        <v>118</v>
      </c>
      <c r="C141" s="114">
        <v>9616</v>
      </c>
      <c r="D141" s="115">
        <v>147</v>
      </c>
      <c r="E141" s="85" t="s">
        <v>312</v>
      </c>
    </row>
    <row r="142" spans="1:5" ht="12.75">
      <c r="A142" s="55">
        <f t="shared" si="3"/>
        <v>83</v>
      </c>
      <c r="B142" s="77" t="s">
        <v>119</v>
      </c>
      <c r="C142" s="114">
        <v>7501</v>
      </c>
      <c r="D142" s="115">
        <v>254</v>
      </c>
      <c r="E142" s="85" t="s">
        <v>312</v>
      </c>
    </row>
    <row r="143" spans="1:5" ht="12.75">
      <c r="A143" s="55">
        <f t="shared" si="3"/>
        <v>84</v>
      </c>
      <c r="B143" s="77" t="s">
        <v>120</v>
      </c>
      <c r="C143" s="114">
        <v>8410</v>
      </c>
      <c r="D143" s="115">
        <v>180</v>
      </c>
      <c r="E143" s="85" t="s">
        <v>312</v>
      </c>
    </row>
    <row r="144" spans="1:5" ht="12.75">
      <c r="A144" s="55">
        <f t="shared" si="3"/>
        <v>85</v>
      </c>
      <c r="B144" s="77" t="s">
        <v>121</v>
      </c>
      <c r="C144" s="114">
        <v>6563</v>
      </c>
      <c r="D144" s="115">
        <v>615</v>
      </c>
      <c r="E144" s="85" t="s">
        <v>312</v>
      </c>
    </row>
    <row r="145" spans="1:5" ht="12.75">
      <c r="A145" s="55">
        <f t="shared" si="3"/>
        <v>86</v>
      </c>
      <c r="B145" s="77" t="s">
        <v>122</v>
      </c>
      <c r="C145" s="114">
        <v>7068</v>
      </c>
      <c r="D145" s="115">
        <v>456</v>
      </c>
      <c r="E145" s="85" t="s">
        <v>312</v>
      </c>
    </row>
    <row r="146" spans="1:5" ht="12.75">
      <c r="A146" s="55">
        <f t="shared" si="3"/>
        <v>87</v>
      </c>
      <c r="B146" s="77" t="s">
        <v>123</v>
      </c>
      <c r="C146" s="114">
        <v>6927</v>
      </c>
      <c r="D146" s="115">
        <v>570</v>
      </c>
      <c r="E146" s="85" t="s">
        <v>312</v>
      </c>
    </row>
    <row r="147" spans="1:5" ht="12.75">
      <c r="A147" s="55">
        <f t="shared" si="3"/>
        <v>88</v>
      </c>
      <c r="B147" s="77" t="s">
        <v>124</v>
      </c>
      <c r="C147" s="114">
        <v>6987</v>
      </c>
      <c r="D147" s="115">
        <v>530</v>
      </c>
      <c r="E147" s="85" t="s">
        <v>312</v>
      </c>
    </row>
    <row r="148" spans="1:5" ht="12.75">
      <c r="A148" s="55">
        <f t="shared" si="3"/>
        <v>89</v>
      </c>
      <c r="B148" s="77" t="s">
        <v>125</v>
      </c>
      <c r="C148" s="114">
        <v>9520</v>
      </c>
      <c r="D148" s="115">
        <v>148</v>
      </c>
      <c r="E148" s="85" t="s">
        <v>312</v>
      </c>
    </row>
    <row r="149" spans="1:5" ht="12.75">
      <c r="A149" s="55">
        <f t="shared" si="3"/>
        <v>90</v>
      </c>
      <c r="B149" s="77" t="s">
        <v>126</v>
      </c>
      <c r="C149" s="114">
        <v>6925</v>
      </c>
      <c r="D149" s="115">
        <v>451</v>
      </c>
      <c r="E149" s="85" t="s">
        <v>312</v>
      </c>
    </row>
    <row r="150" spans="1:5" ht="12.75">
      <c r="A150" s="55">
        <f t="shared" si="3"/>
        <v>91</v>
      </c>
      <c r="B150" s="77" t="s">
        <v>127</v>
      </c>
      <c r="C150" s="114">
        <v>9305</v>
      </c>
      <c r="D150" s="115">
        <v>131</v>
      </c>
      <c r="E150" s="85" t="s">
        <v>312</v>
      </c>
    </row>
    <row r="151" spans="1:5" ht="12.75">
      <c r="A151" s="55">
        <f t="shared" si="3"/>
        <v>92</v>
      </c>
      <c r="B151" s="77" t="s">
        <v>128</v>
      </c>
      <c r="C151" s="114">
        <v>9901</v>
      </c>
      <c r="D151" s="115">
        <v>150</v>
      </c>
      <c r="E151" s="85" t="s">
        <v>312</v>
      </c>
    </row>
    <row r="152" spans="1:5" ht="12.75">
      <c r="A152" s="55">
        <f t="shared" si="3"/>
        <v>93</v>
      </c>
      <c r="B152" s="77" t="s">
        <v>129</v>
      </c>
      <c r="C152" s="114">
        <v>10604</v>
      </c>
      <c r="D152" s="115">
        <v>216</v>
      </c>
      <c r="E152" s="85" t="s">
        <v>312</v>
      </c>
    </row>
    <row r="153" spans="1:5" ht="12.75">
      <c r="A153" s="55">
        <f t="shared" si="3"/>
        <v>94</v>
      </c>
      <c r="B153" s="77" t="s">
        <v>130</v>
      </c>
      <c r="C153" s="114">
        <v>8007</v>
      </c>
      <c r="D153" s="115">
        <v>662</v>
      </c>
      <c r="E153" s="85" t="s">
        <v>312</v>
      </c>
    </row>
    <row r="154" spans="1:5" ht="12.75">
      <c r="A154" s="55">
        <f t="shared" si="3"/>
        <v>95</v>
      </c>
      <c r="B154" s="77" t="s">
        <v>131</v>
      </c>
      <c r="C154" s="114">
        <v>8277</v>
      </c>
      <c r="D154" s="115">
        <v>479</v>
      </c>
      <c r="E154" s="85" t="s">
        <v>312</v>
      </c>
    </row>
    <row r="155" spans="1:5" ht="12.75">
      <c r="A155" s="55">
        <f t="shared" si="3"/>
        <v>96</v>
      </c>
      <c r="B155" s="77" t="s">
        <v>132</v>
      </c>
      <c r="C155" s="114">
        <v>8965</v>
      </c>
      <c r="D155" s="115">
        <v>397</v>
      </c>
      <c r="E155" s="85" t="s">
        <v>312</v>
      </c>
    </row>
    <row r="156" spans="1:5" ht="12.75">
      <c r="A156" s="55">
        <f t="shared" si="3"/>
        <v>97</v>
      </c>
      <c r="B156" s="77" t="s">
        <v>133</v>
      </c>
      <c r="C156" s="114">
        <v>5206</v>
      </c>
      <c r="D156" s="115">
        <v>1269</v>
      </c>
      <c r="E156" s="85" t="s">
        <v>312</v>
      </c>
    </row>
    <row r="157" spans="1:5" ht="12.75">
      <c r="A157" s="55">
        <f t="shared" si="3"/>
        <v>98</v>
      </c>
      <c r="B157" s="77" t="s">
        <v>134</v>
      </c>
      <c r="C157" s="114">
        <v>5283</v>
      </c>
      <c r="D157" s="115">
        <v>1333</v>
      </c>
      <c r="E157" s="85" t="s">
        <v>312</v>
      </c>
    </row>
    <row r="158" spans="1:5" ht="12.75">
      <c r="A158" s="55">
        <f t="shared" si="3"/>
        <v>99</v>
      </c>
      <c r="B158" s="77" t="s">
        <v>135</v>
      </c>
      <c r="C158" s="114">
        <v>4660</v>
      </c>
      <c r="D158" s="115">
        <v>1374</v>
      </c>
      <c r="E158" s="85" t="s">
        <v>312</v>
      </c>
    </row>
    <row r="159" spans="1:5" ht="12.75">
      <c r="A159" s="55">
        <f t="shared" si="3"/>
        <v>100</v>
      </c>
      <c r="B159" s="77" t="s">
        <v>136</v>
      </c>
      <c r="C159" s="114">
        <v>4938</v>
      </c>
      <c r="D159" s="115">
        <v>1468</v>
      </c>
      <c r="E159" s="85" t="s">
        <v>312</v>
      </c>
    </row>
    <row r="160" spans="1:5" ht="12.75">
      <c r="A160" s="55">
        <f t="shared" si="3"/>
        <v>101</v>
      </c>
      <c r="B160" s="77" t="s">
        <v>137</v>
      </c>
      <c r="C160" s="114">
        <v>2389</v>
      </c>
      <c r="D160" s="115">
        <v>2290</v>
      </c>
      <c r="E160" s="85" t="s">
        <v>312</v>
      </c>
    </row>
    <row r="161" spans="1:5" ht="12.75">
      <c r="A161" s="55">
        <f t="shared" si="3"/>
        <v>102</v>
      </c>
      <c r="B161" s="77" t="s">
        <v>138</v>
      </c>
      <c r="C161" s="114">
        <v>2479</v>
      </c>
      <c r="D161" s="115">
        <v>2158</v>
      </c>
      <c r="E161" s="85" t="s">
        <v>312</v>
      </c>
    </row>
    <row r="162" spans="1:5" ht="12.75">
      <c r="A162" s="55">
        <f t="shared" si="3"/>
        <v>103</v>
      </c>
      <c r="B162" s="77" t="s">
        <v>139</v>
      </c>
      <c r="C162" s="114">
        <v>3088</v>
      </c>
      <c r="D162" s="115">
        <v>1961</v>
      </c>
      <c r="E162" s="85" t="s">
        <v>312</v>
      </c>
    </row>
    <row r="163" spans="1:5" ht="12.75">
      <c r="A163" s="55">
        <f t="shared" si="3"/>
        <v>104</v>
      </c>
      <c r="B163" s="77" t="s">
        <v>140</v>
      </c>
      <c r="C163" s="114">
        <v>7212</v>
      </c>
      <c r="D163" s="115">
        <v>553</v>
      </c>
      <c r="E163" s="85" t="s">
        <v>312</v>
      </c>
    </row>
    <row r="164" spans="1:5" ht="12.75">
      <c r="A164" s="55">
        <f t="shared" si="3"/>
        <v>105</v>
      </c>
      <c r="B164" s="77" t="s">
        <v>141</v>
      </c>
      <c r="C164" s="114">
        <v>8940</v>
      </c>
      <c r="D164" s="115">
        <v>465</v>
      </c>
      <c r="E164" s="85" t="s">
        <v>312</v>
      </c>
    </row>
    <row r="165" spans="1:5" ht="12.75">
      <c r="A165" s="55">
        <f t="shared" si="3"/>
        <v>106</v>
      </c>
      <c r="B165" s="77" t="s">
        <v>142</v>
      </c>
      <c r="C165" s="114">
        <v>7766</v>
      </c>
      <c r="D165" s="115">
        <v>391</v>
      </c>
      <c r="E165" s="85" t="s">
        <v>312</v>
      </c>
    </row>
    <row r="166" spans="1:5" ht="12.75">
      <c r="A166" s="55">
        <f t="shared" si="3"/>
        <v>107</v>
      </c>
      <c r="B166" s="77" t="s">
        <v>143</v>
      </c>
      <c r="C166" s="114">
        <v>8660</v>
      </c>
      <c r="D166" s="115">
        <v>420</v>
      </c>
      <c r="E166" s="85" t="s">
        <v>312</v>
      </c>
    </row>
    <row r="167" spans="1:5" ht="12.75">
      <c r="A167" s="55">
        <f t="shared" si="3"/>
        <v>108</v>
      </c>
      <c r="B167" s="77" t="s">
        <v>144</v>
      </c>
      <c r="C167" s="114">
        <v>8176</v>
      </c>
      <c r="D167" s="115">
        <v>294</v>
      </c>
      <c r="E167" s="85" t="s">
        <v>312</v>
      </c>
    </row>
    <row r="168" spans="1:5" ht="12.75">
      <c r="A168" s="55">
        <f t="shared" si="3"/>
        <v>109</v>
      </c>
      <c r="B168" s="77" t="s">
        <v>145</v>
      </c>
      <c r="C168" s="114">
        <v>8361</v>
      </c>
      <c r="D168" s="115">
        <v>177</v>
      </c>
      <c r="E168" s="85" t="s">
        <v>312</v>
      </c>
    </row>
    <row r="169" spans="1:5" ht="12.75">
      <c r="A169" s="55">
        <f t="shared" si="3"/>
        <v>110</v>
      </c>
      <c r="B169" s="77" t="s">
        <v>146</v>
      </c>
      <c r="C169" s="114">
        <v>7891</v>
      </c>
      <c r="D169" s="115">
        <v>776</v>
      </c>
      <c r="E169" s="85" t="s">
        <v>312</v>
      </c>
    </row>
    <row r="170" spans="1:5" ht="12.75">
      <c r="A170" s="55">
        <f t="shared" si="3"/>
        <v>111</v>
      </c>
      <c r="B170" s="77" t="s">
        <v>147</v>
      </c>
      <c r="C170" s="114">
        <v>7839</v>
      </c>
      <c r="D170" s="115">
        <v>216</v>
      </c>
      <c r="E170" s="85" t="s">
        <v>312</v>
      </c>
    </row>
    <row r="171" spans="1:5" ht="12.75">
      <c r="A171" s="55">
        <f t="shared" si="3"/>
        <v>112</v>
      </c>
      <c r="B171" s="77" t="s">
        <v>148</v>
      </c>
      <c r="C171" s="114">
        <v>4294</v>
      </c>
      <c r="D171" s="115">
        <v>842</v>
      </c>
      <c r="E171" s="85" t="s">
        <v>312</v>
      </c>
    </row>
    <row r="172" spans="1:5" ht="12.75">
      <c r="A172" s="55">
        <f t="shared" si="3"/>
        <v>113</v>
      </c>
      <c r="B172" s="77" t="s">
        <v>149</v>
      </c>
      <c r="C172" s="114">
        <v>3342</v>
      </c>
      <c r="D172" s="115">
        <v>1546</v>
      </c>
      <c r="E172" s="85" t="s">
        <v>312</v>
      </c>
    </row>
    <row r="173" spans="1:5" ht="12.75">
      <c r="A173" s="55">
        <f t="shared" si="3"/>
        <v>114</v>
      </c>
      <c r="B173" s="77" t="s">
        <v>150</v>
      </c>
      <c r="C173" s="114">
        <v>3874</v>
      </c>
      <c r="D173" s="115">
        <v>1303</v>
      </c>
      <c r="E173" s="85" t="s">
        <v>312</v>
      </c>
    </row>
    <row r="174" spans="1:5" ht="12.75">
      <c r="A174" s="55">
        <f t="shared" si="3"/>
        <v>115</v>
      </c>
      <c r="B174" s="77" t="s">
        <v>151</v>
      </c>
      <c r="C174" s="114">
        <v>3531</v>
      </c>
      <c r="D174" s="115">
        <v>1394</v>
      </c>
      <c r="E174" s="85" t="s">
        <v>312</v>
      </c>
    </row>
    <row r="175" spans="1:5" ht="12.75">
      <c r="A175" s="55">
        <f t="shared" si="3"/>
        <v>116</v>
      </c>
      <c r="B175" s="77" t="s">
        <v>152</v>
      </c>
      <c r="C175" s="114">
        <v>2469</v>
      </c>
      <c r="D175" s="115">
        <v>1904</v>
      </c>
      <c r="E175" s="85" t="s">
        <v>312</v>
      </c>
    </row>
    <row r="176" spans="1:5" ht="12.75">
      <c r="A176" s="55">
        <f t="shared" si="3"/>
        <v>117</v>
      </c>
      <c r="B176" s="77" t="s">
        <v>153</v>
      </c>
      <c r="C176" s="114">
        <v>9075</v>
      </c>
      <c r="D176" s="115">
        <v>473</v>
      </c>
      <c r="E176" s="85" t="s">
        <v>312</v>
      </c>
    </row>
    <row r="177" spans="1:5" ht="12.75">
      <c r="A177" s="55">
        <f t="shared" si="3"/>
        <v>118</v>
      </c>
      <c r="B177" s="77" t="s">
        <v>154</v>
      </c>
      <c r="C177" s="114">
        <v>9343</v>
      </c>
      <c r="D177" s="115">
        <v>476</v>
      </c>
      <c r="E177" s="85" t="s">
        <v>312</v>
      </c>
    </row>
    <row r="178" spans="1:5" ht="12.75">
      <c r="A178" s="55">
        <f t="shared" si="3"/>
        <v>119</v>
      </c>
      <c r="B178" s="77" t="s">
        <v>155</v>
      </c>
      <c r="C178" s="114">
        <v>9241</v>
      </c>
      <c r="D178" s="115">
        <v>440</v>
      </c>
      <c r="E178" s="85" t="s">
        <v>312</v>
      </c>
    </row>
    <row r="179" spans="1:5" ht="12.75">
      <c r="A179" s="55">
        <f t="shared" si="3"/>
        <v>120</v>
      </c>
      <c r="B179" s="77" t="s">
        <v>156</v>
      </c>
      <c r="C179" s="114">
        <v>6482</v>
      </c>
      <c r="D179" s="115">
        <v>1028</v>
      </c>
      <c r="E179" s="85" t="s">
        <v>312</v>
      </c>
    </row>
    <row r="180" spans="1:5" ht="12.75">
      <c r="A180" s="55">
        <f t="shared" si="3"/>
        <v>121</v>
      </c>
      <c r="B180" s="77" t="s">
        <v>157</v>
      </c>
      <c r="C180" s="114">
        <v>6375</v>
      </c>
      <c r="D180" s="115">
        <v>1124</v>
      </c>
      <c r="E180" s="85" t="s">
        <v>312</v>
      </c>
    </row>
    <row r="181" spans="1:5" ht="12.75">
      <c r="A181" s="55">
        <f t="shared" si="3"/>
        <v>122</v>
      </c>
      <c r="B181" s="77" t="s">
        <v>158</v>
      </c>
      <c r="C181" s="114">
        <v>7005</v>
      </c>
      <c r="D181" s="115">
        <v>935</v>
      </c>
      <c r="E181" s="85" t="s">
        <v>312</v>
      </c>
    </row>
    <row r="182" spans="1:5" ht="12.75">
      <c r="A182" s="55">
        <f t="shared" si="3"/>
        <v>123</v>
      </c>
      <c r="B182" s="77" t="s">
        <v>159</v>
      </c>
      <c r="C182" s="114">
        <v>6909</v>
      </c>
      <c r="D182" s="115">
        <v>773</v>
      </c>
      <c r="E182" s="85" t="s">
        <v>312</v>
      </c>
    </row>
    <row r="183" spans="1:5" ht="12.75">
      <c r="A183" s="55">
        <f t="shared" si="3"/>
        <v>124</v>
      </c>
      <c r="B183" s="77" t="s">
        <v>160</v>
      </c>
      <c r="C183" s="114">
        <v>6592</v>
      </c>
      <c r="D183" s="115">
        <v>964</v>
      </c>
      <c r="E183" s="85" t="s">
        <v>312</v>
      </c>
    </row>
    <row r="184" spans="1:5" ht="12.75">
      <c r="A184" s="55">
        <f t="shared" si="3"/>
        <v>125</v>
      </c>
      <c r="B184" s="77" t="s">
        <v>161</v>
      </c>
      <c r="C184" s="114">
        <v>6702</v>
      </c>
      <c r="D184" s="115">
        <v>728</v>
      </c>
      <c r="E184" s="85" t="s">
        <v>312</v>
      </c>
    </row>
    <row r="185" spans="1:5" ht="12.75">
      <c r="A185" s="55">
        <f t="shared" si="3"/>
        <v>126</v>
      </c>
      <c r="B185" s="77" t="s">
        <v>162</v>
      </c>
      <c r="C185" s="114">
        <v>7482</v>
      </c>
      <c r="D185" s="115">
        <v>353</v>
      </c>
      <c r="E185" s="85" t="s">
        <v>312</v>
      </c>
    </row>
    <row r="186" spans="1:5" ht="12.75">
      <c r="A186" s="55">
        <f t="shared" si="3"/>
        <v>127</v>
      </c>
      <c r="B186" s="77" t="s">
        <v>163</v>
      </c>
      <c r="C186" s="114">
        <v>4763</v>
      </c>
      <c r="D186" s="115">
        <v>832</v>
      </c>
      <c r="E186" s="85" t="s">
        <v>312</v>
      </c>
    </row>
    <row r="187" spans="1:5" ht="12.75">
      <c r="A187" s="55">
        <f t="shared" si="3"/>
        <v>128</v>
      </c>
      <c r="B187" s="77" t="s">
        <v>164</v>
      </c>
      <c r="C187" s="114">
        <v>4972</v>
      </c>
      <c r="D187" s="115">
        <v>1091</v>
      </c>
      <c r="E187" s="85" t="s">
        <v>312</v>
      </c>
    </row>
    <row r="188" spans="1:5" ht="12.75">
      <c r="A188" s="55">
        <f aca="true" t="shared" si="4" ref="A188:A251">A187+1</f>
        <v>129</v>
      </c>
      <c r="B188" s="77" t="s">
        <v>165</v>
      </c>
      <c r="C188" s="114">
        <v>4414</v>
      </c>
      <c r="D188" s="115">
        <v>1254</v>
      </c>
      <c r="E188" s="85" t="s">
        <v>312</v>
      </c>
    </row>
    <row r="189" spans="1:5" ht="12.75">
      <c r="A189" s="55">
        <f t="shared" si="4"/>
        <v>130</v>
      </c>
      <c r="B189" s="77" t="s">
        <v>166</v>
      </c>
      <c r="C189" s="114">
        <v>3126</v>
      </c>
      <c r="D189" s="115">
        <v>1863</v>
      </c>
      <c r="E189" s="85" t="s">
        <v>312</v>
      </c>
    </row>
    <row r="190" spans="1:5" ht="12.75">
      <c r="A190" s="55">
        <f t="shared" si="4"/>
        <v>131</v>
      </c>
      <c r="B190" s="77" t="s">
        <v>167</v>
      </c>
      <c r="C190" s="114">
        <v>7248</v>
      </c>
      <c r="D190" s="115">
        <v>406</v>
      </c>
      <c r="E190" s="85" t="s">
        <v>312</v>
      </c>
    </row>
    <row r="191" spans="1:5" ht="12.75">
      <c r="A191" s="55">
        <f t="shared" si="4"/>
        <v>132</v>
      </c>
      <c r="B191" s="77" t="s">
        <v>168</v>
      </c>
      <c r="C191" s="114">
        <v>7700</v>
      </c>
      <c r="D191" s="115">
        <v>192</v>
      </c>
      <c r="E191" s="85" t="s">
        <v>312</v>
      </c>
    </row>
    <row r="192" spans="1:5" ht="12.75">
      <c r="A192" s="55">
        <f t="shared" si="4"/>
        <v>133</v>
      </c>
      <c r="B192" s="77" t="s">
        <v>169</v>
      </c>
      <c r="C192" s="114">
        <v>2532</v>
      </c>
      <c r="D192" s="115">
        <v>3029</v>
      </c>
      <c r="E192" s="85" t="s">
        <v>312</v>
      </c>
    </row>
    <row r="193" spans="1:5" ht="12.75">
      <c r="A193" s="55">
        <f t="shared" si="4"/>
        <v>134</v>
      </c>
      <c r="B193" s="77" t="s">
        <v>170</v>
      </c>
      <c r="C193" s="114">
        <v>6030</v>
      </c>
      <c r="D193" s="115">
        <v>357</v>
      </c>
      <c r="E193" s="85" t="s">
        <v>312</v>
      </c>
    </row>
    <row r="194" spans="1:5" ht="12.75">
      <c r="A194" s="55">
        <f t="shared" si="4"/>
        <v>135</v>
      </c>
      <c r="B194" s="77" t="s">
        <v>171</v>
      </c>
      <c r="C194" s="114">
        <v>6409</v>
      </c>
      <c r="D194" s="115">
        <v>505</v>
      </c>
      <c r="E194" s="85" t="s">
        <v>312</v>
      </c>
    </row>
    <row r="195" spans="1:5" ht="12.75">
      <c r="A195" s="55">
        <f t="shared" si="4"/>
        <v>136</v>
      </c>
      <c r="B195" s="77" t="s">
        <v>172</v>
      </c>
      <c r="C195" s="114">
        <v>6927</v>
      </c>
      <c r="D195" s="115">
        <v>494</v>
      </c>
      <c r="E195" s="85" t="s">
        <v>312</v>
      </c>
    </row>
    <row r="196" spans="1:5" ht="12.75">
      <c r="A196" s="55">
        <f t="shared" si="4"/>
        <v>137</v>
      </c>
      <c r="B196" s="77" t="s">
        <v>173</v>
      </c>
      <c r="C196" s="114">
        <v>7344</v>
      </c>
      <c r="D196" s="115">
        <v>330</v>
      </c>
      <c r="E196" s="85" t="s">
        <v>312</v>
      </c>
    </row>
    <row r="197" spans="1:5" ht="12.75">
      <c r="A197" s="55">
        <f t="shared" si="4"/>
        <v>138</v>
      </c>
      <c r="B197" s="77" t="s">
        <v>174</v>
      </c>
      <c r="C197" s="114">
        <v>6798</v>
      </c>
      <c r="D197" s="115">
        <v>476</v>
      </c>
      <c r="E197" s="85" t="s">
        <v>312</v>
      </c>
    </row>
    <row r="198" spans="1:5" ht="12.75">
      <c r="A198" s="55">
        <f t="shared" si="4"/>
        <v>139</v>
      </c>
      <c r="B198" s="77" t="s">
        <v>175</v>
      </c>
      <c r="C198" s="114">
        <v>4868</v>
      </c>
      <c r="D198" s="115">
        <v>1089</v>
      </c>
      <c r="E198" s="85" t="s">
        <v>312</v>
      </c>
    </row>
    <row r="199" spans="1:5" ht="12.75">
      <c r="A199" s="55">
        <f t="shared" si="4"/>
        <v>140</v>
      </c>
      <c r="B199" s="77" t="s">
        <v>176</v>
      </c>
      <c r="C199" s="114">
        <v>6713</v>
      </c>
      <c r="D199" s="115">
        <v>531</v>
      </c>
      <c r="E199" s="85" t="s">
        <v>312</v>
      </c>
    </row>
    <row r="200" spans="1:5" ht="12.75">
      <c r="A200" s="55">
        <f t="shared" si="4"/>
        <v>141</v>
      </c>
      <c r="B200" s="77" t="s">
        <v>177</v>
      </c>
      <c r="C200" s="114">
        <v>6787</v>
      </c>
      <c r="D200" s="115">
        <v>506</v>
      </c>
      <c r="E200" s="85" t="s">
        <v>312</v>
      </c>
    </row>
    <row r="201" spans="1:5" ht="12.75">
      <c r="A201" s="55">
        <f t="shared" si="4"/>
        <v>142</v>
      </c>
      <c r="B201" s="77" t="s">
        <v>178</v>
      </c>
      <c r="C201" s="114">
        <v>6241</v>
      </c>
      <c r="D201" s="115">
        <v>625</v>
      </c>
      <c r="E201" s="85" t="s">
        <v>312</v>
      </c>
    </row>
    <row r="202" spans="1:5" ht="12.75">
      <c r="A202" s="55">
        <f t="shared" si="4"/>
        <v>143</v>
      </c>
      <c r="B202" s="77" t="s">
        <v>179</v>
      </c>
      <c r="C202" s="114">
        <v>5247</v>
      </c>
      <c r="D202" s="115">
        <v>1037</v>
      </c>
      <c r="E202" s="85" t="s">
        <v>312</v>
      </c>
    </row>
    <row r="203" spans="1:5" ht="12.75">
      <c r="A203" s="55">
        <f t="shared" si="4"/>
        <v>144</v>
      </c>
      <c r="B203" s="77" t="s">
        <v>180</v>
      </c>
      <c r="C203" s="114">
        <v>6178</v>
      </c>
      <c r="D203" s="115">
        <v>612</v>
      </c>
      <c r="E203" s="85" t="s">
        <v>312</v>
      </c>
    </row>
    <row r="204" spans="1:5" ht="12.75">
      <c r="A204" s="55">
        <f t="shared" si="4"/>
        <v>145</v>
      </c>
      <c r="B204" s="77" t="s">
        <v>181</v>
      </c>
      <c r="C204" s="114">
        <v>5686</v>
      </c>
      <c r="D204" s="115">
        <v>862</v>
      </c>
      <c r="E204" s="85" t="s">
        <v>312</v>
      </c>
    </row>
    <row r="205" spans="1:5" ht="12.75">
      <c r="A205" s="55">
        <f t="shared" si="4"/>
        <v>146</v>
      </c>
      <c r="B205" s="77" t="s">
        <v>182</v>
      </c>
      <c r="C205" s="114">
        <v>5689</v>
      </c>
      <c r="D205" s="115">
        <v>947</v>
      </c>
      <c r="E205" s="85" t="s">
        <v>312</v>
      </c>
    </row>
    <row r="206" spans="1:5" ht="12.75">
      <c r="A206" s="55">
        <f t="shared" si="4"/>
        <v>147</v>
      </c>
      <c r="B206" s="77" t="s">
        <v>183</v>
      </c>
      <c r="C206" s="114">
        <v>6249</v>
      </c>
      <c r="D206" s="115">
        <v>652</v>
      </c>
      <c r="E206" s="85" t="s">
        <v>312</v>
      </c>
    </row>
    <row r="207" spans="1:5" ht="12.75">
      <c r="A207" s="55">
        <f t="shared" si="4"/>
        <v>148</v>
      </c>
      <c r="B207" s="77" t="s">
        <v>184</v>
      </c>
      <c r="C207" s="114">
        <v>6570</v>
      </c>
      <c r="D207" s="115">
        <v>622</v>
      </c>
      <c r="E207" s="85" t="s">
        <v>312</v>
      </c>
    </row>
    <row r="208" spans="1:5" ht="12.75">
      <c r="A208" s="55">
        <f t="shared" si="4"/>
        <v>149</v>
      </c>
      <c r="B208" s="77" t="s">
        <v>185</v>
      </c>
      <c r="C208" s="114">
        <v>6560</v>
      </c>
      <c r="D208" s="115">
        <v>485</v>
      </c>
      <c r="E208" s="85" t="s">
        <v>312</v>
      </c>
    </row>
    <row r="209" spans="1:5" ht="12.75">
      <c r="A209" s="55">
        <f t="shared" si="4"/>
        <v>150</v>
      </c>
      <c r="B209" s="77" t="s">
        <v>186</v>
      </c>
      <c r="C209" s="114">
        <v>3735</v>
      </c>
      <c r="D209" s="115">
        <v>1914</v>
      </c>
      <c r="E209" s="85" t="s">
        <v>312</v>
      </c>
    </row>
    <row r="210" spans="1:5" ht="12.75">
      <c r="A210" s="55">
        <f t="shared" si="4"/>
        <v>151</v>
      </c>
      <c r="B210" s="77" t="s">
        <v>187</v>
      </c>
      <c r="C210" s="114">
        <v>3731</v>
      </c>
      <c r="D210" s="115">
        <v>2043</v>
      </c>
      <c r="E210" s="85" t="s">
        <v>312</v>
      </c>
    </row>
    <row r="211" spans="1:5" ht="12.75">
      <c r="A211" s="55">
        <f t="shared" si="4"/>
        <v>152</v>
      </c>
      <c r="B211" s="77" t="s">
        <v>188</v>
      </c>
      <c r="C211" s="114">
        <v>5248</v>
      </c>
      <c r="D211" s="115">
        <v>14</v>
      </c>
      <c r="E211" s="85" t="s">
        <v>312</v>
      </c>
    </row>
    <row r="212" spans="1:5" ht="12.75">
      <c r="A212" s="55">
        <f t="shared" si="4"/>
        <v>153</v>
      </c>
      <c r="B212" s="77" t="s">
        <v>189</v>
      </c>
      <c r="C212" s="114">
        <v>4799</v>
      </c>
      <c r="D212" s="115">
        <v>261</v>
      </c>
      <c r="E212" s="85" t="s">
        <v>312</v>
      </c>
    </row>
    <row r="213" spans="1:5" ht="12.75">
      <c r="A213" s="55">
        <f t="shared" si="4"/>
        <v>154</v>
      </c>
      <c r="B213" s="77" t="s">
        <v>190</v>
      </c>
      <c r="C213" s="114">
        <v>4798</v>
      </c>
      <c r="D213" s="115">
        <v>645</v>
      </c>
      <c r="E213" s="85" t="s">
        <v>312</v>
      </c>
    </row>
    <row r="214" spans="1:5" ht="12.75">
      <c r="A214" s="55">
        <f t="shared" si="4"/>
        <v>155</v>
      </c>
      <c r="B214" s="77" t="s">
        <v>191</v>
      </c>
      <c r="C214" s="114">
        <v>5263</v>
      </c>
      <c r="D214" s="115">
        <v>726</v>
      </c>
      <c r="E214" s="85" t="s">
        <v>312</v>
      </c>
    </row>
    <row r="215" spans="1:5" ht="12.75">
      <c r="A215" s="55">
        <f t="shared" si="4"/>
        <v>156</v>
      </c>
      <c r="B215" s="77" t="s">
        <v>192</v>
      </c>
      <c r="C215" s="114">
        <v>4691</v>
      </c>
      <c r="D215" s="115">
        <v>332</v>
      </c>
      <c r="E215" s="85" t="s">
        <v>312</v>
      </c>
    </row>
    <row r="216" spans="1:5" ht="12.75">
      <c r="A216" s="55">
        <f t="shared" si="4"/>
        <v>157</v>
      </c>
      <c r="B216" s="77" t="s">
        <v>193</v>
      </c>
      <c r="C216" s="114">
        <v>4974</v>
      </c>
      <c r="D216" s="115">
        <v>238</v>
      </c>
      <c r="E216" s="85" t="s">
        <v>312</v>
      </c>
    </row>
    <row r="217" spans="1:5" ht="12.75">
      <c r="A217" s="55">
        <f t="shared" si="4"/>
        <v>158</v>
      </c>
      <c r="B217" s="77" t="s">
        <v>194</v>
      </c>
      <c r="C217" s="114">
        <v>5815</v>
      </c>
      <c r="D217" s="115">
        <v>751</v>
      </c>
      <c r="E217" s="85" t="s">
        <v>312</v>
      </c>
    </row>
    <row r="218" spans="1:5" ht="12.75">
      <c r="A218" s="55">
        <f t="shared" si="4"/>
        <v>159</v>
      </c>
      <c r="B218" s="77" t="s">
        <v>195</v>
      </c>
      <c r="C218" s="114">
        <v>6768</v>
      </c>
      <c r="D218" s="115">
        <v>402</v>
      </c>
      <c r="E218" s="85" t="s">
        <v>312</v>
      </c>
    </row>
    <row r="219" spans="1:5" ht="12.75">
      <c r="A219" s="55">
        <f t="shared" si="4"/>
        <v>160</v>
      </c>
      <c r="B219" s="77" t="s">
        <v>196</v>
      </c>
      <c r="C219" s="114">
        <v>5335</v>
      </c>
      <c r="D219" s="115">
        <v>1006</v>
      </c>
      <c r="E219" s="85" t="s">
        <v>312</v>
      </c>
    </row>
    <row r="220" spans="1:5" ht="12.75">
      <c r="A220" s="55">
        <f t="shared" si="4"/>
        <v>161</v>
      </c>
      <c r="B220" s="77" t="s">
        <v>197</v>
      </c>
      <c r="C220" s="114">
        <v>4947</v>
      </c>
      <c r="D220" s="115">
        <v>1075</v>
      </c>
      <c r="E220" s="85" t="s">
        <v>312</v>
      </c>
    </row>
    <row r="221" spans="1:5" ht="12.75">
      <c r="A221" s="55">
        <f t="shared" si="4"/>
        <v>162</v>
      </c>
      <c r="B221" s="77" t="s">
        <v>198</v>
      </c>
      <c r="C221" s="114">
        <v>5950</v>
      </c>
      <c r="D221" s="115">
        <v>645</v>
      </c>
      <c r="E221" s="85" t="s">
        <v>312</v>
      </c>
    </row>
    <row r="222" spans="1:5" ht="12.75">
      <c r="A222" s="55">
        <f t="shared" si="4"/>
        <v>163</v>
      </c>
      <c r="B222" s="77" t="s">
        <v>199</v>
      </c>
      <c r="C222" s="114">
        <v>6330</v>
      </c>
      <c r="D222" s="115">
        <v>569</v>
      </c>
      <c r="E222" s="85" t="s">
        <v>312</v>
      </c>
    </row>
    <row r="223" spans="1:5" ht="12.75">
      <c r="A223" s="55">
        <f t="shared" si="4"/>
        <v>164</v>
      </c>
      <c r="B223" s="77" t="s">
        <v>200</v>
      </c>
      <c r="C223" s="114">
        <v>6047</v>
      </c>
      <c r="D223" s="115">
        <v>659</v>
      </c>
      <c r="E223" s="85" t="s">
        <v>312</v>
      </c>
    </row>
    <row r="224" spans="1:5" ht="12.75">
      <c r="A224" s="55">
        <f t="shared" si="4"/>
        <v>165</v>
      </c>
      <c r="B224" s="77" t="s">
        <v>201</v>
      </c>
      <c r="C224" s="114">
        <v>5908</v>
      </c>
      <c r="D224" s="115">
        <v>574</v>
      </c>
      <c r="E224" s="85" t="s">
        <v>312</v>
      </c>
    </row>
    <row r="225" spans="1:5" ht="12.75">
      <c r="A225" s="55">
        <f t="shared" si="4"/>
        <v>166</v>
      </c>
      <c r="B225" s="77" t="s">
        <v>202</v>
      </c>
      <c r="C225" s="114">
        <v>1868</v>
      </c>
      <c r="D225" s="115">
        <v>2304</v>
      </c>
      <c r="E225" s="85" t="s">
        <v>312</v>
      </c>
    </row>
    <row r="226" spans="1:5" ht="12.75">
      <c r="A226" s="55">
        <f t="shared" si="4"/>
        <v>167</v>
      </c>
      <c r="B226" s="77" t="s">
        <v>203</v>
      </c>
      <c r="C226" s="114">
        <v>2629</v>
      </c>
      <c r="D226" s="115">
        <v>2033</v>
      </c>
      <c r="E226" s="85" t="s">
        <v>312</v>
      </c>
    </row>
    <row r="227" spans="1:5" ht="12.75">
      <c r="A227" s="55">
        <f t="shared" si="4"/>
        <v>168</v>
      </c>
      <c r="B227" s="77" t="s">
        <v>204</v>
      </c>
      <c r="C227" s="114">
        <v>3239</v>
      </c>
      <c r="D227" s="115">
        <v>1501</v>
      </c>
      <c r="E227" s="85" t="s">
        <v>312</v>
      </c>
    </row>
    <row r="228" spans="1:5" ht="12.75">
      <c r="A228" s="55">
        <f t="shared" si="4"/>
        <v>169</v>
      </c>
      <c r="B228" s="77" t="s">
        <v>205</v>
      </c>
      <c r="C228" s="114">
        <v>8570</v>
      </c>
      <c r="D228" s="115">
        <v>589</v>
      </c>
      <c r="E228" s="85" t="s">
        <v>312</v>
      </c>
    </row>
    <row r="229" spans="1:5" ht="12.75">
      <c r="A229" s="55">
        <f t="shared" si="4"/>
        <v>170</v>
      </c>
      <c r="B229" s="77" t="s">
        <v>206</v>
      </c>
      <c r="C229" s="114">
        <v>8103</v>
      </c>
      <c r="D229" s="115">
        <v>738</v>
      </c>
      <c r="E229" s="85" t="s">
        <v>312</v>
      </c>
    </row>
    <row r="230" spans="1:5" ht="12.75">
      <c r="A230" s="55">
        <f t="shared" si="4"/>
        <v>171</v>
      </c>
      <c r="B230" s="77" t="s">
        <v>207</v>
      </c>
      <c r="C230" s="114">
        <v>7301</v>
      </c>
      <c r="D230" s="115">
        <v>667</v>
      </c>
      <c r="E230" s="85" t="s">
        <v>312</v>
      </c>
    </row>
    <row r="231" spans="1:5" ht="12.75">
      <c r="A231" s="55">
        <f t="shared" si="4"/>
        <v>172</v>
      </c>
      <c r="B231" s="77" t="s">
        <v>208</v>
      </c>
      <c r="C231" s="114">
        <v>7885</v>
      </c>
      <c r="D231" s="115">
        <v>749</v>
      </c>
      <c r="E231" s="85" t="s">
        <v>312</v>
      </c>
    </row>
    <row r="232" spans="1:5" ht="12.75">
      <c r="A232" s="55">
        <f t="shared" si="4"/>
        <v>173</v>
      </c>
      <c r="B232" s="77" t="s">
        <v>209</v>
      </c>
      <c r="C232" s="114">
        <v>4356</v>
      </c>
      <c r="D232" s="115">
        <v>1066</v>
      </c>
      <c r="E232" s="85" t="s">
        <v>312</v>
      </c>
    </row>
    <row r="233" spans="1:5" ht="12.75">
      <c r="A233" s="55">
        <f t="shared" si="4"/>
        <v>174</v>
      </c>
      <c r="B233" s="77" t="s">
        <v>210</v>
      </c>
      <c r="C233" s="114">
        <v>3583</v>
      </c>
      <c r="D233" s="115">
        <v>1578</v>
      </c>
      <c r="E233" s="85" t="s">
        <v>312</v>
      </c>
    </row>
    <row r="234" spans="1:5" ht="12.75">
      <c r="A234" s="55">
        <f t="shared" si="4"/>
        <v>175</v>
      </c>
      <c r="B234" s="77" t="s">
        <v>211</v>
      </c>
      <c r="C234" s="114">
        <v>3658</v>
      </c>
      <c r="D234" s="115">
        <v>1449</v>
      </c>
      <c r="E234" s="85" t="s">
        <v>312</v>
      </c>
    </row>
    <row r="235" spans="1:5" ht="12.75">
      <c r="A235" s="55">
        <f t="shared" si="4"/>
        <v>176</v>
      </c>
      <c r="B235" s="77" t="s">
        <v>212</v>
      </c>
      <c r="C235" s="114">
        <v>3207</v>
      </c>
      <c r="D235" s="115">
        <v>2067</v>
      </c>
      <c r="E235" s="85" t="s">
        <v>312</v>
      </c>
    </row>
    <row r="236" spans="1:5" ht="12.75">
      <c r="A236" s="55">
        <f t="shared" si="4"/>
        <v>177</v>
      </c>
      <c r="B236" s="77" t="s">
        <v>213</v>
      </c>
      <c r="C236" s="114">
        <v>3756</v>
      </c>
      <c r="D236" s="115">
        <v>1661</v>
      </c>
      <c r="E236" s="85" t="s">
        <v>312</v>
      </c>
    </row>
    <row r="237" spans="1:5" ht="12.75">
      <c r="A237" s="55">
        <f t="shared" si="4"/>
        <v>178</v>
      </c>
      <c r="B237" s="77" t="s">
        <v>214</v>
      </c>
      <c r="C237" s="114">
        <v>2621</v>
      </c>
      <c r="D237" s="115">
        <v>2467</v>
      </c>
      <c r="E237" s="85" t="s">
        <v>312</v>
      </c>
    </row>
    <row r="238" spans="1:5" ht="12.75">
      <c r="A238" s="55">
        <f t="shared" si="4"/>
        <v>179</v>
      </c>
      <c r="B238" s="77" t="s">
        <v>215</v>
      </c>
      <c r="C238" s="114">
        <v>4231</v>
      </c>
      <c r="D238" s="115">
        <v>1428</v>
      </c>
      <c r="E238" s="85" t="s">
        <v>312</v>
      </c>
    </row>
    <row r="239" spans="1:5" ht="12.75">
      <c r="A239" s="55">
        <f t="shared" si="4"/>
        <v>180</v>
      </c>
      <c r="B239" s="77" t="s">
        <v>216</v>
      </c>
      <c r="C239" s="114">
        <v>1760</v>
      </c>
      <c r="D239" s="115">
        <v>2914</v>
      </c>
      <c r="E239" s="85" t="s">
        <v>312</v>
      </c>
    </row>
    <row r="240" spans="1:5" ht="12.75">
      <c r="A240" s="55">
        <f t="shared" si="4"/>
        <v>181</v>
      </c>
      <c r="B240" s="77" t="s">
        <v>217</v>
      </c>
      <c r="C240" s="114">
        <v>609</v>
      </c>
      <c r="D240" s="115">
        <v>3772</v>
      </c>
      <c r="E240" s="85" t="s">
        <v>312</v>
      </c>
    </row>
    <row r="241" spans="1:5" ht="12.75">
      <c r="A241" s="55">
        <f t="shared" si="4"/>
        <v>182</v>
      </c>
      <c r="B241" s="77" t="s">
        <v>218</v>
      </c>
      <c r="C241" s="114">
        <v>970</v>
      </c>
      <c r="D241" s="115">
        <v>3574</v>
      </c>
      <c r="E241" s="85" t="s">
        <v>312</v>
      </c>
    </row>
    <row r="242" spans="1:5" ht="12.75">
      <c r="A242" s="55">
        <f t="shared" si="4"/>
        <v>183</v>
      </c>
      <c r="B242" s="77" t="s">
        <v>219</v>
      </c>
      <c r="C242" s="114">
        <v>2407</v>
      </c>
      <c r="D242" s="115">
        <v>2809</v>
      </c>
      <c r="E242" s="85" t="s">
        <v>312</v>
      </c>
    </row>
    <row r="243" spans="1:5" ht="12.75">
      <c r="A243" s="55">
        <f t="shared" si="4"/>
        <v>184</v>
      </c>
      <c r="B243" s="77" t="s">
        <v>220</v>
      </c>
      <c r="C243" s="114">
        <v>1510</v>
      </c>
      <c r="D243" s="115">
        <v>3272</v>
      </c>
      <c r="E243" s="85" t="s">
        <v>312</v>
      </c>
    </row>
    <row r="244" spans="1:5" ht="12.75">
      <c r="A244" s="55">
        <f t="shared" si="4"/>
        <v>185</v>
      </c>
      <c r="B244" s="77" t="s">
        <v>221</v>
      </c>
      <c r="C244" s="114">
        <v>2664</v>
      </c>
      <c r="D244" s="115">
        <v>2096</v>
      </c>
      <c r="E244" s="85" t="s">
        <v>312</v>
      </c>
    </row>
    <row r="245" spans="1:5" ht="12.75">
      <c r="A245" s="55">
        <f t="shared" si="4"/>
        <v>186</v>
      </c>
      <c r="B245" s="77" t="s">
        <v>222</v>
      </c>
      <c r="C245" s="114">
        <v>1253</v>
      </c>
      <c r="D245" s="115">
        <v>2967</v>
      </c>
      <c r="E245" s="85" t="s">
        <v>312</v>
      </c>
    </row>
    <row r="246" spans="1:5" ht="12.75">
      <c r="A246" s="55">
        <f t="shared" si="4"/>
        <v>187</v>
      </c>
      <c r="B246" s="77" t="s">
        <v>223</v>
      </c>
      <c r="C246" s="114">
        <v>1549</v>
      </c>
      <c r="D246" s="115">
        <v>2761</v>
      </c>
      <c r="E246" s="85" t="s">
        <v>312</v>
      </c>
    </row>
    <row r="247" spans="1:5" ht="12.75">
      <c r="A247" s="55">
        <f t="shared" si="4"/>
        <v>188</v>
      </c>
      <c r="B247" s="77" t="s">
        <v>224</v>
      </c>
      <c r="C247" s="114">
        <v>3516</v>
      </c>
      <c r="D247" s="115">
        <v>1676</v>
      </c>
      <c r="E247" s="85" t="s">
        <v>312</v>
      </c>
    </row>
    <row r="248" spans="1:5" ht="12.75">
      <c r="A248" s="55">
        <f t="shared" si="4"/>
        <v>189</v>
      </c>
      <c r="B248" s="77" t="s">
        <v>225</v>
      </c>
      <c r="C248" s="114">
        <v>2658</v>
      </c>
      <c r="D248" s="115">
        <v>2126</v>
      </c>
      <c r="E248" s="85" t="s">
        <v>312</v>
      </c>
    </row>
    <row r="249" spans="1:5" ht="12.75">
      <c r="A249" s="55">
        <f t="shared" si="4"/>
        <v>190</v>
      </c>
      <c r="B249" s="77" t="s">
        <v>226</v>
      </c>
      <c r="C249" s="114">
        <v>1477</v>
      </c>
      <c r="D249" s="115">
        <v>2861</v>
      </c>
      <c r="E249" s="85" t="s">
        <v>312</v>
      </c>
    </row>
    <row r="250" spans="1:5" ht="12.75">
      <c r="A250" s="55">
        <f t="shared" si="4"/>
        <v>191</v>
      </c>
      <c r="B250" s="77" t="s">
        <v>227</v>
      </c>
      <c r="C250" s="114">
        <v>2313</v>
      </c>
      <c r="D250" s="115">
        <v>2596</v>
      </c>
      <c r="E250" s="85" t="s">
        <v>312</v>
      </c>
    </row>
    <row r="251" spans="1:5" ht="12.75">
      <c r="A251" s="55">
        <f t="shared" si="4"/>
        <v>192</v>
      </c>
      <c r="B251" s="77" t="s">
        <v>228</v>
      </c>
      <c r="C251" s="114">
        <v>1606</v>
      </c>
      <c r="D251" s="115">
        <v>2983</v>
      </c>
      <c r="E251" s="85" t="s">
        <v>312</v>
      </c>
    </row>
    <row r="252" spans="1:5" ht="12.75">
      <c r="A252" s="55">
        <f aca="true" t="shared" si="5" ref="A252:A277">A251+1</f>
        <v>193</v>
      </c>
      <c r="B252" s="77" t="s">
        <v>229</v>
      </c>
      <c r="C252" s="114">
        <v>1273</v>
      </c>
      <c r="D252" s="115">
        <v>3184</v>
      </c>
      <c r="E252" s="85" t="s">
        <v>312</v>
      </c>
    </row>
    <row r="253" spans="1:5" ht="12.75">
      <c r="A253" s="55">
        <f t="shared" si="5"/>
        <v>194</v>
      </c>
      <c r="B253" s="77" t="s">
        <v>230</v>
      </c>
      <c r="C253" s="114">
        <v>2126</v>
      </c>
      <c r="D253" s="115">
        <v>2891</v>
      </c>
      <c r="E253" s="85" t="s">
        <v>312</v>
      </c>
    </row>
    <row r="254" spans="1:5" ht="12.75">
      <c r="A254" s="55">
        <f t="shared" si="5"/>
        <v>195</v>
      </c>
      <c r="B254" s="77" t="s">
        <v>231</v>
      </c>
      <c r="C254" s="114">
        <v>3011</v>
      </c>
      <c r="D254" s="115">
        <v>2506</v>
      </c>
      <c r="E254" s="85" t="s">
        <v>312</v>
      </c>
    </row>
    <row r="255" spans="1:5" ht="12.75">
      <c r="A255" s="55">
        <f t="shared" si="5"/>
        <v>196</v>
      </c>
      <c r="B255" s="77" t="s">
        <v>232</v>
      </c>
      <c r="C255" s="114">
        <v>5802</v>
      </c>
      <c r="D255" s="115">
        <v>981</v>
      </c>
      <c r="E255" s="85" t="s">
        <v>312</v>
      </c>
    </row>
    <row r="256" spans="1:5" ht="12.75">
      <c r="A256" s="55">
        <f t="shared" si="5"/>
        <v>197</v>
      </c>
      <c r="B256" s="77" t="s">
        <v>233</v>
      </c>
      <c r="C256" s="114">
        <v>4323</v>
      </c>
      <c r="D256" s="115">
        <v>1074</v>
      </c>
      <c r="E256" s="85" t="s">
        <v>312</v>
      </c>
    </row>
    <row r="257" spans="1:5" ht="12.75">
      <c r="A257" s="55">
        <f t="shared" si="5"/>
        <v>198</v>
      </c>
      <c r="B257" s="77" t="s">
        <v>234</v>
      </c>
      <c r="C257" s="114">
        <v>3446</v>
      </c>
      <c r="D257" s="115">
        <v>1458</v>
      </c>
      <c r="E257" s="85" t="s">
        <v>312</v>
      </c>
    </row>
    <row r="258" spans="1:5" ht="12.75">
      <c r="A258" s="55">
        <f t="shared" si="5"/>
        <v>199</v>
      </c>
      <c r="B258" s="77" t="s">
        <v>235</v>
      </c>
      <c r="C258" s="114">
        <v>3960</v>
      </c>
      <c r="D258" s="115">
        <v>1336</v>
      </c>
      <c r="E258" s="85" t="s">
        <v>312</v>
      </c>
    </row>
    <row r="259" spans="1:5" ht="12.75">
      <c r="A259" s="55">
        <f t="shared" si="5"/>
        <v>200</v>
      </c>
      <c r="B259" s="77" t="s">
        <v>236</v>
      </c>
      <c r="C259" s="114">
        <v>4315</v>
      </c>
      <c r="D259" s="115">
        <v>1085</v>
      </c>
      <c r="E259" s="85" t="s">
        <v>312</v>
      </c>
    </row>
    <row r="260" spans="1:5" ht="12.75">
      <c r="A260" s="55">
        <f t="shared" si="5"/>
        <v>201</v>
      </c>
      <c r="B260" s="77" t="s">
        <v>237</v>
      </c>
      <c r="C260" s="114">
        <v>7953</v>
      </c>
      <c r="D260" s="115">
        <v>379</v>
      </c>
      <c r="E260" s="85" t="s">
        <v>312</v>
      </c>
    </row>
    <row r="261" spans="1:5" ht="12.75">
      <c r="A261" s="55">
        <f t="shared" si="5"/>
        <v>202</v>
      </c>
      <c r="B261" s="77" t="s">
        <v>238</v>
      </c>
      <c r="C261" s="114">
        <v>5709</v>
      </c>
      <c r="D261" s="115">
        <v>94</v>
      </c>
      <c r="E261" s="85" t="s">
        <v>312</v>
      </c>
    </row>
    <row r="262" spans="1:5" ht="12.75">
      <c r="A262" s="55">
        <f t="shared" si="5"/>
        <v>203</v>
      </c>
      <c r="B262" s="77" t="s">
        <v>239</v>
      </c>
      <c r="C262" s="114">
        <v>4681</v>
      </c>
      <c r="D262" s="115">
        <v>200</v>
      </c>
      <c r="E262" s="85" t="s">
        <v>312</v>
      </c>
    </row>
    <row r="263" spans="1:5" ht="12.75">
      <c r="A263" s="55">
        <f t="shared" si="5"/>
        <v>204</v>
      </c>
      <c r="B263" s="77" t="s">
        <v>240</v>
      </c>
      <c r="C263" s="114">
        <v>6882</v>
      </c>
      <c r="D263" s="115">
        <v>411</v>
      </c>
      <c r="E263" s="85" t="s">
        <v>312</v>
      </c>
    </row>
    <row r="264" spans="1:5" ht="12.75">
      <c r="A264" s="55">
        <f t="shared" si="5"/>
        <v>205</v>
      </c>
      <c r="B264" s="77" t="s">
        <v>241</v>
      </c>
      <c r="C264" s="114">
        <v>4807</v>
      </c>
      <c r="D264" s="115">
        <v>863</v>
      </c>
      <c r="E264" s="85" t="s">
        <v>312</v>
      </c>
    </row>
    <row r="265" spans="1:5" ht="12.75">
      <c r="A265" s="55">
        <f t="shared" si="5"/>
        <v>206</v>
      </c>
      <c r="B265" s="77" t="s">
        <v>242</v>
      </c>
      <c r="C265" s="114">
        <v>6031</v>
      </c>
      <c r="D265" s="115">
        <v>484</v>
      </c>
      <c r="E265" s="85" t="s">
        <v>312</v>
      </c>
    </row>
    <row r="266" spans="1:5" ht="12.75">
      <c r="A266" s="55">
        <f t="shared" si="5"/>
        <v>207</v>
      </c>
      <c r="B266" s="77" t="s">
        <v>243</v>
      </c>
      <c r="C266" s="114">
        <v>8143</v>
      </c>
      <c r="D266" s="115">
        <v>381</v>
      </c>
      <c r="E266" s="85" t="s">
        <v>312</v>
      </c>
    </row>
    <row r="267" spans="1:5" ht="12.75">
      <c r="A267" s="55">
        <f t="shared" si="5"/>
        <v>208</v>
      </c>
      <c r="B267" s="77" t="s">
        <v>244</v>
      </c>
      <c r="C267" s="114">
        <v>7540</v>
      </c>
      <c r="D267" s="115">
        <v>683</v>
      </c>
      <c r="E267" s="85" t="s">
        <v>312</v>
      </c>
    </row>
    <row r="268" spans="1:5" ht="12.75">
      <c r="A268" s="55">
        <f t="shared" si="5"/>
        <v>209</v>
      </c>
      <c r="B268" s="77" t="s">
        <v>245</v>
      </c>
      <c r="C268" s="114">
        <v>7642</v>
      </c>
      <c r="D268" s="115">
        <v>467</v>
      </c>
      <c r="E268" s="85" t="s">
        <v>312</v>
      </c>
    </row>
    <row r="269" spans="1:5" ht="12.75">
      <c r="A269" s="55">
        <f t="shared" si="5"/>
        <v>210</v>
      </c>
      <c r="B269" s="77" t="s">
        <v>246</v>
      </c>
      <c r="C269" s="114">
        <v>7326</v>
      </c>
      <c r="D269" s="115">
        <v>470</v>
      </c>
      <c r="E269" s="85" t="s">
        <v>312</v>
      </c>
    </row>
    <row r="270" spans="1:5" ht="12.75">
      <c r="A270" s="55">
        <f t="shared" si="5"/>
        <v>211</v>
      </c>
      <c r="B270" s="77" t="s">
        <v>247</v>
      </c>
      <c r="C270" s="114">
        <v>5577</v>
      </c>
      <c r="D270" s="115">
        <v>466</v>
      </c>
      <c r="E270" s="85" t="s">
        <v>312</v>
      </c>
    </row>
    <row r="271" spans="1:5" ht="12.75">
      <c r="A271" s="55">
        <f t="shared" si="5"/>
        <v>212</v>
      </c>
      <c r="B271" s="77" t="s">
        <v>248</v>
      </c>
      <c r="C271" s="114">
        <v>4697</v>
      </c>
      <c r="D271" s="115">
        <v>1007</v>
      </c>
      <c r="E271" s="85" t="s">
        <v>312</v>
      </c>
    </row>
    <row r="272" spans="1:5" ht="12.75">
      <c r="A272" s="55">
        <f t="shared" si="5"/>
        <v>213</v>
      </c>
      <c r="B272" s="77" t="s">
        <v>249</v>
      </c>
      <c r="C272" s="114">
        <v>6045</v>
      </c>
      <c r="D272" s="115">
        <v>378</v>
      </c>
      <c r="E272" s="85" t="s">
        <v>312</v>
      </c>
    </row>
    <row r="273" spans="1:5" ht="12.75">
      <c r="A273" s="55">
        <f t="shared" si="5"/>
        <v>214</v>
      </c>
      <c r="B273" s="77" t="s">
        <v>250</v>
      </c>
      <c r="C273" s="114">
        <v>4676</v>
      </c>
      <c r="D273" s="115">
        <v>1121</v>
      </c>
      <c r="E273" s="85" t="s">
        <v>312</v>
      </c>
    </row>
    <row r="274" spans="1:5" ht="12.75">
      <c r="A274" s="55">
        <f t="shared" si="5"/>
        <v>215</v>
      </c>
      <c r="B274" s="77" t="s">
        <v>251</v>
      </c>
      <c r="C274" s="114">
        <v>7642</v>
      </c>
      <c r="D274" s="115">
        <v>457</v>
      </c>
      <c r="E274" s="85" t="s">
        <v>312</v>
      </c>
    </row>
    <row r="275" spans="1:5" ht="12.75">
      <c r="A275" s="55">
        <f t="shared" si="5"/>
        <v>216</v>
      </c>
      <c r="B275" s="77" t="s">
        <v>252</v>
      </c>
      <c r="C275" s="114">
        <v>7310</v>
      </c>
      <c r="D275" s="115">
        <v>309</v>
      </c>
      <c r="E275" s="85" t="s">
        <v>312</v>
      </c>
    </row>
    <row r="276" spans="1:5" ht="12.75">
      <c r="A276" s="55">
        <f t="shared" si="5"/>
        <v>217</v>
      </c>
      <c r="B276" s="77" t="s">
        <v>253</v>
      </c>
      <c r="C276" s="114">
        <v>7905</v>
      </c>
      <c r="D276" s="115">
        <v>436</v>
      </c>
      <c r="E276" s="85" t="s">
        <v>312</v>
      </c>
    </row>
    <row r="277" spans="1:5" ht="12.75">
      <c r="A277" s="55">
        <f t="shared" si="5"/>
        <v>218</v>
      </c>
      <c r="B277" s="116" t="s">
        <v>254</v>
      </c>
      <c r="C277" s="117">
        <v>7841</v>
      </c>
      <c r="D277" s="118">
        <v>419</v>
      </c>
      <c r="E277" s="151" t="s">
        <v>312</v>
      </c>
    </row>
    <row r="280" spans="2:3" ht="12.75">
      <c r="B280" s="160" t="s">
        <v>347</v>
      </c>
      <c r="C280" s="161" t="s">
        <v>348</v>
      </c>
    </row>
    <row r="281" ht="12.75">
      <c r="B281" s="205" t="s">
        <v>357</v>
      </c>
    </row>
  </sheetData>
  <sheetProtection/>
  <mergeCells count="3">
    <mergeCell ref="B1:E1"/>
    <mergeCell ref="C3:D3"/>
    <mergeCell ref="Q66:V66"/>
  </mergeCells>
  <hyperlinks>
    <hyperlink ref="C280" r:id="rId1" display="mailto:Escalcs@cadmusgroup.com"/>
  </hyperlinks>
  <printOptions horizontalCentered="1"/>
  <pageMargins left="0.5" right="0.5" top="0.5" bottom="0.5" header="0" footer="0"/>
  <pageSetup fitToHeight="4" fitToWidth="1" horizontalDpi="600" verticalDpi="600" orientation="portrait"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Caroline Edwards</cp:lastModifiedBy>
  <cp:lastPrinted>2005-02-19T21:38:30Z</cp:lastPrinted>
  <dcterms:created xsi:type="dcterms:W3CDTF">2004-07-12T13:20:55Z</dcterms:created>
  <dcterms:modified xsi:type="dcterms:W3CDTF">2008-10-24T13:03:49Z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