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2120" windowHeight="88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'Sheet1'!$A$1:$I$58</definedName>
  </definedNames>
  <calcPr fullCalcOnLoad="1"/>
</workbook>
</file>

<file path=xl/sharedStrings.xml><?xml version="1.0" encoding="utf-8"?>
<sst xmlns="http://schemas.openxmlformats.org/spreadsheetml/2006/main" count="169" uniqueCount="88">
  <si>
    <t>FMI-1 us steel</t>
  </si>
  <si>
    <t>FMI-1 ds steel</t>
  </si>
  <si>
    <t>FMI-2 us steel</t>
  </si>
  <si>
    <t>FMI-2 ds steel</t>
  </si>
  <si>
    <t>FMI-3 us steel</t>
  </si>
  <si>
    <t>FMI-3 ds steel</t>
  </si>
  <si>
    <t>FMI-4 us steel</t>
  </si>
  <si>
    <t>FMI-4 ds steel</t>
  </si>
  <si>
    <t>FMI-1 us stand</t>
  </si>
  <si>
    <t>FMI-1 ds stand</t>
  </si>
  <si>
    <t>FMI-2 us stand</t>
  </si>
  <si>
    <t>FMI-2 ds stand</t>
  </si>
  <si>
    <t>FMI-3 us stand</t>
  </si>
  <si>
    <t>FMI-3 ds stand</t>
  </si>
  <si>
    <t>FMI-4 us stand</t>
  </si>
  <si>
    <t>FMI-4 ds stand</t>
  </si>
  <si>
    <t>phg</t>
  </si>
  <si>
    <t>positions checked 29nov02</t>
  </si>
  <si>
    <t>x (inches)</t>
  </si>
  <si>
    <t>z (inches)</t>
  </si>
  <si>
    <t>origin:  TEVC0 (symmetry point of quadrupoles) projected to Murphy line</t>
  </si>
  <si>
    <t>z = distance from origin along Murphy line (negative is toward B49)</t>
  </si>
  <si>
    <t>x = transverse distance from Murphy line, positive is OUTWARD</t>
  </si>
  <si>
    <t>position of end, center of laminations</t>
  </si>
  <si>
    <t xml:space="preserve">  position of alignment points for Leibfritz stand template</t>
  </si>
  <si>
    <t>http://home.fnal.gov/~peterg/c0_lambertson_replacement/alignment/coordinates.xls</t>
  </si>
  <si>
    <t>(normal straight would be x = 26.525 inches)</t>
  </si>
  <si>
    <t>Assuming the alignment data is correct for plugs B48.5O and C11.5 and TEV C0</t>
  </si>
  <si>
    <t>we get the coordinates relative to TEVC0, in the Murphy line system</t>
  </si>
  <si>
    <t>plug B48.5O</t>
  </si>
  <si>
    <t>TEV C0</t>
  </si>
  <si>
    <t>plug C11.5</t>
  </si>
  <si>
    <t>wrt TEV C0 || Murphy (inches)</t>
  </si>
  <si>
    <t>Step 1:  translate along Murphy line to B48.5O coordinates</t>
  </si>
  <si>
    <t>z:  subtract</t>
  </si>
  <si>
    <t>from each value, z: remains the same</t>
  </si>
  <si>
    <t>wrt B45.5O</t>
  </si>
  <si>
    <t>parallel to Murphy</t>
  </si>
  <si>
    <t xml:space="preserve">     from "Virgil Bocean's coordinates from tunnel Control ADJ 12-OCT-98 (10/16/98 3:11 PM)</t>
  </si>
  <si>
    <t>in Virgil's coordinates</t>
  </si>
  <si>
    <t>z (feet)</t>
  </si>
  <si>
    <t>x (feet)</t>
  </si>
  <si>
    <t>dy/dx =</t>
  </si>
  <si>
    <t>tan(theta) =</t>
  </si>
  <si>
    <t>theta =</t>
  </si>
  <si>
    <t>radians</t>
  </si>
  <si>
    <t>deg</t>
  </si>
  <si>
    <t>sin(theta) =</t>
  </si>
  <si>
    <t>cos(theta) =</t>
  </si>
  <si>
    <t>cos y + sin x + y0</t>
  </si>
  <si>
    <t>cos x - sin y + x0</t>
  </si>
  <si>
    <t>note VB</t>
  </si>
  <si>
    <t>rotation about this point (no change), then simple translation</t>
  </si>
  <si>
    <t>exactly correct, benchmarks!</t>
  </si>
  <si>
    <t>Step 3:  gotta rotate into x,y and translate about B48.5O for FSCS</t>
  </si>
  <si>
    <t>remember to add 100,000 feet</t>
  </si>
  <si>
    <t>note:  100,000 feet removed</t>
  </si>
  <si>
    <t>at end</t>
  </si>
  <si>
    <t>X(feet)</t>
  </si>
  <si>
    <t>Y(feet)</t>
  </si>
  <si>
    <t>Positions in Virgi's FSCS Coordinates:</t>
  </si>
  <si>
    <t xml:space="preserve">     remember to add 100,000 feet</t>
  </si>
  <si>
    <t>Step 2:  change to feet, divide z and x by 12</t>
  </si>
  <si>
    <t>using plugs B48.5O and C11.5 to define rotation angle</t>
  </si>
  <si>
    <t>Final result in Virgil's FSCS coordinates</t>
  </si>
  <si>
    <t>in coordinate system:   along and transverse to Murphy line</t>
  </si>
  <si>
    <t>properly benchmarks!  compare to inputs</t>
  </si>
  <si>
    <t>wrt Virgil FSCS (feet) = inputs</t>
  </si>
  <si>
    <t>see next page in this file for transformation procedure from Murphy line coords =&gt; FSCS coords.</t>
  </si>
  <si>
    <t>CALCULATIONS</t>
  </si>
  <si>
    <t>project from steel</t>
  </si>
  <si>
    <t>x</t>
  </si>
  <si>
    <t>z-avg</t>
  </si>
  <si>
    <t xml:space="preserve"> OK</t>
  </si>
  <si>
    <t xml:space="preserve"> problem</t>
  </si>
  <si>
    <t>split difference  0.078 inch</t>
  </si>
  <si>
    <t>FM-3 ds steel =</t>
  </si>
  <si>
    <t>FM-4 ds steel =</t>
  </si>
  <si>
    <t>fraction</t>
  </si>
  <si>
    <t>"stand"</t>
  </si>
  <si>
    <t>"correct"</t>
  </si>
  <si>
    <t>c0_fmi_alignment_average.xls</t>
  </si>
  <si>
    <t>revised</t>
  </si>
  <si>
    <t xml:space="preserve">  to remove vacuum offset between dipoles #3-#4</t>
  </si>
  <si>
    <t xml:space="preserve">  revisions are boxed &amp;highlighted in green</t>
  </si>
  <si>
    <t xml:space="preserve"> Vertical position, on line between quads QB49-1A, QB49-1B, QC11-1A, and QC11-1B</t>
  </si>
  <si>
    <t xml:space="preserve">keep it simple, only one common elevation for all 4 FMI dipoles = </t>
  </si>
  <si>
    <t xml:space="preserve">  inches above 720'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</si>
</sst>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0.0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3" fillId="0" borderId="0" xfId="2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2" borderId="2" xfId="0" applyFill="1" applyBorder="1" applyAlignment="1">
      <alignment/>
    </xf>
    <xf numFmtId="164" fontId="0" fillId="2" borderId="2" xfId="0" applyNumberFormat="1" applyFill="1" applyBorder="1" applyAlignment="1">
      <alignment/>
    </xf>
    <xf numFmtId="0" fontId="4" fillId="2" borderId="3" xfId="0" applyFont="1" applyFill="1" applyBorder="1" applyAlignment="1">
      <alignment/>
    </xf>
    <xf numFmtId="15" fontId="4" fillId="2" borderId="4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3" xfId="0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2" borderId="2" xfId="0" applyNumberFormat="1" applyFill="1" applyBorder="1" applyAlignment="1">
      <alignment/>
    </xf>
    <xf numFmtId="15" fontId="4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ome.fnal.gov/~peterg/c0_lambertson_replacement/alignment/coordinates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13.421875" style="0" customWidth="1"/>
    <col min="2" max="3" width="14.140625" style="0" bestFit="1" customWidth="1"/>
    <col min="4" max="4" width="11.28125" style="0" customWidth="1"/>
    <col min="5" max="5" width="14.7109375" style="0" customWidth="1"/>
    <col min="6" max="6" width="13.00390625" style="0" customWidth="1"/>
    <col min="7" max="7" width="12.57421875" style="0" customWidth="1"/>
  </cols>
  <sheetData>
    <row r="1" spans="1:6" ht="13.5" thickBot="1">
      <c r="A1" t="s">
        <v>81</v>
      </c>
      <c r="C1" t="s">
        <v>16</v>
      </c>
      <c r="D1" s="1">
        <v>37595</v>
      </c>
      <c r="F1" t="s">
        <v>17</v>
      </c>
    </row>
    <row r="2" spans="3:7" ht="13.5" thickBot="1">
      <c r="C2" s="21" t="s">
        <v>82</v>
      </c>
      <c r="D2" s="22">
        <v>37603</v>
      </c>
      <c r="E2" s="23" t="s">
        <v>83</v>
      </c>
      <c r="F2" s="25"/>
      <c r="G2" s="26"/>
    </row>
    <row r="3" spans="1:9" ht="13.5" thickBot="1">
      <c r="A3" s="2" t="s">
        <v>25</v>
      </c>
      <c r="D3" s="1"/>
      <c r="F3" s="27" t="s">
        <v>84</v>
      </c>
      <c r="G3" s="23"/>
      <c r="H3" s="24"/>
      <c r="I3" s="24"/>
    </row>
    <row r="5" spans="1:7" ht="13.5" thickBot="1">
      <c r="A5" s="30">
        <v>37610</v>
      </c>
      <c r="B5" s="13" t="s">
        <v>85</v>
      </c>
      <c r="C5" s="13"/>
      <c r="D5" s="13"/>
      <c r="E5" s="13"/>
      <c r="F5" s="13"/>
      <c r="G5" s="13"/>
    </row>
    <row r="6" spans="1:8" ht="13.5" thickBot="1">
      <c r="A6" s="1"/>
      <c r="B6" s="13" t="s">
        <v>86</v>
      </c>
      <c r="C6" s="13"/>
      <c r="D6" s="13"/>
      <c r="E6" s="13"/>
      <c r="F6" s="21">
        <v>40.452</v>
      </c>
      <c r="G6" s="23" t="s">
        <v>87</v>
      </c>
      <c r="H6" s="24"/>
    </row>
    <row r="8" spans="1:4" ht="12.75">
      <c r="A8" t="s">
        <v>23</v>
      </c>
      <c r="D8" t="s">
        <v>24</v>
      </c>
    </row>
    <row r="10" spans="1:4" ht="12.75">
      <c r="A10" s="9" t="s">
        <v>65</v>
      </c>
      <c r="B10" s="9"/>
      <c r="C10" s="9"/>
      <c r="D10" s="9"/>
    </row>
    <row r="11" ht="12.75">
      <c r="B11" t="s">
        <v>20</v>
      </c>
    </row>
    <row r="12" ht="12.75">
      <c r="C12" t="s">
        <v>21</v>
      </c>
    </row>
    <row r="13" ht="12.75">
      <c r="C13" t="s">
        <v>22</v>
      </c>
    </row>
    <row r="14" ht="12.75">
      <c r="D14" t="s">
        <v>26</v>
      </c>
    </row>
    <row r="16" spans="2:10" s="10" customFormat="1" ht="12.75">
      <c r="B16" s="10" t="s">
        <v>19</v>
      </c>
      <c r="C16" s="10" t="s">
        <v>18</v>
      </c>
      <c r="F16" s="10" t="s">
        <v>19</v>
      </c>
      <c r="G16" s="10" t="s">
        <v>18</v>
      </c>
      <c r="I16" s="12"/>
      <c r="J16" s="12" t="s">
        <v>70</v>
      </c>
    </row>
    <row r="17" spans="10:11" ht="12.75">
      <c r="J17" t="s">
        <v>72</v>
      </c>
      <c r="K17" t="s">
        <v>71</v>
      </c>
    </row>
    <row r="18" spans="1:7" ht="12.75">
      <c r="A18" t="s">
        <v>0</v>
      </c>
      <c r="B18">
        <v>-996.828</v>
      </c>
      <c r="C18">
        <v>30.852</v>
      </c>
      <c r="E18" t="s">
        <v>8</v>
      </c>
      <c r="F18">
        <v>-942.754</v>
      </c>
      <c r="G18">
        <v>31.461</v>
      </c>
    </row>
    <row r="19" spans="1:11" ht="12.75">
      <c r="A19" t="s">
        <v>1</v>
      </c>
      <c r="B19">
        <v>-756.678</v>
      </c>
      <c r="C19" s="3">
        <v>31.69</v>
      </c>
      <c r="E19" t="s">
        <v>9</v>
      </c>
      <c r="F19">
        <v>-810.755</v>
      </c>
      <c r="G19">
        <v>31.921</v>
      </c>
      <c r="K19" s="3">
        <f>C19+(J20-B19)*(C19-C18)/(B19-B18)</f>
        <v>31.714426400166563</v>
      </c>
    </row>
    <row r="20" spans="10:13" ht="12.75">
      <c r="J20">
        <f>0.5*(B19+B21)</f>
        <v>-749.678</v>
      </c>
      <c r="K20" s="3"/>
      <c r="L20" s="3">
        <f>K21-K19</f>
        <v>0.002669789714762061</v>
      </c>
      <c r="M20" t="s">
        <v>73</v>
      </c>
    </row>
    <row r="21" spans="1:11" ht="12.75">
      <c r="A21" t="s">
        <v>2</v>
      </c>
      <c r="B21">
        <v>-742.678</v>
      </c>
      <c r="C21">
        <v>31.731</v>
      </c>
      <c r="E21" t="s">
        <v>10</v>
      </c>
      <c r="F21">
        <v>-688.604</v>
      </c>
      <c r="G21">
        <v>32.258</v>
      </c>
      <c r="K21" s="3">
        <f>C21+(J20-B21)*(C22-C21)/(B22-B21)</f>
        <v>31.717096189881325</v>
      </c>
    </row>
    <row r="22" spans="1:11" ht="12.75">
      <c r="A22" t="s">
        <v>3</v>
      </c>
      <c r="B22">
        <v>-502.528</v>
      </c>
      <c r="C22">
        <v>32.208</v>
      </c>
      <c r="E22" t="s">
        <v>11</v>
      </c>
      <c r="F22">
        <v>-556.604</v>
      </c>
      <c r="G22">
        <v>32.521</v>
      </c>
      <c r="K22" s="3">
        <f>C22+(J23-B22)*(C22-C21)/(B22-B21)</f>
        <v>32.22786258588382</v>
      </c>
    </row>
    <row r="23" spans="10:13" ht="13.5" thickBot="1">
      <c r="J23">
        <f>0.5*(B22+B24)</f>
        <v>-492.528</v>
      </c>
      <c r="K23" s="3"/>
      <c r="L23" s="3">
        <f>K24-K22</f>
        <v>-0.0017326670830684066</v>
      </c>
      <c r="M23" t="s">
        <v>73</v>
      </c>
    </row>
    <row r="24" spans="1:11" ht="13.5" thickBot="1">
      <c r="A24" t="s">
        <v>4</v>
      </c>
      <c r="B24">
        <v>-482.528</v>
      </c>
      <c r="C24">
        <v>32.234</v>
      </c>
      <c r="E24" t="s">
        <v>12</v>
      </c>
      <c r="F24">
        <v>-428.453</v>
      </c>
      <c r="G24" s="20">
        <f>J41</f>
        <v>32.696557464084954</v>
      </c>
      <c r="K24" s="3">
        <f>C24+(J23-B24)*(C25-C24)/(B25-B24)</f>
        <v>32.22612991880075</v>
      </c>
    </row>
    <row r="25" spans="1:11" ht="13.5" thickBot="1">
      <c r="A25" t="s">
        <v>5</v>
      </c>
      <c r="B25">
        <v>-242.378</v>
      </c>
      <c r="C25" s="19">
        <v>32.423</v>
      </c>
      <c r="E25" t="s">
        <v>13</v>
      </c>
      <c r="F25">
        <v>-296.453</v>
      </c>
      <c r="G25" s="20">
        <f>J47</f>
        <v>32.80044253591505</v>
      </c>
      <c r="K25" s="3">
        <f>C25+(J26-B25)*(C25-C24)/(B25-B24)</f>
        <v>32.428509056839474</v>
      </c>
    </row>
    <row r="26" spans="10:13" ht="13.5" thickBot="1">
      <c r="J26">
        <f>0.5*(B25+B27)</f>
        <v>-235.378</v>
      </c>
      <c r="K26" s="3"/>
      <c r="L26" s="3">
        <f>K27-K25</f>
        <v>0.0011253484056084062</v>
      </c>
      <c r="M26" t="s">
        <v>74</v>
      </c>
    </row>
    <row r="27" spans="1:11" ht="13.5" thickBot="1">
      <c r="A27" t="s">
        <v>6</v>
      </c>
      <c r="B27">
        <v>-228.378</v>
      </c>
      <c r="C27" s="19">
        <v>32.433</v>
      </c>
      <c r="E27" t="s">
        <v>14</v>
      </c>
      <c r="F27">
        <v>-192.303</v>
      </c>
      <c r="G27" s="20">
        <f>K41</f>
        <v>32.65834483296909</v>
      </c>
      <c r="K27" s="3">
        <f>C27+(J26-B27)*(C28-C27)/(B28-B27)</f>
        <v>32.42963440524508</v>
      </c>
    </row>
    <row r="28" spans="1:7" ht="13.5" thickBot="1">
      <c r="A28" t="s">
        <v>7</v>
      </c>
      <c r="B28">
        <v>-68.228</v>
      </c>
      <c r="C28" s="20">
        <v>32.51</v>
      </c>
      <c r="E28" t="s">
        <v>15</v>
      </c>
      <c r="F28">
        <v>-104.303</v>
      </c>
      <c r="G28" s="20">
        <f>K47</f>
        <v>32.7006551670309</v>
      </c>
    </row>
    <row r="29" ht="12.75">
      <c r="J29" t="s">
        <v>75</v>
      </c>
    </row>
    <row r="30" ht="12.75">
      <c r="A30" t="s">
        <v>27</v>
      </c>
    </row>
    <row r="31" spans="1:13" ht="12.75">
      <c r="A31" t="s">
        <v>38</v>
      </c>
      <c r="J31" t="s">
        <v>76</v>
      </c>
      <c r="L31">
        <f>C25</f>
        <v>32.423</v>
      </c>
      <c r="M31" s="3">
        <f>L31+0.5*L26</f>
        <v>32.423562674202806</v>
      </c>
    </row>
    <row r="32" spans="2:13" ht="12.75">
      <c r="B32" t="s">
        <v>28</v>
      </c>
      <c r="J32" t="s">
        <v>77</v>
      </c>
      <c r="L32">
        <f>C27</f>
        <v>32.433</v>
      </c>
      <c r="M32" s="3">
        <f>L32-0.5*L26</f>
        <v>32.432437325797196</v>
      </c>
    </row>
    <row r="33" spans="2:5" ht="12.75">
      <c r="B33" t="s">
        <v>32</v>
      </c>
      <c r="E33" t="s">
        <v>67</v>
      </c>
    </row>
    <row r="34" spans="1:11" ht="12.75">
      <c r="A34" t="s">
        <v>29</v>
      </c>
      <c r="B34" s="3">
        <v>-1901.284</v>
      </c>
      <c r="C34">
        <v>0</v>
      </c>
      <c r="E34" s="17">
        <v>4806.6297</v>
      </c>
      <c r="F34" s="17">
        <v>2805.659333</v>
      </c>
      <c r="G34" t="s">
        <v>56</v>
      </c>
      <c r="J34">
        <v>240.15</v>
      </c>
      <c r="K34">
        <v>160.15</v>
      </c>
    </row>
    <row r="35" spans="1:11" ht="12.75">
      <c r="A35" t="s">
        <v>30</v>
      </c>
      <c r="B35" s="3">
        <v>0</v>
      </c>
      <c r="C35">
        <v>26.521</v>
      </c>
      <c r="D35" t="s">
        <v>51</v>
      </c>
      <c r="E35" s="17">
        <v>4943.248725</v>
      </c>
      <c r="F35" s="17">
        <v>2725.388095</v>
      </c>
      <c r="G35" t="s">
        <v>55</v>
      </c>
      <c r="J35">
        <f>F25-F24</f>
        <v>132</v>
      </c>
      <c r="K35">
        <f>F28-F27</f>
        <v>88</v>
      </c>
    </row>
    <row r="36" spans="1:8" ht="12.75">
      <c r="A36" t="s">
        <v>31</v>
      </c>
      <c r="B36" s="3">
        <v>1941.989</v>
      </c>
      <c r="C36">
        <v>0</v>
      </c>
      <c r="E36" s="17">
        <v>5080.475993</v>
      </c>
      <c r="F36" s="17">
        <v>2639.578447</v>
      </c>
      <c r="H36" t="s">
        <v>57</v>
      </c>
    </row>
    <row r="37" spans="10:11" ht="12.75">
      <c r="J37">
        <f>0.5*(240.15-132)</f>
        <v>54.075</v>
      </c>
      <c r="K37">
        <f>0.5*(K34-K35)</f>
        <v>36.075</v>
      </c>
    </row>
    <row r="38" spans="10:12" ht="12.75">
      <c r="J38">
        <f>J37/J34</f>
        <v>0.22517176764522173</v>
      </c>
      <c r="K38">
        <f>K37/K34</f>
        <v>0.22525757102716204</v>
      </c>
      <c r="L38" t="s">
        <v>78</v>
      </c>
    </row>
    <row r="39" spans="1:13" ht="12.75">
      <c r="A39" s="9" t="s">
        <v>60</v>
      </c>
      <c r="D39" s="1">
        <v>37595</v>
      </c>
      <c r="E39" t="s">
        <v>61</v>
      </c>
      <c r="J39" s="3">
        <f>C24+J38*(C25-C24)</f>
        <v>32.27655746408495</v>
      </c>
      <c r="K39" s="3">
        <f>C27+K38*(C28-C27)</f>
        <v>32.450344832969094</v>
      </c>
      <c r="L39" t="s">
        <v>79</v>
      </c>
      <c r="M39">
        <f>C24+(1-K38)*(C25-C24)</f>
        <v>32.380426319075866</v>
      </c>
    </row>
    <row r="40" spans="2:12" s="10" customFormat="1" ht="12.75">
      <c r="B40" s="10" t="str">
        <f>B113</f>
        <v>X(feet)</v>
      </c>
      <c r="C40" s="10" t="str">
        <f>C113</f>
        <v>Y(feet)</v>
      </c>
      <c r="F40" s="10" t="str">
        <f>F113</f>
        <v>X(feet)</v>
      </c>
      <c r="G40" s="10" t="str">
        <f>G113</f>
        <v>Y(feet)</v>
      </c>
      <c r="J40" s="15">
        <v>0.42</v>
      </c>
      <c r="K40" s="15">
        <v>0.208</v>
      </c>
      <c r="L40" s="10" t="s">
        <v>80</v>
      </c>
    </row>
    <row r="41" spans="10:11" ht="12.75">
      <c r="J41" s="3">
        <f>SUM(J39:J40)</f>
        <v>32.696557464084954</v>
      </c>
      <c r="K41" s="14">
        <f>SUM(K39:K40)</f>
        <v>32.65834483296909</v>
      </c>
    </row>
    <row r="42" spans="1:7" ht="12.75">
      <c r="A42" t="str">
        <f aca="true" t="shared" si="0" ref="A42:C43">A115</f>
        <v>FMI-1 us steel</v>
      </c>
      <c r="B42" s="5">
        <f t="shared" si="0"/>
        <v>4872.4084847725035</v>
      </c>
      <c r="C42" s="5">
        <f t="shared" si="0"/>
        <v>2768.773029264098</v>
      </c>
      <c r="D42" s="5"/>
      <c r="E42" s="5" t="str">
        <f aca="true" t="shared" si="1" ref="E42:G43">E115</f>
        <v>FMI-1 us stand</v>
      </c>
      <c r="F42" s="5">
        <f t="shared" si="1"/>
        <v>4876.287758080273</v>
      </c>
      <c r="G42" s="5">
        <f t="shared" si="1"/>
        <v>2766.479701508652</v>
      </c>
    </row>
    <row r="43" spans="1:12" ht="12.75">
      <c r="A43" t="str">
        <f t="shared" si="0"/>
        <v>FMI-1 ds steel</v>
      </c>
      <c r="B43" s="5">
        <f t="shared" si="0"/>
        <v>4889.556201602923</v>
      </c>
      <c r="C43" s="5">
        <f t="shared" si="0"/>
        <v>2758.455043004745</v>
      </c>
      <c r="D43" s="5"/>
      <c r="E43" s="5" t="str">
        <f t="shared" si="1"/>
        <v>FMI-1 ds stand</v>
      </c>
      <c r="F43" s="5">
        <f t="shared" si="1"/>
        <v>4885.71301378605</v>
      </c>
      <c r="G43" s="5">
        <f t="shared" si="1"/>
        <v>2760.8083532563605</v>
      </c>
      <c r="J43" s="10">
        <f>J37+J35</f>
        <v>186.075</v>
      </c>
      <c r="K43" s="10">
        <f>K37+K35</f>
        <v>124.075</v>
      </c>
      <c r="L43" s="10"/>
    </row>
    <row r="44" spans="2:12" ht="12.75">
      <c r="B44" s="5"/>
      <c r="C44" s="5"/>
      <c r="D44" s="5"/>
      <c r="E44" s="5"/>
      <c r="F44" s="5"/>
      <c r="G44" s="5"/>
      <c r="J44">
        <f>J43/J34</f>
        <v>0.7748282323547782</v>
      </c>
      <c r="K44">
        <f>K43/K34</f>
        <v>0.774742428972838</v>
      </c>
      <c r="L44" t="s">
        <v>78</v>
      </c>
    </row>
    <row r="45" spans="1:12" ht="12.75">
      <c r="A45" t="str">
        <f aca="true" t="shared" si="2" ref="A45:C46">A118</f>
        <v>FMI-2 us steel</v>
      </c>
      <c r="B45" s="5">
        <f t="shared" si="2"/>
        <v>4890.555520951856</v>
      </c>
      <c r="C45" s="5">
        <f t="shared" si="2"/>
        <v>2757.8529768758453</v>
      </c>
      <c r="D45" s="5"/>
      <c r="E45" s="5" t="str">
        <f aca="true" t="shared" si="3" ref="E45:G46">E118</f>
        <v>FMI-2 us stand</v>
      </c>
      <c r="F45" s="5">
        <f t="shared" si="3"/>
        <v>4894.431250761305</v>
      </c>
      <c r="G45" s="5">
        <f t="shared" si="3"/>
        <v>2755.5538063416</v>
      </c>
      <c r="J45" s="3">
        <f>C24+J44*(C25-C24)</f>
        <v>32.38044253591505</v>
      </c>
      <c r="K45" s="3">
        <f>C27+K44*(C28-C27)</f>
        <v>32.492655167030904</v>
      </c>
      <c r="L45" t="s">
        <v>79</v>
      </c>
    </row>
    <row r="46" spans="1:12" ht="12.75">
      <c r="A46" t="str">
        <f t="shared" si="2"/>
        <v>FMI-2 ds steel</v>
      </c>
      <c r="B46" s="5">
        <f t="shared" si="2"/>
        <v>4907.687637746983</v>
      </c>
      <c r="C46" s="5">
        <f t="shared" si="2"/>
        <v>2747.509268139098</v>
      </c>
      <c r="D46" s="5"/>
      <c r="E46" s="5" t="str">
        <f t="shared" si="3"/>
        <v>FMI-2 ds stand</v>
      </c>
      <c r="F46" s="5">
        <f t="shared" si="3"/>
        <v>4903.848064681832</v>
      </c>
      <c r="G46" s="5">
        <f t="shared" si="3"/>
        <v>2749.868377956118</v>
      </c>
      <c r="J46" s="3">
        <v>0.42</v>
      </c>
      <c r="K46">
        <v>0.208</v>
      </c>
      <c r="L46" t="s">
        <v>80</v>
      </c>
    </row>
    <row r="47" spans="2:11" ht="13.5" thickBot="1">
      <c r="B47" s="5"/>
      <c r="C47" s="5"/>
      <c r="D47" s="5"/>
      <c r="E47" s="5"/>
      <c r="F47" s="5"/>
      <c r="G47" s="5"/>
      <c r="J47" s="14">
        <f>SUM(J45:J46)</f>
        <v>32.80044253591505</v>
      </c>
      <c r="K47" s="3">
        <f>SUM(K45:K46)</f>
        <v>32.7006551670309</v>
      </c>
    </row>
    <row r="48" spans="1:7" ht="13.5" thickBot="1">
      <c r="A48" t="str">
        <f aca="true" t="shared" si="4" ref="A48:C49">A121</f>
        <v>FMI-3 us steel</v>
      </c>
      <c r="B48" s="28">
        <f t="shared" si="4"/>
        <v>4909.113829294906</v>
      </c>
      <c r="C48" s="28">
        <f t="shared" si="4"/>
        <v>2746.646852844213</v>
      </c>
      <c r="D48" s="5"/>
      <c r="E48" s="5" t="str">
        <f aca="true" t="shared" si="5" ref="E48:G49">E121</f>
        <v>FMI-3 us stand</v>
      </c>
      <c r="F48" s="29">
        <f t="shared" si="5"/>
        <v>4912.98684557705</v>
      </c>
      <c r="G48" s="29">
        <f t="shared" si="5"/>
        <v>2744.343047346786</v>
      </c>
    </row>
    <row r="49" spans="1:11" ht="13.5" thickBot="1">
      <c r="A49" t="str">
        <f t="shared" si="4"/>
        <v>FMI-3 ds steel</v>
      </c>
      <c r="B49" s="29">
        <f t="shared" si="4"/>
        <v>4926.233500632513</v>
      </c>
      <c r="C49" s="29">
        <f t="shared" si="4"/>
        <v>2736.28262312827</v>
      </c>
      <c r="D49" s="5"/>
      <c r="E49" s="5" t="str">
        <f t="shared" si="5"/>
        <v>FMI-3 ds stand</v>
      </c>
      <c r="F49" s="29">
        <f t="shared" si="5"/>
        <v>4922.396783601468</v>
      </c>
      <c r="G49" s="29">
        <f t="shared" si="5"/>
        <v>2738.646281481683</v>
      </c>
      <c r="J49">
        <f>J34-J43</f>
        <v>54.07500000000002</v>
      </c>
      <c r="K49">
        <f>K34-K43</f>
        <v>36.075</v>
      </c>
    </row>
    <row r="50" spans="2:7" ht="13.5" thickBot="1">
      <c r="B50" s="5"/>
      <c r="C50" s="5"/>
      <c r="D50" s="5"/>
      <c r="E50" s="5"/>
      <c r="F50" s="5"/>
      <c r="G50" s="5"/>
    </row>
    <row r="51" spans="1:7" ht="13.5" thickBot="1">
      <c r="A51" t="str">
        <f aca="true" t="shared" si="6" ref="A51:C52">A124</f>
        <v>FMI-4 us steel</v>
      </c>
      <c r="B51" s="29">
        <f t="shared" si="6"/>
        <v>4927.231480366228</v>
      </c>
      <c r="C51" s="29">
        <f t="shared" si="6"/>
        <v>2735.678348143971</v>
      </c>
      <c r="D51" s="5"/>
      <c r="E51" s="5" t="str">
        <f aca="true" t="shared" si="7" ref="E51:G52">E124</f>
        <v>FMI-4 us stand</v>
      </c>
      <c r="F51" s="29">
        <f t="shared" si="7"/>
        <v>4929.811684685734</v>
      </c>
      <c r="G51" s="29">
        <f t="shared" si="7"/>
        <v>2734.135481535014</v>
      </c>
    </row>
    <row r="52" spans="1:7" ht="13.5" thickBot="1">
      <c r="A52" t="str">
        <f t="shared" si="6"/>
        <v>FMI-4 ds steel</v>
      </c>
      <c r="B52" s="29">
        <f t="shared" si="6"/>
        <v>4938.646039804984</v>
      </c>
      <c r="C52" s="29">
        <f t="shared" si="6"/>
        <v>2728.7632095803683</v>
      </c>
      <c r="D52" s="5"/>
      <c r="E52" s="5" t="str">
        <f t="shared" si="7"/>
        <v>FMI-4 ds stand</v>
      </c>
      <c r="F52" s="29">
        <f t="shared" si="7"/>
        <v>4936.083812257451</v>
      </c>
      <c r="G52" s="29">
        <f t="shared" si="7"/>
        <v>2730.3357176037184</v>
      </c>
    </row>
    <row r="53" spans="2:7" ht="12.75">
      <c r="B53" s="5"/>
      <c r="C53" s="5"/>
      <c r="D53" s="5"/>
      <c r="E53" s="5"/>
      <c r="F53" s="5"/>
      <c r="G53" s="5"/>
    </row>
    <row r="54" spans="1:7" ht="12.75">
      <c r="A54" t="str">
        <f>A127</f>
        <v>plug B48.5O</v>
      </c>
      <c r="B54" s="18">
        <f>B127</f>
        <v>4806.6297</v>
      </c>
      <c r="C54" s="18">
        <f>C127</f>
        <v>2805.659333</v>
      </c>
      <c r="D54" s="5" t="str">
        <f>D127</f>
        <v>rotation about this point (no change), then simple translation</v>
      </c>
      <c r="E54" s="5"/>
      <c r="F54" s="5"/>
      <c r="G54" s="5"/>
    </row>
    <row r="55" spans="1:7" ht="12.75">
      <c r="A55" t="str">
        <f aca="true" t="shared" si="8" ref="A55:C56">A128</f>
        <v>TEV C0</v>
      </c>
      <c r="B55" s="18">
        <f t="shared" si="8"/>
        <v>4943.248711761429</v>
      </c>
      <c r="C55" s="18">
        <f t="shared" si="8"/>
        <v>2725.3881095108286</v>
      </c>
      <c r="D55" s="5" t="s">
        <v>66</v>
      </c>
      <c r="E55" s="5"/>
      <c r="F55" s="5"/>
      <c r="G55" s="5"/>
    </row>
    <row r="56" spans="1:7" ht="12.75">
      <c r="A56" t="str">
        <f t="shared" si="8"/>
        <v>plug C11.5</v>
      </c>
      <c r="B56" s="18">
        <f t="shared" si="8"/>
        <v>5080.47596831594</v>
      </c>
      <c r="C56" s="18">
        <f t="shared" si="8"/>
        <v>2639.578461970261</v>
      </c>
      <c r="D56" s="5" t="s">
        <v>66</v>
      </c>
      <c r="E56" s="5"/>
      <c r="F56" s="5"/>
      <c r="G56" s="5"/>
    </row>
    <row r="57" spans="2:7" ht="12.75">
      <c r="B57" s="18"/>
      <c r="C57" s="18"/>
      <c r="D57" s="5"/>
      <c r="E57" s="5"/>
      <c r="F57" s="5"/>
      <c r="G57" s="5"/>
    </row>
    <row r="58" spans="1:9" ht="13.5" thickBot="1">
      <c r="A58" s="11"/>
      <c r="B58" s="11" t="s">
        <v>68</v>
      </c>
      <c r="C58" s="11"/>
      <c r="D58" s="11"/>
      <c r="E58" s="11"/>
      <c r="F58" s="11"/>
      <c r="G58" s="11"/>
      <c r="H58" s="11"/>
      <c r="I58" s="11"/>
    </row>
    <row r="60" ht="12.75">
      <c r="A60" s="9" t="s">
        <v>69</v>
      </c>
    </row>
    <row r="62" ht="12.75">
      <c r="A62" s="9" t="s">
        <v>33</v>
      </c>
    </row>
    <row r="63" spans="1:4" ht="12.75">
      <c r="A63" s="9" t="s">
        <v>36</v>
      </c>
      <c r="B63" t="s">
        <v>34</v>
      </c>
      <c r="C63" s="3">
        <f>B34</f>
        <v>-1901.284</v>
      </c>
      <c r="D63" t="s">
        <v>35</v>
      </c>
    </row>
    <row r="64" ht="12.75">
      <c r="A64" t="s">
        <v>37</v>
      </c>
    </row>
    <row r="65" spans="2:7" s="10" customFormat="1" ht="12.75">
      <c r="B65" s="10" t="s">
        <v>19</v>
      </c>
      <c r="C65" s="10" t="s">
        <v>18</v>
      </c>
      <c r="F65" s="10" t="s">
        <v>19</v>
      </c>
      <c r="G65" s="10" t="s">
        <v>18</v>
      </c>
    </row>
    <row r="67" spans="1:7" ht="12.75">
      <c r="A67" t="s">
        <v>0</v>
      </c>
      <c r="B67" s="3">
        <f aca="true" t="shared" si="9" ref="B67:B77">B18-$C$63</f>
        <v>904.4560000000001</v>
      </c>
      <c r="C67">
        <v>30.852</v>
      </c>
      <c r="E67" t="s">
        <v>8</v>
      </c>
      <c r="F67" s="3">
        <f aca="true" t="shared" si="10" ref="F67:F77">F18-$C$63</f>
        <v>958.5300000000001</v>
      </c>
      <c r="G67">
        <v>31.461</v>
      </c>
    </row>
    <row r="68" spans="1:7" ht="12.75">
      <c r="A68" t="s">
        <v>1</v>
      </c>
      <c r="B68" s="3">
        <f t="shared" si="9"/>
        <v>1144.6060000000002</v>
      </c>
      <c r="C68" s="3">
        <v>31.69</v>
      </c>
      <c r="E68" t="s">
        <v>9</v>
      </c>
      <c r="F68" s="3">
        <f t="shared" si="10"/>
        <v>1090.529</v>
      </c>
      <c r="G68">
        <v>31.921</v>
      </c>
    </row>
    <row r="69" spans="2:6" ht="12.75">
      <c r="B69" s="3"/>
      <c r="F69" s="3"/>
    </row>
    <row r="70" spans="1:7" ht="12.75">
      <c r="A70" t="s">
        <v>2</v>
      </c>
      <c r="B70" s="3">
        <f t="shared" si="9"/>
        <v>1158.6060000000002</v>
      </c>
      <c r="C70">
        <v>31.731</v>
      </c>
      <c r="E70" t="s">
        <v>10</v>
      </c>
      <c r="F70" s="3">
        <f t="shared" si="10"/>
        <v>1212.68</v>
      </c>
      <c r="G70">
        <v>32.258</v>
      </c>
    </row>
    <row r="71" spans="1:7" ht="12.75">
      <c r="A71" t="s">
        <v>3</v>
      </c>
      <c r="B71" s="3">
        <f t="shared" si="9"/>
        <v>1398.756</v>
      </c>
      <c r="C71">
        <v>32.208</v>
      </c>
      <c r="E71" t="s">
        <v>11</v>
      </c>
      <c r="F71" s="3">
        <f t="shared" si="10"/>
        <v>1344.68</v>
      </c>
      <c r="G71">
        <v>32.521</v>
      </c>
    </row>
    <row r="72" spans="2:6" ht="12.75">
      <c r="B72" s="3"/>
      <c r="F72" s="3"/>
    </row>
    <row r="73" spans="1:7" ht="12.75">
      <c r="A73" t="s">
        <v>4</v>
      </c>
      <c r="B73" s="3">
        <f t="shared" si="9"/>
        <v>1418.756</v>
      </c>
      <c r="C73">
        <v>32.234</v>
      </c>
      <c r="E73" t="s">
        <v>12</v>
      </c>
      <c r="F73" s="3">
        <f t="shared" si="10"/>
        <v>1472.8310000000001</v>
      </c>
      <c r="G73" s="14">
        <f>G24</f>
        <v>32.696557464084954</v>
      </c>
    </row>
    <row r="74" spans="1:7" ht="12.75">
      <c r="A74" t="s">
        <v>5</v>
      </c>
      <c r="B74" s="16">
        <f t="shared" si="9"/>
        <v>1658.9060000000002</v>
      </c>
      <c r="C74" s="13">
        <f>C25</f>
        <v>32.423</v>
      </c>
      <c r="E74" t="s">
        <v>13</v>
      </c>
      <c r="F74" s="3">
        <f t="shared" si="10"/>
        <v>1604.8310000000001</v>
      </c>
      <c r="G74" s="14">
        <f>G25</f>
        <v>32.80044253591505</v>
      </c>
    </row>
    <row r="75" spans="2:6" ht="12.75">
      <c r="B75" s="3"/>
      <c r="F75" s="3"/>
    </row>
    <row r="76" spans="1:7" ht="12.75">
      <c r="A76" t="s">
        <v>6</v>
      </c>
      <c r="B76" s="3">
        <f t="shared" si="9"/>
        <v>1672.9060000000002</v>
      </c>
      <c r="C76" s="13">
        <f>C27</f>
        <v>32.433</v>
      </c>
      <c r="E76" t="s">
        <v>14</v>
      </c>
      <c r="F76" s="3">
        <f t="shared" si="10"/>
        <v>1708.9810000000002</v>
      </c>
      <c r="G76" s="14">
        <f>G27</f>
        <v>32.65834483296909</v>
      </c>
    </row>
    <row r="77" spans="1:7" ht="12.75">
      <c r="A77" t="s">
        <v>7</v>
      </c>
      <c r="B77" s="3">
        <f t="shared" si="9"/>
        <v>1833.056</v>
      </c>
      <c r="C77" s="14">
        <f>C28</f>
        <v>32.51</v>
      </c>
      <c r="E77" t="s">
        <v>15</v>
      </c>
      <c r="F77" s="3">
        <f t="shared" si="10"/>
        <v>1796.9810000000002</v>
      </c>
      <c r="G77" s="14">
        <f>G28</f>
        <v>32.7006551670309</v>
      </c>
    </row>
    <row r="78" ht="12.75">
      <c r="B78" s="3"/>
    </row>
    <row r="79" spans="1:3" ht="12.75">
      <c r="A79" t="s">
        <v>29</v>
      </c>
      <c r="B79" s="3">
        <f>B34-$C$63</f>
        <v>0</v>
      </c>
      <c r="C79">
        <f>C34</f>
        <v>0</v>
      </c>
    </row>
    <row r="80" spans="1:3" ht="12.75">
      <c r="A80" t="s">
        <v>30</v>
      </c>
      <c r="B80" s="3">
        <f>B35-$C$63</f>
        <v>1901.284</v>
      </c>
      <c r="C80">
        <f>C35</f>
        <v>26.521</v>
      </c>
    </row>
    <row r="81" spans="1:3" ht="12.75">
      <c r="A81" t="s">
        <v>31</v>
      </c>
      <c r="B81" s="3">
        <f>B36-$C$63</f>
        <v>3843.273</v>
      </c>
      <c r="C81">
        <f>C36</f>
        <v>0</v>
      </c>
    </row>
    <row r="83" ht="12.75">
      <c r="A83" s="9" t="s">
        <v>62</v>
      </c>
    </row>
    <row r="84" spans="1:4" ht="12.75">
      <c r="A84" s="9" t="s">
        <v>36</v>
      </c>
      <c r="B84" t="s">
        <v>34</v>
      </c>
      <c r="C84" s="3">
        <f>B80</f>
        <v>1901.284</v>
      </c>
      <c r="D84" t="s">
        <v>35</v>
      </c>
    </row>
    <row r="85" ht="12.75">
      <c r="A85" t="s">
        <v>37</v>
      </c>
    </row>
    <row r="86" spans="2:7" s="10" customFormat="1" ht="12.75">
      <c r="B86" s="10" t="s">
        <v>40</v>
      </c>
      <c r="C86" s="10" t="s">
        <v>41</v>
      </c>
      <c r="F86" s="10" t="s">
        <v>40</v>
      </c>
      <c r="G86" s="10" t="s">
        <v>41</v>
      </c>
    </row>
    <row r="88" spans="1:7" ht="12.75">
      <c r="A88" t="s">
        <v>0</v>
      </c>
      <c r="B88" s="5">
        <f>B67/12</f>
        <v>75.37133333333334</v>
      </c>
      <c r="C88" s="5">
        <f aca="true" t="shared" si="11" ref="C88:C102">C67/12</f>
        <v>2.571</v>
      </c>
      <c r="E88" t="s">
        <v>8</v>
      </c>
      <c r="F88" s="5">
        <f>F67/12</f>
        <v>79.87750000000001</v>
      </c>
      <c r="G88" s="5">
        <f>G67/12</f>
        <v>2.62175</v>
      </c>
    </row>
    <row r="89" spans="1:7" ht="12.75">
      <c r="A89" t="s">
        <v>1</v>
      </c>
      <c r="B89" s="5">
        <f aca="true" t="shared" si="12" ref="B89:B102">B68/12</f>
        <v>95.38383333333336</v>
      </c>
      <c r="C89" s="5">
        <f t="shared" si="11"/>
        <v>2.6408333333333336</v>
      </c>
      <c r="E89" t="s">
        <v>9</v>
      </c>
      <c r="F89" s="5">
        <f>F68/12</f>
        <v>90.87741666666666</v>
      </c>
      <c r="G89" s="5">
        <f>G68/12</f>
        <v>2.660083333333333</v>
      </c>
    </row>
    <row r="90" spans="2:7" ht="12.75">
      <c r="B90" s="5"/>
      <c r="C90" s="5"/>
      <c r="F90" s="5"/>
      <c r="G90" s="5"/>
    </row>
    <row r="91" spans="1:7" ht="12.75">
      <c r="A91" t="s">
        <v>2</v>
      </c>
      <c r="B91" s="5">
        <f t="shared" si="12"/>
        <v>96.55050000000001</v>
      </c>
      <c r="C91" s="5">
        <f t="shared" si="11"/>
        <v>2.64425</v>
      </c>
      <c r="E91" t="s">
        <v>10</v>
      </c>
      <c r="F91" s="5">
        <f>F70/12</f>
        <v>101.05666666666667</v>
      </c>
      <c r="G91" s="5">
        <f>G70/12</f>
        <v>2.688166666666667</v>
      </c>
    </row>
    <row r="92" spans="1:7" ht="12.75">
      <c r="A92" t="s">
        <v>3</v>
      </c>
      <c r="B92" s="5">
        <f t="shared" si="12"/>
        <v>116.563</v>
      </c>
      <c r="C92" s="5">
        <f t="shared" si="11"/>
        <v>2.6839999999999997</v>
      </c>
      <c r="E92" t="s">
        <v>11</v>
      </c>
      <c r="F92" s="5">
        <f>F71/12</f>
        <v>112.05666666666667</v>
      </c>
      <c r="G92" s="5">
        <f>G71/12</f>
        <v>2.7100833333333334</v>
      </c>
    </row>
    <row r="93" spans="2:7" ht="12.75">
      <c r="B93" s="5"/>
      <c r="C93" s="5"/>
      <c r="F93" s="5"/>
      <c r="G93" s="5"/>
    </row>
    <row r="94" spans="1:7" ht="12.75">
      <c r="A94" t="s">
        <v>4</v>
      </c>
      <c r="B94" s="5">
        <f t="shared" si="12"/>
        <v>118.22966666666667</v>
      </c>
      <c r="C94" s="5">
        <f t="shared" si="11"/>
        <v>2.686166666666667</v>
      </c>
      <c r="E94" t="s">
        <v>12</v>
      </c>
      <c r="F94" s="5">
        <f>F73/12</f>
        <v>122.73591666666668</v>
      </c>
      <c r="G94" s="5">
        <f>G73/12</f>
        <v>2.7247131220070795</v>
      </c>
    </row>
    <row r="95" spans="1:7" ht="12.75">
      <c r="A95" t="s">
        <v>5</v>
      </c>
      <c r="B95" s="5">
        <f t="shared" si="12"/>
        <v>138.2421666666667</v>
      </c>
      <c r="C95" s="5">
        <f t="shared" si="11"/>
        <v>2.701916666666667</v>
      </c>
      <c r="E95" t="s">
        <v>13</v>
      </c>
      <c r="F95" s="5">
        <f>F74/12</f>
        <v>133.73591666666667</v>
      </c>
      <c r="G95" s="5">
        <f>G74/12</f>
        <v>2.7333702113262546</v>
      </c>
    </row>
    <row r="96" spans="2:7" ht="12.75">
      <c r="B96" s="5"/>
      <c r="C96" s="5"/>
      <c r="F96" s="5"/>
      <c r="G96" s="5"/>
    </row>
    <row r="97" spans="1:7" ht="12.75">
      <c r="A97" t="s">
        <v>6</v>
      </c>
      <c r="B97" s="5">
        <f t="shared" si="12"/>
        <v>139.40883333333335</v>
      </c>
      <c r="C97" s="5">
        <f t="shared" si="11"/>
        <v>2.70275</v>
      </c>
      <c r="E97" t="s">
        <v>14</v>
      </c>
      <c r="F97" s="5">
        <f>F76/12</f>
        <v>142.41508333333334</v>
      </c>
      <c r="G97" s="5">
        <f>G76/12</f>
        <v>2.721528736080758</v>
      </c>
    </row>
    <row r="98" spans="1:7" ht="12.75">
      <c r="A98" t="s">
        <v>7</v>
      </c>
      <c r="B98" s="5">
        <f t="shared" si="12"/>
        <v>152.75466666666668</v>
      </c>
      <c r="C98" s="5">
        <f t="shared" si="11"/>
        <v>2.7091666666666665</v>
      </c>
      <c r="E98" t="s">
        <v>15</v>
      </c>
      <c r="F98" s="5">
        <f>F77/12</f>
        <v>149.74841666666669</v>
      </c>
      <c r="G98" s="5">
        <f>G77/12</f>
        <v>2.725054597252575</v>
      </c>
    </row>
    <row r="99" spans="2:3" ht="12.75">
      <c r="B99" s="5"/>
      <c r="C99" s="5"/>
    </row>
    <row r="100" spans="1:3" ht="12.75">
      <c r="A100" t="s">
        <v>29</v>
      </c>
      <c r="B100" s="5">
        <f t="shared" si="12"/>
        <v>0</v>
      </c>
      <c r="C100" s="5">
        <f t="shared" si="11"/>
        <v>0</v>
      </c>
    </row>
    <row r="101" spans="1:3" ht="12.75">
      <c r="A101" t="s">
        <v>30</v>
      </c>
      <c r="B101" s="5">
        <f t="shared" si="12"/>
        <v>158.44033333333334</v>
      </c>
      <c r="C101" s="5">
        <f t="shared" si="11"/>
        <v>2.2100833333333334</v>
      </c>
    </row>
    <row r="102" spans="1:3" ht="12.75">
      <c r="A102" t="s">
        <v>31</v>
      </c>
      <c r="B102" s="5">
        <f t="shared" si="12"/>
        <v>320.27275000000003</v>
      </c>
      <c r="C102" s="5">
        <f t="shared" si="11"/>
        <v>0</v>
      </c>
    </row>
    <row r="104" spans="1:7" ht="12.75">
      <c r="A104" s="9" t="s">
        <v>54</v>
      </c>
      <c r="B104" s="9"/>
      <c r="C104" s="9"/>
      <c r="D104" s="9"/>
      <c r="E104" s="9"/>
      <c r="G104" t="s">
        <v>39</v>
      </c>
    </row>
    <row r="105" ht="12.75">
      <c r="D105" t="s">
        <v>63</v>
      </c>
    </row>
    <row r="106" spans="1:6" ht="12.75">
      <c r="A106" t="s">
        <v>29</v>
      </c>
      <c r="B106" s="4">
        <f aca="true" t="shared" si="13" ref="B106:C108">E34</f>
        <v>4806.6297</v>
      </c>
      <c r="C106" s="4">
        <f t="shared" si="13"/>
        <v>2805.659333</v>
      </c>
      <c r="D106" t="s">
        <v>42</v>
      </c>
      <c r="E106" t="s">
        <v>43</v>
      </c>
      <c r="F106" s="4">
        <f>(C108-C106)/(B108-B106)</f>
        <v>-0.6064748373278159</v>
      </c>
    </row>
    <row r="107" spans="1:7" ht="12.75">
      <c r="A107" t="s">
        <v>30</v>
      </c>
      <c r="B107" s="7">
        <f t="shared" si="13"/>
        <v>4943.248725</v>
      </c>
      <c r="C107" s="7">
        <f t="shared" si="13"/>
        <v>2725.388095</v>
      </c>
      <c r="E107" t="s">
        <v>44</v>
      </c>
      <c r="F107">
        <f>ATAN(F106)</f>
        <v>-0.5451668133871587</v>
      </c>
      <c r="G107" t="s">
        <v>45</v>
      </c>
    </row>
    <row r="108" spans="1:7" ht="12.75">
      <c r="A108" t="s">
        <v>31</v>
      </c>
      <c r="B108" s="7">
        <f t="shared" si="13"/>
        <v>5080.475993</v>
      </c>
      <c r="C108" s="7">
        <f t="shared" si="13"/>
        <v>2639.578447</v>
      </c>
      <c r="F108">
        <f>180*F107/3.14159265</f>
        <v>-31.235757573372393</v>
      </c>
      <c r="G108" t="s">
        <v>46</v>
      </c>
    </row>
    <row r="109" spans="5:6" ht="12.75">
      <c r="E109" t="s">
        <v>47</v>
      </c>
      <c r="F109">
        <f>SIN(F107)</f>
        <v>-0.5185607299707484</v>
      </c>
    </row>
    <row r="110" spans="2:6" ht="12.75">
      <c r="B110" s="10" t="s">
        <v>50</v>
      </c>
      <c r="C110" t="s">
        <v>49</v>
      </c>
      <c r="E110" t="s">
        <v>48</v>
      </c>
      <c r="F110">
        <f>COS(F107)</f>
        <v>0.8550407998056025</v>
      </c>
    </row>
    <row r="111" ht="12.75">
      <c r="B111" s="10"/>
    </row>
    <row r="112" spans="1:5" ht="12.75">
      <c r="A112" s="9" t="s">
        <v>64</v>
      </c>
      <c r="E112" t="s">
        <v>55</v>
      </c>
    </row>
    <row r="113" spans="1:7" ht="12.75">
      <c r="A113" s="9"/>
      <c r="B113" s="8" t="s">
        <v>58</v>
      </c>
      <c r="C113" s="8" t="s">
        <v>59</v>
      </c>
      <c r="D113" s="8"/>
      <c r="E113" s="8"/>
      <c r="F113" s="8" t="s">
        <v>58</v>
      </c>
      <c r="G113" s="8" t="s">
        <v>59</v>
      </c>
    </row>
    <row r="114" ht="12.75">
      <c r="A114" s="9"/>
    </row>
    <row r="115" spans="1:7" ht="12.75">
      <c r="A115" t="s">
        <v>0</v>
      </c>
      <c r="B115" s="5">
        <f>$F$110*B88-$F$109*C88+$B$106</f>
        <v>4872.4084847725035</v>
      </c>
      <c r="C115" s="5">
        <f>$F$110*C88+$F$109*B88+$C$106</f>
        <v>2768.773029264098</v>
      </c>
      <c r="E115" t="s">
        <v>8</v>
      </c>
      <c r="F115" s="5">
        <f>$F$110*F88-$F$109*G88+$B$106</f>
        <v>4876.287758080273</v>
      </c>
      <c r="G115" s="5">
        <f>$F$110*G88+$F$109*F88+$C$106</f>
        <v>2766.479701508652</v>
      </c>
    </row>
    <row r="116" spans="1:7" ht="12.75">
      <c r="A116" t="s">
        <v>1</v>
      </c>
      <c r="B116" s="5">
        <f aca="true" t="shared" si="14" ref="B116:B129">$F$110*B89-$F$109*C89+$B$106</f>
        <v>4889.556201602923</v>
      </c>
      <c r="C116" s="5">
        <f aca="true" t="shared" si="15" ref="C116:C129">$F$110*C89+$F$109*B89+$C$106</f>
        <v>2758.455043004745</v>
      </c>
      <c r="E116" t="s">
        <v>9</v>
      </c>
      <c r="F116" s="5">
        <f aca="true" t="shared" si="16" ref="F116:F125">$F$110*F89-$F$109*G89+$B$106</f>
        <v>4885.71301378605</v>
      </c>
      <c r="G116" s="5">
        <f aca="true" t="shared" si="17" ref="G116:G125">$F$110*G89+$F$109*F89+$C$106</f>
        <v>2760.8083532563605</v>
      </c>
    </row>
    <row r="117" spans="2:7" ht="12.75">
      <c r="B117" s="5"/>
      <c r="C117" s="5"/>
      <c r="F117" s="5"/>
      <c r="G117" s="5"/>
    </row>
    <row r="118" spans="1:7" ht="12.75">
      <c r="A118" t="s">
        <v>2</v>
      </c>
      <c r="B118" s="5">
        <f t="shared" si="14"/>
        <v>4890.555520951856</v>
      </c>
      <c r="C118" s="5">
        <f t="shared" si="15"/>
        <v>2757.8529768758453</v>
      </c>
      <c r="E118" t="s">
        <v>10</v>
      </c>
      <c r="F118" s="5">
        <f t="shared" si="16"/>
        <v>4894.431250761305</v>
      </c>
      <c r="G118" s="5">
        <f t="shared" si="17"/>
        <v>2755.5538063416</v>
      </c>
    </row>
    <row r="119" spans="1:7" ht="12.75">
      <c r="A119" t="s">
        <v>3</v>
      </c>
      <c r="B119" s="5">
        <f t="shared" si="14"/>
        <v>4907.687637746983</v>
      </c>
      <c r="C119" s="5">
        <f t="shared" si="15"/>
        <v>2747.509268139098</v>
      </c>
      <c r="E119" t="s">
        <v>11</v>
      </c>
      <c r="F119" s="5">
        <f t="shared" si="16"/>
        <v>4903.848064681832</v>
      </c>
      <c r="G119" s="5">
        <f t="shared" si="17"/>
        <v>2749.868377956118</v>
      </c>
    </row>
    <row r="120" spans="2:7" ht="12.75">
      <c r="B120" s="5"/>
      <c r="C120" s="5"/>
      <c r="F120" s="5"/>
      <c r="G120" s="5"/>
    </row>
    <row r="121" spans="1:7" ht="12.75">
      <c r="A121" t="s">
        <v>4</v>
      </c>
      <c r="B121" s="5">
        <f t="shared" si="14"/>
        <v>4909.113829294906</v>
      </c>
      <c r="C121" s="5">
        <f t="shared" si="15"/>
        <v>2746.646852844213</v>
      </c>
      <c r="E121" t="s">
        <v>12</v>
      </c>
      <c r="F121" s="5">
        <f t="shared" si="16"/>
        <v>4912.98684557705</v>
      </c>
      <c r="G121" s="5">
        <f t="shared" si="17"/>
        <v>2744.343047346786</v>
      </c>
    </row>
    <row r="122" spans="1:7" ht="12.75">
      <c r="A122" t="s">
        <v>5</v>
      </c>
      <c r="B122" s="5">
        <f t="shared" si="14"/>
        <v>4926.233500632513</v>
      </c>
      <c r="C122" s="5">
        <f t="shared" si="15"/>
        <v>2736.28262312827</v>
      </c>
      <c r="E122" t="s">
        <v>13</v>
      </c>
      <c r="F122" s="5">
        <f t="shared" si="16"/>
        <v>4922.396783601468</v>
      </c>
      <c r="G122" s="5">
        <f t="shared" si="17"/>
        <v>2738.646281481683</v>
      </c>
    </row>
    <row r="123" spans="2:7" ht="12.75">
      <c r="B123" s="5">
        <f t="shared" si="14"/>
        <v>4806.6297</v>
      </c>
      <c r="C123" s="5"/>
      <c r="F123" s="5"/>
      <c r="G123" s="5"/>
    </row>
    <row r="124" spans="1:7" ht="12.75">
      <c r="A124" t="s">
        <v>6</v>
      </c>
      <c r="B124" s="5">
        <f t="shared" si="14"/>
        <v>4927.231480366228</v>
      </c>
      <c r="C124" s="5">
        <f t="shared" si="15"/>
        <v>2735.678348143971</v>
      </c>
      <c r="E124" t="s">
        <v>14</v>
      </c>
      <c r="F124" s="5">
        <f t="shared" si="16"/>
        <v>4929.811684685734</v>
      </c>
      <c r="G124" s="5">
        <f t="shared" si="17"/>
        <v>2734.135481535014</v>
      </c>
    </row>
    <row r="125" spans="1:7" ht="12.75">
      <c r="A125" t="s">
        <v>7</v>
      </c>
      <c r="B125" s="5">
        <f t="shared" si="14"/>
        <v>4938.646039804984</v>
      </c>
      <c r="C125" s="5">
        <f t="shared" si="15"/>
        <v>2728.7632095803683</v>
      </c>
      <c r="E125" t="s">
        <v>15</v>
      </c>
      <c r="F125" s="5">
        <f t="shared" si="16"/>
        <v>4936.083812257451</v>
      </c>
      <c r="G125" s="5">
        <f t="shared" si="17"/>
        <v>2730.3357176037184</v>
      </c>
    </row>
    <row r="126" spans="2:3" ht="12.75">
      <c r="B126" s="5"/>
      <c r="C126" s="5"/>
    </row>
    <row r="127" spans="1:4" ht="12.75">
      <c r="A127" t="s">
        <v>29</v>
      </c>
      <c r="B127" s="5">
        <f t="shared" si="14"/>
        <v>4806.6297</v>
      </c>
      <c r="C127" s="5">
        <f t="shared" si="15"/>
        <v>2805.659333</v>
      </c>
      <c r="D127" t="s">
        <v>52</v>
      </c>
    </row>
    <row r="128" spans="1:5" ht="12.75">
      <c r="A128" t="s">
        <v>30</v>
      </c>
      <c r="B128" s="6">
        <f t="shared" si="14"/>
        <v>4943.248711761429</v>
      </c>
      <c r="C128" s="6">
        <f>$F$110*C101+$F$109*B101+$C$106</f>
        <v>2725.3881095108286</v>
      </c>
      <c r="D128" s="9" t="s">
        <v>53</v>
      </c>
      <c r="E128" s="9"/>
    </row>
    <row r="129" spans="1:5" ht="12.75">
      <c r="A129" t="s">
        <v>31</v>
      </c>
      <c r="B129" s="6">
        <f t="shared" si="14"/>
        <v>5080.47596831594</v>
      </c>
      <c r="C129" s="6">
        <f t="shared" si="15"/>
        <v>2639.578461970261</v>
      </c>
      <c r="D129" s="9" t="s">
        <v>53</v>
      </c>
      <c r="E129" s="9"/>
    </row>
  </sheetData>
  <hyperlinks>
    <hyperlink ref="A3" r:id="rId1" display="http://home.fnal.gov/~peterg/c0_lambertson_replacement/alignment/coordinates.xls"/>
  </hyperlinks>
  <printOptions/>
  <pageMargins left="0.75" right="0.75" top="1" bottom="1" header="0.5" footer="0.5"/>
  <pageSetup horizontalDpi="600" verticalDpi="600" orientation="portrait" scale="80" r:id="rId2"/>
  <rowBreaks count="2" manualBreakCount="2">
    <brk id="59" max="8" man="1"/>
    <brk id="11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 Beams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H. Garbincius</dc:creator>
  <cp:keywords/>
  <dc:description/>
  <cp:lastModifiedBy>Unknown User</cp:lastModifiedBy>
  <cp:lastPrinted>2002-12-18T21:09:57Z</cp:lastPrinted>
  <dcterms:created xsi:type="dcterms:W3CDTF">2002-12-02T14:23:55Z</dcterms:created>
  <dcterms:modified xsi:type="dcterms:W3CDTF">2002-12-25T04:38:20Z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