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5" yWindow="65476" windowWidth="19155" windowHeight="10110" tabRatio="866" activeTab="0"/>
  </bookViews>
  <sheets>
    <sheet name="Introduction" sheetId="1" r:id="rId1"/>
    <sheet name="Data" sheetId="2" r:id="rId2"/>
    <sheet name="Instantaneous Gas WH" sheetId="3" r:id="rId3"/>
    <sheet name="TP_EnergyUseCalc" sheetId="4" r:id="rId4"/>
    <sheet name="TP_Definitions" sheetId="5" r:id="rId5"/>
  </sheets>
  <externalReferences>
    <externalReference r:id="rId8"/>
    <externalReference r:id="rId9"/>
    <externalReference r:id="rId10"/>
  </externalReferences>
  <definedNames>
    <definedName name="_xlfn.BAHTTEXT" hidden="1">#NAME?</definedName>
    <definedName name="base_cost_lg">'Instantaneous Gas WH'!#REF!</definedName>
    <definedName name="base_cost_med">'Instantaneous Gas WH'!#REF!</definedName>
    <definedName name="base_cost_sm">'Instantaneous Gas WH'!$G$8</definedName>
    <definedName name="base_input_cap_lg">'Data'!#REF!</definedName>
    <definedName name="base_input_cap_med">'Data'!#REF!</definedName>
    <definedName name="base_input_cap_sm">'Data'!$E$5</definedName>
    <definedName name="Base_RatedVol">#REF!</definedName>
    <definedName name="Baseline_Cost">'Data'!#REF!</definedName>
    <definedName name="Baseline_Ef">#REF!</definedName>
    <definedName name="bld_markup">'Data'!$E$66</definedName>
    <definedName name="Burner_on">'TP_EnergyUseCalc'!$Z$7:$Z$14</definedName>
    <definedName name="C_P">'TP_EnergyUseCalc'!$O$7:$O$14</definedName>
    <definedName name="Condensing_Adder">'Data'!#REF!</definedName>
    <definedName name="constant">#REF!</definedName>
    <definedName name="contr_markup">'Data'!$E$64</definedName>
    <definedName name="Conv">'[3]Based on Technology Path'!#REF!</definedName>
    <definedName name="CPI_1998">'Data'!$E$49</definedName>
    <definedName name="CPI_2001">'Data'!$E$51</definedName>
    <definedName name="CPI_2005">'Data'!$E$55</definedName>
    <definedName name="CPI_2006">'Data'!$E$56</definedName>
    <definedName name="CPI_2007">'Data'!$E$57</definedName>
    <definedName name="CPI_Table">#REF!</definedName>
    <definedName name="Cycles">'TP_EnergyUseCalc'!$P$7:$P$14</definedName>
    <definedName name="d_2">'TP_EnergyUseCalc'!$M$7:$M$14</definedName>
    <definedName name="distr_markup">'Data'!$E$62</definedName>
    <definedName name="E_Annual">'TP_EnergyUseCalc'!$W$7:$W$14</definedName>
    <definedName name="E_Annual_aux_elec">'TP_EnergyUseCalc'!$Y$7:$Y$14</definedName>
    <definedName name="E_Annual_Fuel">'TP_EnergyUseCalc'!$X$7:$X$14</definedName>
    <definedName name="E_F">'TP_EnergyUseCalc'!$F$7:$F$14</definedName>
    <definedName name="EF_Adder_0.1">'Data'!#REF!</definedName>
    <definedName name="EF_Subtraction_0.1">'Data'!#REF!</definedName>
    <definedName name="Eff_Eqn_Table">#REF!</definedName>
    <definedName name="Elec_Grounding">'Data'!$H$23</definedName>
    <definedName name="Elec_Grounding_Frac">'Data'!$E$24</definedName>
    <definedName name="elec_ignition">'Data'!$E$9</definedName>
    <definedName name="Elec_Outlet_adder">'Data'!$H$21</definedName>
    <definedName name="Elec_Outlet_Frac">'Data'!$E$22</definedName>
    <definedName name="elec_price">'Data'!$H$72</definedName>
    <definedName name="elec_use">'Instantaneous Gas WH'!$K$7:$K$15</definedName>
    <definedName name="Elec_Wiring_adder">'Data'!$H$19</definedName>
    <definedName name="Elec_Wiring_Frac">'Data'!$E$20</definedName>
    <definedName name="flue_damper">'Data'!#REF!</definedName>
    <definedName name="frac_lpg">'Data'!$E$77</definedName>
    <definedName name="frac_new_builder_only">'Data'!$E$81</definedName>
    <definedName name="frac_new_constr">'Data'!$E$78</definedName>
    <definedName name="Frac_New_Construction">'Data'!$E$78</definedName>
    <definedName name="Frac_Retrofit">'Data'!$E$79</definedName>
    <definedName name="frac_retrofit_elec">'Data'!$E$82</definedName>
    <definedName name="frac_retrofit_retail">'Data'!$E$80</definedName>
    <definedName name="fuel_price">'Data'!$H$75</definedName>
    <definedName name="fuel_use">'Instantaneous Gas WH'!$J$7:$J$15</definedName>
    <definedName name="gas_valve">'Data'!$E$12</definedName>
    <definedName name="HSI_warm_up">'Data'!$E$10</definedName>
    <definedName name="igwh_lifetime">'Data'!$E$6</definedName>
    <definedName name="incr_bld_markup">'Data'!$E$67</definedName>
    <definedName name="incr_contr_markup">'Data'!$E$65</definedName>
    <definedName name="incr_distr_markup">'Data'!$E$63</definedName>
    <definedName name="incr_retailer_markup">'Data'!$E$61</definedName>
    <definedName name="Incremental_Cost">'Instantaneous Gas WH'!$F$7:$F$15</definedName>
    <definedName name="inducer_blower">'Data'!$E$13</definedName>
    <definedName name="install_cost_baseline40">'[1]Data'!#REF!</definedName>
    <definedName name="install_cost_baseline50">'[1]Data'!#REF!</definedName>
    <definedName name="install_cost_baseline75">'[1]Data'!#REF!</definedName>
    <definedName name="Installation_Cost">'Instantaneous Gas WH'!$H$7:$H$15</definedName>
    <definedName name="Instl_Cost_Condvent_New_Constr">'Data'!$H$30</definedName>
    <definedName name="Instl_Cost_Condvent_Retrofit">'Data'!$H$29</definedName>
    <definedName name="Instl_Cost_elec_New_Constr">'Data'!$H$26</definedName>
    <definedName name="Instl_Cost_elec_Retrofit">'Data'!$H$25</definedName>
    <definedName name="Instl_Cost_New_Construction">'Data'!$H$18</definedName>
    <definedName name="Instl_Cost_Retrofit">'Data'!$H$17</definedName>
    <definedName name="Instl_Cost_SSvent_New_Constr">'Data'!$H$28</definedName>
    <definedName name="Instl_Cost_SSvent_Retrofit">'Data'!$H$27</definedName>
    <definedName name="Labor_Cost">'Instantaneous Gas WH'!#REF!</definedName>
    <definedName name="LPG_price">'Data'!$H$74</definedName>
    <definedName name="M_Total">'TP_EnergyUseCalc'!$N$7:$N$14</definedName>
    <definedName name="maint_cost_baseline">'Data'!$H$32</definedName>
    <definedName name="maint_cost_baseline_freq">'Data'!$E$33</definedName>
    <definedName name="maint_cost_flue_damper">'[1]Data'!#REF!</definedName>
    <definedName name="Maintenance_Cost">'Instantaneous Gas WH'!$I$7:$I$15</definedName>
    <definedName name="markup_base_cost">'Data'!$E$69</definedName>
    <definedName name="markup_increm_cost">'Data'!$E$70</definedName>
    <definedName name="Material_Cost">'Instantaneous Gas WH'!$D$7:$D$15</definedName>
    <definedName name="mfr_base_cost_lg">'Instantaneous Gas WH'!#REF!</definedName>
    <definedName name="mfr_base_cost_med">'Instantaneous Gas WH'!#REF!</definedName>
    <definedName name="mfr_base_cost_sm">'Instantaneous Gas WH'!$E$8</definedName>
    <definedName name="mfr_markup">'Data'!$E$59</definedName>
    <definedName name="NG_price">'Data'!$H$73</definedName>
    <definedName name="Overhead_Cost">'Instantaneous Gas WH'!#REF!</definedName>
    <definedName name="P_aux">'TP_EnergyUseCalc'!$J$7:$J$14</definedName>
    <definedName name="P_IG">'TP_EnergyUseCalc'!$H$7:$H$14</definedName>
    <definedName name="P_Standby">'TP_EnergyUseCalc'!$K$7:$K$14</definedName>
    <definedName name="Pilot_Ignition_Subtraction">'Data'!#REF!</definedName>
    <definedName name="pilot_light">'Data'!$E$8</definedName>
    <definedName name="PPI_1998">'Data'!#REF!</definedName>
    <definedName name="PPI_2006">'Data'!#REF!</definedName>
    <definedName name="Q_DM">'TP_EnergyUseCalc'!$V$7:$V$14</definedName>
    <definedName name="Q_IN">'TP_EnergyUseCalc'!$D$7:$D$14</definedName>
    <definedName name="Q_p">'TP_EnergyUseCalc'!$E$7:$E$14</definedName>
    <definedName name="RE">'TP_EnergyUseCalc'!$G$7:$G$14</definedName>
    <definedName name="repair_condensing">'Data'!$H$43</definedName>
    <definedName name="repair_condensing_freq">'Data'!$E$44</definedName>
    <definedName name="repair_condensing_prob">'Data'!$E$45</definedName>
    <definedName name="repair_elec_ignition">'Data'!$H$37</definedName>
    <definedName name="repair_elec_ignition_freq">'Data'!$E$38</definedName>
    <definedName name="repair_elec_ignition_prob">'Data'!$E$39</definedName>
    <definedName name="repair_flue_damper">'Data'!#REF!</definedName>
    <definedName name="repair_flue_damper_freq">'Data'!#REF!</definedName>
    <definedName name="repair_flue_damper_prob">'Data'!#REF!</definedName>
    <definedName name="repair_pilot_ignition">'Data'!$H$34</definedName>
    <definedName name="repair_pilot_ignition_freq">'Data'!$E$35</definedName>
    <definedName name="repair_pilot_ignition_prob">'Data'!$E$36</definedName>
    <definedName name="repair_power_vent">'Data'!$H$40</definedName>
    <definedName name="repair_power_vent_freq">'Data'!$E$41</definedName>
    <definedName name="repair_power_vent_prob">'Data'!$E$42</definedName>
    <definedName name="Retail_Price">'Instantaneous Gas WH'!$G$7:$G$15</definedName>
    <definedName name="retailer_markup">'Data'!$E$60</definedName>
    <definedName name="sales_tax">'Data'!$E$68</definedName>
    <definedName name="slope">#REF!</definedName>
    <definedName name="standby_losses">'Data'!$E$14</definedName>
    <definedName name="T_amb">'TP_EnergyUseCalc'!$R$7:$R$14</definedName>
    <definedName name="t_IG">'TP_EnergyUseCalc'!$I$7:$I$14</definedName>
    <definedName name="t_ig_hsi">'Data'!$E$11</definedName>
    <definedName name="T_in">'TP_EnergyUseCalc'!$S$7:$S$14</definedName>
    <definedName name="T_tank">'TP_EnergyUseCalc'!$T$7:$T$14</definedName>
    <definedName name="Tanksz_">'[2]RECS WH'!$D$52</definedName>
    <definedName name="Total_Installed">'Instantaneous Gas WH'!$L$7:$L$15</definedName>
    <definedName name="Total_installed_baseline_lg">'Instantaneous Gas WH'!#REF!</definedName>
    <definedName name="Total_installed_baseline_med">'Instantaneous Gas WH'!#REF!</definedName>
    <definedName name="Total_installed_baseline_sm">'Instantaneous Gas WH'!$L$8</definedName>
    <definedName name="Total_Mfr_Cost">'Instantaneous Gas WH'!$E$7:$E$15</definedName>
    <definedName name="Total_Operating">'Instantaneous Gas WH'!$M$7:$M$15</definedName>
    <definedName name="Total_Operating_baseline_lg">'Instantaneous Gas WH'!#REF!</definedName>
    <definedName name="Total_Operating_baseline_med">'Instantaneous Gas WH'!#REF!</definedName>
    <definedName name="Total_Operating_baseline_sm">'Instantaneous Gas WH'!$M$8</definedName>
    <definedName name="transformer">'Data'!$E$15</definedName>
    <definedName name="Transportation_Cost">'Instantaneous Gas WH'!#REF!</definedName>
    <definedName name="U_t">'TP_EnergyUseCalc'!$L$7:$L$14</definedName>
    <definedName name="V_st">'TP_EnergyUseCalc'!$C$7:$C$14</definedName>
    <definedName name="Vol">#REF!</definedName>
    <definedName name="Z_aux">'TP_EnergyUseCalc'!$Q$7:$Q$14</definedName>
  </definedNames>
  <calcPr fullCalcOnLoad="1"/>
</workbook>
</file>

<file path=xl/comments4.xml><?xml version="1.0" encoding="utf-8"?>
<comments xmlns="http://schemas.openxmlformats.org/spreadsheetml/2006/main">
  <authors>
    <author>Alex Lekov</author>
    <author>LBNL</author>
  </authors>
  <commentList>
    <comment ref="F4" authorId="0">
      <text>
        <r>
          <rPr>
            <b/>
            <sz val="8"/>
            <rFont val="Tahoma"/>
            <family val="0"/>
          </rPr>
          <t>EF function of Rated Volume (see FRxxxx)</t>
        </r>
        <r>
          <rPr>
            <sz val="8"/>
            <rFont val="Tahoma"/>
            <family val="0"/>
          </rPr>
          <t xml:space="preserve">
</t>
        </r>
      </text>
    </comment>
    <comment ref="G4" authorId="0">
      <text>
        <r>
          <rPr>
            <b/>
            <sz val="8"/>
            <rFont val="Tahoma"/>
            <family val="0"/>
          </rPr>
          <t xml:space="preserve">Recovery Efficiency is listed also as RE (2001 Final Rule), ηr (DOE Test proc,  orEr (ASHRAE 118.2) </t>
        </r>
        <r>
          <rPr>
            <sz val="8"/>
            <rFont val="Tahoma"/>
            <family val="0"/>
          </rPr>
          <t xml:space="preserve">
</t>
        </r>
      </text>
    </comment>
    <comment ref="Q4" authorId="0">
      <text>
        <r>
          <rPr>
            <b/>
            <sz val="8"/>
            <rFont val="Tahoma"/>
            <family val="0"/>
          </rPr>
          <t>electrical use by an auxiliary electric eqp (When calculating does not include elec use of QDM)</t>
        </r>
        <r>
          <rPr>
            <sz val="8"/>
            <rFont val="Tahoma"/>
            <family val="0"/>
          </rPr>
          <t xml:space="preserve">
</t>
        </r>
      </text>
    </comment>
    <comment ref="L4" authorId="0">
      <text>
        <r>
          <rPr>
            <b/>
            <sz val="8"/>
            <rFont val="Tahoma"/>
            <family val="0"/>
          </rPr>
          <t>average daily hot water usage</t>
        </r>
        <r>
          <rPr>
            <sz val="8"/>
            <rFont val="Tahoma"/>
            <family val="0"/>
          </rPr>
          <t xml:space="preserve">
</t>
        </r>
      </text>
    </comment>
    <comment ref="M4" authorId="0">
      <text>
        <r>
          <rPr>
            <b/>
            <sz val="8"/>
            <rFont val="Tahoma"/>
            <family val="0"/>
          </rPr>
          <t>water density at the mean outlet water temp</t>
        </r>
        <r>
          <rPr>
            <sz val="8"/>
            <rFont val="Tahoma"/>
            <family val="0"/>
          </rPr>
          <t xml:space="preserve">
the density is calculated at 135 F water temp</t>
        </r>
      </text>
    </comment>
    <comment ref="N4" authorId="0">
      <text>
        <r>
          <rPr>
            <b/>
            <sz val="8"/>
            <rFont val="Tahoma"/>
            <family val="0"/>
          </rPr>
          <t>mass of withdrawn water</t>
        </r>
        <r>
          <rPr>
            <sz val="8"/>
            <rFont val="Tahoma"/>
            <family val="0"/>
          </rPr>
          <t xml:space="preserve">
</t>
        </r>
      </text>
    </comment>
    <comment ref="O4" authorId="0">
      <text>
        <r>
          <rPr>
            <b/>
            <sz val="8"/>
            <rFont val="Tahoma"/>
            <family val="0"/>
          </rPr>
          <t>specific heat of water</t>
        </r>
        <r>
          <rPr>
            <sz val="8"/>
            <rFont val="Tahoma"/>
            <family val="0"/>
          </rPr>
          <t xml:space="preserve">
Cp is calculated at 96.5 F water temp</t>
        </r>
      </text>
    </comment>
    <comment ref="R4" authorId="0">
      <text>
        <r>
          <rPr>
            <b/>
            <sz val="8"/>
            <rFont val="Tahoma"/>
            <family val="0"/>
          </rPr>
          <t>ambient temp (temp of the space around the WH</t>
        </r>
        <r>
          <rPr>
            <sz val="8"/>
            <rFont val="Tahoma"/>
            <family val="0"/>
          </rPr>
          <t xml:space="preserve">
</t>
        </r>
      </text>
    </comment>
    <comment ref="S4" authorId="0">
      <text>
        <r>
          <rPr>
            <b/>
            <sz val="8"/>
            <rFont val="Tahoma"/>
            <family val="0"/>
          </rPr>
          <t>inlet water temp</t>
        </r>
        <r>
          <rPr>
            <sz val="8"/>
            <rFont val="Tahoma"/>
            <family val="0"/>
          </rPr>
          <t xml:space="preserve">
</t>
        </r>
      </text>
    </comment>
    <comment ref="T4" authorId="0">
      <text>
        <r>
          <rPr>
            <b/>
            <sz val="8"/>
            <rFont val="Tahoma"/>
            <family val="0"/>
          </rPr>
          <t>nominal mean tank temp</t>
        </r>
        <r>
          <rPr>
            <sz val="8"/>
            <rFont val="Tahoma"/>
            <family val="0"/>
          </rPr>
          <t xml:space="preserve">
</t>
        </r>
      </text>
    </comment>
    <comment ref="U4" authorId="0">
      <text>
        <r>
          <rPr>
            <b/>
            <sz val="8"/>
            <rFont val="Tahoma"/>
            <family val="0"/>
          </rPr>
          <t>stanby heat loss coef for the tank (NOT USED IN CALCULATION; used WHAM to calculate)</t>
        </r>
        <r>
          <rPr>
            <sz val="8"/>
            <rFont val="Tahoma"/>
            <family val="0"/>
          </rPr>
          <t xml:space="preserve">
</t>
        </r>
      </text>
    </comment>
    <comment ref="V4" authorId="0">
      <text>
        <r>
          <rPr>
            <b/>
            <sz val="8"/>
            <rFont val="Tahoma"/>
            <family val="0"/>
          </rPr>
          <t>daily water heating energy consumption</t>
        </r>
        <r>
          <rPr>
            <sz val="8"/>
            <rFont val="Tahoma"/>
            <family val="0"/>
          </rPr>
          <t xml:space="preserve">
</t>
        </r>
      </text>
    </comment>
    <comment ref="W4" authorId="0">
      <text>
        <r>
          <rPr>
            <b/>
            <sz val="8"/>
            <rFont val="Tahoma"/>
            <family val="0"/>
          </rPr>
          <t>annual energy consumption in mln Btu</t>
        </r>
        <r>
          <rPr>
            <sz val="8"/>
            <rFont val="Tahoma"/>
            <family val="0"/>
          </rPr>
          <t xml:space="preserve">
</t>
        </r>
      </text>
    </comment>
    <comment ref="X4" authorId="0">
      <text>
        <r>
          <rPr>
            <b/>
            <sz val="8"/>
            <rFont val="Tahoma"/>
            <family val="0"/>
          </rPr>
          <t>annual FUEL consumption in mln Btu</t>
        </r>
        <r>
          <rPr>
            <sz val="8"/>
            <rFont val="Tahoma"/>
            <family val="0"/>
          </rPr>
          <t xml:space="preserve">
</t>
        </r>
      </text>
    </comment>
    <comment ref="Y4" authorId="0">
      <text>
        <r>
          <rPr>
            <b/>
            <sz val="8"/>
            <rFont val="Tahoma"/>
            <family val="0"/>
          </rPr>
          <t>annual ELECTRICITY consumption in kWh/year</t>
        </r>
        <r>
          <rPr>
            <sz val="8"/>
            <rFont val="Tahoma"/>
            <family val="0"/>
          </rPr>
          <t xml:space="preserve">
</t>
        </r>
      </text>
    </comment>
    <comment ref="D4" authorId="1">
      <text>
        <r>
          <rPr>
            <b/>
            <sz val="8"/>
            <rFont val="Tahoma"/>
            <family val="0"/>
          </rPr>
          <t>Rated Input Capacity</t>
        </r>
      </text>
    </comment>
    <comment ref="C4" authorId="1">
      <text>
        <r>
          <rPr>
            <b/>
            <sz val="8"/>
            <rFont val="Tahoma"/>
            <family val="0"/>
          </rPr>
          <t>Rated Storage Tank Volume</t>
        </r>
      </text>
    </comment>
    <comment ref="E4" authorId="1">
      <text>
        <r>
          <rPr>
            <b/>
            <sz val="8"/>
            <rFont val="Tahoma"/>
            <family val="0"/>
          </rPr>
          <t>Pliot Light Energy Use per hour</t>
        </r>
      </text>
    </comment>
    <comment ref="H4" authorId="1">
      <text>
        <r>
          <rPr>
            <b/>
            <sz val="8"/>
            <rFont val="Tahoma"/>
            <family val="0"/>
          </rPr>
          <t>Electicity Use by Ignition Device</t>
        </r>
      </text>
    </comment>
    <comment ref="I4" authorId="1">
      <text>
        <r>
          <rPr>
            <b/>
            <sz val="8"/>
            <rFont val="Tahoma"/>
            <family val="0"/>
          </rPr>
          <t xml:space="preserve">Time ignition device is on per cycle </t>
        </r>
      </text>
    </comment>
    <comment ref="J4" authorId="1">
      <text>
        <r>
          <rPr>
            <b/>
            <sz val="8"/>
            <rFont val="Tahoma"/>
            <family val="0"/>
          </rPr>
          <t>Electricity Use by power venting Blower, Controls, elec. damper</t>
        </r>
      </text>
    </comment>
    <comment ref="K4" authorId="1">
      <text>
        <r>
          <rPr>
            <b/>
            <sz val="8"/>
            <rFont val="Tahoma"/>
            <family val="0"/>
          </rPr>
          <t>Electricity Use during standby (Not Used)</t>
        </r>
      </text>
    </comment>
  </commentList>
</comments>
</file>

<file path=xl/comments5.xml><?xml version="1.0" encoding="utf-8"?>
<comments xmlns="http://schemas.openxmlformats.org/spreadsheetml/2006/main">
  <authors>
    <author>LBNL</author>
  </authors>
  <commentList>
    <comment ref="C5" authorId="0">
      <text>
        <r>
          <rPr>
            <sz val="8"/>
            <rFont val="Tahoma"/>
            <family val="2"/>
          </rPr>
          <t>from section 6.1.8</t>
        </r>
      </text>
    </comment>
    <comment ref="C6" authorId="0">
      <text>
        <r>
          <rPr>
            <sz val="8"/>
            <rFont val="Tahoma"/>
            <family val="2"/>
          </rPr>
          <t>from section 6.1.7</t>
        </r>
      </text>
    </comment>
    <comment ref="D7" authorId="0">
      <text>
        <r>
          <rPr>
            <sz val="8"/>
            <rFont val="Tahoma"/>
            <family val="2"/>
          </rPr>
          <t xml:space="preserve">from ANSI/ASHRAE Standard 118.2-2006 (section 11.2)
</t>
        </r>
      </text>
    </comment>
    <comment ref="C8" authorId="0">
      <text>
        <r>
          <rPr>
            <sz val="8"/>
            <rFont val="Tahoma"/>
            <family val="2"/>
          </rPr>
          <t>from section 6.1.7 and ANSI/ASHRAE 118.2-2006 section 11.4</t>
        </r>
      </text>
    </comment>
    <comment ref="C14" authorId="0">
      <text>
        <r>
          <rPr>
            <sz val="8"/>
            <rFont val="Tahoma"/>
            <family val="2"/>
          </rPr>
          <t>section 6.1.7</t>
        </r>
      </text>
    </comment>
    <comment ref="C15" authorId="0">
      <text>
        <r>
          <rPr>
            <sz val="8"/>
            <rFont val="Tahoma"/>
            <family val="2"/>
          </rPr>
          <t>from section 6.1.7</t>
        </r>
      </text>
    </comment>
    <comment ref="C16" authorId="0">
      <text>
        <r>
          <rPr>
            <sz val="8"/>
            <rFont val="Tahoma"/>
            <family val="2"/>
          </rPr>
          <t>from section 2.3</t>
        </r>
      </text>
    </comment>
    <comment ref="C17" authorId="0">
      <text>
        <r>
          <rPr>
            <sz val="8"/>
            <rFont val="Tahoma"/>
            <family val="2"/>
          </rPr>
          <t>from section 2.4</t>
        </r>
      </text>
    </comment>
    <comment ref="C18" authorId="0">
      <text>
        <r>
          <rPr>
            <sz val="8"/>
            <rFont val="Tahoma"/>
            <family val="2"/>
          </rPr>
          <t>from section 5.1.5 and from ANSI/ASHRAE 118.2-2006 (Section 10.1)</t>
        </r>
      </text>
    </comment>
    <comment ref="C19" authorId="0">
      <text>
        <r>
          <rPr>
            <sz val="8"/>
            <rFont val="Tahoma"/>
            <family val="2"/>
          </rPr>
          <t>from ANSI/ASHRAE 118.2-2006 (Section 11.2)</t>
        </r>
      </text>
    </comment>
  </commentList>
</comments>
</file>

<file path=xl/sharedStrings.xml><?xml version="1.0" encoding="utf-8"?>
<sst xmlns="http://schemas.openxmlformats.org/spreadsheetml/2006/main" count="459" uniqueCount="339">
  <si>
    <r>
      <t>E</t>
    </r>
    <r>
      <rPr>
        <b/>
        <vertAlign val="subscript"/>
        <sz val="10"/>
        <rFont val="Arial"/>
        <family val="2"/>
      </rPr>
      <t>F</t>
    </r>
  </si>
  <si>
    <r>
      <t xml:space="preserve">2) </t>
    </r>
    <r>
      <rPr>
        <b/>
        <sz val="10"/>
        <rFont val="Arial"/>
        <family val="2"/>
      </rPr>
      <t>Data</t>
    </r>
    <r>
      <rPr>
        <sz val="10"/>
        <rFont val="Arial"/>
        <family val="2"/>
      </rPr>
      <t xml:space="preserve"> - contains the input selections, the description of variables and data sources. </t>
    </r>
  </si>
  <si>
    <t>Variable Definitions</t>
  </si>
  <si>
    <t>=</t>
  </si>
  <si>
    <t>Product Class</t>
  </si>
  <si>
    <t>CONTACT INFORMATION</t>
  </si>
  <si>
    <t xml:space="preserve">     Mohammed Khan, Department of Energy, (202) 586-7892, mohammed.khan@hq.doe.gov</t>
  </si>
  <si>
    <r>
      <t>Q</t>
    </r>
    <r>
      <rPr>
        <b/>
        <vertAlign val="subscript"/>
        <sz val="10"/>
        <rFont val="Arial"/>
        <family val="2"/>
      </rPr>
      <t>P</t>
    </r>
  </si>
  <si>
    <t>DATA WORKSHEET</t>
  </si>
  <si>
    <t>INTRODUCTION</t>
  </si>
  <si>
    <t>$</t>
  </si>
  <si>
    <t>Cost Data</t>
  </si>
  <si>
    <t>Retail</t>
  </si>
  <si>
    <t>Fuel</t>
  </si>
  <si>
    <t>kWh/year</t>
  </si>
  <si>
    <t>years</t>
  </si>
  <si>
    <t>Summary Economics</t>
  </si>
  <si>
    <t>Total Costs</t>
  </si>
  <si>
    <t>$/yr</t>
  </si>
  <si>
    <t>Definition</t>
  </si>
  <si>
    <t>Variable Name</t>
  </si>
  <si>
    <t>Unit</t>
  </si>
  <si>
    <t>%</t>
  </si>
  <si>
    <t>Energy Prices</t>
  </si>
  <si>
    <t>Electric</t>
  </si>
  <si>
    <t>Simple Payback</t>
  </si>
  <si>
    <t>Source</t>
  </si>
  <si>
    <t>Energy Use Data</t>
  </si>
  <si>
    <t>Total Installed</t>
  </si>
  <si>
    <t>Total Operating</t>
  </si>
  <si>
    <t>Installation Costs</t>
  </si>
  <si>
    <t>Maintenance Costs</t>
  </si>
  <si>
    <t>Markups / Sales Tax</t>
  </si>
  <si>
    <t>Frequency Values</t>
  </si>
  <si>
    <t>GENERAL:</t>
  </si>
  <si>
    <t>WORKSHEETS DESCRIPTION:</t>
  </si>
  <si>
    <t>ADDITIONAL NOTES</t>
  </si>
  <si>
    <r>
      <t xml:space="preserve">1) </t>
    </r>
    <r>
      <rPr>
        <b/>
        <sz val="10"/>
        <rFont val="Arial"/>
        <family val="2"/>
      </rPr>
      <t>Introduction</t>
    </r>
    <r>
      <rPr>
        <sz val="10"/>
        <rFont val="Arial"/>
        <family val="2"/>
      </rPr>
      <t xml:space="preserve"> - contains the instructions for using the spreadsheet.</t>
    </r>
  </si>
  <si>
    <t>Comments</t>
  </si>
  <si>
    <t>Product Parameters</t>
  </si>
  <si>
    <t>Consumer Price Index (CPI)</t>
  </si>
  <si>
    <t>Energy Use Calculation for Water Heaters (10 CFR, Appendix E)</t>
  </si>
  <si>
    <r>
      <t>E</t>
    </r>
    <r>
      <rPr>
        <b/>
        <vertAlign val="subscript"/>
        <sz val="10"/>
        <rFont val="Arial"/>
        <family val="2"/>
      </rPr>
      <t>Annual_fuel</t>
    </r>
  </si>
  <si>
    <r>
      <t>E</t>
    </r>
    <r>
      <rPr>
        <b/>
        <vertAlign val="subscript"/>
        <sz val="10"/>
        <rFont val="Arial"/>
        <family val="2"/>
      </rPr>
      <t>Annual_aux_elec</t>
    </r>
  </si>
  <si>
    <r>
      <t>Q</t>
    </r>
    <r>
      <rPr>
        <b/>
        <vertAlign val="subscript"/>
        <sz val="10"/>
        <rFont val="Arial"/>
        <family val="2"/>
      </rPr>
      <t>DM</t>
    </r>
  </si>
  <si>
    <t>Btu/lb °F</t>
  </si>
  <si>
    <t>lb/gal</t>
  </si>
  <si>
    <r>
      <t>V</t>
    </r>
    <r>
      <rPr>
        <b/>
        <vertAlign val="subscript"/>
        <sz val="10"/>
        <rFont val="Arial"/>
        <family val="2"/>
      </rPr>
      <t>st</t>
    </r>
  </si>
  <si>
    <t>gallons</t>
  </si>
  <si>
    <r>
      <t>E</t>
    </r>
    <r>
      <rPr>
        <b/>
        <vertAlign val="subscript"/>
        <sz val="10"/>
        <rFont val="Arial"/>
        <family val="2"/>
      </rPr>
      <t>Annual</t>
    </r>
  </si>
  <si>
    <t>UA</t>
  </si>
  <si>
    <t>°F</t>
  </si>
  <si>
    <r>
      <t>T</t>
    </r>
    <r>
      <rPr>
        <b/>
        <vertAlign val="subscript"/>
        <sz val="10"/>
        <rFont val="Arial"/>
        <family val="2"/>
      </rPr>
      <t>in</t>
    </r>
  </si>
  <si>
    <r>
      <t>T</t>
    </r>
    <r>
      <rPr>
        <b/>
        <vertAlign val="subscript"/>
        <sz val="10"/>
        <rFont val="Arial"/>
        <family val="2"/>
      </rPr>
      <t>del</t>
    </r>
  </si>
  <si>
    <t>gal/day</t>
  </si>
  <si>
    <t>lb/day</t>
  </si>
  <si>
    <r>
      <t>M</t>
    </r>
    <r>
      <rPr>
        <b/>
        <vertAlign val="subscript"/>
        <sz val="10"/>
        <rFont val="Arial"/>
        <family val="2"/>
      </rPr>
      <t>total</t>
    </r>
  </si>
  <si>
    <r>
      <t>Z</t>
    </r>
    <r>
      <rPr>
        <b/>
        <vertAlign val="subscript"/>
        <sz val="10"/>
        <rFont val="Arial"/>
        <family val="2"/>
      </rPr>
      <t>aux</t>
    </r>
  </si>
  <si>
    <r>
      <t>E</t>
    </r>
    <r>
      <rPr>
        <b/>
        <vertAlign val="subscript"/>
        <sz val="10"/>
        <rFont val="Geneva"/>
        <family val="0"/>
      </rPr>
      <t>Annual</t>
    </r>
  </si>
  <si>
    <r>
      <t>C</t>
    </r>
    <r>
      <rPr>
        <b/>
        <vertAlign val="subscript"/>
        <sz val="10"/>
        <rFont val="Arial"/>
        <family val="2"/>
      </rPr>
      <t>p</t>
    </r>
  </si>
  <si>
    <r>
      <t>365 * Q</t>
    </r>
    <r>
      <rPr>
        <vertAlign val="subscript"/>
        <sz val="10"/>
        <rFont val="Arial"/>
        <family val="2"/>
      </rPr>
      <t>DM</t>
    </r>
  </si>
  <si>
    <r>
      <t>C</t>
    </r>
    <r>
      <rPr>
        <b/>
        <vertAlign val="subscript"/>
        <sz val="10"/>
        <rFont val="Arial"/>
        <family val="2"/>
      </rPr>
      <t>P</t>
    </r>
  </si>
  <si>
    <t xml:space="preserve">Energy Factor </t>
  </si>
  <si>
    <r>
      <t>M</t>
    </r>
    <r>
      <rPr>
        <b/>
        <vertAlign val="subscript"/>
        <sz val="10"/>
        <rFont val="Arial"/>
        <family val="2"/>
      </rPr>
      <t>Total</t>
    </r>
  </si>
  <si>
    <t>Annual Energy Consumption (Section 6.1.8)</t>
  </si>
  <si>
    <t>Assumption based on ANSI/ASHRAE Standard 118.2-2006</t>
  </si>
  <si>
    <r>
      <t>E</t>
    </r>
    <r>
      <rPr>
        <b/>
        <vertAlign val="subscript"/>
        <sz val="10"/>
        <rFont val="Geneva"/>
        <family val="0"/>
      </rPr>
      <t>Annual_Fuel</t>
    </r>
  </si>
  <si>
    <r>
      <t>E</t>
    </r>
    <r>
      <rPr>
        <b/>
        <vertAlign val="subscript"/>
        <sz val="10"/>
        <rFont val="Geneva"/>
        <family val="0"/>
      </rPr>
      <t>Annual_Electricity</t>
    </r>
  </si>
  <si>
    <t>Specific heat capacity of water (assumed to be constant at each draw)  = 1.0 Btu/°F *lb</t>
  </si>
  <si>
    <r>
      <t>E</t>
    </r>
    <r>
      <rPr>
        <b/>
        <vertAlign val="subscript"/>
        <sz val="10"/>
        <rFont val="Arial"/>
        <family val="2"/>
      </rPr>
      <t>Annual</t>
    </r>
    <r>
      <rPr>
        <b/>
        <sz val="10"/>
        <rFont val="Arial"/>
        <family val="2"/>
      </rPr>
      <t xml:space="preserve"> - E</t>
    </r>
    <r>
      <rPr>
        <b/>
        <vertAlign val="subscript"/>
        <sz val="10"/>
        <rFont val="Arial"/>
        <family val="2"/>
      </rPr>
      <t>Annual_Electricity</t>
    </r>
    <r>
      <rPr>
        <b/>
        <sz val="10"/>
        <rFont val="Arial"/>
        <family val="2"/>
      </rPr>
      <t xml:space="preserve"> / 3.412</t>
    </r>
  </si>
  <si>
    <t>Annual Gas Fuel Energy Consumption</t>
  </si>
  <si>
    <r>
      <t>(M</t>
    </r>
    <r>
      <rPr>
        <vertAlign val="subscript"/>
        <sz val="10"/>
        <rFont val="Geneva"/>
        <family val="0"/>
      </rPr>
      <t>Total</t>
    </r>
    <r>
      <rPr>
        <sz val="10"/>
        <rFont val="Geneva"/>
        <family val="0"/>
      </rPr>
      <t xml:space="preserve"> * C</t>
    </r>
    <r>
      <rPr>
        <vertAlign val="subscript"/>
        <sz val="10"/>
        <rFont val="Geneva"/>
        <family val="0"/>
      </rPr>
      <t>P</t>
    </r>
    <r>
      <rPr>
        <sz val="10"/>
        <rFont val="Geneva"/>
        <family val="0"/>
      </rPr>
      <t xml:space="preserve"> * ( T</t>
    </r>
    <r>
      <rPr>
        <vertAlign val="subscript"/>
        <sz val="10"/>
        <rFont val="Geneva"/>
        <family val="0"/>
      </rPr>
      <t>del</t>
    </r>
    <r>
      <rPr>
        <sz val="10"/>
        <rFont val="Geneva"/>
        <family val="0"/>
      </rPr>
      <t xml:space="preserve"> - T</t>
    </r>
    <r>
      <rPr>
        <vertAlign val="subscript"/>
        <sz val="10"/>
        <rFont val="Geneva"/>
        <family val="0"/>
      </rPr>
      <t>in</t>
    </r>
    <r>
      <rPr>
        <sz val="10"/>
        <rFont val="Geneva"/>
        <family val="0"/>
      </rPr>
      <t xml:space="preserve"> )  ) / </t>
    </r>
    <r>
      <rPr>
        <b/>
        <i/>
        <sz val="10"/>
        <rFont val="Geneva"/>
        <family val="0"/>
      </rPr>
      <t>E</t>
    </r>
    <r>
      <rPr>
        <b/>
        <i/>
        <vertAlign val="subscript"/>
        <sz val="10"/>
        <rFont val="Geneva"/>
        <family val="0"/>
      </rPr>
      <t>F</t>
    </r>
  </si>
  <si>
    <t>Annual auxilary electrical energy consumption</t>
  </si>
  <si>
    <t>daily hot water consumption = 64.3 gallons</t>
  </si>
  <si>
    <t>Nominal cold water supply temperature = 58 °F</t>
  </si>
  <si>
    <r>
      <t>U</t>
    </r>
    <r>
      <rPr>
        <vertAlign val="subscript"/>
        <sz val="10"/>
        <rFont val="Arial"/>
        <family val="2"/>
      </rPr>
      <t xml:space="preserve">t </t>
    </r>
    <r>
      <rPr>
        <sz val="10"/>
        <rFont val="Arial"/>
        <family val="2"/>
      </rPr>
      <t>* d</t>
    </r>
    <r>
      <rPr>
        <vertAlign val="subscript"/>
        <sz val="10"/>
        <rFont val="Arial"/>
        <family val="2"/>
      </rPr>
      <t>2</t>
    </r>
  </si>
  <si>
    <t>Nominal mean storage tank temperature = 135 °F</t>
  </si>
  <si>
    <r>
      <t>U</t>
    </r>
    <r>
      <rPr>
        <b/>
        <vertAlign val="subscript"/>
        <sz val="10"/>
        <rFont val="Arial"/>
        <family val="2"/>
      </rPr>
      <t>t</t>
    </r>
  </si>
  <si>
    <r>
      <t>d</t>
    </r>
    <r>
      <rPr>
        <b/>
        <vertAlign val="subscript"/>
        <sz val="10"/>
        <rFont val="Arial"/>
        <family val="2"/>
      </rPr>
      <t>2</t>
    </r>
  </si>
  <si>
    <t>kWh/day</t>
  </si>
  <si>
    <t>Btu/day</t>
  </si>
  <si>
    <t>Btuhr</t>
  </si>
  <si>
    <t>Btu/hr</t>
  </si>
  <si>
    <r>
      <t>T</t>
    </r>
    <r>
      <rPr>
        <b/>
        <vertAlign val="subscript"/>
        <sz val="10"/>
        <rFont val="Arial"/>
        <family val="2"/>
      </rPr>
      <t>TANK</t>
    </r>
  </si>
  <si>
    <r>
      <t>T</t>
    </r>
    <r>
      <rPr>
        <b/>
        <vertAlign val="subscript"/>
        <sz val="10"/>
        <rFont val="Arial"/>
        <family val="2"/>
      </rPr>
      <t>IN</t>
    </r>
  </si>
  <si>
    <r>
      <t>T</t>
    </r>
    <r>
      <rPr>
        <b/>
        <vertAlign val="subscript"/>
        <sz val="10"/>
        <rFont val="Arial"/>
        <family val="2"/>
      </rPr>
      <t>AMB</t>
    </r>
  </si>
  <si>
    <t>Btu/hr °F</t>
  </si>
  <si>
    <t>RE</t>
  </si>
  <si>
    <r>
      <t>Q</t>
    </r>
    <r>
      <rPr>
        <b/>
        <vertAlign val="subscript"/>
        <sz val="10"/>
        <rFont val="Arial"/>
        <family val="2"/>
      </rPr>
      <t>IN</t>
    </r>
  </si>
  <si>
    <t>kW</t>
  </si>
  <si>
    <t>min/cycle</t>
  </si>
  <si>
    <t>Cycles</t>
  </si>
  <si>
    <t>Draws/day</t>
  </si>
  <si>
    <r>
      <t>P</t>
    </r>
    <r>
      <rPr>
        <vertAlign val="subscript"/>
        <sz val="10"/>
        <rFont val="Arial"/>
        <family val="2"/>
      </rPr>
      <t>IG</t>
    </r>
  </si>
  <si>
    <r>
      <t>T</t>
    </r>
    <r>
      <rPr>
        <vertAlign val="subscript"/>
        <sz val="10"/>
        <rFont val="Arial"/>
        <family val="2"/>
      </rPr>
      <t>IG</t>
    </r>
  </si>
  <si>
    <r>
      <t>Q</t>
    </r>
    <r>
      <rPr>
        <vertAlign val="subscript"/>
        <sz val="10"/>
        <rFont val="Arial"/>
        <family val="2"/>
      </rPr>
      <t>IN</t>
    </r>
  </si>
  <si>
    <r>
      <t>P</t>
    </r>
    <r>
      <rPr>
        <vertAlign val="subscript"/>
        <sz val="10"/>
        <rFont val="Arial"/>
        <family val="2"/>
      </rPr>
      <t>Standby</t>
    </r>
  </si>
  <si>
    <t>Number of draws per day = 6</t>
  </si>
  <si>
    <t>Assumption based on DOE Test Procedure 24 hr test</t>
  </si>
  <si>
    <t>Rated fuel input capacity</t>
  </si>
  <si>
    <t>MMBtu/yr</t>
  </si>
  <si>
    <r>
      <t>P</t>
    </r>
    <r>
      <rPr>
        <b/>
        <vertAlign val="subscript"/>
        <sz val="10"/>
        <rFont val="Arial"/>
        <family val="2"/>
      </rPr>
      <t>aux</t>
    </r>
  </si>
  <si>
    <r>
      <t>t</t>
    </r>
    <r>
      <rPr>
        <b/>
        <vertAlign val="subscript"/>
        <sz val="10"/>
        <rFont val="Arial"/>
        <family val="2"/>
      </rPr>
      <t>ig</t>
    </r>
  </si>
  <si>
    <r>
      <t>P</t>
    </r>
    <r>
      <rPr>
        <b/>
        <vertAlign val="subscript"/>
        <sz val="10"/>
        <rFont val="Arial"/>
        <family val="2"/>
      </rPr>
      <t>standby</t>
    </r>
  </si>
  <si>
    <r>
      <t>P</t>
    </r>
    <r>
      <rPr>
        <b/>
        <vertAlign val="subscript"/>
        <sz val="10"/>
        <rFont val="Arial"/>
        <family val="2"/>
      </rPr>
      <t>ig</t>
    </r>
  </si>
  <si>
    <t>Instantaneous Gas Water Heaters</t>
  </si>
  <si>
    <t>Energy Calculation Parameters</t>
  </si>
  <si>
    <t>Standard Pilot Light</t>
  </si>
  <si>
    <t>pilot_light</t>
  </si>
  <si>
    <t>Assessment of Technology for Improving the Efficiency of Residential Gas Water Heaters. (Nov. 1990-Dec.1991). Gas Research Institute (GRI). Pg. 56</t>
  </si>
  <si>
    <t>Electronic Ignition (burner on)</t>
  </si>
  <si>
    <t>elec_ignition</t>
  </si>
  <si>
    <t>Watts</t>
  </si>
  <si>
    <t>Assessment of Technology for Improving the Efficiency of Residential Gas Water Heaters. (Nov. 1990-Dec.1991). Gas Research Institute (GRI). Pg. 63</t>
  </si>
  <si>
    <t>Hot Surface Ignition (warm-up)</t>
  </si>
  <si>
    <t>HSI_warm_up</t>
  </si>
  <si>
    <t>Hot Surface Ignition Warm-up period</t>
  </si>
  <si>
    <t>t_ig_hsi</t>
  </si>
  <si>
    <t>seconds</t>
  </si>
  <si>
    <t>Inducer Blower</t>
  </si>
  <si>
    <t>inducer_blower</t>
  </si>
  <si>
    <t>transformer</t>
  </si>
  <si>
    <t>Maintenance Cost for Baseline</t>
  </si>
  <si>
    <t>maint_cost_baseline</t>
  </si>
  <si>
    <t>1990 Consumer Price Index</t>
  </si>
  <si>
    <t>CPI_1990</t>
  </si>
  <si>
    <t>-</t>
  </si>
  <si>
    <t>1992 Consumer Price Index</t>
  </si>
  <si>
    <t>CPI_1992</t>
  </si>
  <si>
    <t>1999 Consumer Price Index</t>
  </si>
  <si>
    <t>CPI_1999</t>
  </si>
  <si>
    <t>2001 Consumer Price Index</t>
  </si>
  <si>
    <t>CPI_2001</t>
  </si>
  <si>
    <t>2002 Consumer Price Index</t>
  </si>
  <si>
    <t>CPI_2002</t>
  </si>
  <si>
    <t>2003 Consumer Price Index</t>
  </si>
  <si>
    <t>CPI_2003</t>
  </si>
  <si>
    <t>2004 Consumer Price Index</t>
  </si>
  <si>
    <t>CPI_2004</t>
  </si>
  <si>
    <t>2005 Consumer Price Index</t>
  </si>
  <si>
    <t>CPI_2005</t>
  </si>
  <si>
    <t>2006 Consumer Price Index</t>
  </si>
  <si>
    <t>CPI_2006</t>
  </si>
  <si>
    <t>Mfr Markup</t>
  </si>
  <si>
    <t>mfr_markup</t>
  </si>
  <si>
    <t>Wholesaler Markup</t>
  </si>
  <si>
    <t>distr_markup</t>
  </si>
  <si>
    <t>incr_distr_markup</t>
  </si>
  <si>
    <t>Contractor Markup</t>
  </si>
  <si>
    <t>contr_markup</t>
  </si>
  <si>
    <t>incr_contr_markup</t>
  </si>
  <si>
    <t>Builder Markup</t>
  </si>
  <si>
    <t>bld_markup</t>
  </si>
  <si>
    <t>incr_bld_markup</t>
  </si>
  <si>
    <t>Sales Tax</t>
  </si>
  <si>
    <t>sales_tax</t>
  </si>
  <si>
    <t xml:space="preserve">Markup on the BASELINE Cost </t>
  </si>
  <si>
    <t>markup_base_cost</t>
  </si>
  <si>
    <t>Markup on the INCREMENTAL Cost</t>
  </si>
  <si>
    <t>markup_increm_cost</t>
  </si>
  <si>
    <t>elec_price</t>
  </si>
  <si>
    <t>$/kWh</t>
  </si>
  <si>
    <t>NG_price</t>
  </si>
  <si>
    <t>$/MBtu</t>
  </si>
  <si>
    <t>LPG_price</t>
  </si>
  <si>
    <t>fuel_price</t>
  </si>
  <si>
    <t>Fraction of households with LPG</t>
  </si>
  <si>
    <t>frac_lpg</t>
  </si>
  <si>
    <t>RECS 2001</t>
  </si>
  <si>
    <t>base_input_cap_sm</t>
  </si>
  <si>
    <r>
      <t>Burner</t>
    </r>
    <r>
      <rPr>
        <b/>
        <vertAlign val="subscript"/>
        <sz val="10"/>
        <rFont val="Arial"/>
        <family val="2"/>
      </rPr>
      <t>ON</t>
    </r>
  </si>
  <si>
    <r>
      <t>Burner</t>
    </r>
    <r>
      <rPr>
        <b/>
        <vertAlign val="subscript"/>
        <sz val="10"/>
        <rFont val="Arial"/>
        <family val="2"/>
      </rPr>
      <t>OFF</t>
    </r>
  </si>
  <si>
    <t>MMBtu/ye</t>
  </si>
  <si>
    <t>kWh/y</t>
  </si>
  <si>
    <t>hrs/y</t>
  </si>
  <si>
    <t>MMBTU/y</t>
  </si>
  <si>
    <t>(P_IG * Cycles * t_IG / 60 + P_aux * (Q_DM - Q_p *24) / (Q_IN - Q_p)+ P_Standby * (24 - (Q_DM - Q_p *24 )  / (Q_IN - Q_p))) / (1 + P_aux * (3412 ) / (Q_IN - Q_p) - P_Standby *  (3412 )  / (Q_IN - Q_p))</t>
  </si>
  <si>
    <t>(Q_DM - Z_aux * 3412 - Q_p * 24) / (Q_IN -Q_p) * 365</t>
  </si>
  <si>
    <t>8760 - Burner_on</t>
  </si>
  <si>
    <t>Electricity consumption by ignition device</t>
  </si>
  <si>
    <t>Time ignition device is on</t>
  </si>
  <si>
    <r>
      <t>P</t>
    </r>
    <r>
      <rPr>
        <vertAlign val="subscript"/>
        <sz val="10"/>
        <rFont val="Arial"/>
        <family val="2"/>
      </rPr>
      <t>Aux</t>
    </r>
  </si>
  <si>
    <t>Electricity consumption by auxilary electrical components while water heater burner is on</t>
  </si>
  <si>
    <r>
      <t>Q</t>
    </r>
    <r>
      <rPr>
        <vertAlign val="subscript"/>
        <sz val="10"/>
        <rFont val="Arial"/>
        <family val="2"/>
      </rPr>
      <t>P</t>
    </r>
  </si>
  <si>
    <t>Pilot Light energy use</t>
  </si>
  <si>
    <t>Electricity use while the water heater burner is off</t>
  </si>
  <si>
    <r>
      <t>4)</t>
    </r>
    <r>
      <rPr>
        <b/>
        <sz val="10"/>
        <rFont val="Arial"/>
        <family val="2"/>
      </rPr>
      <t xml:space="preserve"> Energy Use Calculations Worksheet (TP_EnergyUseCalc) </t>
    </r>
    <r>
      <rPr>
        <sz val="10"/>
        <rFont val="Arial"/>
        <family val="2"/>
      </rPr>
      <t>- utilizes DOE water heater test procedure to calculate parameters used in the energy use calculations.</t>
    </r>
  </si>
  <si>
    <r>
      <t>5)</t>
    </r>
    <r>
      <rPr>
        <b/>
        <sz val="10"/>
        <rFont val="Arial"/>
        <family val="2"/>
      </rPr>
      <t xml:space="preserve"> Definitions Worksheet (TP_Definitions) </t>
    </r>
    <r>
      <rPr>
        <sz val="10"/>
        <rFont val="Arial"/>
        <family val="2"/>
      </rPr>
      <t>- lists and define equations and variables used in the energy use calculations worksheet.</t>
    </r>
  </si>
  <si>
    <r>
      <t>3)</t>
    </r>
    <r>
      <rPr>
        <b/>
        <sz val="10"/>
        <rFont val="Arial"/>
        <family val="2"/>
      </rPr>
      <t xml:space="preserve"> Engineering Worksheet (Instantaneous Gas WH) </t>
    </r>
    <r>
      <rPr>
        <sz val="10"/>
        <rFont val="Arial"/>
        <family val="2"/>
      </rPr>
      <t>- contains the total and incremental manufacturer costs,  retail prices, the installation costs, the repair and maintenance costs, the energy use calculations, and the simple payback period calculations at each efficiency level.</t>
    </r>
  </si>
  <si>
    <t>0.62 EF</t>
  </si>
  <si>
    <t>Efficiency Levels</t>
  </si>
  <si>
    <t>0.69 EF</t>
  </si>
  <si>
    <t>0.80 EF</t>
  </si>
  <si>
    <t>0.82 EF</t>
  </si>
  <si>
    <t>0.84 EF</t>
  </si>
  <si>
    <t>0.85 EF</t>
  </si>
  <si>
    <t>0.92 EF</t>
  </si>
  <si>
    <t>Baseline Input Capacity (default)</t>
  </si>
  <si>
    <t>Maintenance Cost Baseline Frequency</t>
  </si>
  <si>
    <t>maint_cost_baseline_freq</t>
  </si>
  <si>
    <t>Electronic Ignition Repair Cost Adder</t>
  </si>
  <si>
    <t>Power Vent Repair Cost Adder</t>
  </si>
  <si>
    <t>1998 Consumer Price Index</t>
  </si>
  <si>
    <t>CPI_1998</t>
  </si>
  <si>
    <t>Electronic Ignition Repair Cost Adder Freq</t>
  </si>
  <si>
    <t>Electronic Ignition Repair Cost Adder Prob</t>
  </si>
  <si>
    <t>Power Vent Repair Cost Adder Freq</t>
  </si>
  <si>
    <t>Power Vent Repair Cost Adder Prob</t>
  </si>
  <si>
    <t>Condensing Repair Cost Adder</t>
  </si>
  <si>
    <t>Condensing Repair Cost Adder Freq</t>
  </si>
  <si>
    <t>Condensing Repair Cost Adder Prob</t>
  </si>
  <si>
    <t>repair_elec_ignition</t>
  </si>
  <si>
    <t>repair_elec_ignition_freq</t>
  </si>
  <si>
    <t>repair_elec_ignition_prob</t>
  </si>
  <si>
    <t>repair_power_vent</t>
  </si>
  <si>
    <t>repair_power_vent_freq</t>
  </si>
  <si>
    <t>repair_power_vent_prob</t>
  </si>
  <si>
    <t>repair_condensing</t>
  </si>
  <si>
    <t>repair_condensing_freq</t>
  </si>
  <si>
    <t>repair_condensing_prob</t>
  </si>
  <si>
    <t>Installation Costs (New Construction)</t>
  </si>
  <si>
    <t>Installation Costs (Retrofit)</t>
  </si>
  <si>
    <t>Instl_Cost_New_Construction</t>
  </si>
  <si>
    <t>Instl_Cost_Retrofit</t>
  </si>
  <si>
    <t>Numerical Values</t>
  </si>
  <si>
    <t>Cost</t>
  </si>
  <si>
    <t>YEAR$</t>
  </si>
  <si>
    <t>Original $ Value</t>
  </si>
  <si>
    <t>Wholesaler Markup (Incremental)</t>
  </si>
  <si>
    <t>Contractor Markup (Incremental)</t>
  </si>
  <si>
    <t>Builder Markup (Incremental)</t>
  </si>
  <si>
    <t>0.78 EF</t>
  </si>
  <si>
    <t>Fraction of New Construction Installations</t>
  </si>
  <si>
    <t>frac_new_constr</t>
  </si>
  <si>
    <t>Fraction of Retrofit Installations</t>
  </si>
  <si>
    <t>frac_retrofit</t>
  </si>
  <si>
    <t>Fraction of Retrofit Installations (Retail)</t>
  </si>
  <si>
    <t>frac_retrofit_retail</t>
  </si>
  <si>
    <t>Retailer Markup</t>
  </si>
  <si>
    <t>retailer_markup</t>
  </si>
  <si>
    <t>Retailer Markup (Incremental)</t>
  </si>
  <si>
    <t>incr_retailer_markup</t>
  </si>
  <si>
    <t>2007 Consumer Price Index</t>
  </si>
  <si>
    <t>CPI_2007</t>
  </si>
  <si>
    <t>2015Electrical Energy Price</t>
  </si>
  <si>
    <t>Annual Energy Outlook 2008 (DOE/EIA-0383, 2008), Table   A3.  Energy Prices by Sector and Source</t>
  </si>
  <si>
    <t>2015 Residential Natural Gas Price</t>
  </si>
  <si>
    <t>2015 Residential LPG Price</t>
  </si>
  <si>
    <t>2015 Residential Fuel Price</t>
  </si>
  <si>
    <t>Standing Pilot, Improved HX</t>
  </si>
  <si>
    <t>Electronic Ignition, Improved HX</t>
  </si>
  <si>
    <t>Pilot Ignition Repair Cost Adder</t>
  </si>
  <si>
    <t>Pilot Ignition Repair Cost Adder Freq</t>
  </si>
  <si>
    <t>Pilot Ignition Repair Cost Adder Prob</t>
  </si>
  <si>
    <t>repair_pilot_ignition</t>
  </si>
  <si>
    <t>repair_pilot_ignition_freq</t>
  </si>
  <si>
    <t>repair_pilot_ignition_prob</t>
  </si>
  <si>
    <t>Instantaneous Gas Water Heater Average Lifetime</t>
  </si>
  <si>
    <t>Instl_Cost_elec_Retrofit</t>
  </si>
  <si>
    <t>Instl_Cost_elec_New_Constr</t>
  </si>
  <si>
    <t>Electricity Adder (Retrofit)</t>
  </si>
  <si>
    <t>Forced Draft Venting Adder (Retrofit)</t>
  </si>
  <si>
    <t>Forced Draft Venting Adder (New Construction)</t>
  </si>
  <si>
    <t>Electricity Adder  (New Construction)</t>
  </si>
  <si>
    <t>Condensing Venting Adder (Retrofit)</t>
  </si>
  <si>
    <t>Condensing Venting Adder (New Construction)</t>
  </si>
  <si>
    <t>Instl_Cost_SSvent_New_Constr</t>
  </si>
  <si>
    <t>Instl_Cost_SSvent_Retrofit</t>
  </si>
  <si>
    <t>Instl_Cost_Condvent_Retrofit</t>
  </si>
  <si>
    <t>Instl_Cost_Condvent_New_Constr</t>
  </si>
  <si>
    <t>Fraction of Retrofit Installations Requiring Electricity</t>
  </si>
  <si>
    <t>frac_retrofit_elec</t>
  </si>
  <si>
    <t>2007$</t>
  </si>
  <si>
    <t>Fraction of New Construction Installations (Builder Only)</t>
  </si>
  <si>
    <t>frac_new_builder_only</t>
  </si>
  <si>
    <t>Cost of De-liming</t>
  </si>
  <si>
    <t>Manufacturer Costs (per unit) from Engineering Analysis</t>
  </si>
  <si>
    <t>Consumer Costs from the LCC Analysis</t>
  </si>
  <si>
    <t>Energy Factor</t>
  </si>
  <si>
    <t>Potential Design Option</t>
  </si>
  <si>
    <t>Manufacturer Production Cost (MPC)*</t>
  </si>
  <si>
    <t>Total Manufacturer Selling Price (MSP)**</t>
  </si>
  <si>
    <t>Incremental MSP</t>
  </si>
  <si>
    <t>Installation</t>
  </si>
  <si>
    <t>Instantaneous Gas-fired Water Heaters (199 Kbtu/h) - Representative Input Capacity</t>
  </si>
  <si>
    <t>Electronic Ignition, Power Vent</t>
  </si>
  <si>
    <t>Electronic Ignition, Improved HX, Power Vent</t>
  </si>
  <si>
    <t>Electronic Ignition, Improved HX, Direct Vent, Power Vent</t>
  </si>
  <si>
    <t xml:space="preserve">* The manufacturing production cost (MPC) includes the direct labor, direct material, and direct overhead.  </t>
  </si>
  <si>
    <t>** The manufacturing selling price (MSP) includes manufacturer profit and non-production costs, such as selling, general and administrative expenses, research and development, and interest.</t>
  </si>
  <si>
    <t>Maintenance</t>
  </si>
  <si>
    <t>Standing Pilot (Baseline)</t>
  </si>
  <si>
    <t>Condensing (Max Tech)</t>
  </si>
  <si>
    <t>igwh_lifetime</t>
  </si>
  <si>
    <t>Gas Valve</t>
  </si>
  <si>
    <t>gas_valve</t>
  </si>
  <si>
    <t>Standby Losses</t>
  </si>
  <si>
    <t>Transformer</t>
  </si>
  <si>
    <t>standby_losses</t>
  </si>
  <si>
    <t>AO Smith Tankless WH data</t>
  </si>
  <si>
    <t>in 2007$ (AEO lists in 2006$), forecasted 2015 Electricity Price</t>
  </si>
  <si>
    <t>in 2007$ (AEO lists in 2006$), forecasted 2015 Natural Gas Price</t>
  </si>
  <si>
    <t>in 2007$ (AEO lists in 2006$), forecasted 2015 LPG Price</t>
  </si>
  <si>
    <t>DEER; ACEEE; NAHB; Low Energy Systems; Builders Websource</t>
  </si>
  <si>
    <t>calculated</t>
  </si>
  <si>
    <t xml:space="preserve">Electrical Wiring Outlet </t>
  </si>
  <si>
    <t>Elec_Wiring_adder</t>
  </si>
  <si>
    <t>Fraction of Retrofit Installations Requiring Wiring Outlet</t>
  </si>
  <si>
    <t>Elec_Wiring_Frac</t>
  </si>
  <si>
    <t xml:space="preserve">Electrical Outlet (New Construction) </t>
  </si>
  <si>
    <t>Elec_Outlet_adder</t>
  </si>
  <si>
    <t>Elec_Outlet_Frac</t>
  </si>
  <si>
    <t>Electrical Grounding for Households Built Before 1960</t>
  </si>
  <si>
    <t>Elec_Grounding</t>
  </si>
  <si>
    <t>Fraction of Retrofit Installations Built Before 1960</t>
  </si>
  <si>
    <t>Elec_Grounding_Frac</t>
  </si>
  <si>
    <r>
      <t xml:space="preserve">365 * </t>
    </r>
    <r>
      <rPr>
        <b/>
        <sz val="10"/>
        <color indexed="63"/>
        <rFont val="Arial"/>
        <family val="2"/>
      </rPr>
      <t>Z</t>
    </r>
    <r>
      <rPr>
        <b/>
        <vertAlign val="subscript"/>
        <sz val="10"/>
        <color indexed="63"/>
        <rFont val="Arial"/>
        <family val="2"/>
      </rPr>
      <t>aux</t>
    </r>
  </si>
  <si>
    <t>density of water in lb/gal at the mean outlet water temperature = 8.204</t>
  </si>
  <si>
    <t xml:space="preserve">     Ashley Armstrong, Navigant Consulting,  (202) 973-4528, Ashley.Armstrong@NavigantConsulting.com</t>
  </si>
  <si>
    <t xml:space="preserve">     Alex Lekov, Lawrence Berkeley National Laboratory, (510) 486-6849, ablekov@lbl.gov</t>
  </si>
  <si>
    <t>Assessment of Technology for Improving the Efficiency of Residential Gas Water Heaters. (Nov. 1990-Dec.1991). Gas Research Institute (GRI). Pg. 64</t>
  </si>
  <si>
    <t>Rulemaking Framework for Residential Water Heaters, Direct Heating Equipment, and Pool Heaters (September 27, 2006)</t>
  </si>
  <si>
    <t>Bureau of Labor Statistics - Consumer Price Index (http://www.bls.gov/cpi/)</t>
  </si>
  <si>
    <t>Included in MSP Calculation</t>
  </si>
  <si>
    <t>See TSD, Ch 5</t>
  </si>
  <si>
    <t>1997 Economic Census, Business Expenses Survey. See TSD, Ch 5</t>
  </si>
  <si>
    <t>2008 RS Means Mechanical Cost Data</t>
  </si>
  <si>
    <t>2002 Economic Census Geographic Area Series Construction. See TSD, Ch 5</t>
  </si>
  <si>
    <t>Sales Tax Clearinghouse. See TSD, Ch 5</t>
  </si>
  <si>
    <t>Does not include manufacturer markup</t>
  </si>
  <si>
    <t>This workbook contains one introductory worksheet, one data worksheet and one engineering worksheet. One additional worksheet that utilizes DOE water heater test procedure to calculate parameters used in the energy use calculations and another worksheet to list and define equations and variables used. Microsoft Excel 2000 or a later version is required to access the workbook.</t>
  </si>
  <si>
    <t>Equations for calculating the Energy Consumption of Gas-Fired Instantaneous Water Heaters</t>
  </si>
  <si>
    <t>See Appendix 8-A</t>
  </si>
  <si>
    <t>See Appendix 8-B</t>
  </si>
  <si>
    <t xml:space="preserve">See TSD, Ch 8. </t>
  </si>
  <si>
    <t xml:space="preserve">See TSD, Ch 5. </t>
  </si>
  <si>
    <t>Daily water heating energy consumption (Section 6.1.7). Assumes specific heat of water is constant.</t>
  </si>
  <si>
    <t>Electrical energy used by any auxilary electric equipment (kWh) Assumes that Zaux is very small compared to QDM.</t>
  </si>
  <si>
    <t>Total mass of water withdrawn (Assumes specific heat of water is constant and density of water constant)</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</si>
</sst>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quot;$&quot;#,##0.00"/>
    <numFmt numFmtId="168" formatCode="0.000"/>
    <numFmt numFmtId="169" formatCode="0.000%"/>
    <numFmt numFmtId="170" formatCode="0.00000"/>
    <numFmt numFmtId="171" formatCode="#,##0.0"/>
    <numFmt numFmtId="172" formatCode="#,##0.000"/>
    <numFmt numFmtId="173" formatCode="0.000000"/>
    <numFmt numFmtId="174" formatCode="0.0000000"/>
    <numFmt numFmtId="175" formatCode="#,##0.0000"/>
    <numFmt numFmtId="176" formatCode="0.0000000000"/>
    <numFmt numFmtId="177" formatCode="0.000000000"/>
    <numFmt numFmtId="178" formatCode="0.00000000"/>
    <numFmt numFmtId="179" formatCode="&quot;$&quot;#,##0.0"/>
    <numFmt numFmtId="180" formatCode="&quot;$&quot;#,##0.000"/>
    <numFmt numFmtId="181" formatCode="&quot;$&quot;#,##0.0000"/>
    <numFmt numFmtId="182" formatCode="0.00000000000"/>
    <numFmt numFmtId="183" formatCode="&quot;Yes&quot;;&quot;Yes&quot;;&quot;No&quot;"/>
    <numFmt numFmtId="184" formatCode="&quot;True&quot;;&quot;True&quot;;&quot;False&quot;"/>
    <numFmt numFmtId="185" formatCode="&quot;On&quot;;&quot;On&quot;;&quot;Off&quot;"/>
    <numFmt numFmtId="186" formatCode="&quot;$&quot;#,##0"/>
    <numFmt numFmtId="187" formatCode="&quot;$&quot;#,##0.0000_);\(&quot;$&quot;#,##0.0000\)"/>
    <numFmt numFmtId="188" formatCode="0.00_)"/>
    <numFmt numFmtId="189" formatCode="_(* #,##0.000_);_(* \(#,##0.000\);_(* &quot;-&quot;??_);_(@_)"/>
    <numFmt numFmtId="190" formatCode="_(&quot;$&quot;* #,##0.000_);_(&quot;$&quot;* \(#,##0.000\);_(&quot;$&quot;* &quot;-&quot;??_);_(@_)"/>
    <numFmt numFmtId="191" formatCode="&quot;$&quot;#,##0.0_);\(&quot;$&quot;#,##0.0\)"/>
    <numFmt numFmtId="192" formatCode="&quot;$&quot;#,##0.000_);\(&quot;$&quot;#,##0.000\)"/>
    <numFmt numFmtId="193" formatCode="_(&quot;$&quot;* #,##0.0_);_(&quot;$&quot;* \(#,##0.0\);_(&quot;$&quot;* &quot;-&quot;??_);_(@_)"/>
    <numFmt numFmtId="194" formatCode="_(&quot;$&quot;* #,##0_);_(&quot;$&quot;* \(#,##0\);_(&quot;$&quot;* &quot;-&quot;??_);_(@_)"/>
    <numFmt numFmtId="195" formatCode="&quot;$&quot;#,##0.000000"/>
    <numFmt numFmtId="196" formatCode="_(* #,##0.0_);_(* \(#,##0.0\);_(* &quot;-&quot;??_);_(@_)"/>
    <numFmt numFmtId="197" formatCode="_(* #,##0_);_(* \(#,##0\);_(* &quot;-&quot;??_);_(@_)"/>
    <numFmt numFmtId="198" formatCode="0.000000000000"/>
    <numFmt numFmtId="199" formatCode="0.0000000000000"/>
    <numFmt numFmtId="200" formatCode="0.00000000000000"/>
    <numFmt numFmtId="201" formatCode="0.000000000000000"/>
    <numFmt numFmtId="202" formatCode="0.0000000000000000"/>
    <numFmt numFmtId="203" formatCode="0.00000000000000000"/>
    <numFmt numFmtId="204" formatCode="0.000000000000000000"/>
    <numFmt numFmtId="205" formatCode="0.0000000000000000000"/>
    <numFmt numFmtId="206" formatCode="m/d/yy"/>
    <numFmt numFmtId="207" formatCode="m/d/yy\ h:mm"/>
    <numFmt numFmtId="208" formatCode="&quot;$&quot;#,##0.00000_);\(&quot;$&quot;#,##0.00000\)"/>
    <numFmt numFmtId="209" formatCode="[$€-2]\ #,##0.00_);[Red]\([$€-2]\ #,##0.00\)"/>
    <numFmt numFmtId="210" formatCode="mmm\-yyyy"/>
  </numFmts>
  <fonts count="75">
    <font>
      <sz val="10"/>
      <name val="Arial"/>
      <family val="0"/>
    </font>
    <font>
      <sz val="10"/>
      <name val="Times New Roman"/>
      <family val="0"/>
    </font>
    <font>
      <b/>
      <sz val="12"/>
      <name val="Times New Roman"/>
      <family val="0"/>
    </font>
    <font>
      <b/>
      <sz val="10"/>
      <name val="Arial"/>
      <family val="2"/>
    </font>
    <font>
      <b/>
      <u val="single"/>
      <sz val="12"/>
      <name val="Arial"/>
      <family val="2"/>
    </font>
    <font>
      <b/>
      <sz val="14"/>
      <name val="Times New Roman"/>
      <family val="1"/>
    </font>
    <font>
      <b/>
      <sz val="14"/>
      <name val="Arial"/>
      <family val="2"/>
    </font>
    <font>
      <b/>
      <u val="single"/>
      <sz val="12"/>
      <color indexed="48"/>
      <name val="Arial"/>
      <family val="2"/>
    </font>
    <font>
      <b/>
      <u val="single"/>
      <sz val="10"/>
      <name val="Arial"/>
      <family val="2"/>
    </font>
    <font>
      <u val="single"/>
      <sz val="10"/>
      <color indexed="12"/>
      <name val="Arial"/>
      <family val="0"/>
    </font>
    <font>
      <u val="single"/>
      <sz val="10"/>
      <color indexed="36"/>
      <name val="Arial"/>
      <family val="0"/>
    </font>
    <font>
      <i/>
      <sz val="12"/>
      <name val="Times New Roman"/>
      <family val="1"/>
    </font>
    <font>
      <b/>
      <sz val="10"/>
      <color indexed="10"/>
      <name val="Arial"/>
      <family val="2"/>
    </font>
    <font>
      <b/>
      <vertAlign val="subscript"/>
      <sz val="10"/>
      <name val="Arial"/>
      <family val="2"/>
    </font>
    <font>
      <i/>
      <sz val="9"/>
      <name val="Arial"/>
      <family val="2"/>
    </font>
    <font>
      <b/>
      <sz val="10"/>
      <color indexed="43"/>
      <name val="Arial"/>
      <family val="2"/>
    </font>
    <font>
      <sz val="10"/>
      <color indexed="43"/>
      <name val="Arial"/>
      <family val="2"/>
    </font>
    <font>
      <sz val="8"/>
      <name val="Tahoma"/>
      <family val="2"/>
    </font>
    <font>
      <b/>
      <i/>
      <u val="single"/>
      <sz val="12"/>
      <name val="Arial"/>
      <family val="2"/>
    </font>
    <font>
      <b/>
      <u val="single"/>
      <sz val="14"/>
      <color indexed="12"/>
      <name val="Times New Roman"/>
      <family val="1"/>
    </font>
    <font>
      <b/>
      <u val="single"/>
      <sz val="14"/>
      <color indexed="48"/>
      <name val="Arial"/>
      <family val="2"/>
    </font>
    <font>
      <sz val="14"/>
      <name val="Arial"/>
      <family val="2"/>
    </font>
    <font>
      <sz val="8"/>
      <name val="Arial"/>
      <family val="0"/>
    </font>
    <font>
      <b/>
      <i/>
      <sz val="14"/>
      <name val="Times New Roman"/>
      <family val="1"/>
    </font>
    <font>
      <sz val="10"/>
      <name val="Geneva"/>
      <family val="0"/>
    </font>
    <font>
      <b/>
      <sz val="10"/>
      <name val="Geneva"/>
      <family val="0"/>
    </font>
    <font>
      <b/>
      <i/>
      <sz val="10"/>
      <name val="Geneva"/>
      <family val="0"/>
    </font>
    <font>
      <b/>
      <vertAlign val="subscript"/>
      <sz val="10"/>
      <name val="Geneva"/>
      <family val="0"/>
    </font>
    <font>
      <sz val="10"/>
      <color indexed="10"/>
      <name val="Arial"/>
      <family val="0"/>
    </font>
    <font>
      <vertAlign val="subscript"/>
      <sz val="10"/>
      <name val="Arial"/>
      <family val="2"/>
    </font>
    <font>
      <vertAlign val="subscript"/>
      <sz val="10"/>
      <name val="Geneva"/>
      <family val="0"/>
    </font>
    <font>
      <b/>
      <i/>
      <vertAlign val="subscript"/>
      <sz val="10"/>
      <name val="Geneva"/>
      <family val="0"/>
    </font>
    <font>
      <b/>
      <sz val="8"/>
      <name val="Tahoma"/>
      <family val="0"/>
    </font>
    <font>
      <b/>
      <sz val="12"/>
      <color indexed="43"/>
      <name val="Times New Roman"/>
      <family val="0"/>
    </font>
    <font>
      <i/>
      <sz val="12"/>
      <color indexed="43"/>
      <name val="Times New Roman"/>
      <family val="0"/>
    </font>
    <font>
      <u val="single"/>
      <sz val="10"/>
      <color indexed="48"/>
      <name val="Arial"/>
      <family val="2"/>
    </font>
    <font>
      <sz val="12"/>
      <color indexed="48"/>
      <name val="Arial"/>
      <family val="2"/>
    </font>
    <font>
      <sz val="10"/>
      <color indexed="63"/>
      <name val="Arial"/>
      <family val="2"/>
    </font>
    <font>
      <b/>
      <sz val="10"/>
      <color indexed="63"/>
      <name val="Arial"/>
      <family val="2"/>
    </font>
    <font>
      <b/>
      <vertAlign val="subscript"/>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54"/>
        <bgColor indexed="64"/>
      </patternFill>
    </fill>
    <fill>
      <patternFill patternType="solid">
        <fgColor indexed="45"/>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style="medium"/>
    </border>
    <border>
      <left style="thin"/>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style="thin"/>
      <bottom style="double"/>
    </border>
    <border>
      <left style="medium"/>
      <right>
        <color indexed="63"/>
      </right>
      <top style="thin"/>
      <bottom style="double"/>
    </border>
    <border>
      <left style="thin"/>
      <right style="thin"/>
      <top style="medium"/>
      <bottom>
        <color indexed="63"/>
      </bottom>
    </border>
    <border>
      <left style="thin"/>
      <right style="medium"/>
      <top style="medium"/>
      <bottom>
        <color indexed="63"/>
      </bottom>
    </border>
    <border>
      <left>
        <color indexed="63"/>
      </left>
      <right style="medium"/>
      <top style="thin"/>
      <bottom style="double"/>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double"/>
    </border>
    <border>
      <left style="medium"/>
      <right>
        <color indexed="63"/>
      </right>
      <top style="thin"/>
      <bottom style="thin"/>
    </border>
    <border>
      <left style="thin"/>
      <right>
        <color indexed="63"/>
      </right>
      <top style="thin"/>
      <bottom style="thin"/>
    </border>
    <border>
      <left style="thin"/>
      <right>
        <color indexed="63"/>
      </right>
      <top style="thin"/>
      <bottom style="medium"/>
    </border>
    <border>
      <left style="medium"/>
      <right style="thin"/>
      <top style="medium"/>
      <bottom style="double"/>
    </border>
    <border>
      <left>
        <color indexed="63"/>
      </left>
      <right style="thin"/>
      <top style="medium"/>
      <bottom style="double"/>
    </border>
    <border>
      <left>
        <color indexed="63"/>
      </left>
      <right>
        <color indexed="63"/>
      </right>
      <top style="medium"/>
      <bottom style="double"/>
    </border>
    <border>
      <left style="medium"/>
      <right>
        <color indexed="63"/>
      </right>
      <top>
        <color indexed="63"/>
      </top>
      <bottom style="medium"/>
    </border>
    <border>
      <left style="thin"/>
      <right>
        <color indexed="63"/>
      </right>
      <top style="medium"/>
      <bottom style="double"/>
    </border>
    <border>
      <left style="thin"/>
      <right style="thin"/>
      <top style="medium"/>
      <bottom style="double"/>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double"/>
    </border>
    <border>
      <left>
        <color indexed="63"/>
      </left>
      <right style="medium"/>
      <top style="medium"/>
      <bottom style="double"/>
    </border>
    <border>
      <left style="thin"/>
      <right style="thin"/>
      <top>
        <color indexed="63"/>
      </top>
      <bottom>
        <color indexed="63"/>
      </bottom>
    </border>
    <border>
      <left>
        <color indexed="63"/>
      </left>
      <right style="medium"/>
      <top>
        <color indexed="63"/>
      </top>
      <bottom>
        <color indexed="63"/>
      </bottom>
    </border>
    <border>
      <left style="thin"/>
      <right style="thin"/>
      <top style="double"/>
      <bottom>
        <color indexed="63"/>
      </bottom>
    </border>
    <border>
      <left style="thin"/>
      <right style="medium"/>
      <top>
        <color indexed="63"/>
      </top>
      <bottom>
        <color indexed="63"/>
      </bottom>
    </border>
    <border>
      <left style="medium"/>
      <right style="thin"/>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thin"/>
      <top>
        <color indexed="63"/>
      </top>
      <bottom style="medium"/>
    </border>
    <border>
      <left style="medium"/>
      <right>
        <color indexed="63"/>
      </right>
      <top style="thin"/>
      <bottom style="medium"/>
    </border>
    <border>
      <left style="thin"/>
      <right>
        <color indexed="63"/>
      </right>
      <top style="medium"/>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31">
    <xf numFmtId="0" fontId="0" fillId="0" borderId="0" xfId="0" applyAlignment="1">
      <alignment/>
    </xf>
    <xf numFmtId="2" fontId="1" fillId="0" borderId="0" xfId="0" applyNumberFormat="1" applyFont="1" applyAlignment="1">
      <alignment horizontal="center"/>
    </xf>
    <xf numFmtId="0" fontId="2" fillId="0" borderId="10" xfId="0" applyFont="1" applyBorder="1" applyAlignment="1">
      <alignment horizontal="center"/>
    </xf>
    <xf numFmtId="0" fontId="0" fillId="0" borderId="0" xfId="0" applyFont="1" applyAlignment="1">
      <alignment/>
    </xf>
    <xf numFmtId="0" fontId="4"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5" fillId="0" borderId="0" xfId="0" applyFont="1" applyAlignment="1">
      <alignment/>
    </xf>
    <xf numFmtId="0" fontId="3" fillId="0" borderId="0" xfId="0" applyFont="1" applyAlignment="1">
      <alignment/>
    </xf>
    <xf numFmtId="0" fontId="0" fillId="0" borderId="0" xfId="0" applyAlignment="1">
      <alignment horizontal="center"/>
    </xf>
    <xf numFmtId="0" fontId="2" fillId="0" borderId="11" xfId="0" applyFont="1" applyBorder="1" applyAlignment="1">
      <alignment horizontal="right"/>
    </xf>
    <xf numFmtId="3" fontId="2" fillId="0" borderId="12" xfId="0" applyNumberFormat="1" applyFont="1" applyBorder="1" applyAlignment="1">
      <alignment horizontal="left"/>
    </xf>
    <xf numFmtId="164" fontId="2" fillId="0" borderId="13" xfId="0" applyNumberFormat="1" applyFont="1" applyBorder="1" applyAlignment="1">
      <alignment horizontal="centerContinuous"/>
    </xf>
    <xf numFmtId="0" fontId="2" fillId="0" borderId="14" xfId="0" applyFont="1" applyBorder="1" applyAlignment="1">
      <alignment horizontal="centerContinuous"/>
    </xf>
    <xf numFmtId="0" fontId="2" fillId="0" borderId="15" xfId="0" applyFont="1" applyBorder="1" applyAlignment="1">
      <alignment horizontal="center" wrapText="1"/>
    </xf>
    <xf numFmtId="164" fontId="2" fillId="0" borderId="16" xfId="0" applyNumberFormat="1" applyFont="1" applyBorder="1" applyAlignment="1">
      <alignment horizontal="centerContinuous"/>
    </xf>
    <xf numFmtId="164" fontId="11" fillId="0" borderId="17" xfId="0" applyNumberFormat="1" applyFont="1" applyBorder="1" applyAlignment="1">
      <alignment horizontal="center"/>
    </xf>
    <xf numFmtId="164" fontId="2" fillId="0" borderId="13" xfId="0" applyNumberFormat="1" applyFont="1" applyBorder="1" applyAlignment="1">
      <alignment horizontal="center" wrapText="1"/>
    </xf>
    <xf numFmtId="0" fontId="2" fillId="0" borderId="14" xfId="0" applyFont="1" applyBorder="1" applyAlignment="1">
      <alignment horizontal="centerContinuous" wrapText="1"/>
    </xf>
    <xf numFmtId="0" fontId="8" fillId="0" borderId="0" xfId="0" applyFont="1" applyAlignment="1">
      <alignment wrapText="1"/>
    </xf>
    <xf numFmtId="0" fontId="0" fillId="0" borderId="0" xfId="0" applyAlignment="1">
      <alignment wrapText="1"/>
    </xf>
    <xf numFmtId="0" fontId="3" fillId="0" borderId="0" xfId="0" applyFont="1" applyAlignment="1">
      <alignment/>
    </xf>
    <xf numFmtId="3" fontId="0" fillId="0" borderId="0" xfId="0" applyNumberFormat="1" applyAlignment="1">
      <alignment horizontal="center"/>
    </xf>
    <xf numFmtId="164" fontId="0" fillId="0" borderId="0" xfId="0" applyNumberFormat="1" applyAlignment="1">
      <alignment horizontal="center"/>
    </xf>
    <xf numFmtId="168" fontId="0" fillId="0" borderId="0" xfId="0" applyNumberFormat="1" applyAlignment="1">
      <alignment horizontal="center"/>
    </xf>
    <xf numFmtId="0" fontId="3" fillId="0" borderId="18" xfId="0" applyFont="1" applyBorder="1" applyAlignment="1">
      <alignment/>
    </xf>
    <xf numFmtId="3" fontId="0" fillId="33" borderId="19" xfId="0" applyNumberFormat="1" applyFill="1" applyBorder="1" applyAlignment="1" applyProtection="1">
      <alignment horizontal="center"/>
      <protection locked="0"/>
    </xf>
    <xf numFmtId="164" fontId="0" fillId="33" borderId="19" xfId="0" applyNumberFormat="1" applyFill="1" applyBorder="1" applyAlignment="1" applyProtection="1">
      <alignment horizontal="center"/>
      <protection locked="0"/>
    </xf>
    <xf numFmtId="1" fontId="0" fillId="33" borderId="19" xfId="0" applyNumberFormat="1" applyFill="1" applyBorder="1" applyAlignment="1" applyProtection="1">
      <alignment horizontal="center"/>
      <protection locked="0"/>
    </xf>
    <xf numFmtId="0" fontId="16" fillId="0" borderId="0" xfId="0" applyFont="1" applyFill="1" applyAlignment="1" applyProtection="1">
      <alignment/>
      <protection/>
    </xf>
    <xf numFmtId="0" fontId="0" fillId="0" borderId="0" xfId="0" applyFill="1" applyAlignment="1">
      <alignment/>
    </xf>
    <xf numFmtId="0" fontId="14" fillId="0" borderId="0" xfId="0" applyFont="1" applyFill="1" applyAlignment="1">
      <alignment horizontal="center"/>
    </xf>
    <xf numFmtId="0" fontId="18" fillId="0" borderId="0" xfId="0" applyFont="1" applyAlignment="1">
      <alignment/>
    </xf>
    <xf numFmtId="0" fontId="0" fillId="0" borderId="0" xfId="0" applyFont="1" applyAlignment="1">
      <alignment vertical="top" wrapText="1"/>
    </xf>
    <xf numFmtId="0" fontId="3" fillId="0" borderId="0" xfId="0" applyFont="1" applyBorder="1" applyAlignment="1">
      <alignment/>
    </xf>
    <xf numFmtId="0" fontId="19" fillId="0" borderId="0" xfId="0" applyFont="1" applyAlignment="1">
      <alignment horizontal="center"/>
    </xf>
    <xf numFmtId="3" fontId="3" fillId="34" borderId="18" xfId="0" applyNumberFormat="1" applyFont="1" applyFill="1" applyBorder="1" applyAlignment="1">
      <alignment horizontal="center"/>
    </xf>
    <xf numFmtId="164" fontId="3" fillId="34" borderId="18" xfId="0" applyNumberFormat="1" applyFont="1" applyFill="1" applyBorder="1" applyAlignment="1">
      <alignment horizontal="center"/>
    </xf>
    <xf numFmtId="0" fontId="0" fillId="0" borderId="20" xfId="0" applyBorder="1" applyAlignment="1">
      <alignment/>
    </xf>
    <xf numFmtId="14" fontId="3" fillId="0" borderId="0" xfId="0" applyNumberFormat="1" applyFont="1" applyAlignment="1">
      <alignment horizontal="left"/>
    </xf>
    <xf numFmtId="0" fontId="3" fillId="0" borderId="0" xfId="0" applyFont="1" applyAlignment="1">
      <alignment wrapText="1"/>
    </xf>
    <xf numFmtId="0" fontId="14" fillId="0" borderId="10" xfId="0" applyFont="1" applyFill="1" applyBorder="1" applyAlignment="1">
      <alignment horizontal="center"/>
    </xf>
    <xf numFmtId="0" fontId="3" fillId="34" borderId="0" xfId="0" applyFont="1" applyFill="1" applyAlignment="1">
      <alignment/>
    </xf>
    <xf numFmtId="0" fontId="0" fillId="35" borderId="21" xfId="0" applyFont="1" applyFill="1" applyBorder="1" applyAlignment="1">
      <alignment/>
    </xf>
    <xf numFmtId="2" fontId="0" fillId="35" borderId="21" xfId="0" applyNumberFormat="1" applyFont="1" applyFill="1" applyBorder="1" applyAlignment="1">
      <alignment horizontal="center"/>
    </xf>
    <xf numFmtId="0" fontId="0" fillId="35" borderId="21" xfId="0" applyFont="1" applyFill="1" applyBorder="1" applyAlignment="1">
      <alignment horizontal="left" vertical="center"/>
    </xf>
    <xf numFmtId="0" fontId="0" fillId="35" borderId="21" xfId="0" applyFont="1" applyFill="1" applyBorder="1" applyAlignment="1">
      <alignment horizontal="left"/>
    </xf>
    <xf numFmtId="0" fontId="0" fillId="35" borderId="21" xfId="0" applyFont="1" applyFill="1" applyBorder="1" applyAlignment="1">
      <alignment vertical="center"/>
    </xf>
    <xf numFmtId="2" fontId="0" fillId="35" borderId="21" xfId="0" applyNumberFormat="1" applyFont="1" applyFill="1" applyBorder="1" applyAlignment="1">
      <alignment horizontal="center" vertical="center"/>
    </xf>
    <xf numFmtId="0" fontId="0" fillId="35" borderId="21" xfId="0" applyFont="1" applyFill="1" applyBorder="1" applyAlignment="1">
      <alignment horizontal="center" vertical="center"/>
    </xf>
    <xf numFmtId="0" fontId="0" fillId="35" borderId="15" xfId="0" applyFont="1" applyFill="1" applyBorder="1" applyAlignment="1">
      <alignment/>
    </xf>
    <xf numFmtId="0" fontId="0" fillId="35" borderId="15" xfId="0" applyFont="1" applyFill="1" applyBorder="1" applyAlignment="1">
      <alignment horizontal="left"/>
    </xf>
    <xf numFmtId="0" fontId="0" fillId="36" borderId="0" xfId="0" applyFont="1" applyFill="1" applyAlignment="1">
      <alignment/>
    </xf>
    <xf numFmtId="0" fontId="0" fillId="36" borderId="0" xfId="0" applyFont="1" applyFill="1" applyAlignment="1">
      <alignment horizontal="center"/>
    </xf>
    <xf numFmtId="0" fontId="0" fillId="36" borderId="0" xfId="0" applyFont="1" applyFill="1" applyBorder="1" applyAlignment="1">
      <alignment/>
    </xf>
    <xf numFmtId="0" fontId="0" fillId="36" borderId="0" xfId="0" applyFont="1" applyFill="1" applyBorder="1" applyAlignment="1">
      <alignment horizontal="center"/>
    </xf>
    <xf numFmtId="0" fontId="0" fillId="36" borderId="0" xfId="0" applyFont="1" applyFill="1" applyBorder="1" applyAlignment="1">
      <alignment vertical="center"/>
    </xf>
    <xf numFmtId="0" fontId="0" fillId="36" borderId="0" xfId="0" applyFont="1" applyFill="1" applyBorder="1" applyAlignment="1">
      <alignment horizontal="left"/>
    </xf>
    <xf numFmtId="0" fontId="21" fillId="36" borderId="0" xfId="0" applyFont="1" applyFill="1" applyBorder="1" applyAlignment="1">
      <alignment/>
    </xf>
    <xf numFmtId="2" fontId="23" fillId="0" borderId="0" xfId="0" applyNumberFormat="1" applyFont="1" applyAlignment="1">
      <alignment horizontal="left"/>
    </xf>
    <xf numFmtId="168" fontId="0" fillId="33" borderId="19" xfId="0" applyNumberFormat="1" applyFont="1" applyFill="1" applyBorder="1" applyAlignment="1" applyProtection="1">
      <alignment horizontal="center"/>
      <protection locked="0"/>
    </xf>
    <xf numFmtId="0" fontId="0" fillId="0" borderId="0" xfId="0" applyAlignment="1">
      <alignment horizontal="left"/>
    </xf>
    <xf numFmtId="0" fontId="0" fillId="0" borderId="0" xfId="0" applyAlignment="1" quotePrefix="1">
      <alignment horizontal="center"/>
    </xf>
    <xf numFmtId="0" fontId="3" fillId="0" borderId="0" xfId="0" applyFont="1" applyAlignment="1">
      <alignment horizontal="left"/>
    </xf>
    <xf numFmtId="0" fontId="25" fillId="0" borderId="0" xfId="0" applyFont="1" applyAlignment="1">
      <alignment horizontal="left"/>
    </xf>
    <xf numFmtId="0" fontId="2" fillId="35" borderId="22" xfId="0" applyFont="1" applyFill="1" applyBorder="1" applyAlignment="1">
      <alignment horizontal="center"/>
    </xf>
    <xf numFmtId="0" fontId="0" fillId="0" borderId="0" xfId="0" applyFill="1" applyAlignment="1">
      <alignment wrapText="1"/>
    </xf>
    <xf numFmtId="0" fontId="3" fillId="34" borderId="0" xfId="0" applyFont="1" applyFill="1" applyAlignment="1">
      <alignment horizontal="left"/>
    </xf>
    <xf numFmtId="0" fontId="3" fillId="37" borderId="23" xfId="0" applyFont="1" applyFill="1" applyBorder="1" applyAlignment="1">
      <alignment horizontal="center"/>
    </xf>
    <xf numFmtId="0" fontId="3" fillId="35" borderId="24" xfId="0" applyFont="1" applyFill="1" applyBorder="1" applyAlignment="1">
      <alignment horizontal="center"/>
    </xf>
    <xf numFmtId="0" fontId="0" fillId="0" borderId="0" xfId="0" applyFont="1" applyFill="1" applyBorder="1" applyAlignment="1">
      <alignment horizontal="center"/>
    </xf>
    <xf numFmtId="164" fontId="0" fillId="33" borderId="25" xfId="0" applyNumberFormat="1" applyFill="1" applyBorder="1" applyAlignment="1" applyProtection="1">
      <alignment horizontal="center"/>
      <protection locked="0"/>
    </xf>
    <xf numFmtId="164" fontId="0" fillId="0" borderId="0" xfId="0" applyNumberFormat="1" applyAlignment="1">
      <alignment/>
    </xf>
    <xf numFmtId="0" fontId="3" fillId="38" borderId="20" xfId="0" applyFont="1" applyFill="1" applyBorder="1" applyAlignment="1">
      <alignment horizontal="center"/>
    </xf>
    <xf numFmtId="0" fontId="3" fillId="38" borderId="24" xfId="0" applyFont="1" applyFill="1" applyBorder="1" applyAlignment="1">
      <alignment horizontal="center"/>
    </xf>
    <xf numFmtId="3" fontId="0" fillId="33" borderId="26" xfId="0" applyNumberFormat="1" applyFill="1" applyBorder="1" applyAlignment="1" applyProtection="1">
      <alignment horizontal="center"/>
      <protection locked="0"/>
    </xf>
    <xf numFmtId="164" fontId="0" fillId="33" borderId="26" xfId="0" applyNumberFormat="1" applyFill="1" applyBorder="1" applyAlignment="1" applyProtection="1">
      <alignment horizontal="center"/>
      <protection locked="0"/>
    </xf>
    <xf numFmtId="168" fontId="0" fillId="33" borderId="26" xfId="0" applyNumberFormat="1" applyFont="1" applyFill="1" applyBorder="1" applyAlignment="1" applyProtection="1">
      <alignment horizontal="center"/>
      <protection locked="0"/>
    </xf>
    <xf numFmtId="1" fontId="0" fillId="33" borderId="26" xfId="0" applyNumberFormat="1" applyFill="1" applyBorder="1" applyAlignment="1" applyProtection="1">
      <alignment horizontal="center"/>
      <protection locked="0"/>
    </xf>
    <xf numFmtId="164" fontId="0" fillId="33" borderId="27" xfId="0" applyNumberFormat="1" applyFill="1" applyBorder="1" applyAlignment="1" applyProtection="1">
      <alignment horizontal="center"/>
      <protection locked="0"/>
    </xf>
    <xf numFmtId="0" fontId="0" fillId="0" borderId="0" xfId="0" applyFill="1" applyBorder="1" applyAlignment="1" applyProtection="1">
      <alignment/>
      <protection locked="0"/>
    </xf>
    <xf numFmtId="3" fontId="28" fillId="0" borderId="0" xfId="0" applyNumberFormat="1" applyFont="1" applyAlignment="1">
      <alignment horizontal="left"/>
    </xf>
    <xf numFmtId="2" fontId="0" fillId="33" borderId="26" xfId="0" applyNumberFormat="1" applyFill="1" applyBorder="1" applyAlignment="1" applyProtection="1">
      <alignment horizontal="center"/>
      <protection locked="0"/>
    </xf>
    <xf numFmtId="168" fontId="0" fillId="33" borderId="26" xfId="0" applyNumberFormat="1" applyFill="1" applyBorder="1" applyAlignment="1" applyProtection="1">
      <alignment horizontal="center"/>
      <protection locked="0"/>
    </xf>
    <xf numFmtId="2" fontId="0" fillId="33" borderId="19" xfId="0" applyNumberFormat="1" applyFill="1" applyBorder="1" applyAlignment="1" applyProtection="1">
      <alignment horizontal="center"/>
      <protection locked="0"/>
    </xf>
    <xf numFmtId="168" fontId="0" fillId="33" borderId="19" xfId="0" applyNumberFormat="1" applyFill="1" applyBorder="1" applyAlignment="1" applyProtection="1">
      <alignment horizontal="center"/>
      <protection locked="0"/>
    </xf>
    <xf numFmtId="0" fontId="24" fillId="0" borderId="0" xfId="0" applyFont="1" applyAlignment="1">
      <alignment horizontal="left"/>
    </xf>
    <xf numFmtId="164" fontId="3" fillId="38" borderId="24" xfId="0" applyNumberFormat="1" applyFont="1" applyFill="1" applyBorder="1" applyAlignment="1">
      <alignment horizontal="center"/>
    </xf>
    <xf numFmtId="0" fontId="3" fillId="38" borderId="28" xfId="0" applyFont="1" applyFill="1" applyBorder="1" applyAlignment="1">
      <alignment horizontal="center"/>
    </xf>
    <xf numFmtId="164" fontId="3" fillId="38" borderId="29" xfId="0" applyNumberFormat="1" applyFont="1" applyFill="1" applyBorder="1" applyAlignment="1">
      <alignment horizontal="center"/>
    </xf>
    <xf numFmtId="1" fontId="0" fillId="33" borderId="30" xfId="0" applyNumberFormat="1" applyFill="1" applyBorder="1" applyAlignment="1" applyProtection="1">
      <alignment horizontal="center"/>
      <protection locked="0"/>
    </xf>
    <xf numFmtId="1" fontId="0" fillId="33" borderId="31" xfId="0" applyNumberFormat="1" applyFill="1" applyBorder="1" applyAlignment="1" applyProtection="1">
      <alignment horizontal="center"/>
      <protection locked="0"/>
    </xf>
    <xf numFmtId="0" fontId="3" fillId="37" borderId="11" xfId="0" applyFont="1" applyFill="1" applyBorder="1" applyAlignment="1">
      <alignment horizontal="center"/>
    </xf>
    <xf numFmtId="0" fontId="3" fillId="35" borderId="12" xfId="0" applyFont="1" applyFill="1" applyBorder="1" applyAlignment="1">
      <alignment horizontal="center"/>
    </xf>
    <xf numFmtId="9" fontId="0" fillId="33" borderId="26" xfId="59" applyFont="1" applyFill="1" applyBorder="1" applyAlignment="1" applyProtection="1">
      <alignment horizontal="center"/>
      <protection locked="0"/>
    </xf>
    <xf numFmtId="9" fontId="0" fillId="33" borderId="19" xfId="59" applyFont="1" applyFill="1" applyBorder="1" applyAlignment="1" applyProtection="1">
      <alignment horizontal="center"/>
      <protection locked="0"/>
    </xf>
    <xf numFmtId="2" fontId="0" fillId="39" borderId="26" xfId="0" applyNumberFormat="1" applyFill="1" applyBorder="1" applyAlignment="1" applyProtection="1">
      <alignment horizontal="center"/>
      <protection locked="0"/>
    </xf>
    <xf numFmtId="164" fontId="3" fillId="38" borderId="28" xfId="0" applyNumberFormat="1" applyFont="1" applyFill="1" applyBorder="1" applyAlignment="1">
      <alignment horizontal="center"/>
    </xf>
    <xf numFmtId="168" fontId="0" fillId="33" borderId="26" xfId="59" applyNumberFormat="1" applyFont="1" applyFill="1" applyBorder="1" applyAlignment="1" applyProtection="1">
      <alignment horizontal="center"/>
      <protection locked="0"/>
    </xf>
    <xf numFmtId="168" fontId="0" fillId="33" borderId="19" xfId="59" applyNumberFormat="1" applyFont="1" applyFill="1" applyBorder="1" applyAlignment="1" applyProtection="1">
      <alignment horizontal="center"/>
      <protection locked="0"/>
    </xf>
    <xf numFmtId="2" fontId="0" fillId="33" borderId="26" xfId="59" applyNumberFormat="1" applyFont="1" applyFill="1" applyBorder="1" applyAlignment="1" applyProtection="1">
      <alignment horizontal="center"/>
      <protection locked="0"/>
    </xf>
    <xf numFmtId="2" fontId="0" fillId="33" borderId="19" xfId="59" applyNumberFormat="1" applyFont="1" applyFill="1" applyBorder="1" applyAlignment="1" applyProtection="1">
      <alignment horizontal="center"/>
      <protection locked="0"/>
    </xf>
    <xf numFmtId="2" fontId="0" fillId="33" borderId="19" xfId="0" applyNumberFormat="1" applyFont="1" applyFill="1" applyBorder="1" applyAlignment="1" applyProtection="1">
      <alignment horizontal="center"/>
      <protection locked="0"/>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center" wrapText="1"/>
    </xf>
    <xf numFmtId="3" fontId="0" fillId="0" borderId="0" xfId="0" applyNumberFormat="1" applyFont="1" applyFill="1" applyBorder="1" applyAlignment="1">
      <alignment horizontal="center"/>
    </xf>
    <xf numFmtId="0" fontId="35" fillId="0" borderId="0" xfId="0" applyFont="1" applyFill="1" applyBorder="1" applyAlignment="1">
      <alignment horizontal="center"/>
    </xf>
    <xf numFmtId="0" fontId="0" fillId="0" borderId="32" xfId="0" applyFont="1" applyFill="1" applyBorder="1" applyAlignment="1">
      <alignment horizontal="left"/>
    </xf>
    <xf numFmtId="2" fontId="0" fillId="0" borderId="0" xfId="0" applyNumberFormat="1" applyFont="1" applyFill="1" applyBorder="1" applyAlignment="1">
      <alignment horizontal="center" wrapText="1"/>
    </xf>
    <xf numFmtId="2" fontId="0" fillId="0" borderId="0" xfId="0" applyNumberFormat="1" applyFont="1" applyFill="1" applyBorder="1" applyAlignment="1">
      <alignment horizontal="center"/>
    </xf>
    <xf numFmtId="164" fontId="0" fillId="0" borderId="0" xfId="0" applyNumberFormat="1" applyFont="1" applyFill="1" applyBorder="1" applyAlignment="1">
      <alignment horizontal="center" wrapText="1"/>
    </xf>
    <xf numFmtId="164" fontId="0" fillId="0" borderId="0" xfId="0" applyNumberFormat="1" applyFont="1" applyFill="1" applyBorder="1" applyAlignment="1">
      <alignment horizontal="center"/>
    </xf>
    <xf numFmtId="0" fontId="2" fillId="0" borderId="13" xfId="0" applyFont="1" applyBorder="1" applyAlignment="1">
      <alignment horizontal="center" wrapText="1"/>
    </xf>
    <xf numFmtId="0" fontId="2" fillId="0" borderId="33" xfId="0" applyFont="1" applyBorder="1" applyAlignment="1">
      <alignment horizontal="center"/>
    </xf>
    <xf numFmtId="0" fontId="2" fillId="0" borderId="34" xfId="0" applyFont="1" applyBorder="1" applyAlignment="1">
      <alignment horizontal="center"/>
    </xf>
    <xf numFmtId="164" fontId="11" fillId="0" borderId="33" xfId="0" applyNumberFormat="1" applyFont="1" applyBorder="1" applyAlignment="1">
      <alignment horizontal="center"/>
    </xf>
    <xf numFmtId="0" fontId="11" fillId="0" borderId="35" xfId="0" applyFont="1" applyBorder="1" applyAlignment="1">
      <alignment horizontal="centerContinuous"/>
    </xf>
    <xf numFmtId="164" fontId="34" fillId="40" borderId="18" xfId="0" applyNumberFormat="1" applyFont="1" applyFill="1" applyBorder="1" applyAlignment="1">
      <alignment horizontal="center"/>
    </xf>
    <xf numFmtId="164" fontId="2" fillId="0" borderId="21" xfId="0" applyNumberFormat="1" applyFont="1" applyBorder="1" applyAlignment="1">
      <alignment horizontal="center" wrapText="1"/>
    </xf>
    <xf numFmtId="164" fontId="11" fillId="0" borderId="36" xfId="0" applyNumberFormat="1" applyFont="1" applyBorder="1" applyAlignment="1">
      <alignment horizontal="center"/>
    </xf>
    <xf numFmtId="0" fontId="3" fillId="41" borderId="11" xfId="0" applyFont="1" applyFill="1" applyBorder="1" applyAlignment="1">
      <alignment horizontal="center"/>
    </xf>
    <xf numFmtId="0" fontId="3" fillId="41" borderId="23" xfId="0" applyFont="1" applyFill="1" applyBorder="1" applyAlignment="1">
      <alignment horizontal="center"/>
    </xf>
    <xf numFmtId="3" fontId="2" fillId="0" borderId="24" xfId="0" applyNumberFormat="1" applyFont="1" applyBorder="1" applyAlignment="1">
      <alignment horizontal="left"/>
    </xf>
    <xf numFmtId="0" fontId="0" fillId="33" borderId="10" xfId="0" applyFill="1" applyBorder="1" applyAlignment="1">
      <alignment horizontal="center"/>
    </xf>
    <xf numFmtId="0" fontId="0" fillId="0" borderId="0" xfId="0" applyBorder="1" applyAlignment="1">
      <alignment/>
    </xf>
    <xf numFmtId="9" fontId="0" fillId="0" borderId="0" xfId="0" applyNumberFormat="1" applyFont="1" applyFill="1" applyBorder="1" applyAlignment="1">
      <alignment horizontal="center" wrapText="1"/>
    </xf>
    <xf numFmtId="0" fontId="20" fillId="36" borderId="0" xfId="0" applyFont="1" applyFill="1" applyBorder="1" applyAlignment="1">
      <alignment horizontal="left" vertical="top"/>
    </xf>
    <xf numFmtId="0" fontId="0" fillId="36" borderId="0" xfId="0" applyFill="1" applyBorder="1" applyAlignment="1">
      <alignment/>
    </xf>
    <xf numFmtId="0" fontId="0" fillId="36" borderId="0" xfId="0" applyFill="1" applyBorder="1" applyAlignment="1">
      <alignment horizontal="center"/>
    </xf>
    <xf numFmtId="0" fontId="0" fillId="0" borderId="32" xfId="0" applyFont="1" applyFill="1" applyBorder="1" applyAlignment="1">
      <alignment horizontal="left" wrapText="1"/>
    </xf>
    <xf numFmtId="0" fontId="6" fillId="36" borderId="0" xfId="0" applyFont="1" applyFill="1" applyBorder="1" applyAlignment="1">
      <alignment horizontal="left" wrapText="1"/>
    </xf>
    <xf numFmtId="0" fontId="7" fillId="36" borderId="0" xfId="0" applyFont="1" applyFill="1" applyBorder="1" applyAlignment="1">
      <alignment horizontal="center"/>
    </xf>
    <xf numFmtId="0" fontId="0" fillId="33" borderId="37" xfId="0" applyFill="1" applyBorder="1" applyAlignment="1" applyProtection="1">
      <alignment horizontal="left"/>
      <protection locked="0"/>
    </xf>
    <xf numFmtId="0" fontId="0" fillId="33" borderId="19" xfId="0" applyFill="1" applyBorder="1" applyAlignment="1" applyProtection="1">
      <alignment horizontal="left"/>
      <protection locked="0"/>
    </xf>
    <xf numFmtId="2" fontId="3" fillId="0" borderId="0" xfId="0" applyNumberFormat="1" applyFont="1" applyFill="1" applyBorder="1" applyAlignment="1">
      <alignment horizontal="center" wrapText="1"/>
    </xf>
    <xf numFmtId="168" fontId="0" fillId="33" borderId="26" xfId="59" applyNumberFormat="1" applyFont="1" applyFill="1" applyBorder="1" applyAlignment="1" applyProtection="1">
      <alignment horizontal="center"/>
      <protection locked="0"/>
    </xf>
    <xf numFmtId="168" fontId="0" fillId="33" borderId="19" xfId="59" applyNumberFormat="1" applyFont="1" applyFill="1" applyBorder="1" applyAlignment="1" applyProtection="1">
      <alignment horizontal="center"/>
      <protection locked="0"/>
    </xf>
    <xf numFmtId="2" fontId="0" fillId="33" borderId="26" xfId="0" applyNumberFormat="1" applyFont="1" applyFill="1" applyBorder="1" applyAlignment="1" applyProtection="1">
      <alignment horizontal="center"/>
      <protection locked="0"/>
    </xf>
    <xf numFmtId="3" fontId="0" fillId="33" borderId="26" xfId="0" applyNumberFormat="1" applyFont="1" applyFill="1" applyBorder="1" applyAlignment="1" applyProtection="1">
      <alignment horizontal="center"/>
      <protection locked="0"/>
    </xf>
    <xf numFmtId="164" fontId="0" fillId="33" borderId="26" xfId="0" applyNumberFormat="1" applyFont="1" applyFill="1" applyBorder="1" applyAlignment="1" applyProtection="1">
      <alignment horizontal="center"/>
      <protection locked="0"/>
    </xf>
    <xf numFmtId="164" fontId="0" fillId="33" borderId="27" xfId="0" applyNumberFormat="1" applyFont="1" applyFill="1" applyBorder="1" applyAlignment="1" applyProtection="1">
      <alignment horizontal="center"/>
      <protection locked="0"/>
    </xf>
    <xf numFmtId="164" fontId="0" fillId="33" borderId="30" xfId="0" applyNumberFormat="1" applyFont="1" applyFill="1" applyBorder="1" applyAlignment="1" applyProtection="1">
      <alignment horizontal="center"/>
      <protection locked="0"/>
    </xf>
    <xf numFmtId="1" fontId="0" fillId="33" borderId="27" xfId="0" applyNumberFormat="1" applyFont="1" applyFill="1" applyBorder="1" applyAlignment="1" applyProtection="1">
      <alignment horizontal="center"/>
      <protection locked="0"/>
    </xf>
    <xf numFmtId="1" fontId="0" fillId="33" borderId="30" xfId="0" applyNumberFormat="1" applyFont="1" applyFill="1" applyBorder="1" applyAlignment="1" applyProtection="1">
      <alignment horizontal="center"/>
      <protection locked="0"/>
    </xf>
    <xf numFmtId="3" fontId="0" fillId="33" borderId="19" xfId="0" applyNumberFormat="1" applyFont="1" applyFill="1" applyBorder="1" applyAlignment="1" applyProtection="1">
      <alignment horizontal="center"/>
      <protection locked="0"/>
    </xf>
    <xf numFmtId="164" fontId="0" fillId="33" borderId="19" xfId="0" applyNumberFormat="1" applyFont="1" applyFill="1" applyBorder="1" applyAlignment="1" applyProtection="1">
      <alignment horizontal="center"/>
      <protection locked="0"/>
    </xf>
    <xf numFmtId="164" fontId="0" fillId="33" borderId="25" xfId="0" applyNumberFormat="1" applyFont="1" applyFill="1" applyBorder="1" applyAlignment="1" applyProtection="1">
      <alignment horizontal="center"/>
      <protection locked="0"/>
    </xf>
    <xf numFmtId="164" fontId="0" fillId="33" borderId="31" xfId="0" applyNumberFormat="1" applyFont="1" applyFill="1" applyBorder="1" applyAlignment="1" applyProtection="1">
      <alignment horizontal="center"/>
      <protection locked="0"/>
    </xf>
    <xf numFmtId="1" fontId="0" fillId="33" borderId="25" xfId="0" applyNumberFormat="1" applyFont="1" applyFill="1" applyBorder="1" applyAlignment="1" applyProtection="1">
      <alignment horizontal="center"/>
      <protection locked="0"/>
    </xf>
    <xf numFmtId="1" fontId="0" fillId="33" borderId="31" xfId="0" applyNumberFormat="1" applyFont="1" applyFill="1" applyBorder="1" applyAlignment="1" applyProtection="1">
      <alignment horizontal="center"/>
      <protection locked="0"/>
    </xf>
    <xf numFmtId="164" fontId="0" fillId="33" borderId="38" xfId="0" applyNumberFormat="1" applyFont="1" applyFill="1" applyBorder="1" applyAlignment="1" applyProtection="1">
      <alignment horizontal="center"/>
      <protection locked="0"/>
    </xf>
    <xf numFmtId="1" fontId="2" fillId="0" borderId="39" xfId="0" applyNumberFormat="1" applyFont="1" applyBorder="1" applyAlignment="1">
      <alignment horizontal="center" vertical="center" wrapText="1"/>
    </xf>
    <xf numFmtId="1" fontId="2" fillId="0" borderId="16" xfId="0" applyNumberFormat="1" applyFont="1" applyBorder="1" applyAlignment="1">
      <alignment horizontal="center" vertical="center" wrapText="1"/>
    </xf>
    <xf numFmtId="1" fontId="2" fillId="36" borderId="13" xfId="0" applyNumberFormat="1" applyFont="1" applyFill="1" applyBorder="1" applyAlignment="1">
      <alignment horizontal="center" vertical="center" wrapText="1"/>
    </xf>
    <xf numFmtId="1" fontId="2" fillId="0" borderId="40" xfId="0" applyNumberFormat="1" applyFont="1" applyBorder="1" applyAlignment="1">
      <alignment horizontal="center"/>
    </xf>
    <xf numFmtId="1" fontId="2" fillId="36" borderId="17" xfId="0" applyNumberFormat="1" applyFont="1" applyFill="1" applyBorder="1" applyAlignment="1">
      <alignment horizontal="center"/>
    </xf>
    <xf numFmtId="0" fontId="2" fillId="34" borderId="41" xfId="0" applyFont="1" applyFill="1" applyBorder="1" applyAlignment="1">
      <alignment horizontal="center"/>
    </xf>
    <xf numFmtId="0" fontId="2" fillId="38" borderId="42" xfId="0" applyFont="1" applyFill="1" applyBorder="1" applyAlignment="1">
      <alignment horizontal="center" wrapText="1"/>
    </xf>
    <xf numFmtId="0" fontId="2" fillId="38" borderId="43" xfId="0" applyFont="1" applyFill="1" applyBorder="1" applyAlignment="1">
      <alignment wrapText="1"/>
    </xf>
    <xf numFmtId="0" fontId="2" fillId="38" borderId="32" xfId="0" applyFont="1" applyFill="1" applyBorder="1" applyAlignment="1">
      <alignment horizontal="center" wrapText="1"/>
    </xf>
    <xf numFmtId="0" fontId="2" fillId="38" borderId="0" xfId="0" applyFont="1" applyFill="1" applyBorder="1" applyAlignment="1">
      <alignment horizontal="left" wrapText="1"/>
    </xf>
    <xf numFmtId="0" fontId="2" fillId="34" borderId="22" xfId="0" applyFont="1" applyFill="1" applyBorder="1" applyAlignment="1">
      <alignment horizontal="center"/>
    </xf>
    <xf numFmtId="2" fontId="2" fillId="38" borderId="32" xfId="0" applyNumberFormat="1" applyFont="1" applyFill="1" applyBorder="1" applyAlignment="1">
      <alignment horizontal="center" wrapText="1"/>
    </xf>
    <xf numFmtId="0" fontId="2" fillId="35" borderId="44" xfId="0" applyFont="1" applyFill="1" applyBorder="1" applyAlignment="1">
      <alignment horizontal="center"/>
    </xf>
    <xf numFmtId="0" fontId="2" fillId="38" borderId="34" xfId="0" applyFont="1" applyFill="1" applyBorder="1" applyAlignment="1">
      <alignment horizontal="center" wrapText="1"/>
    </xf>
    <xf numFmtId="0" fontId="2" fillId="38" borderId="36" xfId="0" applyFont="1" applyFill="1" applyBorder="1" applyAlignment="1">
      <alignment horizontal="left" wrapText="1"/>
    </xf>
    <xf numFmtId="186" fontId="2" fillId="38" borderId="45" xfId="0" applyNumberFormat="1" applyFont="1" applyFill="1" applyBorder="1" applyAlignment="1">
      <alignment horizontal="center"/>
    </xf>
    <xf numFmtId="186" fontId="2" fillId="38" borderId="46" xfId="0" applyNumberFormat="1" applyFont="1" applyFill="1" applyBorder="1" applyAlignment="1">
      <alignment horizontal="center"/>
    </xf>
    <xf numFmtId="167" fontId="2" fillId="38" borderId="43" xfId="0" applyNumberFormat="1" applyFont="1" applyFill="1" applyBorder="1" applyAlignment="1">
      <alignment horizontal="center"/>
    </xf>
    <xf numFmtId="186" fontId="2" fillId="38" borderId="47" xfId="0" applyNumberFormat="1" applyFont="1" applyFill="1" applyBorder="1" applyAlignment="1">
      <alignment horizontal="center"/>
    </xf>
    <xf numFmtId="186" fontId="2" fillId="38" borderId="0" xfId="0" applyNumberFormat="1" applyFont="1" applyFill="1" applyBorder="1" applyAlignment="1">
      <alignment horizontal="center"/>
    </xf>
    <xf numFmtId="186" fontId="2" fillId="38" borderId="48" xfId="0" applyNumberFormat="1" applyFont="1" applyFill="1" applyBorder="1" applyAlignment="1">
      <alignment horizontal="center"/>
    </xf>
    <xf numFmtId="186" fontId="2" fillId="38" borderId="33" xfId="0" applyNumberFormat="1" applyFont="1" applyFill="1" applyBorder="1" applyAlignment="1">
      <alignment horizontal="center"/>
    </xf>
    <xf numFmtId="167" fontId="2" fillId="38" borderId="46" xfId="0" applyNumberFormat="1" applyFont="1" applyFill="1" applyBorder="1" applyAlignment="1">
      <alignment horizontal="center"/>
    </xf>
    <xf numFmtId="167" fontId="2" fillId="38" borderId="49" xfId="44" applyNumberFormat="1" applyFont="1" applyFill="1" applyBorder="1" applyAlignment="1">
      <alignment horizontal="center"/>
    </xf>
    <xf numFmtId="4" fontId="2" fillId="38" borderId="45" xfId="0" applyNumberFormat="1" applyFont="1" applyFill="1" applyBorder="1" applyAlignment="1">
      <alignment horizontal="center"/>
    </xf>
    <xf numFmtId="4" fontId="2" fillId="38" borderId="42" xfId="0" applyNumberFormat="1" applyFont="1" applyFill="1" applyBorder="1" applyAlignment="1">
      <alignment horizontal="center"/>
    </xf>
    <xf numFmtId="167" fontId="2" fillId="38" borderId="42" xfId="0" applyNumberFormat="1" applyFont="1" applyFill="1" applyBorder="1" applyAlignment="1">
      <alignment horizontal="center"/>
    </xf>
    <xf numFmtId="167" fontId="2" fillId="38" borderId="50" xfId="0" applyNumberFormat="1" applyFont="1" applyFill="1" applyBorder="1" applyAlignment="1">
      <alignment horizontal="center"/>
    </xf>
    <xf numFmtId="167" fontId="2" fillId="38" borderId="51" xfId="44" applyNumberFormat="1" applyFont="1" applyFill="1" applyBorder="1" applyAlignment="1">
      <alignment horizontal="center"/>
    </xf>
    <xf numFmtId="167" fontId="2" fillId="38" borderId="32" xfId="44" applyNumberFormat="1" applyFont="1" applyFill="1" applyBorder="1" applyAlignment="1">
      <alignment horizontal="center"/>
    </xf>
    <xf numFmtId="4" fontId="2" fillId="38" borderId="0" xfId="0" applyNumberFormat="1" applyFont="1" applyFill="1" applyBorder="1" applyAlignment="1">
      <alignment horizontal="center"/>
    </xf>
    <xf numFmtId="4" fontId="2" fillId="38" borderId="32" xfId="0" applyNumberFormat="1" applyFont="1" applyFill="1" applyBorder="1" applyAlignment="1">
      <alignment horizontal="center"/>
    </xf>
    <xf numFmtId="167" fontId="2" fillId="38" borderId="0" xfId="0" applyNumberFormat="1" applyFont="1" applyFill="1" applyBorder="1" applyAlignment="1">
      <alignment horizontal="center"/>
    </xf>
    <xf numFmtId="167" fontId="2" fillId="38" borderId="32" xfId="0" applyNumberFormat="1" applyFont="1" applyFill="1" applyBorder="1" applyAlignment="1">
      <alignment horizontal="center"/>
    </xf>
    <xf numFmtId="43" fontId="2" fillId="38" borderId="52" xfId="42" applyFont="1" applyFill="1" applyBorder="1" applyAlignment="1">
      <alignment/>
    </xf>
    <xf numFmtId="186" fontId="2" fillId="38" borderId="53" xfId="0" applyNumberFormat="1" applyFont="1" applyFill="1" applyBorder="1" applyAlignment="1">
      <alignment horizontal="center"/>
    </xf>
    <xf numFmtId="186" fontId="2" fillId="38" borderId="51" xfId="0" applyNumberFormat="1" applyFont="1" applyFill="1" applyBorder="1" applyAlignment="1">
      <alignment horizontal="center"/>
    </xf>
    <xf numFmtId="0" fontId="33" fillId="40" borderId="11" xfId="0" applyFont="1" applyFill="1" applyBorder="1" applyAlignment="1">
      <alignment horizontal="left"/>
    </xf>
    <xf numFmtId="0" fontId="33" fillId="40" borderId="12" xfId="0" applyFont="1" applyFill="1" applyBorder="1" applyAlignment="1">
      <alignment horizontal="center"/>
    </xf>
    <xf numFmtId="0" fontId="33" fillId="40" borderId="24" xfId="0" applyFont="1" applyFill="1" applyBorder="1" applyAlignment="1">
      <alignment horizontal="center"/>
    </xf>
    <xf numFmtId="1" fontId="33" fillId="40" borderId="18" xfId="0" applyNumberFormat="1" applyFont="1" applyFill="1" applyBorder="1" applyAlignment="1">
      <alignment horizontal="center"/>
    </xf>
    <xf numFmtId="1" fontId="33" fillId="40" borderId="24" xfId="0" applyNumberFormat="1" applyFont="1" applyFill="1" applyBorder="1" applyAlignment="1">
      <alignment horizontal="center"/>
    </xf>
    <xf numFmtId="0" fontId="33" fillId="40" borderId="28" xfId="0" applyFont="1" applyFill="1" applyBorder="1" applyAlignment="1">
      <alignment horizontal="center"/>
    </xf>
    <xf numFmtId="164" fontId="34" fillId="40" borderId="12" xfId="0" applyNumberFormat="1" applyFont="1" applyFill="1" applyBorder="1" applyAlignment="1">
      <alignment horizontal="center"/>
    </xf>
    <xf numFmtId="164" fontId="34" fillId="40" borderId="24" xfId="0" applyNumberFormat="1" applyFont="1" applyFill="1" applyBorder="1" applyAlignment="1">
      <alignment horizontal="center"/>
    </xf>
    <xf numFmtId="0" fontId="34" fillId="40" borderId="23" xfId="0" applyFont="1" applyFill="1" applyBorder="1" applyAlignment="1">
      <alignment horizontal="centerContinuous"/>
    </xf>
    <xf numFmtId="167" fontId="2" fillId="38" borderId="33" xfId="44" applyNumberFormat="1" applyFont="1" applyFill="1" applyBorder="1" applyAlignment="1">
      <alignment horizontal="center"/>
    </xf>
    <xf numFmtId="4" fontId="2" fillId="38" borderId="36" xfId="0" applyNumberFormat="1" applyFont="1" applyFill="1" applyBorder="1" applyAlignment="1">
      <alignment horizontal="center"/>
    </xf>
    <xf numFmtId="4" fontId="2" fillId="38" borderId="34" xfId="0" applyNumberFormat="1" applyFont="1" applyFill="1" applyBorder="1" applyAlignment="1">
      <alignment horizontal="center"/>
    </xf>
    <xf numFmtId="167" fontId="2" fillId="38" borderId="36" xfId="0" applyNumberFormat="1" applyFont="1" applyFill="1" applyBorder="1" applyAlignment="1">
      <alignment horizontal="center"/>
    </xf>
    <xf numFmtId="167" fontId="2" fillId="38" borderId="34" xfId="0" applyNumberFormat="1" applyFont="1" applyFill="1" applyBorder="1" applyAlignment="1">
      <alignment horizontal="center"/>
    </xf>
    <xf numFmtId="43" fontId="2" fillId="38" borderId="35" xfId="42" applyFont="1" applyFill="1" applyBorder="1" applyAlignment="1">
      <alignment/>
    </xf>
    <xf numFmtId="0" fontId="14" fillId="0" borderId="0" xfId="0" applyFont="1" applyBorder="1" applyAlignment="1">
      <alignment horizontal="center"/>
    </xf>
    <xf numFmtId="3" fontId="14" fillId="34" borderId="47" xfId="0" applyNumberFormat="1" applyFont="1" applyFill="1" applyBorder="1" applyAlignment="1">
      <alignment horizontal="center"/>
    </xf>
    <xf numFmtId="164" fontId="14" fillId="34" borderId="47" xfId="0" applyNumberFormat="1" applyFont="1" applyFill="1" applyBorder="1" applyAlignment="1">
      <alignment horizontal="center"/>
    </xf>
    <xf numFmtId="0" fontId="14" fillId="38" borderId="22" xfId="0" applyFont="1" applyFill="1" applyBorder="1" applyAlignment="1">
      <alignment horizontal="center"/>
    </xf>
    <xf numFmtId="0" fontId="14" fillId="38" borderId="51" xfId="0" applyFont="1" applyFill="1" applyBorder="1" applyAlignment="1">
      <alignment horizontal="center"/>
    </xf>
    <xf numFmtId="0" fontId="14" fillId="38" borderId="0" xfId="0" applyFont="1" applyFill="1" applyBorder="1" applyAlignment="1">
      <alignment horizontal="center"/>
    </xf>
    <xf numFmtId="164" fontId="14" fillId="38" borderId="0" xfId="0" applyNumberFormat="1" applyFont="1" applyFill="1" applyBorder="1" applyAlignment="1">
      <alignment horizontal="center"/>
    </xf>
    <xf numFmtId="164" fontId="14" fillId="38" borderId="51" xfId="0" applyNumberFormat="1" applyFont="1" applyFill="1" applyBorder="1" applyAlignment="1">
      <alignment horizontal="center"/>
    </xf>
    <xf numFmtId="164" fontId="14" fillId="38" borderId="54" xfId="0" applyNumberFormat="1" applyFont="1" applyFill="1" applyBorder="1" applyAlignment="1">
      <alignment horizontal="center"/>
    </xf>
    <xf numFmtId="0" fontId="14" fillId="35" borderId="32" xfId="0" applyFont="1" applyFill="1" applyBorder="1" applyAlignment="1">
      <alignment horizontal="center"/>
    </xf>
    <xf numFmtId="0" fontId="14" fillId="35" borderId="0" xfId="0" applyFont="1" applyFill="1" applyBorder="1" applyAlignment="1">
      <alignment horizontal="center"/>
    </xf>
    <xf numFmtId="0" fontId="14" fillId="37" borderId="10" xfId="0" applyFont="1" applyFill="1" applyBorder="1" applyAlignment="1">
      <alignment horizontal="center"/>
    </xf>
    <xf numFmtId="0" fontId="14" fillId="37" borderId="52" xfId="0" applyFont="1" applyFill="1" applyBorder="1" applyAlignment="1">
      <alignment horizontal="center"/>
    </xf>
    <xf numFmtId="0" fontId="14" fillId="41" borderId="10" xfId="0" applyFont="1" applyFill="1" applyBorder="1" applyAlignment="1">
      <alignment horizontal="center"/>
    </xf>
    <xf numFmtId="0" fontId="14" fillId="41" borderId="52" xfId="0" applyFont="1" applyFill="1" applyBorder="1" applyAlignment="1">
      <alignment horizontal="center"/>
    </xf>
    <xf numFmtId="1" fontId="15" fillId="40" borderId="55" xfId="0" applyNumberFormat="1" applyFont="1" applyFill="1" applyBorder="1" applyAlignment="1" applyProtection="1">
      <alignment horizontal="left"/>
      <protection/>
    </xf>
    <xf numFmtId="1" fontId="15" fillId="40" borderId="56" xfId="0" applyNumberFormat="1" applyFont="1" applyFill="1" applyBorder="1" applyAlignment="1" applyProtection="1">
      <alignment horizontal="left"/>
      <protection/>
    </xf>
    <xf numFmtId="3" fontId="16" fillId="40" borderId="56" xfId="0" applyNumberFormat="1" applyFont="1" applyFill="1" applyBorder="1" applyAlignment="1" applyProtection="1">
      <alignment horizontal="center"/>
      <protection/>
    </xf>
    <xf numFmtId="164" fontId="16" fillId="40" borderId="56" xfId="0" applyNumberFormat="1" applyFont="1" applyFill="1" applyBorder="1" applyAlignment="1" applyProtection="1">
      <alignment horizontal="center"/>
      <protection/>
    </xf>
    <xf numFmtId="0" fontId="16" fillId="40" borderId="57" xfId="0" applyFont="1" applyFill="1" applyBorder="1" applyAlignment="1" applyProtection="1">
      <alignment horizontal="center"/>
      <protection/>
    </xf>
    <xf numFmtId="0" fontId="16" fillId="40" borderId="56" xfId="0" applyFont="1" applyFill="1" applyBorder="1" applyAlignment="1" applyProtection="1">
      <alignment horizontal="center"/>
      <protection/>
    </xf>
    <xf numFmtId="168" fontId="16" fillId="40" borderId="56" xfId="0" applyNumberFormat="1" applyFont="1" applyFill="1" applyBorder="1" applyAlignment="1" applyProtection="1">
      <alignment horizontal="center"/>
      <protection/>
    </xf>
    <xf numFmtId="164" fontId="16" fillId="40" borderId="58" xfId="0" applyNumberFormat="1" applyFont="1" applyFill="1" applyBorder="1" applyAlignment="1" applyProtection="1">
      <alignment horizontal="center"/>
      <protection/>
    </xf>
    <xf numFmtId="0" fontId="16" fillId="40" borderId="58" xfId="0" applyFont="1" applyFill="1" applyBorder="1" applyAlignment="1" applyProtection="1">
      <alignment horizontal="center"/>
      <protection/>
    </xf>
    <xf numFmtId="164" fontId="16" fillId="40" borderId="57" xfId="0" applyNumberFormat="1" applyFont="1" applyFill="1" applyBorder="1" applyAlignment="1" applyProtection="1">
      <alignment horizontal="center"/>
      <protection/>
    </xf>
    <xf numFmtId="0" fontId="0" fillId="33" borderId="59" xfId="0" applyFill="1" applyBorder="1" applyAlignment="1">
      <alignment horizontal="center"/>
    </xf>
    <xf numFmtId="0" fontId="0" fillId="33" borderId="36" xfId="0" applyFill="1" applyBorder="1" applyAlignment="1" applyProtection="1">
      <alignment horizontal="left"/>
      <protection locked="0"/>
    </xf>
    <xf numFmtId="3" fontId="0" fillId="33" borderId="36" xfId="0" applyNumberFormat="1" applyFill="1" applyBorder="1" applyAlignment="1" applyProtection="1">
      <alignment horizontal="center"/>
      <protection locked="0"/>
    </xf>
    <xf numFmtId="2" fontId="0" fillId="33" borderId="36" xfId="0" applyNumberFormat="1" applyFont="1" applyFill="1" applyBorder="1" applyAlignment="1" applyProtection="1">
      <alignment horizontal="center"/>
      <protection locked="0"/>
    </xf>
    <xf numFmtId="9" fontId="0" fillId="33" borderId="36" xfId="59" applyFont="1" applyFill="1" applyBorder="1" applyAlignment="1" applyProtection="1">
      <alignment horizontal="center"/>
      <protection locked="0"/>
    </xf>
    <xf numFmtId="168" fontId="0" fillId="33" borderId="36" xfId="59" applyNumberFormat="1" applyFont="1" applyFill="1" applyBorder="1" applyAlignment="1" applyProtection="1">
      <alignment horizontal="center"/>
      <protection locked="0"/>
    </xf>
    <xf numFmtId="2" fontId="0" fillId="33" borderId="36" xfId="59" applyNumberFormat="1" applyFont="1" applyFill="1" applyBorder="1" applyAlignment="1" applyProtection="1">
      <alignment horizontal="center"/>
      <protection locked="0"/>
    </xf>
    <xf numFmtId="168" fontId="0" fillId="33" borderId="36" xfId="59" applyNumberFormat="1" applyFont="1" applyFill="1" applyBorder="1" applyAlignment="1" applyProtection="1">
      <alignment horizontal="center"/>
      <protection locked="0"/>
    </xf>
    <xf numFmtId="164" fontId="0" fillId="33" borderId="44" xfId="0" applyNumberFormat="1" applyFill="1" applyBorder="1" applyAlignment="1" applyProtection="1">
      <alignment horizontal="center"/>
      <protection locked="0"/>
    </xf>
    <xf numFmtId="168" fontId="0" fillId="33" borderId="36" xfId="0" applyNumberFormat="1" applyFill="1" applyBorder="1" applyAlignment="1" applyProtection="1">
      <alignment horizontal="center"/>
      <protection locked="0"/>
    </xf>
    <xf numFmtId="1" fontId="0" fillId="33" borderId="36" xfId="0" applyNumberFormat="1" applyFill="1" applyBorder="1" applyAlignment="1" applyProtection="1">
      <alignment horizontal="center"/>
      <protection locked="0"/>
    </xf>
    <xf numFmtId="2" fontId="0" fillId="33" borderId="36" xfId="0" applyNumberFormat="1" applyFill="1" applyBorder="1" applyAlignment="1" applyProtection="1">
      <alignment horizontal="center"/>
      <protection locked="0"/>
    </xf>
    <xf numFmtId="168" fontId="0" fillId="33" borderId="36" xfId="0" applyNumberFormat="1" applyFont="1" applyFill="1" applyBorder="1" applyAlignment="1" applyProtection="1">
      <alignment horizontal="center"/>
      <protection locked="0"/>
    </xf>
    <xf numFmtId="164" fontId="0" fillId="33" borderId="36" xfId="0" applyNumberFormat="1" applyFill="1" applyBorder="1" applyAlignment="1" applyProtection="1">
      <alignment horizontal="center"/>
      <protection locked="0"/>
    </xf>
    <xf numFmtId="1" fontId="0" fillId="33" borderId="35" xfId="0" applyNumberFormat="1" applyFill="1" applyBorder="1" applyAlignment="1" applyProtection="1">
      <alignment horizontal="center"/>
      <protection locked="0"/>
    </xf>
    <xf numFmtId="3" fontId="0" fillId="33" borderId="36" xfId="0" applyNumberFormat="1" applyFont="1" applyFill="1" applyBorder="1" applyAlignment="1" applyProtection="1">
      <alignment horizontal="center"/>
      <protection locked="0"/>
    </xf>
    <xf numFmtId="164" fontId="0" fillId="33" borderId="36" xfId="0" applyNumberFormat="1" applyFont="1" applyFill="1" applyBorder="1" applyAlignment="1" applyProtection="1">
      <alignment horizontal="center"/>
      <protection locked="0"/>
    </xf>
    <xf numFmtId="164" fontId="0" fillId="33" borderId="60" xfId="0" applyNumberFormat="1" applyFont="1" applyFill="1" applyBorder="1" applyAlignment="1" applyProtection="1">
      <alignment horizontal="center"/>
      <protection locked="0"/>
    </xf>
    <xf numFmtId="164" fontId="0" fillId="33" borderId="35" xfId="0" applyNumberFormat="1" applyFont="1" applyFill="1" applyBorder="1" applyAlignment="1" applyProtection="1">
      <alignment horizontal="center"/>
      <protection locked="0"/>
    </xf>
    <xf numFmtId="1" fontId="0" fillId="33" borderId="44" xfId="0" applyNumberFormat="1" applyFont="1" applyFill="1" applyBorder="1" applyAlignment="1" applyProtection="1">
      <alignment horizontal="center"/>
      <protection locked="0"/>
    </xf>
    <xf numFmtId="1" fontId="0" fillId="33" borderId="35" xfId="0" applyNumberFormat="1" applyFont="1" applyFill="1" applyBorder="1" applyAlignment="1" applyProtection="1">
      <alignment horizontal="center"/>
      <protection locked="0"/>
    </xf>
    <xf numFmtId="0" fontId="33" fillId="40" borderId="61" xfId="0" applyFont="1" applyFill="1" applyBorder="1" applyAlignment="1">
      <alignment horizontal="center"/>
    </xf>
    <xf numFmtId="0" fontId="37" fillId="0" borderId="0" xfId="0" applyFont="1" applyAlignment="1">
      <alignment/>
    </xf>
    <xf numFmtId="0" fontId="38" fillId="34" borderId="0" xfId="0" applyFont="1" applyFill="1" applyAlignment="1">
      <alignment/>
    </xf>
    <xf numFmtId="0" fontId="20" fillId="36" borderId="62" xfId="0" applyFont="1" applyFill="1" applyBorder="1" applyAlignment="1">
      <alignment horizontal="center" vertical="top"/>
    </xf>
    <xf numFmtId="0" fontId="20" fillId="36" borderId="62" xfId="0" applyFont="1" applyFill="1" applyBorder="1" applyAlignment="1">
      <alignment horizontal="center" vertical="top" wrapText="1"/>
    </xf>
    <xf numFmtId="1" fontId="0" fillId="0" borderId="0" xfId="0" applyNumberFormat="1" applyFont="1" applyFill="1" applyBorder="1" applyAlignment="1">
      <alignment horizontal="center" wrapText="1"/>
    </xf>
    <xf numFmtId="2" fontId="0" fillId="0" borderId="0" xfId="42" applyNumberFormat="1" applyFont="1" applyFill="1" applyBorder="1" applyAlignment="1">
      <alignment horizontal="center"/>
    </xf>
    <xf numFmtId="9" fontId="0" fillId="0" borderId="0" xfId="59" applyFont="1" applyFill="1" applyBorder="1" applyAlignment="1">
      <alignment horizontal="center"/>
    </xf>
    <xf numFmtId="0" fontId="0"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32" xfId="0" applyFont="1" applyBorder="1" applyAlignment="1">
      <alignment horizontal="left"/>
    </xf>
    <xf numFmtId="0" fontId="0" fillId="0" borderId="63" xfId="0" applyFont="1" applyFill="1" applyBorder="1" applyAlignment="1">
      <alignment horizontal="left" wrapText="1"/>
    </xf>
    <xf numFmtId="0" fontId="0" fillId="0" borderId="64" xfId="0" applyFont="1" applyFill="1" applyBorder="1" applyAlignment="1">
      <alignment horizontal="left"/>
    </xf>
    <xf numFmtId="0" fontId="21" fillId="36" borderId="51" xfId="0" applyFont="1" applyFill="1" applyBorder="1" applyAlignment="1">
      <alignment/>
    </xf>
    <xf numFmtId="0" fontId="20" fillId="36" borderId="51" xfId="0" applyFont="1" applyFill="1" applyBorder="1" applyAlignment="1">
      <alignment horizontal="center" vertical="top" wrapText="1"/>
    </xf>
    <xf numFmtId="0" fontId="36" fillId="36" borderId="47" xfId="0" applyFont="1" applyFill="1" applyBorder="1" applyAlignment="1">
      <alignment horizontal="center" vertical="top" wrapText="1"/>
    </xf>
    <xf numFmtId="0" fontId="36" fillId="36" borderId="0" xfId="0" applyFont="1" applyFill="1" applyBorder="1" applyAlignment="1">
      <alignment horizontal="center" vertical="top" wrapText="1"/>
    </xf>
    <xf numFmtId="0" fontId="36" fillId="36" borderId="32" xfId="0" applyFont="1" applyFill="1" applyBorder="1" applyAlignment="1">
      <alignment horizontal="center" vertical="top" wrapText="1"/>
    </xf>
    <xf numFmtId="0" fontId="20" fillId="36" borderId="51" xfId="0" applyFont="1" applyFill="1" applyBorder="1" applyAlignment="1">
      <alignment horizontal="center" vertical="top"/>
    </xf>
    <xf numFmtId="0" fontId="7" fillId="35" borderId="21" xfId="0" applyFont="1" applyFill="1" applyBorder="1" applyAlignment="1">
      <alignment horizontal="center"/>
    </xf>
    <xf numFmtId="0" fontId="0" fillId="35" borderId="21" xfId="0" applyFont="1" applyFill="1" applyBorder="1" applyAlignment="1">
      <alignment horizontal="center"/>
    </xf>
    <xf numFmtId="0" fontId="0" fillId="35" borderId="15" xfId="0" applyFont="1" applyFill="1" applyBorder="1" applyAlignment="1">
      <alignment horizontal="center"/>
    </xf>
    <xf numFmtId="0" fontId="0" fillId="0" borderId="47" xfId="0" applyFont="1" applyFill="1" applyBorder="1" applyAlignment="1">
      <alignment horizontal="left" wrapText="1"/>
    </xf>
    <xf numFmtId="0" fontId="0" fillId="0" borderId="47" xfId="0" applyFont="1" applyFill="1" applyBorder="1" applyAlignment="1">
      <alignment horizontal="left"/>
    </xf>
    <xf numFmtId="0" fontId="0" fillId="0" borderId="47" xfId="0" applyFont="1" applyFill="1" applyBorder="1" applyAlignment="1">
      <alignment/>
    </xf>
    <xf numFmtId="188" fontId="0" fillId="0" borderId="0" xfId="0" applyNumberFormat="1" applyBorder="1" applyAlignment="1" applyProtection="1">
      <alignment horizontal="center"/>
      <protection/>
    </xf>
    <xf numFmtId="0" fontId="0" fillId="0" borderId="65" xfId="0" applyFont="1" applyFill="1" applyBorder="1" applyAlignment="1">
      <alignment horizontal="left" wrapText="1"/>
    </xf>
    <xf numFmtId="0" fontId="0" fillId="0" borderId="66" xfId="0" applyFont="1" applyFill="1" applyBorder="1" applyAlignment="1">
      <alignment horizontal="left" wrapText="1"/>
    </xf>
    <xf numFmtId="166" fontId="0" fillId="0" borderId="66" xfId="59" applyNumberFormat="1" applyFont="1" applyFill="1" applyBorder="1" applyAlignment="1">
      <alignment horizontal="center" wrapText="1"/>
    </xf>
    <xf numFmtId="2" fontId="3" fillId="0" borderId="66" xfId="0" applyNumberFormat="1" applyFont="1" applyFill="1" applyBorder="1" applyAlignment="1">
      <alignment horizontal="center" wrapText="1"/>
    </xf>
    <xf numFmtId="2" fontId="0" fillId="0" borderId="66" xfId="0" applyNumberFormat="1" applyFont="1" applyFill="1" applyBorder="1" applyAlignment="1">
      <alignment horizontal="center" wrapText="1"/>
    </xf>
    <xf numFmtId="0" fontId="12" fillId="0" borderId="66" xfId="0" applyFont="1" applyFill="1" applyBorder="1" applyAlignment="1">
      <alignment horizontal="left" wrapText="1"/>
    </xf>
    <xf numFmtId="0" fontId="7" fillId="0" borderId="0" xfId="0" applyFont="1" applyFill="1" applyBorder="1" applyAlignment="1">
      <alignment horizontal="center"/>
    </xf>
    <xf numFmtId="9" fontId="0" fillId="0" borderId="0" xfId="0" applyNumberFormat="1" applyFont="1" applyFill="1" applyBorder="1" applyAlignment="1">
      <alignment horizontal="center"/>
    </xf>
    <xf numFmtId="0" fontId="0" fillId="36" borderId="65" xfId="0" applyFont="1" applyFill="1" applyBorder="1" applyAlignment="1">
      <alignment/>
    </xf>
    <xf numFmtId="0" fontId="21" fillId="36" borderId="47" xfId="0" applyFont="1" applyFill="1" applyBorder="1" applyAlignment="1">
      <alignment/>
    </xf>
    <xf numFmtId="0" fontId="6" fillId="0" borderId="47" xfId="0" applyFont="1" applyFill="1" applyBorder="1" applyAlignment="1">
      <alignment horizontal="left" wrapText="1"/>
    </xf>
    <xf numFmtId="0" fontId="6" fillId="0" borderId="16" xfId="0" applyFont="1" applyFill="1" applyBorder="1" applyAlignment="1">
      <alignment horizontal="left" wrapText="1"/>
    </xf>
    <xf numFmtId="0" fontId="0" fillId="0" borderId="19" xfId="0" applyFont="1" applyFill="1" applyBorder="1" applyAlignment="1">
      <alignment horizontal="left" wrapText="1"/>
    </xf>
    <xf numFmtId="0" fontId="0" fillId="0" borderId="19" xfId="0" applyFont="1" applyFill="1" applyBorder="1" applyAlignment="1">
      <alignment horizontal="left"/>
    </xf>
    <xf numFmtId="9" fontId="0" fillId="0" borderId="19" xfId="0" applyNumberFormat="1" applyFont="1" applyFill="1" applyBorder="1" applyAlignment="1">
      <alignment horizontal="center"/>
    </xf>
    <xf numFmtId="0" fontId="7" fillId="0" borderId="19" xfId="0" applyFont="1" applyFill="1" applyBorder="1" applyAlignment="1">
      <alignment horizontal="center"/>
    </xf>
    <xf numFmtId="0" fontId="0" fillId="0" borderId="19" xfId="0" applyFont="1" applyFill="1" applyBorder="1" applyAlignment="1">
      <alignment horizontal="center"/>
    </xf>
    <xf numFmtId="0" fontId="37" fillId="34" borderId="0" xfId="0" applyFont="1" applyFill="1" applyAlignment="1">
      <alignment/>
    </xf>
    <xf numFmtId="0" fontId="0" fillId="0" borderId="32" xfId="0" applyFont="1" applyFill="1" applyBorder="1" applyAlignment="1">
      <alignment horizontal="left" vertical="center"/>
    </xf>
    <xf numFmtId="0" fontId="0" fillId="0" borderId="64" xfId="0" applyFont="1" applyFill="1" applyBorder="1" applyAlignment="1">
      <alignment horizontal="left" vertical="center"/>
    </xf>
    <xf numFmtId="0" fontId="20" fillId="36" borderId="65" xfId="0" applyFont="1" applyFill="1" applyBorder="1" applyAlignment="1">
      <alignment horizontal="center" vertical="top" wrapText="1"/>
    </xf>
    <xf numFmtId="0" fontId="20" fillId="36" borderId="66" xfId="0" applyFont="1" applyFill="1" applyBorder="1" applyAlignment="1">
      <alignment horizontal="center" vertical="top" wrapText="1"/>
    </xf>
    <xf numFmtId="0" fontId="20" fillId="36" borderId="63" xfId="0" applyFont="1" applyFill="1" applyBorder="1" applyAlignment="1">
      <alignment horizontal="center" vertical="top" wrapText="1"/>
    </xf>
    <xf numFmtId="0" fontId="6" fillId="35" borderId="39" xfId="0" applyFont="1" applyFill="1" applyBorder="1" applyAlignment="1">
      <alignment horizontal="left" vertical="center" wrapText="1"/>
    </xf>
    <xf numFmtId="0" fontId="6" fillId="35" borderId="21"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6" fillId="35" borderId="39" xfId="0" applyFont="1" applyFill="1" applyBorder="1" applyAlignment="1">
      <alignment horizontal="left" wrapText="1"/>
    </xf>
    <xf numFmtId="0" fontId="6" fillId="35" borderId="21" xfId="0" applyFont="1" applyFill="1" applyBorder="1" applyAlignment="1">
      <alignment horizontal="left" wrapText="1"/>
    </xf>
    <xf numFmtId="0" fontId="6" fillId="35" borderId="39" xfId="0" applyFont="1" applyFill="1" applyBorder="1" applyAlignment="1">
      <alignment vertical="center" wrapText="1"/>
    </xf>
    <xf numFmtId="0" fontId="6" fillId="35" borderId="21" xfId="0" applyFont="1" applyFill="1" applyBorder="1" applyAlignment="1">
      <alignment vertical="center" wrapText="1"/>
    </xf>
    <xf numFmtId="166" fontId="2" fillId="34" borderId="67" xfId="0" applyNumberFormat="1" applyFont="1" applyFill="1" applyBorder="1" applyAlignment="1">
      <alignment horizontal="center"/>
    </xf>
    <xf numFmtId="0" fontId="3" fillId="34" borderId="56" xfId="0" applyFont="1" applyFill="1" applyBorder="1" applyAlignment="1">
      <alignment horizontal="center"/>
    </xf>
    <xf numFmtId="0" fontId="3" fillId="34" borderId="58" xfId="0" applyFont="1" applyFill="1" applyBorder="1" applyAlignment="1">
      <alignment horizontal="center"/>
    </xf>
    <xf numFmtId="0" fontId="2" fillId="0" borderId="21" xfId="0" applyFont="1" applyBorder="1" applyAlignment="1">
      <alignment horizontal="center"/>
    </xf>
    <xf numFmtId="0" fontId="2" fillId="0" borderId="15" xfId="0" applyFont="1" applyBorder="1" applyAlignment="1">
      <alignment horizontal="center"/>
    </xf>
    <xf numFmtId="164" fontId="2" fillId="0" borderId="39" xfId="0" applyNumberFormat="1" applyFont="1" applyBorder="1" applyAlignment="1">
      <alignment horizontal="center"/>
    </xf>
    <xf numFmtId="164" fontId="2" fillId="0" borderId="15" xfId="0" applyNumberFormat="1" applyFont="1" applyBorder="1" applyAlignment="1">
      <alignment horizontal="center"/>
    </xf>
    <xf numFmtId="1" fontId="2" fillId="34" borderId="67" xfId="0" applyNumberFormat="1" applyFont="1" applyFill="1" applyBorder="1" applyAlignment="1">
      <alignment horizontal="center"/>
    </xf>
    <xf numFmtId="1" fontId="2" fillId="34" borderId="56" xfId="0" applyNumberFormat="1" applyFont="1" applyFill="1" applyBorder="1" applyAlignment="1">
      <alignment horizontal="center"/>
    </xf>
    <xf numFmtId="1" fontId="2" fillId="34" borderId="68" xfId="0" applyNumberFormat="1" applyFont="1" applyFill="1" applyBorder="1" applyAlignment="1">
      <alignment horizontal="center"/>
    </xf>
    <xf numFmtId="1" fontId="2" fillId="0" borderId="39" xfId="0" applyNumberFormat="1" applyFont="1" applyBorder="1" applyAlignment="1">
      <alignment horizontal="center"/>
    </xf>
    <xf numFmtId="1" fontId="2" fillId="0" borderId="21" xfId="0" applyNumberFormat="1" applyFont="1" applyBorder="1" applyAlignment="1">
      <alignment horizontal="center"/>
    </xf>
    <xf numFmtId="1" fontId="2" fillId="0" borderId="15" xfId="0" applyNumberFormat="1" applyFont="1" applyBorder="1" applyAlignment="1">
      <alignment horizontal="center"/>
    </xf>
    <xf numFmtId="2" fontId="2" fillId="34" borderId="18" xfId="0" applyNumberFormat="1" applyFont="1" applyFill="1" applyBorder="1" applyAlignment="1">
      <alignment horizontal="center"/>
    </xf>
    <xf numFmtId="2" fontId="2" fillId="34" borderId="12" xfId="0" applyNumberFormat="1" applyFont="1" applyFill="1" applyBorder="1" applyAlignment="1">
      <alignment horizontal="center"/>
    </xf>
    <xf numFmtId="2" fontId="2" fillId="34" borderId="16" xfId="0" applyNumberFormat="1" applyFont="1" applyFill="1" applyBorder="1" applyAlignment="1">
      <alignment horizontal="center"/>
    </xf>
    <xf numFmtId="2" fontId="2" fillId="34" borderId="64" xfId="0" applyNumberFormat="1" applyFont="1" applyFill="1" applyBorder="1" applyAlignment="1">
      <alignment horizontal="center"/>
    </xf>
    <xf numFmtId="0" fontId="0" fillId="0" borderId="0" xfId="0" applyBorder="1" applyAlignment="1">
      <alignment/>
    </xf>
    <xf numFmtId="0" fontId="2" fillId="0" borderId="1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WH_Gas_(STORAGE)_EngSpreadsheet_2007-1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ating_Products\_ANOPR%20Analysis\08_LCC\LCC%20Spreadsheets\WH\LCC_WH_Gas(Storage)_2007-09-12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ating_Products\Data\Cost%20Data\Mfr%20Cost%20Placeholders_GasWH_2007-09-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ata"/>
      <sheetName val="Gas WH"/>
      <sheetName val="TP_EnergyUseCalc"/>
      <sheetName val="Efficiency Level Eqns"/>
      <sheetName val="TP_Definitions"/>
      <sheetName val="Lo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Statistics"/>
      <sheetName val="LCC&amp;PB Calcs"/>
      <sheetName val="Equip Price"/>
      <sheetName val="Energy Use"/>
      <sheetName val="Temperature"/>
      <sheetName val="Water Draw"/>
      <sheetName val="RECS WH"/>
      <sheetName val="Weather Station Data"/>
      <sheetName val="Installation Cost"/>
      <sheetName val="Maint &amp; Repair Cost"/>
      <sheetName val="Energy Price Trends"/>
      <sheetName val="Discount Rate"/>
      <sheetName val="Lifetime"/>
      <sheetName val="RECS Vars (Hot Water)"/>
      <sheetName val="Label"/>
    </sheetNames>
    <sheetDataSet>
      <sheetData sheetId="7">
        <row r="52">
          <cell r="D52">
            <v>40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d on Retail Prices"/>
      <sheetName val="Based on Technology Path"/>
      <sheetName val="CP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A1" sqref="A1"/>
    </sheetView>
  </sheetViews>
  <sheetFormatPr defaultColWidth="9.140625" defaultRowHeight="12.75"/>
  <cols>
    <col min="1" max="1" width="113.57421875" style="0" customWidth="1"/>
  </cols>
  <sheetData>
    <row r="1" ht="12.75">
      <c r="A1" s="39">
        <f ca="1">TODAY()</f>
        <v>39825</v>
      </c>
    </row>
    <row r="2" spans="1:4" ht="15.75">
      <c r="A2" s="4" t="s">
        <v>9</v>
      </c>
      <c r="D2" s="9"/>
    </row>
    <row r="3" spans="1:4" ht="15.75">
      <c r="A3" s="4"/>
      <c r="D3" s="9"/>
    </row>
    <row r="4" spans="1:4" ht="12.75">
      <c r="A4" s="19" t="s">
        <v>34</v>
      </c>
      <c r="D4" s="9"/>
    </row>
    <row r="5" spans="1:4" ht="38.25">
      <c r="A5" s="6" t="s">
        <v>330</v>
      </c>
      <c r="D5" s="9"/>
    </row>
    <row r="6" spans="1:4" ht="15.75">
      <c r="A6" s="4"/>
      <c r="D6" s="9"/>
    </row>
    <row r="7" spans="1:8" ht="12.75">
      <c r="A7" s="8" t="s">
        <v>35</v>
      </c>
      <c r="B7" s="3"/>
      <c r="C7" s="3"/>
      <c r="D7" s="5"/>
      <c r="E7" s="3"/>
      <c r="F7" s="3"/>
      <c r="G7" s="3"/>
      <c r="H7" s="3"/>
    </row>
    <row r="8" spans="1:8" ht="12.75">
      <c r="A8" s="3" t="s">
        <v>37</v>
      </c>
      <c r="B8" s="3"/>
      <c r="C8" s="3"/>
      <c r="D8" s="3"/>
      <c r="E8" s="3"/>
      <c r="F8" s="3"/>
      <c r="G8" s="3"/>
      <c r="H8" s="3"/>
    </row>
    <row r="9" spans="1:8" ht="12.75">
      <c r="A9" s="33" t="s">
        <v>1</v>
      </c>
      <c r="B9" s="3"/>
      <c r="C9" s="3"/>
      <c r="D9" s="3"/>
      <c r="E9" s="3"/>
      <c r="F9" s="3"/>
      <c r="G9" s="3"/>
      <c r="H9" s="3"/>
    </row>
    <row r="10" spans="1:8" ht="38.25">
      <c r="A10" s="6" t="s">
        <v>188</v>
      </c>
      <c r="B10" s="3"/>
      <c r="C10" s="3"/>
      <c r="D10" s="3"/>
      <c r="E10" s="3"/>
      <c r="F10" s="3"/>
      <c r="G10" s="3"/>
      <c r="H10" s="3"/>
    </row>
    <row r="11" spans="1:8" ht="25.5">
      <c r="A11" s="6" t="s">
        <v>186</v>
      </c>
      <c r="B11" s="3"/>
      <c r="C11" s="3"/>
      <c r="D11" s="3"/>
      <c r="E11" s="3"/>
      <c r="F11" s="3"/>
      <c r="G11" s="3"/>
      <c r="H11" s="3"/>
    </row>
    <row r="12" spans="1:8" ht="25.5">
      <c r="A12" s="6" t="s">
        <v>187</v>
      </c>
      <c r="B12" s="3"/>
      <c r="C12" s="3"/>
      <c r="D12" s="3"/>
      <c r="E12" s="3"/>
      <c r="F12" s="3"/>
      <c r="G12" s="3"/>
      <c r="H12" s="3"/>
    </row>
    <row r="13" spans="1:8" ht="12.75">
      <c r="A13" s="6"/>
      <c r="B13" s="3"/>
      <c r="C13" s="3"/>
      <c r="D13" s="3"/>
      <c r="E13" s="3"/>
      <c r="F13" s="3"/>
      <c r="G13" s="3"/>
      <c r="H13" s="3"/>
    </row>
    <row r="14" spans="1:8" ht="12.75">
      <c r="A14" s="8" t="s">
        <v>36</v>
      </c>
      <c r="B14" s="3"/>
      <c r="C14" s="3"/>
      <c r="D14" s="3"/>
      <c r="E14" s="3"/>
      <c r="F14" s="3"/>
      <c r="G14" s="3"/>
      <c r="H14" s="3"/>
    </row>
    <row r="16" ht="12.75">
      <c r="A16" s="40" t="s">
        <v>5</v>
      </c>
    </row>
    <row r="17" ht="12.75">
      <c r="A17" s="20" t="s">
        <v>6</v>
      </c>
    </row>
    <row r="18" ht="12.75">
      <c r="A18" s="66" t="s">
        <v>318</v>
      </c>
    </row>
    <row r="19" ht="12.75">
      <c r="A19" s="20" t="s">
        <v>319</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06"/>
  <sheetViews>
    <sheetView zoomScale="75" zoomScaleNormal="7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2.57421875" style="52" customWidth="1"/>
    <col min="2" max="2" width="49.140625" style="52" customWidth="1"/>
    <col min="3" max="3" width="31.140625" style="52" customWidth="1"/>
    <col min="4" max="4" width="9.57421875" style="53" customWidth="1"/>
    <col min="5" max="5" width="17.57421875" style="53" customWidth="1"/>
    <col min="6" max="6" width="11.57421875" style="53" customWidth="1"/>
    <col min="7" max="7" width="9.8515625" style="53" customWidth="1"/>
    <col min="8" max="8" width="12.28125" style="53" customWidth="1"/>
    <col min="9" max="9" width="52.7109375" style="52" customWidth="1"/>
    <col min="10" max="10" width="118.57421875" style="52" customWidth="1"/>
    <col min="11" max="11" width="25.7109375" style="54" customWidth="1"/>
    <col min="12" max="16384" width="9.140625" style="54" customWidth="1"/>
  </cols>
  <sheetData>
    <row r="1" spans="1:10" ht="18">
      <c r="A1" s="127" t="s">
        <v>8</v>
      </c>
      <c r="B1" s="54"/>
      <c r="C1" s="128"/>
      <c r="D1" s="129"/>
      <c r="E1" s="129"/>
      <c r="F1" s="129"/>
      <c r="G1" s="129"/>
      <c r="H1" s="128"/>
      <c r="I1" s="128"/>
      <c r="J1" s="128"/>
    </row>
    <row r="2" spans="1:10" ht="36">
      <c r="A2" s="285"/>
      <c r="B2" s="253" t="s">
        <v>19</v>
      </c>
      <c r="C2" s="253" t="s">
        <v>20</v>
      </c>
      <c r="D2" s="253" t="s">
        <v>21</v>
      </c>
      <c r="E2" s="254" t="s">
        <v>224</v>
      </c>
      <c r="F2" s="297" t="s">
        <v>225</v>
      </c>
      <c r="G2" s="298"/>
      <c r="H2" s="299"/>
      <c r="I2" s="253" t="s">
        <v>38</v>
      </c>
      <c r="J2" s="253" t="s">
        <v>26</v>
      </c>
    </row>
    <row r="3" spans="1:13" s="58" customFormat="1" ht="30">
      <c r="A3" s="286"/>
      <c r="B3" s="264"/>
      <c r="C3" s="264"/>
      <c r="D3" s="264"/>
      <c r="E3" s="265"/>
      <c r="F3" s="266" t="s">
        <v>226</v>
      </c>
      <c r="G3" s="267" t="s">
        <v>227</v>
      </c>
      <c r="H3" s="268" t="s">
        <v>272</v>
      </c>
      <c r="I3" s="269"/>
      <c r="J3" s="269"/>
      <c r="K3" s="54"/>
      <c r="L3" s="54"/>
      <c r="M3" s="54"/>
    </row>
    <row r="4" spans="1:10" s="55" customFormat="1" ht="24.75" customHeight="1">
      <c r="A4" s="305" t="s">
        <v>39</v>
      </c>
      <c r="B4" s="306"/>
      <c r="C4" s="270"/>
      <c r="D4" s="270"/>
      <c r="E4" s="270"/>
      <c r="F4" s="270"/>
      <c r="G4" s="270"/>
      <c r="H4" s="271"/>
      <c r="I4" s="270"/>
      <c r="J4" s="272"/>
    </row>
    <row r="5" spans="1:10" s="70" customFormat="1" ht="12.75">
      <c r="A5" s="273"/>
      <c r="B5" s="103" t="s">
        <v>197</v>
      </c>
      <c r="C5" s="104" t="s">
        <v>169</v>
      </c>
      <c r="D5" s="105" t="s">
        <v>82</v>
      </c>
      <c r="E5" s="106">
        <v>199000</v>
      </c>
      <c r="F5" s="107"/>
      <c r="G5" s="107"/>
      <c r="I5" s="107"/>
      <c r="J5" s="108" t="s">
        <v>321</v>
      </c>
    </row>
    <row r="6" spans="1:10" s="70" customFormat="1" ht="12.75">
      <c r="A6" s="273"/>
      <c r="B6" s="103" t="s">
        <v>257</v>
      </c>
      <c r="C6" s="104" t="s">
        <v>293</v>
      </c>
      <c r="D6" s="105" t="s">
        <v>15</v>
      </c>
      <c r="E6" s="106">
        <v>20</v>
      </c>
      <c r="F6" s="106"/>
      <c r="G6" s="107"/>
      <c r="I6" s="107"/>
      <c r="J6" s="108" t="s">
        <v>303</v>
      </c>
    </row>
    <row r="7" spans="1:10" ht="24.75" customHeight="1">
      <c r="A7" s="300" t="s">
        <v>106</v>
      </c>
      <c r="B7" s="301"/>
      <c r="C7" s="47"/>
      <c r="D7" s="49"/>
      <c r="E7" s="49"/>
      <c r="F7" s="49"/>
      <c r="G7" s="49"/>
      <c r="H7" s="49"/>
      <c r="I7" s="43"/>
      <c r="J7" s="50"/>
    </row>
    <row r="8" spans="1:10" s="70" customFormat="1" ht="12.75">
      <c r="A8" s="273"/>
      <c r="B8" s="103" t="s">
        <v>107</v>
      </c>
      <c r="C8" s="103" t="s">
        <v>108</v>
      </c>
      <c r="D8" s="105" t="s">
        <v>82</v>
      </c>
      <c r="E8" s="105">
        <v>400</v>
      </c>
      <c r="F8" s="103"/>
      <c r="G8" s="105"/>
      <c r="H8" s="105"/>
      <c r="I8" s="103"/>
      <c r="J8" s="108" t="s">
        <v>109</v>
      </c>
    </row>
    <row r="9" spans="1:10" s="70" customFormat="1" ht="12.75">
      <c r="A9" s="273"/>
      <c r="B9" s="103" t="s">
        <v>110</v>
      </c>
      <c r="C9" s="103" t="s">
        <v>111</v>
      </c>
      <c r="D9" s="105" t="s">
        <v>112</v>
      </c>
      <c r="E9" s="105">
        <v>2.5</v>
      </c>
      <c r="F9" s="103"/>
      <c r="G9" s="105"/>
      <c r="I9" s="107"/>
      <c r="J9" s="108" t="s">
        <v>113</v>
      </c>
    </row>
    <row r="10" spans="1:10" s="70" customFormat="1" ht="12.75">
      <c r="A10" s="273"/>
      <c r="B10" s="103" t="s">
        <v>114</v>
      </c>
      <c r="C10" s="103" t="s">
        <v>115</v>
      </c>
      <c r="D10" s="105" t="s">
        <v>112</v>
      </c>
      <c r="E10" s="105">
        <v>200</v>
      </c>
      <c r="F10" s="103"/>
      <c r="G10" s="105"/>
      <c r="I10" s="107"/>
      <c r="J10" s="108" t="s">
        <v>113</v>
      </c>
    </row>
    <row r="11" spans="1:10" s="70" customFormat="1" ht="12.75">
      <c r="A11" s="273"/>
      <c r="B11" s="103" t="s">
        <v>116</v>
      </c>
      <c r="C11" s="103" t="s">
        <v>117</v>
      </c>
      <c r="D11" s="105" t="s">
        <v>118</v>
      </c>
      <c r="E11" s="105">
        <v>30</v>
      </c>
      <c r="F11" s="103"/>
      <c r="G11" s="105"/>
      <c r="I11" s="107"/>
      <c r="J11" s="108" t="s">
        <v>113</v>
      </c>
    </row>
    <row r="12" spans="1:10" s="70" customFormat="1" ht="12.75">
      <c r="A12" s="273"/>
      <c r="B12" s="103" t="s">
        <v>294</v>
      </c>
      <c r="C12" s="103" t="s">
        <v>295</v>
      </c>
      <c r="D12" s="105" t="s">
        <v>112</v>
      </c>
      <c r="E12" s="105">
        <v>12</v>
      </c>
      <c r="F12" s="103"/>
      <c r="G12" s="105"/>
      <c r="I12" s="107"/>
      <c r="J12" s="108" t="s">
        <v>320</v>
      </c>
    </row>
    <row r="13" spans="1:10" s="70" customFormat="1" ht="12.75">
      <c r="A13" s="273"/>
      <c r="B13" s="103" t="s">
        <v>119</v>
      </c>
      <c r="C13" s="103" t="s">
        <v>120</v>
      </c>
      <c r="D13" s="105" t="s">
        <v>112</v>
      </c>
      <c r="E13" s="105">
        <f>79-gas_valve-elec_ignition-transformer</f>
        <v>54.5</v>
      </c>
      <c r="F13" s="103"/>
      <c r="G13" s="105"/>
      <c r="I13" s="107"/>
      <c r="J13" s="108" t="s">
        <v>299</v>
      </c>
    </row>
    <row r="14" spans="1:10" s="70" customFormat="1" ht="12.75">
      <c r="A14" s="273"/>
      <c r="B14" s="103" t="s">
        <v>296</v>
      </c>
      <c r="C14" s="103" t="s">
        <v>298</v>
      </c>
      <c r="D14" s="105" t="s">
        <v>112</v>
      </c>
      <c r="E14" s="105">
        <v>2.8</v>
      </c>
      <c r="F14" s="103"/>
      <c r="G14" s="105"/>
      <c r="I14" s="107"/>
      <c r="J14" s="108" t="s">
        <v>113</v>
      </c>
    </row>
    <row r="15" spans="1:10" s="70" customFormat="1" ht="12.75">
      <c r="A15" s="273"/>
      <c r="B15" s="103" t="s">
        <v>297</v>
      </c>
      <c r="C15" s="103" t="s">
        <v>121</v>
      </c>
      <c r="D15" s="105" t="s">
        <v>112</v>
      </c>
      <c r="E15" s="105">
        <v>10</v>
      </c>
      <c r="F15" s="103"/>
      <c r="G15" s="105"/>
      <c r="I15" s="107"/>
      <c r="J15" s="108" t="s">
        <v>113</v>
      </c>
    </row>
    <row r="16" spans="1:10" ht="24" customHeight="1">
      <c r="A16" s="305" t="s">
        <v>30</v>
      </c>
      <c r="B16" s="306"/>
      <c r="C16" s="43"/>
      <c r="D16" s="44"/>
      <c r="E16" s="48"/>
      <c r="F16" s="48"/>
      <c r="G16" s="48"/>
      <c r="H16" s="49"/>
      <c r="I16" s="43"/>
      <c r="J16" s="50"/>
    </row>
    <row r="17" spans="1:10" s="70" customFormat="1" ht="12.75">
      <c r="A17" s="273"/>
      <c r="B17" s="103" t="s">
        <v>221</v>
      </c>
      <c r="C17" s="103" t="s">
        <v>223</v>
      </c>
      <c r="D17" s="105" t="s">
        <v>10</v>
      </c>
      <c r="E17" s="105"/>
      <c r="F17" s="109">
        <f>1098.263088055+70</f>
        <v>1168.263088055</v>
      </c>
      <c r="G17" s="255">
        <v>2007</v>
      </c>
      <c r="H17" s="110">
        <f>F17</f>
        <v>1168.263088055</v>
      </c>
      <c r="I17" s="107"/>
      <c r="J17" s="295" t="s">
        <v>332</v>
      </c>
    </row>
    <row r="18" spans="1:10" s="70" customFormat="1" ht="12.75">
      <c r="A18" s="273"/>
      <c r="B18" s="103" t="s">
        <v>220</v>
      </c>
      <c r="C18" s="103" t="s">
        <v>222</v>
      </c>
      <c r="D18" s="105" t="s">
        <v>10</v>
      </c>
      <c r="E18" s="105"/>
      <c r="F18" s="109">
        <v>564.427916055003</v>
      </c>
      <c r="G18" s="255">
        <v>2007</v>
      </c>
      <c r="H18" s="110">
        <f>F18</f>
        <v>564.427916055003</v>
      </c>
      <c r="I18" s="107"/>
      <c r="J18" s="295"/>
    </row>
    <row r="19" spans="1:10" s="104" customFormat="1" ht="12.75">
      <c r="A19" s="274"/>
      <c r="B19" s="104" t="s">
        <v>305</v>
      </c>
      <c r="C19" s="104" t="s">
        <v>306</v>
      </c>
      <c r="E19" s="110"/>
      <c r="F19" s="70">
        <v>2007</v>
      </c>
      <c r="G19" s="256">
        <v>167.827448367755</v>
      </c>
      <c r="H19" s="110">
        <f>G19*CPI_2007/CPI_2007</f>
        <v>167.827448367755</v>
      </c>
      <c r="J19" s="295"/>
    </row>
    <row r="20" spans="1:10" s="104" customFormat="1" ht="12.75">
      <c r="A20" s="274"/>
      <c r="B20" s="103" t="s">
        <v>307</v>
      </c>
      <c r="C20" s="104" t="s">
        <v>308</v>
      </c>
      <c r="D20" s="110" t="s">
        <v>22</v>
      </c>
      <c r="E20" s="257">
        <v>0.143</v>
      </c>
      <c r="F20" s="70"/>
      <c r="G20" s="256"/>
      <c r="H20" s="110"/>
      <c r="J20" s="295"/>
    </row>
    <row r="21" spans="1:10" s="104" customFormat="1" ht="12.75">
      <c r="A21" s="274"/>
      <c r="B21" s="104" t="s">
        <v>309</v>
      </c>
      <c r="C21" s="104" t="s">
        <v>310</v>
      </c>
      <c r="E21" s="110"/>
      <c r="F21" s="70">
        <v>2007</v>
      </c>
      <c r="G21" s="256">
        <v>48.5</v>
      </c>
      <c r="H21" s="110">
        <f>G21*CPI_2007/CPI_2007</f>
        <v>48.5</v>
      </c>
      <c r="I21" s="260"/>
      <c r="J21" s="295"/>
    </row>
    <row r="22" spans="1:10" s="104" customFormat="1" ht="12.75">
      <c r="A22" s="274"/>
      <c r="B22" s="103" t="s">
        <v>307</v>
      </c>
      <c r="C22" s="104" t="s">
        <v>311</v>
      </c>
      <c r="D22" s="110" t="s">
        <v>22</v>
      </c>
      <c r="E22" s="257">
        <v>1</v>
      </c>
      <c r="F22" s="70"/>
      <c r="G22" s="256"/>
      <c r="H22" s="110"/>
      <c r="I22" s="260"/>
      <c r="J22" s="295"/>
    </row>
    <row r="23" spans="1:10" s="104" customFormat="1" ht="12.75">
      <c r="A23" s="274"/>
      <c r="B23" s="104" t="s">
        <v>312</v>
      </c>
      <c r="C23" s="104" t="s">
        <v>313</v>
      </c>
      <c r="E23" s="110"/>
      <c r="F23" s="70">
        <v>2007</v>
      </c>
      <c r="G23" s="256">
        <v>32.28</v>
      </c>
      <c r="H23" s="110">
        <f>G23*CPI_2007/CPI_2007</f>
        <v>32.28</v>
      </c>
      <c r="I23" s="260"/>
      <c r="J23" s="295"/>
    </row>
    <row r="24" spans="1:10" s="104" customFormat="1" ht="12.75">
      <c r="A24" s="274"/>
      <c r="B24" s="103" t="s">
        <v>314</v>
      </c>
      <c r="C24" s="104" t="s">
        <v>315</v>
      </c>
      <c r="D24" s="110" t="s">
        <v>22</v>
      </c>
      <c r="E24" s="257">
        <v>0.429</v>
      </c>
      <c r="F24" s="70"/>
      <c r="G24" s="256"/>
      <c r="H24" s="110"/>
      <c r="I24" s="260"/>
      <c r="J24" s="295"/>
    </row>
    <row r="25" spans="1:10" s="70" customFormat="1" ht="12.75">
      <c r="A25" s="273"/>
      <c r="B25" s="103" t="s">
        <v>260</v>
      </c>
      <c r="C25" s="103" t="s">
        <v>258</v>
      </c>
      <c r="D25" s="105" t="s">
        <v>10</v>
      </c>
      <c r="E25" s="105"/>
      <c r="F25" s="110">
        <v>189.8782669039</v>
      </c>
      <c r="G25" s="255">
        <v>2007</v>
      </c>
      <c r="H25" s="109">
        <v>189.8782669039</v>
      </c>
      <c r="I25" s="107"/>
      <c r="J25" s="295"/>
    </row>
    <row r="26" spans="1:10" s="70" customFormat="1" ht="12.75">
      <c r="A26" s="273"/>
      <c r="B26" s="103" t="s">
        <v>263</v>
      </c>
      <c r="C26" s="103" t="s">
        <v>259</v>
      </c>
      <c r="D26" s="105" t="s">
        <v>10</v>
      </c>
      <c r="E26" s="105"/>
      <c r="F26" s="110">
        <v>48.5</v>
      </c>
      <c r="G26" s="255">
        <v>2007</v>
      </c>
      <c r="H26" s="109">
        <v>48.5</v>
      </c>
      <c r="I26" s="107"/>
      <c r="J26" s="295"/>
    </row>
    <row r="27" spans="1:10" s="70" customFormat="1" ht="12.75">
      <c r="A27" s="273"/>
      <c r="B27" s="103" t="s">
        <v>261</v>
      </c>
      <c r="C27" s="103" t="s">
        <v>267</v>
      </c>
      <c r="D27" s="105" t="s">
        <v>10</v>
      </c>
      <c r="E27" s="105"/>
      <c r="F27" s="109">
        <f>1236.11413027037+70</f>
        <v>1306.11413027037</v>
      </c>
      <c r="G27" s="255">
        <v>2007</v>
      </c>
      <c r="H27" s="110">
        <f>F27</f>
        <v>1306.11413027037</v>
      </c>
      <c r="I27" s="107"/>
      <c r="J27" s="295"/>
    </row>
    <row r="28" spans="1:10" s="70" customFormat="1" ht="12.75">
      <c r="A28" s="273"/>
      <c r="B28" s="103" t="s">
        <v>262</v>
      </c>
      <c r="C28" s="103" t="s">
        <v>266</v>
      </c>
      <c r="D28" s="105" t="s">
        <v>10</v>
      </c>
      <c r="E28" s="105"/>
      <c r="F28" s="109">
        <f>552.443676581049+70</f>
        <v>622.443676581049</v>
      </c>
      <c r="G28" s="255">
        <v>2007</v>
      </c>
      <c r="H28" s="110">
        <f>F28</f>
        <v>622.443676581049</v>
      </c>
      <c r="I28" s="107"/>
      <c r="J28" s="295"/>
    </row>
    <row r="29" spans="1:10" s="70" customFormat="1" ht="12.75">
      <c r="A29" s="273"/>
      <c r="B29" s="103" t="s">
        <v>264</v>
      </c>
      <c r="C29" s="103" t="s">
        <v>268</v>
      </c>
      <c r="D29" s="105" t="s">
        <v>10</v>
      </c>
      <c r="E29" s="105"/>
      <c r="F29" s="109">
        <f>999.043887566484+70</f>
        <v>1069.043887566484</v>
      </c>
      <c r="G29" s="255">
        <v>2007</v>
      </c>
      <c r="H29" s="110">
        <f>F29</f>
        <v>1069.043887566484</v>
      </c>
      <c r="I29" s="107"/>
      <c r="J29" s="295"/>
    </row>
    <row r="30" spans="1:10" s="70" customFormat="1" ht="12.75">
      <c r="A30" s="273"/>
      <c r="B30" s="103" t="s">
        <v>265</v>
      </c>
      <c r="C30" s="103" t="s">
        <v>269</v>
      </c>
      <c r="D30" s="105" t="s">
        <v>10</v>
      </c>
      <c r="E30" s="105"/>
      <c r="F30" s="109">
        <f>449.208260377656+70</f>
        <v>519.208260377656</v>
      </c>
      <c r="G30" s="255">
        <v>2007</v>
      </c>
      <c r="H30" s="110">
        <f>F30</f>
        <v>519.208260377656</v>
      </c>
      <c r="I30" s="107"/>
      <c r="J30" s="296"/>
    </row>
    <row r="31" spans="1:10" ht="24.75" customHeight="1">
      <c r="A31" s="305" t="s">
        <v>31</v>
      </c>
      <c r="B31" s="306"/>
      <c r="C31" s="43"/>
      <c r="D31" s="44"/>
      <c r="E31" s="48"/>
      <c r="F31" s="48"/>
      <c r="G31" s="48"/>
      <c r="H31" s="49"/>
      <c r="I31" s="43"/>
      <c r="J31" s="50"/>
    </row>
    <row r="32" spans="1:10" s="55" customFormat="1" ht="12.75">
      <c r="A32" s="273"/>
      <c r="B32" s="103" t="s">
        <v>122</v>
      </c>
      <c r="C32" s="103" t="s">
        <v>123</v>
      </c>
      <c r="D32" s="105" t="s">
        <v>10</v>
      </c>
      <c r="E32" s="105"/>
      <c r="F32" s="105">
        <v>85</v>
      </c>
      <c r="G32" s="105">
        <v>2007</v>
      </c>
      <c r="H32" s="110">
        <f>F32*CPI_2007/CPI_2007</f>
        <v>85</v>
      </c>
      <c r="I32" s="104" t="s">
        <v>275</v>
      </c>
      <c r="J32" s="295" t="s">
        <v>333</v>
      </c>
    </row>
    <row r="33" spans="1:10" s="55" customFormat="1" ht="12.75">
      <c r="A33" s="273"/>
      <c r="B33" s="103" t="s">
        <v>198</v>
      </c>
      <c r="C33" s="103" t="s">
        <v>199</v>
      </c>
      <c r="D33" s="105" t="s">
        <v>15</v>
      </c>
      <c r="E33" s="105">
        <v>1</v>
      </c>
      <c r="F33" s="105"/>
      <c r="G33" s="105"/>
      <c r="H33" s="70"/>
      <c r="I33" s="107"/>
      <c r="J33" s="295"/>
    </row>
    <row r="34" spans="1:10" s="55" customFormat="1" ht="12.75">
      <c r="A34" s="273"/>
      <c r="B34" s="125" t="s">
        <v>251</v>
      </c>
      <c r="C34" s="103" t="s">
        <v>254</v>
      </c>
      <c r="D34" s="105" t="s">
        <v>10</v>
      </c>
      <c r="E34" s="105"/>
      <c r="F34" s="109">
        <v>162.23115</v>
      </c>
      <c r="G34" s="105">
        <v>2007</v>
      </c>
      <c r="H34" s="110">
        <f>F34*CPI_2007/CPI_2007</f>
        <v>162.23115</v>
      </c>
      <c r="I34" s="125"/>
      <c r="J34" s="295"/>
    </row>
    <row r="35" spans="1:10" s="55" customFormat="1" ht="12.75">
      <c r="A35" s="273"/>
      <c r="B35" s="125" t="s">
        <v>252</v>
      </c>
      <c r="C35" s="103" t="s">
        <v>255</v>
      </c>
      <c r="D35" s="105" t="s">
        <v>15</v>
      </c>
      <c r="E35" s="105">
        <v>10</v>
      </c>
      <c r="F35" s="105"/>
      <c r="G35" s="105"/>
      <c r="H35" s="110"/>
      <c r="I35" s="125"/>
      <c r="J35" s="295"/>
    </row>
    <row r="36" spans="1:10" s="55" customFormat="1" ht="12.75">
      <c r="A36" s="273"/>
      <c r="B36" s="125" t="s">
        <v>253</v>
      </c>
      <c r="C36" s="103" t="s">
        <v>256</v>
      </c>
      <c r="D36" s="105" t="s">
        <v>22</v>
      </c>
      <c r="E36" s="126">
        <v>0.9071</v>
      </c>
      <c r="F36" s="105"/>
      <c r="G36" s="105"/>
      <c r="H36" s="70"/>
      <c r="I36" s="107"/>
      <c r="J36" s="295"/>
    </row>
    <row r="37" spans="1:10" s="55" customFormat="1" ht="12.75">
      <c r="A37" s="273"/>
      <c r="B37" s="125" t="s">
        <v>200</v>
      </c>
      <c r="C37" s="103" t="s">
        <v>211</v>
      </c>
      <c r="D37" s="105" t="s">
        <v>10</v>
      </c>
      <c r="E37" s="105"/>
      <c r="F37" s="109">
        <v>204.46380000000005</v>
      </c>
      <c r="G37" s="105">
        <v>2007</v>
      </c>
      <c r="H37" s="110">
        <f>F37*CPI_2007/CPI_2007</f>
        <v>204.46380000000005</v>
      </c>
      <c r="I37" s="125"/>
      <c r="J37" s="295"/>
    </row>
    <row r="38" spans="1:10" s="55" customFormat="1" ht="12.75">
      <c r="A38" s="273"/>
      <c r="B38" s="125" t="s">
        <v>204</v>
      </c>
      <c r="C38" s="103" t="s">
        <v>212</v>
      </c>
      <c r="D38" s="105" t="s">
        <v>15</v>
      </c>
      <c r="E38" s="105">
        <v>10</v>
      </c>
      <c r="F38" s="105"/>
      <c r="G38" s="105"/>
      <c r="H38" s="110"/>
      <c r="I38" s="125"/>
      <c r="J38" s="295"/>
    </row>
    <row r="39" spans="1:10" s="55" customFormat="1" ht="12.75">
      <c r="A39" s="273"/>
      <c r="B39" s="125" t="s">
        <v>205</v>
      </c>
      <c r="C39" s="103" t="s">
        <v>213</v>
      </c>
      <c r="D39" s="105" t="s">
        <v>22</v>
      </c>
      <c r="E39" s="126">
        <v>0.9064</v>
      </c>
      <c r="F39" s="105"/>
      <c r="G39" s="105"/>
      <c r="H39" s="70"/>
      <c r="I39" s="107"/>
      <c r="J39" s="295"/>
    </row>
    <row r="40" spans="1:10" s="55" customFormat="1" ht="12.75">
      <c r="A40" s="273"/>
      <c r="B40" s="125" t="s">
        <v>201</v>
      </c>
      <c r="C40" s="103" t="s">
        <v>214</v>
      </c>
      <c r="D40" s="105" t="s">
        <v>10</v>
      </c>
      <c r="E40" s="105"/>
      <c r="F40" s="109">
        <v>296.59200000000004</v>
      </c>
      <c r="G40" s="105">
        <v>2007</v>
      </c>
      <c r="H40" s="110">
        <f>F40*CPI_2007/CPI_2007</f>
        <v>296.59200000000004</v>
      </c>
      <c r="I40" s="107"/>
      <c r="J40" s="295"/>
    </row>
    <row r="41" spans="1:10" s="55" customFormat="1" ht="12.75">
      <c r="A41" s="273"/>
      <c r="B41" s="125" t="s">
        <v>206</v>
      </c>
      <c r="C41" s="103" t="s">
        <v>215</v>
      </c>
      <c r="D41" s="105" t="s">
        <v>15</v>
      </c>
      <c r="E41" s="105">
        <v>15</v>
      </c>
      <c r="F41" s="105"/>
      <c r="G41" s="105"/>
      <c r="H41" s="70"/>
      <c r="I41" s="107"/>
      <c r="J41" s="295"/>
    </row>
    <row r="42" spans="1:10" s="55" customFormat="1" ht="12.75">
      <c r="A42" s="273"/>
      <c r="B42" s="125" t="s">
        <v>207</v>
      </c>
      <c r="C42" s="103" t="s">
        <v>216</v>
      </c>
      <c r="D42" s="105" t="s">
        <v>22</v>
      </c>
      <c r="E42" s="126">
        <v>0.7022</v>
      </c>
      <c r="F42" s="105"/>
      <c r="G42" s="105"/>
      <c r="H42" s="70"/>
      <c r="I42" s="107"/>
      <c r="J42" s="295"/>
    </row>
    <row r="43" spans="1:10" s="258" customFormat="1" ht="12.75">
      <c r="A43" s="275"/>
      <c r="B43" s="259" t="s">
        <v>208</v>
      </c>
      <c r="C43" s="103" t="s">
        <v>217</v>
      </c>
      <c r="D43" s="70" t="s">
        <v>10</v>
      </c>
      <c r="E43" s="70"/>
      <c r="F43" s="70">
        <v>0</v>
      </c>
      <c r="G43" s="105">
        <v>2007</v>
      </c>
      <c r="H43" s="70">
        <f>F43</f>
        <v>0</v>
      </c>
      <c r="J43" s="295"/>
    </row>
    <row r="44" spans="1:10" s="258" customFormat="1" ht="12.75">
      <c r="A44" s="275"/>
      <c r="B44" s="259" t="s">
        <v>209</v>
      </c>
      <c r="C44" s="103" t="s">
        <v>218</v>
      </c>
      <c r="D44" s="105" t="s">
        <v>15</v>
      </c>
      <c r="E44" s="105">
        <v>10</v>
      </c>
      <c r="F44" s="70"/>
      <c r="G44" s="70"/>
      <c r="H44" s="70"/>
      <c r="J44" s="295"/>
    </row>
    <row r="45" spans="1:10" s="258" customFormat="1" ht="12.75">
      <c r="A45" s="275"/>
      <c r="B45" s="259" t="s">
        <v>210</v>
      </c>
      <c r="C45" s="103" t="s">
        <v>219</v>
      </c>
      <c r="D45" s="105" t="s">
        <v>22</v>
      </c>
      <c r="E45" s="126">
        <v>0</v>
      </c>
      <c r="F45" s="70"/>
      <c r="G45" s="70"/>
      <c r="H45" s="70"/>
      <c r="J45" s="296"/>
    </row>
    <row r="46" spans="1:10" ht="24.75" customHeight="1">
      <c r="A46" s="300" t="s">
        <v>40</v>
      </c>
      <c r="B46" s="301"/>
      <c r="C46" s="47"/>
      <c r="D46" s="48"/>
      <c r="E46" s="48"/>
      <c r="F46" s="48"/>
      <c r="G46" s="48"/>
      <c r="H46" s="49"/>
      <c r="I46" s="43"/>
      <c r="J46" s="50"/>
    </row>
    <row r="47" spans="1:10" s="55" customFormat="1" ht="12.75">
      <c r="A47" s="273"/>
      <c r="B47" s="103" t="s">
        <v>124</v>
      </c>
      <c r="C47" s="103" t="s">
        <v>125</v>
      </c>
      <c r="D47" s="105" t="s">
        <v>126</v>
      </c>
      <c r="E47" s="111">
        <v>130.7</v>
      </c>
      <c r="F47" s="103"/>
      <c r="G47" s="105"/>
      <c r="H47" s="105"/>
      <c r="I47" s="103"/>
      <c r="J47" s="302" t="s">
        <v>322</v>
      </c>
    </row>
    <row r="48" spans="1:10" s="55" customFormat="1" ht="12.75">
      <c r="A48" s="273"/>
      <c r="B48" s="103" t="s">
        <v>127</v>
      </c>
      <c r="C48" s="103" t="s">
        <v>128</v>
      </c>
      <c r="D48" s="105" t="s">
        <v>126</v>
      </c>
      <c r="E48" s="111">
        <v>140.3</v>
      </c>
      <c r="F48" s="103"/>
      <c r="G48" s="105"/>
      <c r="H48" s="105"/>
      <c r="I48" s="103"/>
      <c r="J48" s="303"/>
    </row>
    <row r="49" spans="1:10" s="55" customFormat="1" ht="12.75">
      <c r="A49" s="273"/>
      <c r="B49" s="103" t="s">
        <v>202</v>
      </c>
      <c r="C49" s="103" t="s">
        <v>203</v>
      </c>
      <c r="D49" s="105" t="s">
        <v>126</v>
      </c>
      <c r="E49" s="111">
        <v>163</v>
      </c>
      <c r="F49" s="103"/>
      <c r="G49" s="105"/>
      <c r="H49" s="105"/>
      <c r="I49" s="103"/>
      <c r="J49" s="303"/>
    </row>
    <row r="50" spans="1:10" s="55" customFormat="1" ht="12.75">
      <c r="A50" s="273"/>
      <c r="B50" s="103" t="s">
        <v>129</v>
      </c>
      <c r="C50" s="103" t="s">
        <v>130</v>
      </c>
      <c r="D50" s="105" t="s">
        <v>126</v>
      </c>
      <c r="E50" s="111">
        <v>166.6</v>
      </c>
      <c r="F50" s="103"/>
      <c r="G50" s="105"/>
      <c r="H50" s="105"/>
      <c r="I50" s="103"/>
      <c r="J50" s="303"/>
    </row>
    <row r="51" spans="1:10" s="55" customFormat="1" ht="12.75">
      <c r="A51" s="273"/>
      <c r="B51" s="103" t="s">
        <v>131</v>
      </c>
      <c r="C51" s="103" t="s">
        <v>132</v>
      </c>
      <c r="D51" s="105" t="s">
        <v>126</v>
      </c>
      <c r="E51" s="111">
        <v>177.1</v>
      </c>
      <c r="F51" s="103"/>
      <c r="G51" s="105"/>
      <c r="H51" s="105"/>
      <c r="I51" s="103"/>
      <c r="J51" s="303"/>
    </row>
    <row r="52" spans="1:10" s="55" customFormat="1" ht="12.75">
      <c r="A52" s="273"/>
      <c r="B52" s="103" t="s">
        <v>133</v>
      </c>
      <c r="C52" s="103" t="s">
        <v>134</v>
      </c>
      <c r="D52" s="105" t="s">
        <v>126</v>
      </c>
      <c r="E52" s="111">
        <v>179.9</v>
      </c>
      <c r="F52" s="103"/>
      <c r="G52" s="105"/>
      <c r="H52" s="105"/>
      <c r="I52" s="103"/>
      <c r="J52" s="303"/>
    </row>
    <row r="53" spans="1:10" s="55" customFormat="1" ht="12.75">
      <c r="A53" s="273"/>
      <c r="B53" s="103" t="s">
        <v>135</v>
      </c>
      <c r="C53" s="103" t="s">
        <v>136</v>
      </c>
      <c r="D53" s="105" t="s">
        <v>126</v>
      </c>
      <c r="E53" s="111">
        <v>184</v>
      </c>
      <c r="F53" s="103"/>
      <c r="G53" s="105"/>
      <c r="H53" s="105"/>
      <c r="I53" s="103"/>
      <c r="J53" s="303"/>
    </row>
    <row r="54" spans="1:10" s="55" customFormat="1" ht="12.75">
      <c r="A54" s="273"/>
      <c r="B54" s="103" t="s">
        <v>137</v>
      </c>
      <c r="C54" s="103" t="s">
        <v>138</v>
      </c>
      <c r="D54" s="105" t="s">
        <v>126</v>
      </c>
      <c r="E54" s="111">
        <v>188.9</v>
      </c>
      <c r="F54" s="103"/>
      <c r="G54" s="105"/>
      <c r="H54" s="105"/>
      <c r="I54" s="103"/>
      <c r="J54" s="303"/>
    </row>
    <row r="55" spans="1:10" s="55" customFormat="1" ht="12.75">
      <c r="A55" s="273"/>
      <c r="B55" s="103" t="s">
        <v>139</v>
      </c>
      <c r="C55" s="103" t="s">
        <v>140</v>
      </c>
      <c r="D55" s="105" t="s">
        <v>126</v>
      </c>
      <c r="E55" s="112">
        <v>195.3</v>
      </c>
      <c r="F55" s="107"/>
      <c r="G55" s="107"/>
      <c r="H55" s="70"/>
      <c r="I55" s="107"/>
      <c r="J55" s="303"/>
    </row>
    <row r="56" spans="1:10" s="55" customFormat="1" ht="12.75">
      <c r="A56" s="273"/>
      <c r="B56" s="103" t="s">
        <v>141</v>
      </c>
      <c r="C56" s="103" t="s">
        <v>142</v>
      </c>
      <c r="D56" s="105" t="s">
        <v>126</v>
      </c>
      <c r="E56" s="112">
        <v>201.6</v>
      </c>
      <c r="F56" s="107"/>
      <c r="G56" s="107"/>
      <c r="H56" s="70"/>
      <c r="I56" s="107"/>
      <c r="J56" s="303"/>
    </row>
    <row r="57" spans="1:10" s="55" customFormat="1" ht="12.75">
      <c r="A57" s="273"/>
      <c r="B57" s="103" t="s">
        <v>242</v>
      </c>
      <c r="C57" s="103" t="s">
        <v>243</v>
      </c>
      <c r="D57" s="105" t="s">
        <v>126</v>
      </c>
      <c r="E57" s="112">
        <v>207.342</v>
      </c>
      <c r="F57" s="107"/>
      <c r="G57" s="107"/>
      <c r="H57" s="70"/>
      <c r="I57" s="107"/>
      <c r="J57" s="304"/>
    </row>
    <row r="58" spans="1:10" s="57" customFormat="1" ht="24.75" customHeight="1">
      <c r="A58" s="300" t="s">
        <v>32</v>
      </c>
      <c r="B58" s="301"/>
      <c r="C58" s="45"/>
      <c r="D58" s="45"/>
      <c r="E58" s="49"/>
      <c r="F58" s="49"/>
      <c r="G58" s="49"/>
      <c r="H58" s="49"/>
      <c r="I58" s="46"/>
      <c r="J58" s="51"/>
    </row>
    <row r="59" spans="1:10" s="55" customFormat="1" ht="12.75">
      <c r="A59" s="273"/>
      <c r="B59" s="103" t="s">
        <v>143</v>
      </c>
      <c r="C59" s="103" t="s">
        <v>144</v>
      </c>
      <c r="D59" s="105" t="s">
        <v>126</v>
      </c>
      <c r="E59" s="109">
        <v>1.45</v>
      </c>
      <c r="F59" s="107"/>
      <c r="G59" s="107"/>
      <c r="H59" s="70"/>
      <c r="I59" s="104" t="s">
        <v>323</v>
      </c>
      <c r="J59" s="108" t="s">
        <v>324</v>
      </c>
    </row>
    <row r="60" spans="1:10" s="55" customFormat="1" ht="12.75">
      <c r="A60" s="273"/>
      <c r="B60" s="103" t="s">
        <v>238</v>
      </c>
      <c r="C60" s="103" t="s">
        <v>239</v>
      </c>
      <c r="D60" s="105" t="s">
        <v>126</v>
      </c>
      <c r="E60" s="109">
        <v>1.45</v>
      </c>
      <c r="F60" s="107"/>
      <c r="G60" s="107"/>
      <c r="H60" s="70"/>
      <c r="I60" s="70"/>
      <c r="J60" s="261" t="s">
        <v>325</v>
      </c>
    </row>
    <row r="61" spans="1:10" s="55" customFormat="1" ht="12.75">
      <c r="A61" s="273"/>
      <c r="B61" s="103" t="s">
        <v>240</v>
      </c>
      <c r="C61" s="103" t="s">
        <v>241</v>
      </c>
      <c r="D61" s="105" t="s">
        <v>126</v>
      </c>
      <c r="E61" s="109">
        <v>1.15</v>
      </c>
      <c r="F61" s="107"/>
      <c r="G61" s="107"/>
      <c r="H61" s="70"/>
      <c r="I61" s="70"/>
      <c r="J61" s="261" t="s">
        <v>325</v>
      </c>
    </row>
    <row r="62" spans="1:10" s="55" customFormat="1" ht="12.75">
      <c r="A62" s="273"/>
      <c r="B62" s="103" t="s">
        <v>145</v>
      </c>
      <c r="C62" s="103" t="s">
        <v>146</v>
      </c>
      <c r="D62" s="105" t="s">
        <v>126</v>
      </c>
      <c r="E62" s="109">
        <v>1.35</v>
      </c>
      <c r="F62" s="107"/>
      <c r="G62" s="107"/>
      <c r="H62" s="70"/>
      <c r="I62" s="107"/>
      <c r="J62" s="261" t="s">
        <v>325</v>
      </c>
    </row>
    <row r="63" spans="1:10" s="55" customFormat="1" ht="12.75">
      <c r="A63" s="273"/>
      <c r="B63" s="103" t="s">
        <v>228</v>
      </c>
      <c r="C63" s="103" t="s">
        <v>147</v>
      </c>
      <c r="D63" s="105" t="s">
        <v>126</v>
      </c>
      <c r="E63" s="109">
        <v>1.11</v>
      </c>
      <c r="F63" s="107"/>
      <c r="G63" s="107"/>
      <c r="H63" s="70"/>
      <c r="I63" s="107"/>
      <c r="J63" s="261" t="s">
        <v>325</v>
      </c>
    </row>
    <row r="64" spans="1:10" s="55" customFormat="1" ht="12.75">
      <c r="A64" s="273"/>
      <c r="B64" s="103" t="s">
        <v>148</v>
      </c>
      <c r="C64" s="103" t="s">
        <v>149</v>
      </c>
      <c r="D64" s="105" t="s">
        <v>126</v>
      </c>
      <c r="E64" s="109">
        <v>1.1</v>
      </c>
      <c r="F64" s="107"/>
      <c r="G64" s="107"/>
      <c r="H64" s="70"/>
      <c r="I64" s="107"/>
      <c r="J64" s="261" t="s">
        <v>326</v>
      </c>
    </row>
    <row r="65" spans="1:10" s="55" customFormat="1" ht="12.75">
      <c r="A65" s="273"/>
      <c r="B65" s="103" t="s">
        <v>229</v>
      </c>
      <c r="C65" s="103" t="s">
        <v>150</v>
      </c>
      <c r="D65" s="105" t="s">
        <v>126</v>
      </c>
      <c r="E65" s="109">
        <v>1.1</v>
      </c>
      <c r="F65" s="107"/>
      <c r="G65" s="107"/>
      <c r="H65" s="70"/>
      <c r="I65" s="107"/>
      <c r="J65" s="261" t="s">
        <v>326</v>
      </c>
    </row>
    <row r="66" spans="1:10" s="55" customFormat="1" ht="12.75">
      <c r="A66" s="273"/>
      <c r="B66" s="103" t="s">
        <v>151</v>
      </c>
      <c r="C66" s="103" t="s">
        <v>152</v>
      </c>
      <c r="D66" s="105" t="s">
        <v>126</v>
      </c>
      <c r="E66" s="105">
        <v>1.31</v>
      </c>
      <c r="F66" s="107"/>
      <c r="G66" s="107"/>
      <c r="H66" s="70"/>
      <c r="I66" s="107"/>
      <c r="J66" s="261" t="s">
        <v>327</v>
      </c>
    </row>
    <row r="67" spans="1:10" s="55" customFormat="1" ht="12.75">
      <c r="A67" s="273"/>
      <c r="B67" s="103" t="s">
        <v>230</v>
      </c>
      <c r="C67" s="103" t="s">
        <v>153</v>
      </c>
      <c r="D67" s="105" t="s">
        <v>126</v>
      </c>
      <c r="E67" s="105">
        <v>1.26</v>
      </c>
      <c r="F67" s="107"/>
      <c r="G67" s="107"/>
      <c r="H67" s="70"/>
      <c r="I67" s="107"/>
      <c r="J67" s="261" t="s">
        <v>327</v>
      </c>
    </row>
    <row r="68" spans="1:10" s="55" customFormat="1" ht="12.75">
      <c r="A68" s="273"/>
      <c r="B68" s="103" t="s">
        <v>154</v>
      </c>
      <c r="C68" s="103" t="s">
        <v>155</v>
      </c>
      <c r="D68" s="105" t="s">
        <v>126</v>
      </c>
      <c r="E68" s="105">
        <v>1.068</v>
      </c>
      <c r="F68" s="107"/>
      <c r="G68" s="107"/>
      <c r="H68" s="70"/>
      <c r="I68" s="107"/>
      <c r="J68" s="108" t="s">
        <v>328</v>
      </c>
    </row>
    <row r="69" spans="1:10" s="55" customFormat="1" ht="12.75">
      <c r="A69" s="273"/>
      <c r="B69" s="103" t="s">
        <v>156</v>
      </c>
      <c r="C69" s="103" t="s">
        <v>157</v>
      </c>
      <c r="D69" s="105" t="s">
        <v>126</v>
      </c>
      <c r="E69" s="109">
        <f>(Frac_Retrofit*sales_tax*(frac_retrofit_retail*retailer_markup+(1-frac_retrofit_retail)*distr_markup*contr_markup)+frac_new_constr*distr_markup*bld_markup*(frac_new_builder_only+(1-frac_new_builder_only)*contr_markup))</f>
        <v>1.6646469000000004</v>
      </c>
      <c r="F69" s="107"/>
      <c r="G69" s="107"/>
      <c r="H69" s="70"/>
      <c r="I69" s="104" t="s">
        <v>329</v>
      </c>
      <c r="J69" s="108" t="s">
        <v>304</v>
      </c>
    </row>
    <row r="70" spans="1:10" s="55" customFormat="1" ht="12.75">
      <c r="A70" s="273"/>
      <c r="B70" s="103" t="s">
        <v>158</v>
      </c>
      <c r="C70" s="103" t="s">
        <v>159</v>
      </c>
      <c r="D70" s="105" t="s">
        <v>126</v>
      </c>
      <c r="E70" s="109">
        <f>(Frac_Retrofit*sales_tax*(frac_retrofit_retail*incr_retailer_markup+(1-frac_retrofit_retail)*incr_distr_markup*incr_contr_markup)+frac_new_constr*incr_distr_markup*incr_bld_markup*(frac_new_builder_only+(1-frac_new_builder_only)*incr_contr_markup))</f>
        <v>1.3480706400000002</v>
      </c>
      <c r="F70" s="107"/>
      <c r="G70" s="107"/>
      <c r="H70" s="70"/>
      <c r="I70" s="104" t="s">
        <v>329</v>
      </c>
      <c r="J70" s="108" t="s">
        <v>304</v>
      </c>
    </row>
    <row r="71" spans="1:10" ht="24.75" customHeight="1">
      <c r="A71" s="307" t="s">
        <v>23</v>
      </c>
      <c r="B71" s="308"/>
      <c r="C71" s="47"/>
      <c r="D71" s="49"/>
      <c r="E71" s="49"/>
      <c r="F71" s="49"/>
      <c r="G71" s="49"/>
      <c r="H71" s="49"/>
      <c r="I71" s="43"/>
      <c r="J71" s="50"/>
    </row>
    <row r="72" spans="1:10" s="55" customFormat="1" ht="12.75" customHeight="1">
      <c r="A72" s="273"/>
      <c r="B72" s="103" t="s">
        <v>244</v>
      </c>
      <c r="C72" s="103" t="s">
        <v>160</v>
      </c>
      <c r="D72" s="103" t="s">
        <v>161</v>
      </c>
      <c r="E72" s="103"/>
      <c r="F72" s="103">
        <v>2006</v>
      </c>
      <c r="G72" s="109">
        <f>30.0409526824951*3.412/1000</f>
        <v>0.10249973055267327</v>
      </c>
      <c r="H72" s="109">
        <v>0.10881976002177358</v>
      </c>
      <c r="I72" s="103" t="s">
        <v>300</v>
      </c>
      <c r="J72" s="130" t="s">
        <v>245</v>
      </c>
    </row>
    <row r="73" spans="1:10" s="55" customFormat="1" ht="12.75" customHeight="1">
      <c r="A73" s="273"/>
      <c r="B73" s="103" t="s">
        <v>246</v>
      </c>
      <c r="C73" s="103" t="s">
        <v>162</v>
      </c>
      <c r="D73" s="103" t="s">
        <v>163</v>
      </c>
      <c r="E73" s="103"/>
      <c r="F73" s="103">
        <v>2006</v>
      </c>
      <c r="G73" s="276">
        <v>11.2017459869385</v>
      </c>
      <c r="H73" s="109">
        <v>11.892434287884294</v>
      </c>
      <c r="I73" s="103" t="s">
        <v>301</v>
      </c>
      <c r="J73" s="130" t="s">
        <v>245</v>
      </c>
    </row>
    <row r="74" spans="1:10" s="55" customFormat="1" ht="12.75">
      <c r="A74" s="273"/>
      <c r="B74" s="103" t="s">
        <v>247</v>
      </c>
      <c r="C74" s="103" t="s">
        <v>164</v>
      </c>
      <c r="D74" s="103" t="s">
        <v>163</v>
      </c>
      <c r="E74" s="103"/>
      <c r="F74" s="103">
        <v>2006</v>
      </c>
      <c r="G74" s="276">
        <v>24.1482334136963</v>
      </c>
      <c r="H74" s="109">
        <v>25.637189003904858</v>
      </c>
      <c r="I74" s="103" t="s">
        <v>302</v>
      </c>
      <c r="J74" s="130" t="s">
        <v>245</v>
      </c>
    </row>
    <row r="75" spans="1:10" s="70" customFormat="1" ht="12.75">
      <c r="A75" s="273"/>
      <c r="B75" s="103" t="s">
        <v>248</v>
      </c>
      <c r="C75" s="103" t="s">
        <v>165</v>
      </c>
      <c r="D75" s="103" t="s">
        <v>163</v>
      </c>
      <c r="E75" s="103"/>
      <c r="F75" s="103">
        <v>2006</v>
      </c>
      <c r="G75" s="135"/>
      <c r="H75" s="109">
        <f>NG_price*(1-frac_lpg)+LPG_price*frac_lpg</f>
        <v>12.628205591474845</v>
      </c>
      <c r="I75" s="103"/>
      <c r="J75" s="130" t="s">
        <v>304</v>
      </c>
    </row>
    <row r="76" spans="1:10" ht="24.75" customHeight="1">
      <c r="A76" s="300" t="s">
        <v>33</v>
      </c>
      <c r="B76" s="301"/>
      <c r="C76" s="47"/>
      <c r="D76" s="49"/>
      <c r="E76" s="49"/>
      <c r="F76" s="49"/>
      <c r="G76" s="49"/>
      <c r="H76" s="49"/>
      <c r="I76" s="43"/>
      <c r="J76" s="50"/>
    </row>
    <row r="77" spans="1:10" s="55" customFormat="1" ht="12.75">
      <c r="A77" s="277"/>
      <c r="B77" s="278" t="s">
        <v>166</v>
      </c>
      <c r="C77" s="278" t="s">
        <v>167</v>
      </c>
      <c r="D77" s="278" t="s">
        <v>22</v>
      </c>
      <c r="E77" s="279">
        <v>0.05353106103326476</v>
      </c>
      <c r="F77" s="278"/>
      <c r="G77" s="280"/>
      <c r="H77" s="281"/>
      <c r="I77" s="282"/>
      <c r="J77" s="262" t="s">
        <v>168</v>
      </c>
    </row>
    <row r="78" spans="1:10" s="70" customFormat="1" ht="14.25" customHeight="1">
      <c r="A78" s="287"/>
      <c r="B78" s="103" t="s">
        <v>232</v>
      </c>
      <c r="C78" s="103" t="s">
        <v>233</v>
      </c>
      <c r="D78" s="103" t="s">
        <v>22</v>
      </c>
      <c r="E78" s="126">
        <v>0.3</v>
      </c>
      <c r="F78" s="283"/>
      <c r="G78" s="283"/>
      <c r="I78" s="283"/>
      <c r="J78" s="130" t="s">
        <v>168</v>
      </c>
    </row>
    <row r="79" spans="1:10" s="70" customFormat="1" ht="12.75">
      <c r="A79" s="273"/>
      <c r="B79" s="103" t="s">
        <v>234</v>
      </c>
      <c r="C79" s="103" t="s">
        <v>235</v>
      </c>
      <c r="D79" s="103"/>
      <c r="E79" s="126">
        <f>1-frac_new_constr</f>
        <v>0.7</v>
      </c>
      <c r="F79" s="103"/>
      <c r="G79" s="135"/>
      <c r="H79" s="109"/>
      <c r="I79" s="103"/>
      <c r="J79" s="108" t="s">
        <v>334</v>
      </c>
    </row>
    <row r="80" spans="1:10" s="70" customFormat="1" ht="14.25" customHeight="1">
      <c r="A80" s="287"/>
      <c r="B80" s="103" t="s">
        <v>236</v>
      </c>
      <c r="C80" s="104" t="s">
        <v>237</v>
      </c>
      <c r="D80" s="104" t="s">
        <v>22</v>
      </c>
      <c r="E80" s="284">
        <v>0.1</v>
      </c>
      <c r="F80" s="283"/>
      <c r="G80" s="283"/>
      <c r="I80" s="283"/>
      <c r="J80" s="108" t="s">
        <v>334</v>
      </c>
    </row>
    <row r="81" spans="1:10" s="70" customFormat="1" ht="14.25" customHeight="1">
      <c r="A81" s="287"/>
      <c r="B81" s="103" t="s">
        <v>273</v>
      </c>
      <c r="C81" s="104" t="s">
        <v>274</v>
      </c>
      <c r="D81" s="103" t="s">
        <v>22</v>
      </c>
      <c r="E81" s="284">
        <v>0.5</v>
      </c>
      <c r="F81" s="283"/>
      <c r="G81" s="283"/>
      <c r="I81" s="283"/>
      <c r="J81" s="108" t="s">
        <v>335</v>
      </c>
    </row>
    <row r="82" spans="1:10" s="70" customFormat="1" ht="14.25" customHeight="1">
      <c r="A82" s="288"/>
      <c r="B82" s="289" t="s">
        <v>270</v>
      </c>
      <c r="C82" s="290" t="s">
        <v>271</v>
      </c>
      <c r="D82" s="290" t="s">
        <v>22</v>
      </c>
      <c r="E82" s="291">
        <v>0.26596510982092103</v>
      </c>
      <c r="F82" s="292"/>
      <c r="G82" s="292"/>
      <c r="H82" s="293"/>
      <c r="I82" s="292"/>
      <c r="J82" s="263" t="s">
        <v>335</v>
      </c>
    </row>
    <row r="83" spans="1:9" s="55" customFormat="1" ht="24.75" customHeight="1">
      <c r="A83" s="131"/>
      <c r="B83" s="131"/>
      <c r="C83" s="132"/>
      <c r="D83" s="132"/>
      <c r="E83" s="132"/>
      <c r="F83" s="132"/>
      <c r="G83" s="132"/>
      <c r="I83" s="132"/>
    </row>
    <row r="84" spans="2:7" ht="12.75">
      <c r="B84" s="54"/>
      <c r="C84" s="56"/>
      <c r="D84" s="55"/>
      <c r="E84" s="55"/>
      <c r="F84" s="55"/>
      <c r="G84" s="55"/>
    </row>
    <row r="85" spans="2:7" ht="12.75">
      <c r="B85" s="54"/>
      <c r="C85" s="54"/>
      <c r="D85" s="55"/>
      <c r="E85" s="55"/>
      <c r="F85" s="55"/>
      <c r="G85" s="55"/>
    </row>
    <row r="86" spans="2:7" ht="12.75">
      <c r="B86" s="54"/>
      <c r="C86" s="54"/>
      <c r="D86" s="55"/>
      <c r="E86" s="55"/>
      <c r="F86" s="55"/>
      <c r="G86" s="55"/>
    </row>
    <row r="87" spans="2:7" ht="12.75">
      <c r="B87" s="54"/>
      <c r="C87" s="54"/>
      <c r="D87" s="55"/>
      <c r="E87" s="55"/>
      <c r="F87" s="55"/>
      <c r="G87" s="55"/>
    </row>
    <row r="88" spans="2:7" ht="12.75">
      <c r="B88" s="54"/>
      <c r="C88" s="54"/>
      <c r="D88" s="55"/>
      <c r="E88" s="55"/>
      <c r="F88" s="55"/>
      <c r="G88" s="55"/>
    </row>
    <row r="89" spans="2:7" ht="12.75">
      <c r="B89" s="54"/>
      <c r="C89" s="54"/>
      <c r="D89" s="55"/>
      <c r="E89" s="55"/>
      <c r="F89" s="55"/>
      <c r="G89" s="55"/>
    </row>
    <row r="90" spans="2:7" ht="12.75">
      <c r="B90" s="54"/>
      <c r="C90" s="54"/>
      <c r="D90" s="55"/>
      <c r="E90" s="55"/>
      <c r="F90" s="55"/>
      <c r="G90" s="55"/>
    </row>
    <row r="91" spans="2:7" ht="12.75">
      <c r="B91" s="54"/>
      <c r="C91" s="54"/>
      <c r="D91" s="55"/>
      <c r="E91" s="55"/>
      <c r="F91" s="55"/>
      <c r="G91" s="55"/>
    </row>
    <row r="92" spans="2:7" ht="12.75">
      <c r="B92" s="54"/>
      <c r="C92" s="54"/>
      <c r="D92" s="55"/>
      <c r="E92" s="55"/>
      <c r="F92" s="55"/>
      <c r="G92" s="55"/>
    </row>
    <row r="93" spans="2:7" ht="12.75">
      <c r="B93" s="54"/>
      <c r="C93" s="54"/>
      <c r="D93" s="55"/>
      <c r="E93" s="55"/>
      <c r="F93" s="55"/>
      <c r="G93" s="55"/>
    </row>
    <row r="94" spans="2:7" ht="12.75">
      <c r="B94" s="54"/>
      <c r="C94" s="54"/>
      <c r="D94" s="55"/>
      <c r="E94" s="55"/>
      <c r="F94" s="55"/>
      <c r="G94" s="55"/>
    </row>
    <row r="95" spans="2:7" ht="12.75">
      <c r="B95" s="54"/>
      <c r="C95" s="54"/>
      <c r="D95" s="55"/>
      <c r="E95" s="55"/>
      <c r="F95" s="55"/>
      <c r="G95" s="55"/>
    </row>
    <row r="96" spans="2:7" ht="12.75">
      <c r="B96" s="54"/>
      <c r="C96" s="54"/>
      <c r="D96" s="55"/>
      <c r="E96" s="55"/>
      <c r="F96" s="55"/>
      <c r="G96" s="55"/>
    </row>
    <row r="97" spans="2:7" ht="12.75">
      <c r="B97" s="54"/>
      <c r="C97" s="54"/>
      <c r="D97" s="55"/>
      <c r="E97" s="55"/>
      <c r="F97" s="55"/>
      <c r="G97" s="55"/>
    </row>
    <row r="98" spans="2:7" ht="12.75">
      <c r="B98" s="54"/>
      <c r="C98" s="54"/>
      <c r="D98" s="55"/>
      <c r="E98" s="55"/>
      <c r="F98" s="55"/>
      <c r="G98" s="55"/>
    </row>
    <row r="99" spans="2:7" ht="12.75">
      <c r="B99" s="54"/>
      <c r="C99" s="54"/>
      <c r="D99" s="55"/>
      <c r="E99" s="55"/>
      <c r="F99" s="55"/>
      <c r="G99" s="55"/>
    </row>
    <row r="100" spans="2:7" ht="12.75">
      <c r="B100" s="54"/>
      <c r="C100" s="54"/>
      <c r="D100" s="55"/>
      <c r="E100" s="55"/>
      <c r="F100" s="55"/>
      <c r="G100" s="55"/>
    </row>
    <row r="101" spans="2:7" ht="12.75">
      <c r="B101" s="54"/>
      <c r="C101" s="54"/>
      <c r="D101" s="55"/>
      <c r="E101" s="55"/>
      <c r="F101" s="55"/>
      <c r="G101" s="55"/>
    </row>
    <row r="102" spans="2:7" ht="12.75">
      <c r="B102" s="54"/>
      <c r="C102" s="54"/>
      <c r="D102" s="55"/>
      <c r="E102" s="55"/>
      <c r="F102" s="55"/>
      <c r="G102" s="55"/>
    </row>
    <row r="103" spans="2:7" ht="12.75">
      <c r="B103" s="54"/>
      <c r="C103" s="54"/>
      <c r="D103" s="55"/>
      <c r="E103" s="55"/>
      <c r="F103" s="55"/>
      <c r="G103" s="55"/>
    </row>
    <row r="104" spans="2:7" ht="12.75">
      <c r="B104" s="54"/>
      <c r="C104" s="54"/>
      <c r="D104" s="55"/>
      <c r="E104" s="55"/>
      <c r="F104" s="55"/>
      <c r="G104" s="55"/>
    </row>
    <row r="105" spans="2:7" ht="12.75">
      <c r="B105" s="54"/>
      <c r="C105" s="54"/>
      <c r="D105" s="55"/>
      <c r="E105" s="55"/>
      <c r="F105" s="55"/>
      <c r="G105" s="55"/>
    </row>
    <row r="106" spans="2:7" ht="12.75">
      <c r="B106" s="54"/>
      <c r="C106" s="54"/>
      <c r="D106" s="55"/>
      <c r="E106" s="55"/>
      <c r="F106" s="55"/>
      <c r="G106" s="55"/>
    </row>
  </sheetData>
  <sheetProtection/>
  <mergeCells count="12">
    <mergeCell ref="A71:B71"/>
    <mergeCell ref="A31:B31"/>
    <mergeCell ref="J17:J30"/>
    <mergeCell ref="J32:J45"/>
    <mergeCell ref="F2:H2"/>
    <mergeCell ref="A76:B76"/>
    <mergeCell ref="A46:B46"/>
    <mergeCell ref="A58:B58"/>
    <mergeCell ref="J47:J57"/>
    <mergeCell ref="A4:B4"/>
    <mergeCell ref="A16:B16"/>
    <mergeCell ref="A7:B7"/>
  </mergeCells>
  <printOptions/>
  <pageMargins left="0.28" right="0.18" top="0.75" bottom="0.75" header="0.5" footer="0.5"/>
  <pageSetup horizontalDpi="600" verticalDpi="600" orientation="landscape" r:id="rId1"/>
  <headerFooter alignWithMargins="0">
    <oddHeader>&amp;C/&amp;F/&amp;A</oddHeader>
    <oddFooter>&amp;L&amp;D   &amp;T&amp;R&amp;P of &amp;N</oddFooter>
  </headerFooter>
</worksheet>
</file>

<file path=xl/worksheets/sheet3.xml><?xml version="1.0" encoding="utf-8"?>
<worksheet xmlns="http://schemas.openxmlformats.org/spreadsheetml/2006/main" xmlns:r="http://schemas.openxmlformats.org/officeDocument/2006/relationships">
  <dimension ref="A1:BZ17"/>
  <sheetViews>
    <sheetView zoomScale="75" zoomScaleNormal="75"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0.8515625" style="0" customWidth="1"/>
    <col min="2" max="2" width="15.28125" style="0" customWidth="1"/>
    <col min="3" max="3" width="61.8515625" style="0" bestFit="1" customWidth="1"/>
    <col min="4" max="4" width="21.7109375" style="0" customWidth="1"/>
    <col min="5" max="5" width="23.57421875" style="0" customWidth="1"/>
    <col min="6" max="6" width="13.7109375" style="0" bestFit="1" customWidth="1"/>
    <col min="7" max="7" width="13.28125" style="0" customWidth="1"/>
    <col min="8" max="8" width="13.140625" style="0" bestFit="1" customWidth="1"/>
    <col min="9" max="9" width="14.57421875" style="0" bestFit="1" customWidth="1"/>
    <col min="10" max="11" width="11.28125" style="0" customWidth="1"/>
    <col min="12" max="13" width="11.421875" style="0" customWidth="1"/>
    <col min="14" max="14" width="10.421875" style="0" bestFit="1" customWidth="1"/>
  </cols>
  <sheetData>
    <row r="1" spans="1:78" ht="19.5">
      <c r="A1" s="7" t="s">
        <v>105</v>
      </c>
      <c r="B1" s="1"/>
      <c r="C1" s="1"/>
      <c r="D1" s="59"/>
      <c r="E1" s="1"/>
      <c r="F1" s="1"/>
      <c r="G1" s="1"/>
      <c r="H1" s="35"/>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20.25" thickBot="1">
      <c r="A2" s="7"/>
      <c r="B2" s="1"/>
      <c r="C2" s="1"/>
      <c r="D2" s="59"/>
      <c r="E2" s="1"/>
      <c r="F2" s="1"/>
      <c r="G2" s="1"/>
      <c r="H2" s="3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1:14" ht="15.75">
      <c r="A3" s="10"/>
      <c r="B3" s="11"/>
      <c r="C3" s="123"/>
      <c r="D3" s="316" t="s">
        <v>11</v>
      </c>
      <c r="E3" s="317"/>
      <c r="F3" s="317"/>
      <c r="G3" s="317"/>
      <c r="H3" s="317"/>
      <c r="I3" s="318"/>
      <c r="J3" s="322" t="s">
        <v>27</v>
      </c>
      <c r="K3" s="323"/>
      <c r="L3" s="309" t="s">
        <v>16</v>
      </c>
      <c r="M3" s="310"/>
      <c r="N3" s="311"/>
    </row>
    <row r="4" spans="1:14" ht="15.75" customHeight="1">
      <c r="A4" s="2"/>
      <c r="D4" s="319" t="s">
        <v>276</v>
      </c>
      <c r="E4" s="320"/>
      <c r="F4" s="321"/>
      <c r="G4" s="312" t="s">
        <v>277</v>
      </c>
      <c r="H4" s="312"/>
      <c r="I4" s="313"/>
      <c r="J4" s="324"/>
      <c r="K4" s="325"/>
      <c r="L4" s="314" t="s">
        <v>17</v>
      </c>
      <c r="M4" s="315"/>
      <c r="N4" s="13"/>
    </row>
    <row r="5" spans="1:14" ht="47.25">
      <c r="A5" s="327" t="s">
        <v>190</v>
      </c>
      <c r="B5" s="329" t="s">
        <v>278</v>
      </c>
      <c r="C5" s="329" t="s">
        <v>279</v>
      </c>
      <c r="D5" s="152" t="s">
        <v>280</v>
      </c>
      <c r="E5" s="153" t="s">
        <v>281</v>
      </c>
      <c r="F5" s="154" t="s">
        <v>282</v>
      </c>
      <c r="G5" s="113" t="s">
        <v>12</v>
      </c>
      <c r="H5" s="14" t="s">
        <v>283</v>
      </c>
      <c r="I5" s="14" t="s">
        <v>290</v>
      </c>
      <c r="J5" s="15" t="s">
        <v>13</v>
      </c>
      <c r="K5" s="12" t="s">
        <v>24</v>
      </c>
      <c r="L5" s="119" t="s">
        <v>28</v>
      </c>
      <c r="M5" s="17" t="s">
        <v>29</v>
      </c>
      <c r="N5" s="18" t="s">
        <v>25</v>
      </c>
    </row>
    <row r="6" spans="1:14" ht="16.5" thickBot="1">
      <c r="A6" s="328"/>
      <c r="B6" s="330"/>
      <c r="C6" s="330"/>
      <c r="D6" s="155" t="s">
        <v>272</v>
      </c>
      <c r="E6" s="155" t="s">
        <v>272</v>
      </c>
      <c r="F6" s="156" t="s">
        <v>272</v>
      </c>
      <c r="G6" s="114" t="s">
        <v>10</v>
      </c>
      <c r="H6" s="115" t="s">
        <v>10</v>
      </c>
      <c r="I6" s="115" t="s">
        <v>10</v>
      </c>
      <c r="J6" s="16" t="s">
        <v>100</v>
      </c>
      <c r="K6" s="116" t="s">
        <v>14</v>
      </c>
      <c r="L6" s="120" t="s">
        <v>10</v>
      </c>
      <c r="M6" s="116" t="s">
        <v>18</v>
      </c>
      <c r="N6" s="117" t="s">
        <v>15</v>
      </c>
    </row>
    <row r="7" spans="1:14" ht="16.5" thickBot="1">
      <c r="A7" s="189" t="s">
        <v>284</v>
      </c>
      <c r="B7" s="190"/>
      <c r="C7" s="191"/>
      <c r="D7" s="192"/>
      <c r="E7" s="193"/>
      <c r="F7" s="193"/>
      <c r="G7" s="194"/>
      <c r="H7" s="250"/>
      <c r="I7" s="190"/>
      <c r="J7" s="118"/>
      <c r="K7" s="195"/>
      <c r="L7" s="196"/>
      <c r="M7" s="195"/>
      <c r="N7" s="197"/>
    </row>
    <row r="8" spans="1:17" s="34" customFormat="1" ht="16.5" thickBot="1">
      <c r="A8" s="157">
        <v>0</v>
      </c>
      <c r="B8" s="158" t="s">
        <v>189</v>
      </c>
      <c r="C8" s="159" t="s">
        <v>291</v>
      </c>
      <c r="D8" s="167">
        <v>225</v>
      </c>
      <c r="E8" s="168">
        <v>326</v>
      </c>
      <c r="F8" s="169"/>
      <c r="G8" s="174">
        <f>Total_Mfr_Cost*markup_base_cost</f>
        <v>542.6748894000001</v>
      </c>
      <c r="H8" s="175">
        <f>Instl_Cost_Retrofit*Frac_Retrofit+Instl_Cost_New_Construction*Frac_New_Construction</f>
        <v>987.112536455001</v>
      </c>
      <c r="I8" s="174">
        <f>maint_cost_baseline/maint_cost_baseline_freq+repair_pilot_ignition*repair_pilot_ignition_prob/igwh_lifetime</f>
        <v>92.35799380825</v>
      </c>
      <c r="J8" s="176">
        <f>TP_EnergyUseCalc!X7</f>
        <v>23.861074693548154</v>
      </c>
      <c r="K8" s="177">
        <f>TP_EnergyUseCalc!Y7</f>
        <v>0</v>
      </c>
      <c r="L8" s="169">
        <f aca="true" t="shared" si="0" ref="L8:L15">Retail_Price+Installation_Cost</f>
        <v>1529.787425855001</v>
      </c>
      <c r="M8" s="178">
        <f aca="true" t="shared" si="1" ref="M8:M15">Maintenance_Cost+fuel_price*fuel_use+elec_price*elec_use</f>
        <v>393.68055067191375</v>
      </c>
      <c r="N8" s="179"/>
      <c r="O8" s="21"/>
      <c r="P8" s="21"/>
      <c r="Q8" s="21"/>
    </row>
    <row r="9" spans="1:14" s="21" customFormat="1" ht="16.5" thickTop="1">
      <c r="A9" s="65">
        <v>1</v>
      </c>
      <c r="B9" s="160" t="s">
        <v>191</v>
      </c>
      <c r="C9" s="161" t="s">
        <v>249</v>
      </c>
      <c r="D9" s="170">
        <v>235</v>
      </c>
      <c r="E9" s="187">
        <v>341</v>
      </c>
      <c r="F9" s="171">
        <v>15</v>
      </c>
      <c r="G9" s="180">
        <f>base_cost_sm+Incremental_Cost*markup_increm_cost</f>
        <v>562.8959490000001</v>
      </c>
      <c r="H9" s="181">
        <f>Instl_Cost_Retrofit*Frac_Retrofit+Instl_Cost_New_Construction*Frac_New_Construction</f>
        <v>987.112536455001</v>
      </c>
      <c r="I9" s="180">
        <f>maint_cost_baseline/maint_cost_baseline_freq+repair_pilot_ignition*repair_pilot_ignition_prob/igwh_lifetime</f>
        <v>92.35799380825</v>
      </c>
      <c r="J9" s="182">
        <f>TP_EnergyUseCalc!X8</f>
        <v>21.44038595652153</v>
      </c>
      <c r="K9" s="183">
        <f>TP_EnergyUseCalc!Y8</f>
        <v>0</v>
      </c>
      <c r="L9" s="184">
        <f t="shared" si="0"/>
        <v>1550.008485455001</v>
      </c>
      <c r="M9" s="185">
        <f t="shared" si="1"/>
        <v>363.11159562777397</v>
      </c>
      <c r="N9" s="186">
        <f aca="true" t="shared" si="2" ref="N9:N15">(Total_Installed-Total_installed_baseline_sm)/(Total_Operating_baseline_sm-Total_Operating)</f>
        <v>0.66149004998051</v>
      </c>
    </row>
    <row r="10" spans="1:14" s="21" customFormat="1" ht="15.75">
      <c r="A10" s="162">
        <v>2</v>
      </c>
      <c r="B10" s="160" t="s">
        <v>231</v>
      </c>
      <c r="C10" s="161" t="s">
        <v>250</v>
      </c>
      <c r="D10" s="170">
        <v>270</v>
      </c>
      <c r="E10" s="188">
        <v>392</v>
      </c>
      <c r="F10" s="171">
        <v>66</v>
      </c>
      <c r="G10" s="180">
        <f aca="true" t="shared" si="3" ref="G10:G15">base_cost_sm+Incremental_Cost*markup_increm_cost</f>
        <v>631.6475516400001</v>
      </c>
      <c r="H10" s="181">
        <f>(Instl_Cost_SSvent_Retrofit+(Elec_Wiring_adder+Elec_Grounding*Elec_Grounding_Frac)*Elec_Wiring_Frac)*Frac_Retrofit+(Instl_Cost_SSvent_New_Constr+Elec_Outlet_adder*Elec_Outlet_Frac)*Frac_New_Construction</f>
        <v>1133.7487185571858</v>
      </c>
      <c r="I10" s="180">
        <f>maint_cost_baseline/maint_cost_baseline_freq+repair_elec_ignition*repair_elec_ignition_prob/igwh_lifetime</f>
        <v>94.26629941600001</v>
      </c>
      <c r="J10" s="182">
        <f>TP_EnergyUseCalc!X9</f>
        <v>18.87578276586225</v>
      </c>
      <c r="K10" s="183">
        <f>TP_EnergyUseCalc!Y9</f>
        <v>26.586314000096543</v>
      </c>
      <c r="L10" s="184">
        <f t="shared" si="0"/>
        <v>1765.396270197186</v>
      </c>
      <c r="M10" s="185">
        <f t="shared" si="1"/>
        <v>335.52668119268026</v>
      </c>
      <c r="N10" s="186">
        <f t="shared" si="2"/>
        <v>4.051473211534443</v>
      </c>
    </row>
    <row r="11" spans="1:14" s="21" customFormat="1" ht="15.75">
      <c r="A11" s="65">
        <v>3</v>
      </c>
      <c r="B11" s="163" t="s">
        <v>192</v>
      </c>
      <c r="C11" s="161" t="s">
        <v>285</v>
      </c>
      <c r="D11" s="170">
        <v>343</v>
      </c>
      <c r="E11" s="188">
        <v>497</v>
      </c>
      <c r="F11" s="171">
        <v>171</v>
      </c>
      <c r="G11" s="180">
        <f t="shared" si="3"/>
        <v>773.1949688400001</v>
      </c>
      <c r="H11" s="181">
        <f>(Instl_Cost_SSvent_Retrofit+(Elec_Wiring_adder+Elec_Grounding*Elec_Grounding_Frac)*Elec_Wiring_Frac)*Frac_Retrofit+(Instl_Cost_SSvent_New_Constr+Elec_Outlet_adder*Elec_Outlet_Frac)*Frac_New_Construction</f>
        <v>1133.7487185571858</v>
      </c>
      <c r="I11" s="180">
        <f>maint_cost_baseline/maint_cost_baseline_freq+(repair_elec_ignition*repair_elec_ignition_prob+repair_power_vent*repair_power_vent_prob)/igwh_lifetime</f>
        <v>104.67964453600001</v>
      </c>
      <c r="J11" s="182">
        <f>TP_EnergyUseCalc!X10</f>
        <v>18.384623757414214</v>
      </c>
      <c r="K11" s="183">
        <f>TP_EnergyUseCalc!Y10</f>
        <v>31.567740353341524</v>
      </c>
      <c r="L11" s="184">
        <f t="shared" si="0"/>
        <v>1906.9436873971858</v>
      </c>
      <c r="M11" s="185">
        <f t="shared" si="1"/>
        <v>340.27964699621975</v>
      </c>
      <c r="N11" s="186">
        <f t="shared" si="2"/>
        <v>7.062731818784776</v>
      </c>
    </row>
    <row r="12" spans="1:14" s="21" customFormat="1" ht="15.75">
      <c r="A12" s="162">
        <v>4</v>
      </c>
      <c r="B12" s="160" t="s">
        <v>193</v>
      </c>
      <c r="C12" s="161" t="s">
        <v>286</v>
      </c>
      <c r="D12" s="170">
        <v>361</v>
      </c>
      <c r="E12" s="188">
        <v>523</v>
      </c>
      <c r="F12" s="171">
        <v>197</v>
      </c>
      <c r="G12" s="180">
        <f t="shared" si="3"/>
        <v>808.2448054800002</v>
      </c>
      <c r="H12" s="181">
        <f>(Instl_Cost_SSvent_Retrofit+(Elec_Wiring_adder+Elec_Grounding*Elec_Grounding_Frac)*Elec_Wiring_Frac)*Frac_Retrofit+(Instl_Cost_SSvent_New_Constr+Elec_Outlet_adder*Elec_Outlet_Frac)*Frac_New_Construction</f>
        <v>1133.7487185571858</v>
      </c>
      <c r="I12" s="180">
        <f>maint_cost_baseline/maint_cost_baseline_freq+(repair_elec_ignition*repair_elec_ignition_prob+repair_power_vent*repair_power_vent_prob)/igwh_lifetime</f>
        <v>104.67964453600001</v>
      </c>
      <c r="J12" s="182">
        <f>TP_EnergyUseCalc!X11</f>
        <v>17.93417975508923</v>
      </c>
      <c r="K12" s="183">
        <f>TP_EnergyUseCalc!Y11</f>
        <v>31.395258780591952</v>
      </c>
      <c r="L12" s="184">
        <f t="shared" si="0"/>
        <v>1941.993524037186</v>
      </c>
      <c r="M12" s="185">
        <f t="shared" si="1"/>
        <v>334.5725781240583</v>
      </c>
      <c r="N12" s="186">
        <f t="shared" si="2"/>
        <v>6.973781715291477</v>
      </c>
    </row>
    <row r="13" spans="1:14" s="21" customFormat="1" ht="15.75">
      <c r="A13" s="65">
        <v>5</v>
      </c>
      <c r="B13" s="160" t="s">
        <v>194</v>
      </c>
      <c r="C13" s="161" t="s">
        <v>286</v>
      </c>
      <c r="D13" s="170">
        <v>379</v>
      </c>
      <c r="E13" s="188">
        <v>550</v>
      </c>
      <c r="F13" s="171">
        <v>224</v>
      </c>
      <c r="G13" s="180">
        <f t="shared" si="3"/>
        <v>844.6427127600002</v>
      </c>
      <c r="H13" s="181">
        <f>(Instl_Cost_SSvent_Retrofit+(Elec_Wiring_adder+Elec_Grounding*Elec_Grounding_Frac)*Elec_Wiring_Frac)*Frac_Retrofit+(Instl_Cost_SSvent_New_Constr+Elec_Outlet_adder*Elec_Outlet_Frac)*Frac_New_Construction</f>
        <v>1133.7487185571858</v>
      </c>
      <c r="I13" s="180">
        <f>maint_cost_baseline/maint_cost_baseline_freq+(repair_elec_ignition*repair_elec_ignition_prob+repair_power_vent*repair_power_vent_prob)/igwh_lifetime</f>
        <v>104.67964453600001</v>
      </c>
      <c r="J13" s="182">
        <f>TP_EnergyUseCalc!X12</f>
        <v>17.50518546716066</v>
      </c>
      <c r="K13" s="183">
        <f>TP_EnergyUseCalc!Y12</f>
        <v>31.230990616068556</v>
      </c>
      <c r="L13" s="184">
        <f t="shared" si="0"/>
        <v>1978.391431317186</v>
      </c>
      <c r="M13" s="185">
        <f t="shared" si="1"/>
        <v>329.1372744362853</v>
      </c>
      <c r="N13" s="186">
        <f t="shared" si="2"/>
        <v>6.950437468102241</v>
      </c>
    </row>
    <row r="14" spans="1:14" s="21" customFormat="1" ht="15.75">
      <c r="A14" s="162">
        <v>6</v>
      </c>
      <c r="B14" s="160" t="s">
        <v>195</v>
      </c>
      <c r="C14" s="161" t="s">
        <v>287</v>
      </c>
      <c r="D14" s="170">
        <v>388</v>
      </c>
      <c r="E14" s="188">
        <v>563</v>
      </c>
      <c r="F14" s="171">
        <v>237</v>
      </c>
      <c r="G14" s="180">
        <f t="shared" si="3"/>
        <v>862.1676310800001</v>
      </c>
      <c r="H14" s="181">
        <f>(Instl_Cost_SSvent_Retrofit+(Elec_Wiring_adder+Elec_Grounding*Elec_Grounding_Frac)*Elec_Wiring_Frac)*Frac_Retrofit+(Instl_Cost_SSvent_New_Constr+Elec_Outlet_adder*Elec_Outlet_Frac)*Frac_New_Construction</f>
        <v>1133.7487185571858</v>
      </c>
      <c r="I14" s="180">
        <f>maint_cost_baseline/maint_cost_baseline_freq+(repair_elec_ignition*repair_elec_ignition_prob+repair_power_vent*repair_power_vent_prob)/igwh_lifetime</f>
        <v>104.67964453600001</v>
      </c>
      <c r="J14" s="182">
        <f>TP_EnergyUseCalc!X13</f>
        <v>17.29825881063041</v>
      </c>
      <c r="K14" s="183">
        <f>TP_EnergyUseCalc!Y13</f>
        <v>31.15175538376903</v>
      </c>
      <c r="L14" s="184">
        <f t="shared" si="0"/>
        <v>1995.916349637186</v>
      </c>
      <c r="M14" s="185">
        <f t="shared" si="1"/>
        <v>326.5155397163007</v>
      </c>
      <c r="N14" s="186">
        <f t="shared" si="2"/>
        <v>6.940055799145671</v>
      </c>
    </row>
    <row r="15" spans="1:14" s="21" customFormat="1" ht="16.5" thickBot="1">
      <c r="A15" s="164">
        <v>7</v>
      </c>
      <c r="B15" s="165" t="s">
        <v>196</v>
      </c>
      <c r="C15" s="166" t="s">
        <v>292</v>
      </c>
      <c r="D15" s="172">
        <v>643</v>
      </c>
      <c r="E15" s="173">
        <v>932</v>
      </c>
      <c r="F15" s="173">
        <v>606</v>
      </c>
      <c r="G15" s="198">
        <f t="shared" si="3"/>
        <v>1359.6056972400002</v>
      </c>
      <c r="H15" s="198">
        <f>(Instl_Cost_Condvent_Retrofit+(Elec_Wiring_adder+Elec_Grounding*Elec_Grounding_Frac)*Elec_Wiring_Frac)*Frac_Retrofit+(Instl_Cost_Condvent_New_Constr+Elec_Outlet_adder*Elec_Outlet_Frac)*Frac_New_Construction</f>
        <v>936.8289238034479</v>
      </c>
      <c r="I15" s="198">
        <f>maint_cost_baseline/maint_cost_baseline_freq+(repair_elec_ignition*repair_elec_ignition_prob+repair_power_vent*repair_power_vent_prob)/igwh_lifetime</f>
        <v>104.67964453600001</v>
      </c>
      <c r="J15" s="199">
        <f>TP_EnergyUseCalc!X14</f>
        <v>15.975727571067512</v>
      </c>
      <c r="K15" s="200">
        <f>TP_EnergyUseCalc!Y14</f>
        <v>30.645338899072076</v>
      </c>
      <c r="L15" s="201">
        <f t="shared" si="0"/>
        <v>2296.434621043448</v>
      </c>
      <c r="M15" s="202">
        <f t="shared" si="1"/>
        <v>309.75923520161655</v>
      </c>
      <c r="N15" s="203">
        <f t="shared" si="2"/>
        <v>9.135309556244875</v>
      </c>
    </row>
    <row r="16" spans="1:13" ht="12.75">
      <c r="A16" s="326" t="s">
        <v>288</v>
      </c>
      <c r="B16" s="326"/>
      <c r="C16" s="326"/>
      <c r="D16" s="326"/>
      <c r="E16" s="326"/>
      <c r="F16" s="326"/>
      <c r="G16" s="326"/>
      <c r="H16" s="326"/>
      <c r="I16" s="326"/>
      <c r="J16" s="326"/>
      <c r="K16" s="326"/>
      <c r="L16" s="326"/>
      <c r="M16" s="326"/>
    </row>
    <row r="17" spans="1:13" ht="12.75">
      <c r="A17" s="326" t="s">
        <v>289</v>
      </c>
      <c r="B17" s="326"/>
      <c r="C17" s="326"/>
      <c r="D17" s="326"/>
      <c r="E17" s="326"/>
      <c r="F17" s="326"/>
      <c r="G17" s="326"/>
      <c r="H17" s="326"/>
      <c r="I17" s="326"/>
      <c r="J17" s="326"/>
      <c r="K17" s="326"/>
      <c r="L17" s="326"/>
      <c r="M17" s="326"/>
    </row>
  </sheetData>
  <sheetProtection/>
  <mergeCells count="11">
    <mergeCell ref="A17:M17"/>
    <mergeCell ref="A5:A6"/>
    <mergeCell ref="B5:B6"/>
    <mergeCell ref="C5:C6"/>
    <mergeCell ref="A16:M16"/>
    <mergeCell ref="L3:N3"/>
    <mergeCell ref="G4:I4"/>
    <mergeCell ref="L4:M4"/>
    <mergeCell ref="D3:I3"/>
    <mergeCell ref="D4:F4"/>
    <mergeCell ref="J3:K4"/>
  </mergeCells>
  <printOptions/>
  <pageMargins left="0.28" right="0.18" top="0.75" bottom="0.75" header="0.5" footer="0.5"/>
  <pageSetup horizontalDpi="600" verticalDpi="600" orientation="landscape" r:id="rId1"/>
  <headerFooter alignWithMargins="0">
    <oddHeader>&amp;C/&amp;F/&amp;A</oddHeader>
    <oddFooter>&amp;L&amp;D   &amp;T&amp;R&amp;P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E20"/>
  <sheetViews>
    <sheetView zoomScale="85" zoomScaleNormal="85"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57421875" style="0" customWidth="1"/>
    <col min="2" max="2" width="55.8515625" style="0" customWidth="1"/>
    <col min="3" max="5" width="8.140625" style="22" customWidth="1"/>
    <col min="6" max="11" width="8.140625" style="23" customWidth="1"/>
    <col min="12" max="16" width="8.140625" style="0" customWidth="1"/>
    <col min="17" max="17" width="8.140625" style="24" customWidth="1"/>
    <col min="18" max="18" width="8.140625" style="0" customWidth="1"/>
    <col min="19" max="20" width="8.140625" style="23" customWidth="1"/>
    <col min="21" max="21" width="8.7109375" style="23" customWidth="1"/>
    <col min="22" max="23" width="8.7109375" style="0" customWidth="1"/>
    <col min="24" max="24" width="11.7109375" style="0" customWidth="1"/>
    <col min="25" max="25" width="11.7109375" style="30" customWidth="1"/>
    <col min="26" max="27" width="8.8515625" style="23" customWidth="1"/>
    <col min="28" max="16384" width="9.140625" style="30" customWidth="1"/>
  </cols>
  <sheetData>
    <row r="1" spans="1:24" ht="18.75" customHeight="1">
      <c r="A1" s="32" t="s">
        <v>41</v>
      </c>
      <c r="L1" s="30"/>
      <c r="M1" s="30"/>
      <c r="N1" s="30"/>
      <c r="O1" s="30"/>
      <c r="P1" s="30"/>
      <c r="Q1"/>
      <c r="R1" s="30"/>
      <c r="V1" s="30"/>
      <c r="X1" s="30"/>
    </row>
    <row r="2" spans="2:24" ht="12.75" customHeight="1">
      <c r="B2" s="81"/>
      <c r="L2" s="30"/>
      <c r="M2" s="30"/>
      <c r="N2" s="30"/>
      <c r="O2" s="30"/>
      <c r="P2" s="30"/>
      <c r="Q2"/>
      <c r="R2" s="30"/>
      <c r="V2" s="30"/>
      <c r="X2" s="30"/>
    </row>
    <row r="3" spans="2:17" ht="12.75" customHeight="1" thickBot="1">
      <c r="B3" s="81"/>
      <c r="Q3"/>
    </row>
    <row r="4" spans="1:30" ht="15.75">
      <c r="A4" s="38"/>
      <c r="B4" s="25" t="s">
        <v>4</v>
      </c>
      <c r="C4" s="36" t="s">
        <v>47</v>
      </c>
      <c r="D4" s="36" t="s">
        <v>88</v>
      </c>
      <c r="E4" s="36" t="s">
        <v>7</v>
      </c>
      <c r="F4" s="37" t="s">
        <v>0</v>
      </c>
      <c r="G4" s="37" t="s">
        <v>87</v>
      </c>
      <c r="H4" s="37" t="s">
        <v>104</v>
      </c>
      <c r="I4" s="37" t="s">
        <v>102</v>
      </c>
      <c r="J4" s="37" t="s">
        <v>101</v>
      </c>
      <c r="K4" s="37" t="s">
        <v>103</v>
      </c>
      <c r="L4" s="73" t="s">
        <v>77</v>
      </c>
      <c r="M4" s="88" t="s">
        <v>78</v>
      </c>
      <c r="N4" s="74" t="s">
        <v>56</v>
      </c>
      <c r="O4" s="88" t="s">
        <v>59</v>
      </c>
      <c r="P4" s="88" t="s">
        <v>91</v>
      </c>
      <c r="Q4" s="88" t="s">
        <v>57</v>
      </c>
      <c r="R4" s="87" t="s">
        <v>85</v>
      </c>
      <c r="S4" s="97" t="s">
        <v>84</v>
      </c>
      <c r="T4" s="89" t="s">
        <v>83</v>
      </c>
      <c r="U4" s="93" t="s">
        <v>50</v>
      </c>
      <c r="V4" s="93" t="s">
        <v>44</v>
      </c>
      <c r="W4" s="69" t="s">
        <v>49</v>
      </c>
      <c r="X4" s="92" t="s">
        <v>42</v>
      </c>
      <c r="Y4" s="68" t="s">
        <v>43</v>
      </c>
      <c r="Z4" s="121" t="s">
        <v>170</v>
      </c>
      <c r="AA4" s="122" t="s">
        <v>171</v>
      </c>
      <c r="AB4"/>
      <c r="AC4"/>
      <c r="AD4"/>
    </row>
    <row r="5" spans="1:31" s="31" customFormat="1" ht="13.5" thickBot="1">
      <c r="A5" s="41"/>
      <c r="B5" s="204"/>
      <c r="C5" s="205" t="s">
        <v>48</v>
      </c>
      <c r="D5" s="205" t="s">
        <v>81</v>
      </c>
      <c r="E5" s="205" t="s">
        <v>82</v>
      </c>
      <c r="F5" s="206"/>
      <c r="G5" s="206" t="s">
        <v>22</v>
      </c>
      <c r="H5" s="206" t="s">
        <v>89</v>
      </c>
      <c r="I5" s="206" t="s">
        <v>90</v>
      </c>
      <c r="J5" s="206" t="s">
        <v>89</v>
      </c>
      <c r="K5" s="206" t="s">
        <v>89</v>
      </c>
      <c r="L5" s="207" t="s">
        <v>54</v>
      </c>
      <c r="M5" s="208" t="s">
        <v>46</v>
      </c>
      <c r="N5" s="209" t="s">
        <v>55</v>
      </c>
      <c r="O5" s="208" t="s">
        <v>45</v>
      </c>
      <c r="P5" s="208" t="s">
        <v>92</v>
      </c>
      <c r="Q5" s="208" t="s">
        <v>79</v>
      </c>
      <c r="R5" s="210" t="s">
        <v>51</v>
      </c>
      <c r="S5" s="211" t="s">
        <v>51</v>
      </c>
      <c r="T5" s="212" t="s">
        <v>51</v>
      </c>
      <c r="U5" s="213" t="s">
        <v>86</v>
      </c>
      <c r="V5" s="213" t="s">
        <v>80</v>
      </c>
      <c r="W5" s="214" t="s">
        <v>175</v>
      </c>
      <c r="X5" s="215" t="s">
        <v>172</v>
      </c>
      <c r="Y5" s="216" t="s">
        <v>173</v>
      </c>
      <c r="Z5" s="217" t="s">
        <v>174</v>
      </c>
      <c r="AA5" s="218" t="s">
        <v>174</v>
      </c>
      <c r="AB5"/>
      <c r="AC5"/>
      <c r="AD5"/>
      <c r="AE5" s="30"/>
    </row>
    <row r="6" spans="1:31" s="29" customFormat="1" ht="12.75">
      <c r="A6" s="219" t="str">
        <f>'Instantaneous Gas WH'!A7</f>
        <v>Instantaneous Gas-fired Water Heaters (199 Kbtu/h) - Representative Input Capacity</v>
      </c>
      <c r="B6" s="220"/>
      <c r="C6" s="221"/>
      <c r="D6" s="221"/>
      <c r="E6" s="221"/>
      <c r="F6" s="222"/>
      <c r="G6" s="222"/>
      <c r="H6" s="222"/>
      <c r="I6" s="222"/>
      <c r="J6" s="222"/>
      <c r="K6" s="222"/>
      <c r="L6" s="223"/>
      <c r="M6" s="224"/>
      <c r="N6" s="224"/>
      <c r="O6" s="224"/>
      <c r="P6" s="224"/>
      <c r="Q6" s="225"/>
      <c r="R6" s="224"/>
      <c r="S6" s="222"/>
      <c r="T6" s="226"/>
      <c r="U6" s="222"/>
      <c r="V6" s="224"/>
      <c r="W6" s="224"/>
      <c r="X6" s="223"/>
      <c r="Y6" s="227"/>
      <c r="Z6" s="228"/>
      <c r="AA6" s="226"/>
      <c r="AB6"/>
      <c r="AC6"/>
      <c r="AD6"/>
      <c r="AE6" s="30"/>
    </row>
    <row r="7" spans="1:30" ht="13.5" thickBot="1">
      <c r="A7" s="124">
        <f>'Instantaneous Gas WH'!A8</f>
        <v>0</v>
      </c>
      <c r="B7" s="133" t="str">
        <f>'Instantaneous Gas WH'!B8&amp;" - "&amp;'Instantaneous Gas WH'!C8</f>
        <v>0.62 EF - Standing Pilot (Baseline)</v>
      </c>
      <c r="C7" s="75">
        <v>0</v>
      </c>
      <c r="D7" s="75">
        <f aca="true" t="shared" si="0" ref="D7:D14">base_input_cap_sm</f>
        <v>199000</v>
      </c>
      <c r="E7" s="75">
        <f>pilot_light</f>
        <v>400</v>
      </c>
      <c r="F7" s="96" t="str">
        <f>LEFT(B7,4)</f>
        <v>0.62</v>
      </c>
      <c r="G7" s="94">
        <v>0.72</v>
      </c>
      <c r="H7" s="98">
        <v>0</v>
      </c>
      <c r="I7" s="100">
        <v>0</v>
      </c>
      <c r="J7" s="98">
        <v>0</v>
      </c>
      <c r="K7" s="136">
        <v>0</v>
      </c>
      <c r="L7" s="79">
        <v>64.3</v>
      </c>
      <c r="M7" s="83">
        <v>8.203532576316</v>
      </c>
      <c r="N7" s="78">
        <f aca="true" t="shared" si="1" ref="N7:N14">U_t*d_2</f>
        <v>527.4871446571188</v>
      </c>
      <c r="O7" s="82">
        <v>0.99789815612014</v>
      </c>
      <c r="P7" s="82">
        <v>6</v>
      </c>
      <c r="Q7" s="77">
        <f aca="true" t="shared" si="2" ref="Q7:Q14">(P_IG*Cycles*t_IG/60+P_aux*(Q_DM-Q_p*24)/(Q_IN-Q_p)+P_Standby*(24-(Q_DM-Q_p*24)/(Q_IN-Q_p)))/(1+P_aux*(3412)/(Q_IN-Q_p)-P_Standby*(3412)/(Q_IN-Q_p))</f>
        <v>0</v>
      </c>
      <c r="R7" s="76">
        <v>67.5</v>
      </c>
      <c r="S7" s="78">
        <v>58</v>
      </c>
      <c r="T7" s="90">
        <v>135</v>
      </c>
      <c r="U7" s="138">
        <f aca="true" t="shared" si="3" ref="U7:U14">(1/E_F-1/RE)/((T_tank-T_amb)*(24/(M_Total*C_P*(T_tank-T_in))-1/(RE*D7)))</f>
        <v>5.6715129437507725</v>
      </c>
      <c r="V7" s="139">
        <f aca="true" t="shared" si="4" ref="V7:V14">M_Total*C_P*(T_tank-T_in)/E_F</f>
        <v>65372.80737958398</v>
      </c>
      <c r="W7" s="140">
        <f aca="true" t="shared" si="5" ref="W7:W14">365*Q_DM/1000000</f>
        <v>23.861074693548154</v>
      </c>
      <c r="X7" s="141">
        <f aca="true" t="shared" si="6" ref="X7:X14">E_Annual-E_Annual_aux_elec*3.412/1000</f>
        <v>23.861074693548154</v>
      </c>
      <c r="Y7" s="142">
        <f aca="true" t="shared" si="7" ref="Y7:Y14">365*Z_aux</f>
        <v>0</v>
      </c>
      <c r="Z7" s="143">
        <f aca="true" t="shared" si="8" ref="Z7:Z14">(Q_DM-Z_aux*3412-Q_p*24)/(Q_IN-Q_p)*365</f>
        <v>102.50289372380742</v>
      </c>
      <c r="AA7" s="144">
        <f aca="true" t="shared" si="9" ref="AA7:AA14">8760-Burner_on</f>
        <v>8657.497106276192</v>
      </c>
      <c r="AB7"/>
      <c r="AC7"/>
      <c r="AD7"/>
    </row>
    <row r="8" spans="1:30" ht="13.5" thickTop="1">
      <c r="A8" s="124">
        <f>'Instantaneous Gas WH'!A9</f>
        <v>1</v>
      </c>
      <c r="B8" s="134" t="str">
        <f>'Instantaneous Gas WH'!B9&amp;" - "&amp;'Instantaneous Gas WH'!C9</f>
        <v>0.69 EF - Standing Pilot, Improved HX</v>
      </c>
      <c r="C8" s="26">
        <v>0</v>
      </c>
      <c r="D8" s="26">
        <f t="shared" si="0"/>
        <v>199000</v>
      </c>
      <c r="E8" s="26">
        <v>400</v>
      </c>
      <c r="F8" s="84" t="str">
        <f aca="true" t="shared" si="10" ref="F8:F14">LEFT(B8,4)</f>
        <v>0.69</v>
      </c>
      <c r="G8" s="95">
        <v>0.78</v>
      </c>
      <c r="H8" s="99">
        <v>0</v>
      </c>
      <c r="I8" s="101">
        <v>0</v>
      </c>
      <c r="J8" s="99">
        <v>0</v>
      </c>
      <c r="K8" s="137">
        <v>0</v>
      </c>
      <c r="L8" s="71">
        <v>64.3</v>
      </c>
      <c r="M8" s="85">
        <v>8.203532576316</v>
      </c>
      <c r="N8" s="28">
        <f t="shared" si="1"/>
        <v>527.4871446571188</v>
      </c>
      <c r="O8" s="84">
        <v>0.99789815612014</v>
      </c>
      <c r="P8" s="84">
        <v>6</v>
      </c>
      <c r="Q8" s="60">
        <f t="shared" si="2"/>
        <v>0</v>
      </c>
      <c r="R8" s="27">
        <v>67.5</v>
      </c>
      <c r="S8" s="28">
        <v>58</v>
      </c>
      <c r="T8" s="91">
        <v>135</v>
      </c>
      <c r="U8" s="102">
        <f t="shared" si="3"/>
        <v>4.22983722039884</v>
      </c>
      <c r="V8" s="145">
        <f t="shared" si="4"/>
        <v>58740.78344252474</v>
      </c>
      <c r="W8" s="146">
        <f t="shared" si="5"/>
        <v>21.44038595652153</v>
      </c>
      <c r="X8" s="147">
        <f t="shared" si="6"/>
        <v>21.44038595652153</v>
      </c>
      <c r="Y8" s="148">
        <f t="shared" si="7"/>
        <v>0</v>
      </c>
      <c r="Z8" s="149">
        <f t="shared" si="8"/>
        <v>90.3141286833914</v>
      </c>
      <c r="AA8" s="150">
        <f t="shared" si="9"/>
        <v>8669.68587131661</v>
      </c>
      <c r="AB8"/>
      <c r="AC8"/>
      <c r="AD8"/>
    </row>
    <row r="9" spans="1:30" ht="12.75">
      <c r="A9" s="124">
        <f>'Instantaneous Gas WH'!A10</f>
        <v>2</v>
      </c>
      <c r="B9" s="134" t="str">
        <f>'Instantaneous Gas WH'!B10&amp;" - "&amp;'Instantaneous Gas WH'!C10</f>
        <v>0.78 EF - Electronic Ignition, Improved HX</v>
      </c>
      <c r="C9" s="26">
        <v>1</v>
      </c>
      <c r="D9" s="26">
        <f t="shared" si="0"/>
        <v>199000</v>
      </c>
      <c r="E9" s="26">
        <v>0</v>
      </c>
      <c r="F9" s="84" t="str">
        <f t="shared" si="10"/>
        <v>0.78</v>
      </c>
      <c r="G9" s="95">
        <v>0.78</v>
      </c>
      <c r="H9" s="99">
        <v>0</v>
      </c>
      <c r="I9" s="101">
        <v>0</v>
      </c>
      <c r="J9" s="99">
        <f>(gas_valve+elec_ignition+transformer)/1000</f>
        <v>0.0245</v>
      </c>
      <c r="K9" s="137">
        <f aca="true" t="shared" si="11" ref="K9:K14">standby_losses/1000</f>
        <v>0.0028</v>
      </c>
      <c r="L9" s="71">
        <v>64.3</v>
      </c>
      <c r="M9" s="85">
        <v>8.203532576316</v>
      </c>
      <c r="N9" s="28">
        <f t="shared" si="1"/>
        <v>527.4871446571188</v>
      </c>
      <c r="O9" s="84">
        <v>0.99789815612014</v>
      </c>
      <c r="P9" s="84">
        <v>6</v>
      </c>
      <c r="Q9" s="60">
        <f t="shared" si="2"/>
        <v>0.07283921643862067</v>
      </c>
      <c r="R9" s="27">
        <v>67.5</v>
      </c>
      <c r="S9" s="28">
        <v>58</v>
      </c>
      <c r="T9" s="91">
        <v>135</v>
      </c>
      <c r="U9" s="102">
        <f t="shared" si="3"/>
        <v>0</v>
      </c>
      <c r="V9" s="145">
        <f t="shared" si="4"/>
        <v>51963.00073761804</v>
      </c>
      <c r="W9" s="146">
        <f t="shared" si="5"/>
        <v>18.96649526923058</v>
      </c>
      <c r="X9" s="147">
        <f t="shared" si="6"/>
        <v>18.87578276586225</v>
      </c>
      <c r="Y9" s="148">
        <f t="shared" si="7"/>
        <v>26.586314000096543</v>
      </c>
      <c r="Z9" s="149">
        <f t="shared" si="8"/>
        <v>94.85317972795103</v>
      </c>
      <c r="AA9" s="150">
        <f t="shared" si="9"/>
        <v>8665.14682027205</v>
      </c>
      <c r="AB9"/>
      <c r="AC9"/>
      <c r="AD9"/>
    </row>
    <row r="10" spans="1:30" ht="12.75">
      <c r="A10" s="124">
        <f>'Instantaneous Gas WH'!A11</f>
        <v>3</v>
      </c>
      <c r="B10" s="134" t="str">
        <f>'Instantaneous Gas WH'!B11&amp;" - "&amp;'Instantaneous Gas WH'!C11</f>
        <v>0.80 EF - Electronic Ignition, Power Vent</v>
      </c>
      <c r="C10" s="26">
        <v>0</v>
      </c>
      <c r="D10" s="26">
        <f t="shared" si="0"/>
        <v>199000</v>
      </c>
      <c r="E10" s="26">
        <v>0</v>
      </c>
      <c r="F10" s="84" t="str">
        <f t="shared" si="10"/>
        <v>0.80</v>
      </c>
      <c r="G10" s="95">
        <v>0.8</v>
      </c>
      <c r="H10" s="99">
        <v>0</v>
      </c>
      <c r="I10" s="101">
        <v>0</v>
      </c>
      <c r="J10" s="99">
        <f>(inducer_blower+gas_valve+elec_ignition+transformer)/1000</f>
        <v>0.079</v>
      </c>
      <c r="K10" s="137">
        <f t="shared" si="11"/>
        <v>0.0028</v>
      </c>
      <c r="L10" s="71">
        <v>64.3</v>
      </c>
      <c r="M10" s="85">
        <v>8.203532576316</v>
      </c>
      <c r="N10" s="28">
        <f t="shared" si="1"/>
        <v>527.4871446571188</v>
      </c>
      <c r="O10" s="84">
        <v>0.99789815612014</v>
      </c>
      <c r="P10" s="84">
        <v>6</v>
      </c>
      <c r="Q10" s="60">
        <f t="shared" si="2"/>
        <v>0.08648695987216856</v>
      </c>
      <c r="R10" s="27">
        <v>67.5</v>
      </c>
      <c r="S10" s="28">
        <v>58</v>
      </c>
      <c r="T10" s="91">
        <v>135</v>
      </c>
      <c r="U10" s="102">
        <f t="shared" si="3"/>
        <v>0</v>
      </c>
      <c r="V10" s="145">
        <f t="shared" si="4"/>
        <v>50663.92571917758</v>
      </c>
      <c r="W10" s="146">
        <f t="shared" si="5"/>
        <v>18.492332887499817</v>
      </c>
      <c r="X10" s="147">
        <f t="shared" si="6"/>
        <v>18.384623757414214</v>
      </c>
      <c r="Y10" s="148">
        <f t="shared" si="7"/>
        <v>31.567740353341524</v>
      </c>
      <c r="Z10" s="149">
        <f t="shared" si="8"/>
        <v>92.38504400710661</v>
      </c>
      <c r="AA10" s="150">
        <f t="shared" si="9"/>
        <v>8667.614955992893</v>
      </c>
      <c r="AB10"/>
      <c r="AC10"/>
      <c r="AD10"/>
    </row>
    <row r="11" spans="1:30" ht="12.75">
      <c r="A11" s="124">
        <f>'Instantaneous Gas WH'!A12</f>
        <v>4</v>
      </c>
      <c r="B11" s="134" t="str">
        <f>'Instantaneous Gas WH'!B12&amp;" - "&amp;'Instantaneous Gas WH'!C12</f>
        <v>0.82 EF - Electronic Ignition, Improved HX, Power Vent</v>
      </c>
      <c r="C11" s="26">
        <v>0</v>
      </c>
      <c r="D11" s="26">
        <f t="shared" si="0"/>
        <v>199000</v>
      </c>
      <c r="E11" s="26">
        <v>0</v>
      </c>
      <c r="F11" s="84" t="str">
        <f t="shared" si="10"/>
        <v>0.82</v>
      </c>
      <c r="G11" s="95">
        <v>0.82</v>
      </c>
      <c r="H11" s="99">
        <v>0</v>
      </c>
      <c r="I11" s="101">
        <v>0</v>
      </c>
      <c r="J11" s="99">
        <f>(inducer_blower+gas_valve+elec_ignition+transformer)/1000</f>
        <v>0.079</v>
      </c>
      <c r="K11" s="137">
        <f t="shared" si="11"/>
        <v>0.0028</v>
      </c>
      <c r="L11" s="71">
        <v>64.3</v>
      </c>
      <c r="M11" s="85">
        <v>8.203532576316</v>
      </c>
      <c r="N11" s="28">
        <f t="shared" si="1"/>
        <v>527.4871446571188</v>
      </c>
      <c r="O11" s="84">
        <v>0.99789815612014</v>
      </c>
      <c r="P11" s="84">
        <v>6</v>
      </c>
      <c r="Q11" s="60">
        <f t="shared" si="2"/>
        <v>0.08601440761806015</v>
      </c>
      <c r="R11" s="27">
        <v>67.5</v>
      </c>
      <c r="S11" s="28">
        <v>58</v>
      </c>
      <c r="T11" s="91">
        <v>135</v>
      </c>
      <c r="U11" s="102">
        <f t="shared" si="3"/>
        <v>0</v>
      </c>
      <c r="V11" s="145">
        <f t="shared" si="4"/>
        <v>49428.220213831795</v>
      </c>
      <c r="W11" s="146">
        <f t="shared" si="5"/>
        <v>18.041300378048607</v>
      </c>
      <c r="X11" s="147">
        <f t="shared" si="6"/>
        <v>17.93417975508923</v>
      </c>
      <c r="Y11" s="148">
        <f t="shared" si="7"/>
        <v>31.395258780591952</v>
      </c>
      <c r="Z11" s="149">
        <f t="shared" si="8"/>
        <v>90.12150630698103</v>
      </c>
      <c r="AA11" s="150">
        <f t="shared" si="9"/>
        <v>8669.878493693019</v>
      </c>
      <c r="AB11"/>
      <c r="AC11"/>
      <c r="AD11"/>
    </row>
    <row r="12" spans="1:27" ht="12.75">
      <c r="A12" s="124">
        <f>'Instantaneous Gas WH'!A13</f>
        <v>5</v>
      </c>
      <c r="B12" s="134" t="str">
        <f>'Instantaneous Gas WH'!B13&amp;" - "&amp;'Instantaneous Gas WH'!C13</f>
        <v>0.84 EF - Electronic Ignition, Improved HX, Power Vent</v>
      </c>
      <c r="C12" s="26">
        <v>0</v>
      </c>
      <c r="D12" s="26">
        <f t="shared" si="0"/>
        <v>199000</v>
      </c>
      <c r="E12" s="26">
        <v>0</v>
      </c>
      <c r="F12" s="84" t="str">
        <f t="shared" si="10"/>
        <v>0.84</v>
      </c>
      <c r="G12" s="95">
        <v>0.84</v>
      </c>
      <c r="H12" s="99">
        <v>0</v>
      </c>
      <c r="I12" s="101">
        <v>0</v>
      </c>
      <c r="J12" s="99">
        <f>(inducer_blower+gas_valve+elec_ignition+transformer)/1000</f>
        <v>0.079</v>
      </c>
      <c r="K12" s="137">
        <f t="shared" si="11"/>
        <v>0.0028</v>
      </c>
      <c r="L12" s="71">
        <v>64.3</v>
      </c>
      <c r="M12" s="85">
        <v>8.203532576316</v>
      </c>
      <c r="N12" s="28">
        <f t="shared" si="1"/>
        <v>527.4871446571188</v>
      </c>
      <c r="O12" s="84">
        <v>0.99789815612014</v>
      </c>
      <c r="P12" s="84">
        <v>6</v>
      </c>
      <c r="Q12" s="60">
        <f t="shared" si="2"/>
        <v>0.08556435785224262</v>
      </c>
      <c r="R12" s="27">
        <v>67.5</v>
      </c>
      <c r="S12" s="28">
        <v>58</v>
      </c>
      <c r="T12" s="91">
        <v>135</v>
      </c>
      <c r="U12" s="102">
        <f t="shared" si="3"/>
        <v>0</v>
      </c>
      <c r="V12" s="145">
        <f t="shared" si="4"/>
        <v>48251.35782778818</v>
      </c>
      <c r="W12" s="146">
        <f t="shared" si="5"/>
        <v>17.611745607142687</v>
      </c>
      <c r="X12" s="151">
        <f t="shared" si="6"/>
        <v>17.50518546716066</v>
      </c>
      <c r="Y12" s="148">
        <f t="shared" si="7"/>
        <v>31.230990616068556</v>
      </c>
      <c r="Z12" s="149">
        <f t="shared" si="8"/>
        <v>87.96575611638524</v>
      </c>
      <c r="AA12" s="150">
        <f t="shared" si="9"/>
        <v>8672.034243883614</v>
      </c>
    </row>
    <row r="13" spans="1:27" ht="12.75">
      <c r="A13" s="124">
        <f>'Instantaneous Gas WH'!A14</f>
        <v>6</v>
      </c>
      <c r="B13" s="134" t="str">
        <f>'Instantaneous Gas WH'!B14&amp;" - "&amp;'Instantaneous Gas WH'!C14</f>
        <v>0.85 EF - Electronic Ignition, Improved HX, Direct Vent, Power Vent</v>
      </c>
      <c r="C13" s="26">
        <v>0</v>
      </c>
      <c r="D13" s="26">
        <f t="shared" si="0"/>
        <v>199000</v>
      </c>
      <c r="E13" s="26">
        <v>0</v>
      </c>
      <c r="F13" s="84" t="str">
        <f t="shared" si="10"/>
        <v>0.85</v>
      </c>
      <c r="G13" s="95">
        <v>0.85</v>
      </c>
      <c r="H13" s="99">
        <v>0</v>
      </c>
      <c r="I13" s="101">
        <v>0</v>
      </c>
      <c r="J13" s="99">
        <f>(inducer_blower+gas_valve+elec_ignition+transformer)/1000</f>
        <v>0.079</v>
      </c>
      <c r="K13" s="137">
        <f t="shared" si="11"/>
        <v>0.0028</v>
      </c>
      <c r="L13" s="71">
        <v>64.3</v>
      </c>
      <c r="M13" s="85">
        <v>8.203532576316</v>
      </c>
      <c r="N13" s="28">
        <f t="shared" si="1"/>
        <v>527.4871446571188</v>
      </c>
      <c r="O13" s="84">
        <v>0.99789815612014</v>
      </c>
      <c r="P13" s="84">
        <v>6</v>
      </c>
      <c r="Q13" s="60">
        <f t="shared" si="2"/>
        <v>0.08534727502402474</v>
      </c>
      <c r="R13" s="27">
        <v>67.5</v>
      </c>
      <c r="S13" s="28">
        <v>58</v>
      </c>
      <c r="T13" s="91">
        <v>135</v>
      </c>
      <c r="U13" s="102">
        <f t="shared" si="3"/>
        <v>0</v>
      </c>
      <c r="V13" s="145">
        <f t="shared" si="4"/>
        <v>47683.69479452008</v>
      </c>
      <c r="W13" s="146">
        <f t="shared" si="5"/>
        <v>17.40454859999983</v>
      </c>
      <c r="X13" s="151">
        <f t="shared" si="6"/>
        <v>17.29825881063041</v>
      </c>
      <c r="Y13" s="148">
        <f t="shared" si="7"/>
        <v>31.15175538376903</v>
      </c>
      <c r="Z13" s="149">
        <f t="shared" si="8"/>
        <v>86.9259236715096</v>
      </c>
      <c r="AA13" s="150">
        <f t="shared" si="9"/>
        <v>8673.07407632849</v>
      </c>
    </row>
    <row r="14" spans="1:27" ht="13.5" thickBot="1">
      <c r="A14" s="229">
        <f>'Instantaneous Gas WH'!A15</f>
        <v>7</v>
      </c>
      <c r="B14" s="230" t="str">
        <f>'Instantaneous Gas WH'!B15&amp;" - "&amp;'Instantaneous Gas WH'!C15</f>
        <v>0.92 EF - Condensing (Max Tech)</v>
      </c>
      <c r="C14" s="231">
        <v>0</v>
      </c>
      <c r="D14" s="231">
        <f t="shared" si="0"/>
        <v>199000</v>
      </c>
      <c r="E14" s="231">
        <v>0</v>
      </c>
      <c r="F14" s="232" t="str">
        <f t="shared" si="10"/>
        <v>0.92</v>
      </c>
      <c r="G14" s="233">
        <v>0.92</v>
      </c>
      <c r="H14" s="234">
        <v>0</v>
      </c>
      <c r="I14" s="235">
        <v>0</v>
      </c>
      <c r="J14" s="234">
        <f>(inducer_blower+gas_valve+elec_ignition+transformer)/1000</f>
        <v>0.079</v>
      </c>
      <c r="K14" s="236">
        <f t="shared" si="11"/>
        <v>0.0028</v>
      </c>
      <c r="L14" s="237">
        <v>64.3</v>
      </c>
      <c r="M14" s="238">
        <v>8.203532576316</v>
      </c>
      <c r="N14" s="239">
        <f t="shared" si="1"/>
        <v>527.4871446571188</v>
      </c>
      <c r="O14" s="240">
        <v>0.99789815612014</v>
      </c>
      <c r="P14" s="240">
        <v>6</v>
      </c>
      <c r="Q14" s="241">
        <f t="shared" si="2"/>
        <v>0.08395983260019747</v>
      </c>
      <c r="R14" s="242">
        <v>67.5</v>
      </c>
      <c r="S14" s="239">
        <v>58</v>
      </c>
      <c r="T14" s="243">
        <v>135</v>
      </c>
      <c r="U14" s="232">
        <f t="shared" si="3"/>
        <v>0</v>
      </c>
      <c r="V14" s="244">
        <f t="shared" si="4"/>
        <v>44055.58758189355</v>
      </c>
      <c r="W14" s="245">
        <f t="shared" si="5"/>
        <v>16.080289467391147</v>
      </c>
      <c r="X14" s="246">
        <f t="shared" si="6"/>
        <v>15.975727571067512</v>
      </c>
      <c r="Y14" s="247">
        <f t="shared" si="7"/>
        <v>30.645338899072076</v>
      </c>
      <c r="Z14" s="248">
        <f t="shared" si="8"/>
        <v>80.28003804556539</v>
      </c>
      <c r="AA14" s="249">
        <f t="shared" si="9"/>
        <v>8679.719961954435</v>
      </c>
    </row>
    <row r="15" spans="1:27" ht="12.75">
      <c r="A15" s="30"/>
      <c r="B15" s="30"/>
      <c r="C15" s="30"/>
      <c r="D15" s="30"/>
      <c r="E15" s="30"/>
      <c r="F15" s="30"/>
      <c r="G15" s="30"/>
      <c r="H15" s="30"/>
      <c r="I15" s="30"/>
      <c r="J15" s="30"/>
      <c r="K15" s="30"/>
      <c r="L15" s="30"/>
      <c r="M15" s="30"/>
      <c r="N15" s="30"/>
      <c r="O15" s="30"/>
      <c r="P15" s="30"/>
      <c r="Q15" s="30"/>
      <c r="R15" s="30"/>
      <c r="S15" s="30"/>
      <c r="T15" s="30"/>
      <c r="U15" s="30"/>
      <c r="V15" s="30"/>
      <c r="W15" s="30"/>
      <c r="X15" s="30"/>
      <c r="Z15" s="30"/>
      <c r="AA15" s="30"/>
    </row>
    <row r="16" spans="2:23" ht="12.75">
      <c r="B16" s="80"/>
      <c r="W16" s="72"/>
    </row>
    <row r="17" ht="12.75">
      <c r="W17" s="72"/>
    </row>
    <row r="18" spans="7:23" ht="12.75">
      <c r="G18" s="24"/>
      <c r="H18" s="24"/>
      <c r="I18" s="24"/>
      <c r="J18" s="24"/>
      <c r="K18" s="24"/>
      <c r="W18" s="72"/>
    </row>
    <row r="19" ht="12.75">
      <c r="W19" s="72"/>
    </row>
    <row r="20" ht="12.75">
      <c r="W20" s="72"/>
    </row>
  </sheetData>
  <sheetProtection/>
  <printOptions/>
  <pageMargins left="0.25" right="0.25" top="1" bottom="1" header="0.5" footer="0.5"/>
  <pageSetup fitToHeight="1" fitToWidth="1" horizontalDpi="300" verticalDpi="300" orientation="landscape" scale="43"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13.8515625" style="61" customWidth="1"/>
    <col min="2" max="2" width="5.00390625" style="0" customWidth="1"/>
    <col min="3" max="3" width="169.140625" style="0" customWidth="1"/>
    <col min="4" max="4" width="81.57421875" style="251" customWidth="1"/>
  </cols>
  <sheetData>
    <row r="1" spans="1:4" s="42" customFormat="1" ht="12.75">
      <c r="A1" s="67" t="s">
        <v>331</v>
      </c>
      <c r="B1" s="67"/>
      <c r="D1" s="252"/>
    </row>
    <row r="2" ht="12.75">
      <c r="C2" s="8"/>
    </row>
    <row r="3" spans="1:4" ht="15.75">
      <c r="A3" s="64" t="s">
        <v>66</v>
      </c>
      <c r="B3" s="9" t="s">
        <v>3</v>
      </c>
      <c r="C3" s="8" t="s">
        <v>69</v>
      </c>
      <c r="D3" s="251" t="s">
        <v>70</v>
      </c>
    </row>
    <row r="4" spans="1:4" ht="15.75">
      <c r="A4" s="64" t="s">
        <v>67</v>
      </c>
      <c r="B4" s="9" t="s">
        <v>3</v>
      </c>
      <c r="C4" s="251" t="s">
        <v>316</v>
      </c>
      <c r="D4" s="251" t="s">
        <v>72</v>
      </c>
    </row>
    <row r="5" spans="1:4" ht="15.75">
      <c r="A5" s="64" t="s">
        <v>58</v>
      </c>
      <c r="B5" s="62" t="s">
        <v>3</v>
      </c>
      <c r="C5" t="s">
        <v>60</v>
      </c>
      <c r="D5" s="251" t="s">
        <v>64</v>
      </c>
    </row>
    <row r="6" spans="1:4" ht="15.75">
      <c r="A6" s="63" t="s">
        <v>44</v>
      </c>
      <c r="B6" s="62" t="s">
        <v>3</v>
      </c>
      <c r="C6" s="86" t="s">
        <v>71</v>
      </c>
      <c r="D6" s="251" t="s">
        <v>336</v>
      </c>
    </row>
    <row r="7" spans="1:4" ht="15.75">
      <c r="A7" s="63" t="s">
        <v>57</v>
      </c>
      <c r="B7" s="62" t="s">
        <v>3</v>
      </c>
      <c r="C7" t="s">
        <v>176</v>
      </c>
      <c r="D7" s="251" t="s">
        <v>337</v>
      </c>
    </row>
    <row r="8" spans="1:4" ht="15.75">
      <c r="A8" s="63" t="s">
        <v>63</v>
      </c>
      <c r="B8" s="62" t="s">
        <v>3</v>
      </c>
      <c r="C8" t="s">
        <v>75</v>
      </c>
      <c r="D8" s="251" t="s">
        <v>338</v>
      </c>
    </row>
    <row r="9" spans="1:3" ht="15.75">
      <c r="A9" s="63" t="s">
        <v>170</v>
      </c>
      <c r="B9" s="62" t="s">
        <v>3</v>
      </c>
      <c r="C9" t="s">
        <v>177</v>
      </c>
    </row>
    <row r="10" spans="1:3" ht="15.75">
      <c r="A10" s="63" t="s">
        <v>171</v>
      </c>
      <c r="B10" s="62" t="s">
        <v>3</v>
      </c>
      <c r="C10" t="s">
        <v>178</v>
      </c>
    </row>
    <row r="11" ht="12.75">
      <c r="B11" s="61"/>
    </row>
    <row r="12" spans="1:4" s="42" customFormat="1" ht="12.75">
      <c r="A12" s="67" t="s">
        <v>2</v>
      </c>
      <c r="B12" s="67"/>
      <c r="D12" s="294"/>
    </row>
    <row r="13" ht="12.75">
      <c r="B13" s="61"/>
    </row>
    <row r="14" spans="1:3" ht="15.75">
      <c r="A14" s="63" t="s">
        <v>0</v>
      </c>
      <c r="B14" s="62" t="s">
        <v>3</v>
      </c>
      <c r="C14" t="s">
        <v>62</v>
      </c>
    </row>
    <row r="15" spans="1:4" ht="15.75">
      <c r="A15" s="63" t="s">
        <v>61</v>
      </c>
      <c r="B15" s="62" t="s">
        <v>3</v>
      </c>
      <c r="C15" t="s">
        <v>68</v>
      </c>
      <c r="D15" s="251" t="s">
        <v>65</v>
      </c>
    </row>
    <row r="16" spans="1:3" ht="15.75">
      <c r="A16" s="63" t="s">
        <v>53</v>
      </c>
      <c r="B16" s="62" t="s">
        <v>3</v>
      </c>
      <c r="C16" t="s">
        <v>76</v>
      </c>
    </row>
    <row r="17" spans="1:3" ht="15.75">
      <c r="A17" s="63" t="s">
        <v>52</v>
      </c>
      <c r="B17" s="62" t="s">
        <v>3</v>
      </c>
      <c r="C17" t="s">
        <v>74</v>
      </c>
    </row>
    <row r="18" spans="1:3" ht="15.75">
      <c r="A18" s="63" t="s">
        <v>77</v>
      </c>
      <c r="B18" s="62" t="s">
        <v>3</v>
      </c>
      <c r="C18" t="s">
        <v>73</v>
      </c>
    </row>
    <row r="19" spans="1:3" ht="15.75">
      <c r="A19" s="63" t="s">
        <v>78</v>
      </c>
      <c r="B19" s="62" t="s">
        <v>3</v>
      </c>
      <c r="C19" t="s">
        <v>317</v>
      </c>
    </row>
    <row r="20" spans="1:3" ht="15.75">
      <c r="A20" s="61" t="s">
        <v>93</v>
      </c>
      <c r="B20" s="62" t="s">
        <v>3</v>
      </c>
      <c r="C20" t="s">
        <v>179</v>
      </c>
    </row>
    <row r="21" spans="1:4" ht="12.75">
      <c r="A21" s="61" t="s">
        <v>91</v>
      </c>
      <c r="B21" s="62" t="s">
        <v>3</v>
      </c>
      <c r="C21" t="s">
        <v>97</v>
      </c>
      <c r="D21" s="251" t="s">
        <v>98</v>
      </c>
    </row>
    <row r="22" spans="1:3" ht="15.75">
      <c r="A22" s="61" t="s">
        <v>94</v>
      </c>
      <c r="B22" s="62" t="s">
        <v>3</v>
      </c>
      <c r="C22" t="s">
        <v>180</v>
      </c>
    </row>
    <row r="23" spans="1:3" ht="15.75">
      <c r="A23" s="61" t="s">
        <v>181</v>
      </c>
      <c r="B23" s="62" t="s">
        <v>3</v>
      </c>
      <c r="C23" t="s">
        <v>182</v>
      </c>
    </row>
    <row r="24" spans="1:3" ht="15.75">
      <c r="A24" s="61" t="s">
        <v>95</v>
      </c>
      <c r="B24" s="62" t="s">
        <v>3</v>
      </c>
      <c r="C24" t="s">
        <v>99</v>
      </c>
    </row>
    <row r="25" spans="1:3" ht="15.75">
      <c r="A25" s="61" t="s">
        <v>183</v>
      </c>
      <c r="B25" s="62" t="s">
        <v>3</v>
      </c>
      <c r="C25" t="s">
        <v>184</v>
      </c>
    </row>
    <row r="26" spans="1:3" ht="15.75">
      <c r="A26" s="61" t="s">
        <v>96</v>
      </c>
      <c r="B26" s="62" t="s">
        <v>3</v>
      </c>
      <c r="C26" t="s">
        <v>185</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 Instantaneous Water Heaters Engineering Spreadsheet</dc:title>
  <dc:subject>This spreadsheet provides the analysis and tools for the engineering analysis of instantaneous gas-fired water heaters.</dc:subject>
  <dc:creator/>
  <cp:keywords/>
  <dc:description>12/8/2006 version</dc:description>
  <cp:lastModifiedBy>Devin Egan </cp:lastModifiedBy>
  <cp:lastPrinted>2005-06-29T18:13:37Z</cp:lastPrinted>
  <dcterms:created xsi:type="dcterms:W3CDTF">1998-03-31T19:46:04Z</dcterms:created>
  <dcterms:modified xsi:type="dcterms:W3CDTF">2009-01-12T16:44:45Z</dcterms:modified>
  <cp:category/>
  <cp:version/>
  <cp:contentType/>
  <cp:contentStatus/>
</cp:coreProperties>
</file>