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80" windowWidth="20360" windowHeight="12940" firstSheet="2" activeTab="4"/>
  </bookViews>
  <sheets>
    <sheet name="nghp 5 yr 10%" sheetId="1" r:id="rId1"/>
    <sheet name="nghp 10 yr 10%" sheetId="2" r:id="rId2"/>
    <sheet name="nghp 5 yr 20%" sheetId="3" r:id="rId3"/>
    <sheet name="nghp 10 yr 20%" sheetId="4" r:id="rId4"/>
    <sheet name="input asumptions" sheetId="5" r:id="rId5"/>
    <sheet name="elec prices" sheetId="6" r:id="rId6"/>
    <sheet name="conversions" sheetId="7" r:id="rId7"/>
  </sheets>
  <definedNames/>
  <calcPr fullCalcOnLoad="1"/>
</workbook>
</file>

<file path=xl/sharedStrings.xml><?xml version="1.0" encoding="utf-8"?>
<sst xmlns="http://schemas.openxmlformats.org/spreadsheetml/2006/main" count="497" uniqueCount="130">
  <si>
    <t>(11)  Shipments due to rebate program above baseline shipments are used to calculate carbon savings due to rebate program.</t>
  </si>
  <si>
    <t>(12)  Shipments purchased with a rebate, including baseline shipments, are used to calculate carbon savings from equipment purchased with a rebate.</t>
  </si>
  <si>
    <t>(13)  Electricity bill savings assume the AEO97 Reference Case energy prices shown on attached sheets.</t>
  </si>
  <si>
    <t>(14)  Consumer response to price effect of reduced installed costs from progress ratio (increased cumulative production experience due to rebate) is omitted from this analysis.</t>
  </si>
  <si>
    <t>(15)  Cumulative costs are not present-valued.</t>
  </si>
  <si>
    <t>n</t>
  </si>
  <si>
    <t>Input Assumptions for Residential-Sized Natural Gas Heat Pump Tax Rebate Analysis</t>
  </si>
  <si>
    <t>average heating load  (NE and MW Census Regions)</t>
  </si>
  <si>
    <t>MBtu/yr/home</t>
  </si>
  <si>
    <t xml:space="preserve">from 1993 RECS for gas heated homes, assuming gas furnace efficiency of </t>
  </si>
  <si>
    <t>AFUE (9).</t>
  </si>
  <si>
    <t>average heating load (United States)</t>
  </si>
  <si>
    <t>average cooling load (NE and MW Census Regions)</t>
  </si>
  <si>
    <t>from 1993 RECS for CAC cooled homes, assuming CAC efficiency of</t>
  </si>
  <si>
    <t>SEER (9).</t>
  </si>
  <si>
    <t>average cooling load (United States)</t>
  </si>
  <si>
    <t xml:space="preserve">from 1993 RECS for CAC cooled homes, assuming CAC efficiency of </t>
  </si>
  <si>
    <t>gas absorption HP gas energy savings</t>
  </si>
  <si>
    <t>MBtu/yr/unit</t>
  </si>
  <si>
    <t>(5) assuming a HP heating eff. of</t>
  </si>
  <si>
    <t>COP</t>
  </si>
  <si>
    <t xml:space="preserve"> and a HP cooling eff. of</t>
  </si>
  <si>
    <t xml:space="preserve"> COP (12) and a gas furn. eff. of</t>
  </si>
  <si>
    <t>gas absorption HP electricity energy savings</t>
  </si>
  <si>
    <t>kWh/yr/unit</t>
  </si>
  <si>
    <t>(5) assuming CAC efficiency of</t>
  </si>
  <si>
    <t>gas absorption HP carbon savings</t>
  </si>
  <si>
    <t>kgC/yr/unit</t>
  </si>
  <si>
    <t>assuming an electricity carbon factor of</t>
  </si>
  <si>
    <t>gC/kWh</t>
  </si>
  <si>
    <t>and a gas carbon factor of</t>
  </si>
  <si>
    <t>gC/kBtu.</t>
  </si>
  <si>
    <t>gas engine driven HP gas savings</t>
  </si>
  <si>
    <t>and a HP cooling eff. of</t>
  </si>
  <si>
    <t xml:space="preserve"> COP (13) and a gas furn. eff. of</t>
  </si>
  <si>
    <t>gas engine driven HP electricity savings</t>
  </si>
  <si>
    <t>gas engine driven HP carbon savings</t>
  </si>
  <si>
    <t>kg/yr/unit</t>
  </si>
  <si>
    <t>g/kWh</t>
  </si>
  <si>
    <t>g/kBtu.</t>
  </si>
  <si>
    <t>(12)  Taken from A.D. Little "EIA-Technology Forecast Updates", Final Report, June 20, 1995, A.D Little,  Ref# 41615.</t>
  </si>
  <si>
    <t>(13)  Taken from EPA Energy Star Website.</t>
  </si>
  <si>
    <t>Assumed annual shipments from 30%, 10 year tax rebate</t>
  </si>
  <si>
    <t>Assumed marketshare for NGHP annual shipments through time</t>
  </si>
  <si>
    <t>engine-driven</t>
  </si>
  <si>
    <t>absorption</t>
  </si>
  <si>
    <t>AEO97 Reference Case Forecast Residential Sector Energy Prices</t>
  </si>
  <si>
    <t xml:space="preserve">Units </t>
  </si>
  <si>
    <t>Distillate</t>
  </si>
  <si>
    <t>1995$/MBtu</t>
  </si>
  <si>
    <t>LPG</t>
  </si>
  <si>
    <t>Natural Gas</t>
  </si>
  <si>
    <t>Electricity</t>
  </si>
  <si>
    <t>1995¢/kWh</t>
  </si>
  <si>
    <t>Mbtu</t>
  </si>
  <si>
    <t>Mbtu/yr</t>
  </si>
  <si>
    <t>MBtu</t>
  </si>
  <si>
    <t>kWh</t>
  </si>
  <si>
    <t>gas furn heatin demand</t>
  </si>
  <si>
    <t>hp heating demand</t>
  </si>
  <si>
    <t>cooling</t>
  </si>
  <si>
    <t>heating</t>
  </si>
  <si>
    <t>eneergy load (Mbtu)</t>
  </si>
  <si>
    <t>energy demand (Mbtu) furn/cac</t>
  </si>
  <si>
    <t>energy demand (Mbtu) hp</t>
  </si>
  <si>
    <t>implicit price deflators</t>
  </si>
  <si>
    <t>Btu to Wh</t>
  </si>
  <si>
    <t>Quad to TWh</t>
  </si>
  <si>
    <t>Summary of Tax Rebate (1) Savings for Residential-Sized Natural Gas Heat Pumps</t>
  </si>
  <si>
    <t>Rebate for</t>
  </si>
  <si>
    <t>years</t>
  </si>
  <si>
    <t>DRAFT</t>
  </si>
  <si>
    <t>cumulative (15)</t>
  </si>
  <si>
    <t>units</t>
  </si>
  <si>
    <t>1998-2015</t>
  </si>
  <si>
    <t>baseline (2) NGHP annual shipments</t>
  </si>
  <si>
    <t>1000 units/yr</t>
  </si>
  <si>
    <t>-</t>
  </si>
  <si>
    <t>rebate (1) case engine-driven NGHP shipments (3) (4) (5)</t>
  </si>
  <si>
    <t xml:space="preserve">     engine-driven NGHP shipments due to price effect (3)</t>
  </si>
  <si>
    <t xml:space="preserve">     engine-driven NGHP shipments due to announcement effect (3)</t>
  </si>
  <si>
    <t>rebate (1) case absorption NGHP shipments (3) (4) (5)</t>
  </si>
  <si>
    <t xml:space="preserve">     absorption NGHP shipments due to price effect (3)</t>
  </si>
  <si>
    <t xml:space="preserve">     absorption NGHP shipments due to announcement effect (3)</t>
  </si>
  <si>
    <t xml:space="preserve">total rebate (1) case NGHP shipments (3) </t>
  </si>
  <si>
    <t>cumulative baseline NGHP shipments</t>
  </si>
  <si>
    <t>1000 units</t>
  </si>
  <si>
    <t>cumulative rebate case engine-driven NGHP shipments</t>
  </si>
  <si>
    <t>cumulative rebate case absorption NGHP shipments</t>
  </si>
  <si>
    <t>cumulative rebate case NGHP shipments</t>
  </si>
  <si>
    <t>baseline engine-driven NGHP installed cost (6)</t>
  </si>
  <si>
    <t>1995$/unit</t>
  </si>
  <si>
    <t>rebate case (1) engine-driven NGHP installed cost (6)</t>
  </si>
  <si>
    <t>baseline absorption NGHP installed cost (6)</t>
  </si>
  <si>
    <t>rebate case (1) absorption NGHP installed cost (6)</t>
  </si>
  <si>
    <t>electricity savings due to rebate (7) (8) (9)</t>
  </si>
  <si>
    <t>TWh</t>
  </si>
  <si>
    <t>natural gas savings due to rebate (7) (8) (9)</t>
  </si>
  <si>
    <t>TBtu</t>
  </si>
  <si>
    <t>carbon savings due to rebate program (10) (11)</t>
  </si>
  <si>
    <t>MtC</t>
  </si>
  <si>
    <t>shipments purchased with a rebate (keep hidden)</t>
  </si>
  <si>
    <t>shipments  * mktshr * c savings (keep hidden)</t>
  </si>
  <si>
    <t>carbon savings from equipment purchased with a rebate (10) (12)</t>
  </si>
  <si>
    <t>electricity bill savings due to rebate (13)</t>
  </si>
  <si>
    <t>million 1995 $</t>
  </si>
  <si>
    <t>cost of rebate program (1)</t>
  </si>
  <si>
    <t>cumulative carbon savings cost</t>
  </si>
  <si>
    <t>1995$/tC</t>
  </si>
  <si>
    <t xml:space="preserve">(1)  Consumer tax rebate reduces installed costs by </t>
  </si>
  <si>
    <t>from</t>
  </si>
  <si>
    <t>to</t>
  </si>
  <si>
    <t>, lasting</t>
  </si>
  <si>
    <t>years.</t>
  </si>
  <si>
    <t>(2)  Baseline capacity additions are assumed to be zero for natural gas heat pumps.</t>
  </si>
  <si>
    <t>(3)  Capacity additions due to rebate are split into two effects:  a rebate price effect of</t>
  </si>
  <si>
    <t>and a rebate announcement effect of</t>
  </si>
  <si>
    <t xml:space="preserve">.  The shipments due to the rebate are proportional to the shipments in (4), </t>
  </si>
  <si>
    <t xml:space="preserve">     based on the rebate attributes in (1).  The rebate period length affects both the price effect and the announcement effect, while the rebate level effects only the price effect.  </t>
  </si>
  <si>
    <t xml:space="preserve">(4)  We base our analysis on the presumption that a </t>
  </si>
  <si>
    <t>year tax rebate yields the annual shipments shown on the attached input assumptions sheet.</t>
  </si>
  <si>
    <t>(5)  We assume that the engine-driven and absorption technologies compete for NGHP shipments and use the marketshares shown on the attached input assumptions sheet to distribute shipments between the 2 technologies.</t>
  </si>
  <si>
    <t>(6)  1998 NGHP installed costs are based on personal communication with Howard Geller, 12/04/97.  installed costs from 1999-2015 are estimated using a progress ratio of</t>
  </si>
  <si>
    <t>.  installed costs are multiplied by the progress</t>
  </si>
  <si>
    <t xml:space="preserve">      ratio raised to the power of the number of doublings in cumulative capacity.</t>
  </si>
  <si>
    <t xml:space="preserve">(7)  Electricity and gas savings are estimated using the electricity energy savings per unit shown on attached sheet.  The electricity savings per unit is based on cooling energy use, CAC efficiency, and NGHP cooling </t>
  </si>
  <si>
    <t xml:space="preserve">      efficiency shown on attached sheet.  The gas savings per unit is based on heating energy use, gas furnace efficiency, and NGHP heating efficiency shown on attached sheet.</t>
  </si>
  <si>
    <t>(8)  The gas absorption technology is assumed to be adopted only in the Northeast and Midwest Census Regions and the engine-driven technology is assumed to be adopted in all Census Regions.</t>
  </si>
  <si>
    <t>(9)  Estimates assume that homes switching to NGHPs previously utilized equipment with efficiencies equal to the minimum standards for gas furnaces and CACs.</t>
  </si>
  <si>
    <t>(10)  Carbon savings are based on carbon factors for electricity and natural gas shown on attached 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</si>
</sst>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0.0"/>
    <numFmt numFmtId="170" formatCode="_(&quot;$&quot;* #,##0.0_);_(&quot;$&quot;* \(#,##0.0\);_(&quot;$&quot;* &quot;-&quot;??_);_(@_)"/>
    <numFmt numFmtId="171" formatCode="_(&quot;$&quot;* #,##0_);_(&quot;$&quot;* \(#,##0\);_(&quot;$&quot;* &quot;-&quot;??_);_(@_)"/>
  </numFmts>
  <fonts count="10">
    <font>
      <sz val="10"/>
      <name val="Helv"/>
      <family val="0"/>
    </font>
    <font>
      <b/>
      <sz val="10"/>
      <name val="Helv"/>
      <family val="0"/>
    </font>
    <font>
      <i/>
      <sz val="10"/>
      <name val="Helv"/>
      <family val="0"/>
    </font>
    <font>
      <b/>
      <i/>
      <sz val="10"/>
      <name val="Helv"/>
      <family val="0"/>
    </font>
    <font>
      <sz val="10"/>
      <name val="Tms Rmn"/>
      <family val="0"/>
    </font>
    <font>
      <i/>
      <sz val="10"/>
      <name val="Tms Rmn"/>
      <family val="0"/>
    </font>
    <font>
      <sz val="12"/>
      <name val="Tms Rmn"/>
      <family val="0"/>
    </font>
    <font>
      <sz val="14"/>
      <name val="Tms Rmn"/>
      <family val="0"/>
    </font>
    <font>
      <sz val="18"/>
      <name val="Tms Rmn"/>
      <family val="0"/>
    </font>
    <font>
      <i/>
      <sz val="12"/>
      <name val="Tms Rmn"/>
      <family val="0"/>
    </font>
  </fonts>
  <fills count="2">
    <fill>
      <patternFill/>
    </fill>
    <fill>
      <patternFill patternType="gray125"/>
    </fill>
  </fills>
  <borders count="16">
    <border>
      <left/>
      <right/>
      <top/>
      <bottom/>
      <diagonal/>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1" fontId="4" fillId="0" borderId="0" xfId="0" applyNumberFormat="1" applyFont="1" applyBorder="1" applyAlignment="1">
      <alignment horizontal="left"/>
    </xf>
    <xf numFmtId="1" fontId="4" fillId="0" borderId="0" xfId="0" applyNumberFormat="1" applyFont="1" applyAlignment="1">
      <alignment horizontal="left"/>
    </xf>
    <xf numFmtId="1" fontId="4" fillId="0" borderId="0" xfId="0" applyNumberFormat="1" applyFont="1" applyBorder="1" applyAlignment="1">
      <alignment horizontal="center"/>
    </xf>
    <xf numFmtId="1" fontId="4" fillId="0" borderId="1" xfId="0" applyNumberFormat="1" applyFont="1" applyBorder="1" applyAlignment="1">
      <alignment horizontal="left"/>
    </xf>
    <xf numFmtId="1" fontId="4" fillId="0" borderId="2" xfId="0" applyNumberFormat="1" applyFont="1" applyBorder="1" applyAlignment="1">
      <alignment horizontal="left"/>
    </xf>
    <xf numFmtId="1" fontId="4" fillId="0" borderId="3" xfId="0" applyNumberFormat="1" applyFont="1" applyBorder="1" applyAlignment="1">
      <alignment horizontal="left"/>
    </xf>
    <xf numFmtId="1" fontId="5" fillId="0" borderId="4" xfId="0" applyNumberFormat="1" applyFont="1" applyBorder="1" applyAlignment="1">
      <alignment horizontal="center"/>
    </xf>
    <xf numFmtId="1" fontId="5" fillId="0" borderId="5" xfId="0" applyNumberFormat="1" applyFont="1" applyBorder="1" applyAlignment="1">
      <alignment horizontal="center"/>
    </xf>
    <xf numFmtId="1" fontId="4" fillId="0" borderId="6" xfId="0" applyNumberFormat="1" applyFont="1" applyBorder="1" applyAlignment="1">
      <alignment horizontal="center"/>
    </xf>
    <xf numFmtId="1" fontId="4" fillId="0" borderId="7" xfId="0" applyNumberFormat="1" applyFont="1" applyBorder="1" applyAlignment="1">
      <alignment horizontal="center"/>
    </xf>
    <xf numFmtId="1" fontId="4" fillId="0" borderId="8" xfId="0" applyNumberFormat="1" applyFont="1" applyBorder="1" applyAlignment="1">
      <alignment horizontal="center"/>
    </xf>
    <xf numFmtId="1" fontId="4" fillId="0" borderId="0" xfId="0" applyNumberFormat="1" applyFont="1" applyAlignment="1">
      <alignment horizontal="center"/>
    </xf>
    <xf numFmtId="0" fontId="4" fillId="0" borderId="0" xfId="0" applyFont="1" applyAlignment="1">
      <alignment/>
    </xf>
    <xf numFmtId="0" fontId="4" fillId="0" borderId="2" xfId="0" applyFont="1" applyBorder="1" applyAlignment="1">
      <alignment/>
    </xf>
    <xf numFmtId="0" fontId="4" fillId="0" borderId="8" xfId="0" applyFont="1" applyBorder="1" applyAlignment="1">
      <alignment horizontal="center"/>
    </xf>
    <xf numFmtId="0" fontId="4" fillId="0" borderId="3" xfId="0" applyFont="1" applyBorder="1" applyAlignment="1">
      <alignment horizontal="center"/>
    </xf>
    <xf numFmtId="0" fontId="7" fillId="0" borderId="9" xfId="0" applyFont="1" applyBorder="1" applyAlignment="1">
      <alignment/>
    </xf>
    <xf numFmtId="0" fontId="7" fillId="0" borderId="0" xfId="0" applyFont="1" applyBorder="1" applyAlignment="1">
      <alignment horizontal="center"/>
    </xf>
    <xf numFmtId="0" fontId="4" fillId="0" borderId="1" xfId="0" applyFont="1" applyBorder="1" applyAlignment="1">
      <alignment/>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1" fontId="4" fillId="0" borderId="11" xfId="0" applyNumberFormat="1" applyFont="1" applyBorder="1" applyAlignment="1">
      <alignment horizontal="center"/>
    </xf>
    <xf numFmtId="0" fontId="4" fillId="0" borderId="12" xfId="0" applyFont="1" applyBorder="1" applyAlignment="1">
      <alignment horizontal="center"/>
    </xf>
    <xf numFmtId="169" fontId="4" fillId="0" borderId="6" xfId="0" applyNumberFormat="1" applyFont="1" applyBorder="1" applyAlignment="1">
      <alignment horizontal="center"/>
    </xf>
    <xf numFmtId="1" fontId="4" fillId="0" borderId="12" xfId="0" applyNumberFormat="1" applyFont="1" applyBorder="1" applyAlignment="1">
      <alignment horizontal="center"/>
    </xf>
    <xf numFmtId="169" fontId="4" fillId="0" borderId="0" xfId="0" applyNumberFormat="1"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13" xfId="0" applyFont="1" applyBorder="1" applyAlignment="1">
      <alignment/>
    </xf>
    <xf numFmtId="0" fontId="4" fillId="0" borderId="14" xfId="0" applyFont="1" applyBorder="1" applyAlignment="1">
      <alignment horizontal="center"/>
    </xf>
    <xf numFmtId="0" fontId="4" fillId="0" borderId="9" xfId="0" applyFont="1" applyBorder="1" applyAlignment="1">
      <alignment/>
    </xf>
    <xf numFmtId="169" fontId="4" fillId="0" borderId="10" xfId="0" applyNumberFormat="1" applyFont="1" applyBorder="1" applyAlignment="1">
      <alignment horizontal="center"/>
    </xf>
    <xf numFmtId="169" fontId="4" fillId="0" borderId="7" xfId="0" applyNumberFormat="1" applyFont="1" applyBorder="1" applyAlignment="1">
      <alignment horizontal="center"/>
    </xf>
    <xf numFmtId="0" fontId="0" fillId="0" borderId="13" xfId="0" applyBorder="1" applyAlignment="1">
      <alignment horizontal="centerContinuous"/>
    </xf>
    <xf numFmtId="0" fontId="0" fillId="0" borderId="5" xfId="0" applyBorder="1" applyAlignment="1">
      <alignment horizontal="centerContinuous"/>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0" xfId="0" applyBorder="1" applyAlignment="1">
      <alignment/>
    </xf>
    <xf numFmtId="1" fontId="4" fillId="0" borderId="9" xfId="0" applyNumberFormat="1" applyFont="1" applyBorder="1" applyAlignment="1">
      <alignment horizontal="left"/>
    </xf>
    <xf numFmtId="1" fontId="4" fillId="0" borderId="13" xfId="0" applyNumberFormat="1" applyFont="1" applyBorder="1" applyAlignment="1">
      <alignment horizontal="left"/>
    </xf>
    <xf numFmtId="1" fontId="5" fillId="0" borderId="14" xfId="0" applyNumberFormat="1" applyFont="1" applyBorder="1" applyAlignment="1">
      <alignment horizontal="center"/>
    </xf>
    <xf numFmtId="1" fontId="4" fillId="0" borderId="15" xfId="0" applyNumberFormat="1" applyFont="1" applyBorder="1" applyAlignment="1">
      <alignment horizontal="center"/>
    </xf>
    <xf numFmtId="1" fontId="8" fillId="0" borderId="9" xfId="0" applyNumberFormat="1" applyFont="1" applyBorder="1" applyAlignment="1">
      <alignment horizontal="left"/>
    </xf>
    <xf numFmtId="1" fontId="8" fillId="0" borderId="10" xfId="0" applyNumberFormat="1" applyFont="1" applyBorder="1" applyAlignment="1">
      <alignment horizontal="right"/>
    </xf>
    <xf numFmtId="0" fontId="4" fillId="0" borderId="6" xfId="0" applyFont="1" applyBorder="1" applyAlignment="1">
      <alignment horizontal="left"/>
    </xf>
    <xf numFmtId="1" fontId="6" fillId="0" borderId="9" xfId="0" applyNumberFormat="1" applyFont="1" applyBorder="1" applyAlignment="1">
      <alignment horizontal="left"/>
    </xf>
    <xf numFmtId="0" fontId="4" fillId="0" borderId="0" xfId="0" applyFont="1" applyBorder="1" applyAlignment="1">
      <alignment/>
    </xf>
    <xf numFmtId="169" fontId="4" fillId="0" borderId="11" xfId="0" applyNumberFormat="1" applyFont="1" applyBorder="1" applyAlignment="1">
      <alignment horizontal="center"/>
    </xf>
    <xf numFmtId="0" fontId="4" fillId="0" borderId="8" xfId="0" applyFont="1" applyBorder="1" applyAlignment="1">
      <alignment/>
    </xf>
    <xf numFmtId="0" fontId="4" fillId="0" borderId="6" xfId="0" applyFont="1" applyBorder="1" applyAlignment="1">
      <alignment/>
    </xf>
    <xf numFmtId="0" fontId="4" fillId="0" borderId="0" xfId="0" applyFont="1" applyBorder="1" applyAlignment="1">
      <alignment horizontal="left"/>
    </xf>
    <xf numFmtId="2" fontId="4" fillId="0" borderId="0" xfId="0" applyNumberFormat="1" applyFont="1" applyBorder="1" applyAlignment="1">
      <alignment horizontal="left"/>
    </xf>
    <xf numFmtId="1" fontId="4" fillId="0" borderId="11" xfId="0" applyNumberFormat="1" applyFont="1" applyBorder="1" applyAlignment="1">
      <alignment horizontal="left"/>
    </xf>
    <xf numFmtId="1" fontId="4" fillId="0" borderId="12" xfId="0" applyNumberFormat="1" applyFont="1" applyBorder="1" applyAlignment="1">
      <alignment horizontal="left"/>
    </xf>
    <xf numFmtId="1" fontId="4" fillId="0" borderId="10" xfId="0" applyNumberFormat="1" applyFont="1" applyBorder="1" applyAlignment="1">
      <alignment horizontal="left"/>
    </xf>
    <xf numFmtId="1" fontId="4" fillId="0" borderId="6" xfId="0" applyNumberFormat="1" applyFont="1" applyBorder="1" applyAlignment="1">
      <alignment horizontal="left"/>
    </xf>
    <xf numFmtId="1" fontId="4" fillId="0" borderId="7" xfId="0" applyNumberFormat="1" applyFont="1" applyBorder="1" applyAlignment="1">
      <alignment horizontal="left"/>
    </xf>
    <xf numFmtId="0" fontId="4" fillId="0" borderId="8" xfId="0" applyFont="1" applyBorder="1" applyAlignment="1">
      <alignment horizontal="left"/>
    </xf>
    <xf numFmtId="1" fontId="4" fillId="0" borderId="8" xfId="0" applyNumberFormat="1" applyFont="1" applyBorder="1" applyAlignment="1">
      <alignment horizontal="left"/>
    </xf>
    <xf numFmtId="9" fontId="4" fillId="0" borderId="6" xfId="19" applyFont="1" applyBorder="1" applyAlignment="1">
      <alignment horizontal="center"/>
    </xf>
    <xf numFmtId="1" fontId="4" fillId="0" borderId="6" xfId="0" applyNumberFormat="1" applyFont="1" applyBorder="1" applyAlignment="1">
      <alignment/>
    </xf>
    <xf numFmtId="2" fontId="4" fillId="0" borderId="4" xfId="0" applyNumberFormat="1" applyFont="1" applyBorder="1" applyAlignment="1">
      <alignment horizontal="center"/>
    </xf>
    <xf numFmtId="2" fontId="4" fillId="0" borderId="6" xfId="0" applyNumberFormat="1" applyFont="1" applyBorder="1" applyAlignment="1">
      <alignment horizontal="center"/>
    </xf>
    <xf numFmtId="2" fontId="4" fillId="0" borderId="6" xfId="0" applyNumberFormat="1" applyFont="1" applyBorder="1" applyAlignment="1">
      <alignment horizontal="left"/>
    </xf>
    <xf numFmtId="169" fontId="4" fillId="0" borderId="6" xfId="0" applyNumberFormat="1" applyFont="1" applyBorder="1" applyAlignment="1">
      <alignment horizontal="left"/>
    </xf>
    <xf numFmtId="1" fontId="4" fillId="0" borderId="0" xfId="0" applyNumberFormat="1" applyFont="1" applyAlignment="1">
      <alignment/>
    </xf>
    <xf numFmtId="2" fontId="4" fillId="0" borderId="4" xfId="0" applyNumberFormat="1" applyFont="1" applyBorder="1" applyAlignment="1">
      <alignment horizontal="left"/>
    </xf>
    <xf numFmtId="169" fontId="4" fillId="0" borderId="4" xfId="0" applyNumberFormat="1" applyFont="1" applyBorder="1" applyAlignment="1">
      <alignment horizontal="center"/>
    </xf>
    <xf numFmtId="0" fontId="4" fillId="0" borderId="15" xfId="0" applyFont="1" applyBorder="1" applyAlignment="1">
      <alignment/>
    </xf>
    <xf numFmtId="0" fontId="4" fillId="0" borderId="12" xfId="0" applyFont="1" applyBorder="1" applyAlignment="1">
      <alignment/>
    </xf>
    <xf numFmtId="1" fontId="4" fillId="0" borderId="15" xfId="0" applyNumberFormat="1" applyFont="1" applyBorder="1" applyAlignment="1">
      <alignment horizontal="left"/>
    </xf>
    <xf numFmtId="2" fontId="4" fillId="0" borderId="0" xfId="0" applyNumberFormat="1" applyFont="1" applyAlignment="1">
      <alignment horizontal="center"/>
    </xf>
    <xf numFmtId="1" fontId="4" fillId="0" borderId="14" xfId="0" applyNumberFormat="1" applyFont="1" applyBorder="1" applyAlignment="1">
      <alignment horizontal="center"/>
    </xf>
    <xf numFmtId="1" fontId="4" fillId="0" borderId="4" xfId="0" applyNumberFormat="1" applyFont="1" applyBorder="1" applyAlignment="1">
      <alignment horizontal="center"/>
    </xf>
    <xf numFmtId="1" fontId="4" fillId="0" borderId="5" xfId="0" applyNumberFormat="1" applyFont="1" applyBorder="1" applyAlignment="1">
      <alignment horizontal="center"/>
    </xf>
    <xf numFmtId="9" fontId="4" fillId="0" borderId="8" xfId="19" applyFont="1" applyBorder="1" applyAlignment="1">
      <alignment horizontal="center"/>
    </xf>
    <xf numFmtId="9" fontId="4" fillId="0" borderId="8" xfId="19" applyFont="1" applyBorder="1" applyAlignment="1">
      <alignment/>
    </xf>
    <xf numFmtId="9" fontId="4" fillId="0" borderId="8" xfId="19" applyFont="1" applyBorder="1" applyAlignment="1">
      <alignment horizontal="left"/>
    </xf>
    <xf numFmtId="9" fontId="4" fillId="0" borderId="3" xfId="19" applyFont="1" applyBorder="1" applyAlignment="1">
      <alignment horizontal="left"/>
    </xf>
    <xf numFmtId="9" fontId="4" fillId="0" borderId="6" xfId="19" applyFont="1" applyBorder="1" applyAlignment="1">
      <alignment/>
    </xf>
    <xf numFmtId="9" fontId="4" fillId="0" borderId="6" xfId="19" applyFont="1" applyBorder="1" applyAlignment="1">
      <alignment horizontal="left"/>
    </xf>
    <xf numFmtId="9" fontId="4" fillId="0" borderId="7" xfId="19" applyFont="1" applyBorder="1" applyAlignment="1">
      <alignment horizontal="left"/>
    </xf>
    <xf numFmtId="9" fontId="6" fillId="0" borderId="0" xfId="19" applyFont="1" applyBorder="1" applyAlignment="1">
      <alignment horizontal="center"/>
    </xf>
    <xf numFmtId="1" fontId="6" fillId="0" borderId="0" xfId="0" applyNumberFormat="1" applyFont="1" applyBorder="1" applyAlignment="1">
      <alignment horizontal="left"/>
    </xf>
    <xf numFmtId="1" fontId="6" fillId="0" borderId="0" xfId="0" applyNumberFormat="1" applyFont="1" applyBorder="1" applyAlignment="1">
      <alignment horizontal="center"/>
    </xf>
    <xf numFmtId="9" fontId="4" fillId="0" borderId="0" xfId="19" applyFont="1" applyBorder="1" applyAlignment="1">
      <alignment horizontal="center"/>
    </xf>
    <xf numFmtId="2" fontId="4" fillId="0" borderId="0" xfId="0" applyNumberFormat="1" applyFont="1" applyBorder="1" applyAlignment="1">
      <alignment horizontal="center"/>
    </xf>
    <xf numFmtId="9" fontId="4" fillId="0" borderId="0" xfId="19" applyFont="1" applyBorder="1" applyAlignment="1">
      <alignment/>
    </xf>
    <xf numFmtId="9" fontId="4" fillId="0" borderId="0" xfId="19" applyFont="1" applyBorder="1" applyAlignment="1">
      <alignment horizontal="left"/>
    </xf>
    <xf numFmtId="169" fontId="4" fillId="0" borderId="0" xfId="0" applyNumberFormat="1" applyFont="1" applyBorder="1" applyAlignment="1">
      <alignment horizontal="left"/>
    </xf>
    <xf numFmtId="169" fontId="4" fillId="0" borderId="0" xfId="0" applyNumberFormat="1" applyFont="1" applyBorder="1" applyAlignment="1">
      <alignment/>
    </xf>
    <xf numFmtId="1" fontId="4" fillId="0" borderId="0" xfId="0" applyNumberFormat="1" applyFont="1" applyBorder="1" applyAlignment="1">
      <alignment/>
    </xf>
    <xf numFmtId="1" fontId="9" fillId="0" borderId="0" xfId="0" applyNumberFormat="1" applyFont="1" applyBorder="1" applyAlignment="1">
      <alignment horizontal="left"/>
    </xf>
    <xf numFmtId="1" fontId="4" fillId="0" borderId="0" xfId="0" applyNumberFormat="1" applyFont="1" applyBorder="1" applyAlignment="1">
      <alignment horizontal="right"/>
    </xf>
    <xf numFmtId="0" fontId="0" fillId="0" borderId="0" xfId="0" applyFont="1" applyBorder="1" applyAlignment="1">
      <alignment/>
    </xf>
    <xf numFmtId="9" fontId="4" fillId="0" borderId="2" xfId="19" applyFont="1" applyBorder="1" applyAlignment="1">
      <alignment horizontal="center"/>
    </xf>
    <xf numFmtId="9" fontId="4" fillId="0" borderId="1" xfId="19" applyFont="1" applyBorder="1" applyAlignment="1">
      <alignment horizontal="center"/>
    </xf>
    <xf numFmtId="0" fontId="4" fillId="0" borderId="0" xfId="0" applyFont="1" applyAlignment="1">
      <alignment horizontal="right"/>
    </xf>
    <xf numFmtId="1" fontId="4" fillId="0" borderId="3" xfId="0" applyNumberFormat="1" applyFont="1" applyBorder="1" applyAlignment="1">
      <alignment horizontal="center"/>
    </xf>
    <xf numFmtId="0" fontId="0" fillId="0" borderId="14" xfId="0" applyBorder="1" applyAlignment="1">
      <alignment/>
    </xf>
    <xf numFmtId="0" fontId="7" fillId="0" borderId="8" xfId="0" applyFont="1" applyBorder="1" applyAlignment="1">
      <alignment horizontal="center"/>
    </xf>
    <xf numFmtId="0" fontId="4" fillId="0" borderId="0" xfId="0" applyFont="1" applyBorder="1" applyAlignment="1">
      <alignment/>
    </xf>
    <xf numFmtId="2" fontId="4" fillId="0" borderId="11" xfId="0" applyNumberFormat="1" applyFont="1" applyBorder="1" applyAlignment="1">
      <alignment horizontal="center"/>
    </xf>
    <xf numFmtId="2" fontId="4" fillId="0" borderId="8" xfId="0" applyNumberFormat="1" applyFont="1" applyBorder="1" applyAlignment="1">
      <alignment horizontal="left"/>
    </xf>
    <xf numFmtId="0" fontId="0" fillId="0" borderId="6" xfId="0" applyBorder="1" applyAlignment="1">
      <alignment/>
    </xf>
    <xf numFmtId="0" fontId="0" fillId="0" borderId="8" xfId="0" applyBorder="1" applyAlignment="1">
      <alignment/>
    </xf>
    <xf numFmtId="2" fontId="4" fillId="0" borderId="8" xfId="0" applyNumberFormat="1" applyFont="1" applyBorder="1" applyAlignment="1">
      <alignment horizontal="center"/>
    </xf>
    <xf numFmtId="0" fontId="0" fillId="0" borderId="10" xfId="0" applyBorder="1" applyAlignment="1">
      <alignment/>
    </xf>
    <xf numFmtId="1" fontId="5" fillId="0" borderId="15" xfId="0" applyNumberFormat="1" applyFont="1" applyBorder="1" applyAlignment="1">
      <alignment horizontal="center"/>
    </xf>
    <xf numFmtId="1" fontId="5" fillId="0" borderId="12" xfId="0" applyNumberFormat="1" applyFont="1" applyBorder="1" applyAlignment="1">
      <alignment horizontal="center"/>
    </xf>
    <xf numFmtId="169" fontId="4" fillId="0" borderId="0" xfId="19" applyNumberFormat="1" applyFont="1" applyBorder="1" applyAlignment="1">
      <alignment horizontal="center"/>
    </xf>
    <xf numFmtId="1" fontId="4" fillId="0" borderId="0" xfId="0" applyNumberFormat="1" applyFont="1" applyBorder="1" applyAlignment="1">
      <alignment/>
    </xf>
    <xf numFmtId="0"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W93"/>
  <sheetViews>
    <sheetView showGridLines="0" defaultGridColor="0" colorId="23" workbookViewId="0" topLeftCell="C1">
      <selection activeCell="R11" sqref="R11"/>
    </sheetView>
  </sheetViews>
  <sheetFormatPr defaultColWidth="11.421875" defaultRowHeight="12.75"/>
  <cols>
    <col min="1" max="1" width="0.85546875" style="2" customWidth="1"/>
    <col min="2" max="2" width="45.140625" style="2" customWidth="1"/>
    <col min="3" max="3" width="11.140625" style="12" customWidth="1"/>
    <col min="4" max="4" width="5.28125" style="12" customWidth="1"/>
    <col min="5" max="5" width="6.421875" style="12" customWidth="1"/>
    <col min="6" max="20" width="5.00390625" style="12" customWidth="1"/>
    <col min="21" max="21" width="6.7109375" style="12" customWidth="1"/>
    <col min="22" max="22" width="11.421875" style="2" customWidth="1"/>
    <col min="23" max="23" width="5.140625" style="2" customWidth="1"/>
    <col min="24" max="16384" width="10.8515625" style="2" customWidth="1"/>
  </cols>
  <sheetData>
    <row r="1" ht="4.5" customHeight="1"/>
    <row r="2" spans="2:22" ht="12">
      <c r="B2" s="5"/>
      <c r="C2" s="11"/>
      <c r="D2" s="11"/>
      <c r="E2" s="11"/>
      <c r="F2" s="11"/>
      <c r="G2" s="11"/>
      <c r="H2" s="11"/>
      <c r="I2" s="11"/>
      <c r="J2" s="11"/>
      <c r="K2" s="11"/>
      <c r="L2" s="11"/>
      <c r="M2" s="11"/>
      <c r="N2" s="11"/>
      <c r="O2" s="11"/>
      <c r="P2" s="11"/>
      <c r="Q2" s="11"/>
      <c r="R2" s="11"/>
      <c r="S2" s="11"/>
      <c r="T2" s="11"/>
      <c r="U2" s="11"/>
      <c r="V2" s="6"/>
    </row>
    <row r="3" spans="2:22" ht="18.75">
      <c r="B3" s="49" t="s">
        <v>68</v>
      </c>
      <c r="C3" s="3"/>
      <c r="D3" s="3"/>
      <c r="E3" s="3"/>
      <c r="F3" s="3"/>
      <c r="G3" s="3"/>
      <c r="H3" s="3"/>
      <c r="I3" s="3"/>
      <c r="J3" s="3"/>
      <c r="K3" s="3"/>
      <c r="L3" s="3"/>
      <c r="M3" s="89">
        <f>C32</f>
        <v>0.1</v>
      </c>
      <c r="N3" s="90" t="s">
        <v>69</v>
      </c>
      <c r="O3" s="91"/>
      <c r="P3" s="91">
        <f>J32</f>
        <v>5</v>
      </c>
      <c r="Q3" s="90" t="s">
        <v>70</v>
      </c>
      <c r="R3" s="91"/>
      <c r="S3" s="3"/>
      <c r="T3" s="3"/>
      <c r="U3" s="53"/>
      <c r="V3" s="50" t="s">
        <v>71</v>
      </c>
    </row>
    <row r="4" spans="2:22" ht="12.75">
      <c r="B4" s="52"/>
      <c r="C4" s="3"/>
      <c r="D4" s="3"/>
      <c r="E4" s="3"/>
      <c r="F4" s="3"/>
      <c r="G4" s="3"/>
      <c r="H4" s="3"/>
      <c r="I4" s="3"/>
      <c r="J4" s="3"/>
      <c r="K4" s="3"/>
      <c r="L4" s="3"/>
      <c r="M4" s="3"/>
      <c r="N4" s="3"/>
      <c r="O4" s="3"/>
      <c r="P4" s="3"/>
      <c r="Q4" s="3"/>
      <c r="R4" s="3"/>
      <c r="S4" s="3"/>
      <c r="T4" s="3"/>
      <c r="U4" s="3"/>
      <c r="V4" s="115" t="s">
        <v>72</v>
      </c>
    </row>
    <row r="5" spans="2:22" ht="12">
      <c r="B5" s="46"/>
      <c r="C5" s="47" t="s">
        <v>73</v>
      </c>
      <c r="D5" s="7">
        <v>1998</v>
      </c>
      <c r="E5" s="7">
        <v>1999</v>
      </c>
      <c r="F5" s="7">
        <v>2000</v>
      </c>
      <c r="G5" s="7">
        <v>2001</v>
      </c>
      <c r="H5" s="7">
        <v>2002</v>
      </c>
      <c r="I5" s="7">
        <v>2003</v>
      </c>
      <c r="J5" s="7">
        <v>2004</v>
      </c>
      <c r="K5" s="7">
        <v>2005</v>
      </c>
      <c r="L5" s="7">
        <v>2006</v>
      </c>
      <c r="M5" s="7">
        <v>2007</v>
      </c>
      <c r="N5" s="7">
        <v>2008</v>
      </c>
      <c r="O5" s="7">
        <v>2009</v>
      </c>
      <c r="P5" s="7">
        <v>2010</v>
      </c>
      <c r="Q5" s="7">
        <v>2011</v>
      </c>
      <c r="R5" s="7">
        <v>2012</v>
      </c>
      <c r="S5" s="7">
        <v>2013</v>
      </c>
      <c r="T5" s="7">
        <v>2014</v>
      </c>
      <c r="U5" s="8">
        <v>2015</v>
      </c>
      <c r="V5" s="116" t="s">
        <v>74</v>
      </c>
    </row>
    <row r="6" spans="2:22" ht="12">
      <c r="B6" s="5" t="s">
        <v>75</v>
      </c>
      <c r="C6" s="48" t="s">
        <v>76</v>
      </c>
      <c r="D6" s="11">
        <v>0</v>
      </c>
      <c r="E6" s="11">
        <f aca="true" t="shared" si="0" ref="E6:U6">D6</f>
        <v>0</v>
      </c>
      <c r="F6" s="11">
        <f t="shared" si="0"/>
        <v>0</v>
      </c>
      <c r="G6" s="11">
        <f t="shared" si="0"/>
        <v>0</v>
      </c>
      <c r="H6" s="11">
        <f t="shared" si="0"/>
        <v>0</v>
      </c>
      <c r="I6" s="11">
        <f t="shared" si="0"/>
        <v>0</v>
      </c>
      <c r="J6" s="11">
        <f t="shared" si="0"/>
        <v>0</v>
      </c>
      <c r="K6" s="11">
        <f t="shared" si="0"/>
        <v>0</v>
      </c>
      <c r="L6" s="11">
        <f t="shared" si="0"/>
        <v>0</v>
      </c>
      <c r="M6" s="11">
        <f t="shared" si="0"/>
        <v>0</v>
      </c>
      <c r="N6" s="11">
        <f t="shared" si="0"/>
        <v>0</v>
      </c>
      <c r="O6" s="11">
        <f t="shared" si="0"/>
        <v>0</v>
      </c>
      <c r="P6" s="11">
        <f t="shared" si="0"/>
        <v>0</v>
      </c>
      <c r="Q6" s="11">
        <f t="shared" si="0"/>
        <v>0</v>
      </c>
      <c r="R6" s="11">
        <f t="shared" si="0"/>
        <v>0</v>
      </c>
      <c r="S6" s="11">
        <f t="shared" si="0"/>
        <v>0</v>
      </c>
      <c r="T6" s="11">
        <f t="shared" si="0"/>
        <v>0</v>
      </c>
      <c r="U6" s="11">
        <f t="shared" si="0"/>
        <v>0</v>
      </c>
      <c r="V6" s="48" t="s">
        <v>77</v>
      </c>
    </row>
    <row r="7" spans="2:22" ht="12">
      <c r="B7" s="45" t="s">
        <v>78</v>
      </c>
      <c r="C7" s="24" t="s">
        <v>76</v>
      </c>
      <c r="D7" s="3">
        <f>(D6+((($K$34*$J$32/$D$36)+($E$34*$J$32/$D$36*$C$32/$C$36))*'input asumptions'!D18))*'input asumptions'!D21</f>
        <v>0.02666666666666667</v>
      </c>
      <c r="E7" s="3">
        <f>(E6+((($K$34*$J$32/$D$36)+($E$34*$J$32/$D$36*$C$32/$C$36))*'input asumptions'!E18))*'input asumptions'!E21</f>
        <v>0.13333333333333333</v>
      </c>
      <c r="F7" s="3">
        <f>(F6+((($K$34*$J$32/$D$36)+($E$34*$J$32/$D$36*$C$32/$C$36))*'input asumptions'!F18))*'input asumptions'!F21</f>
        <v>0.26666666666666666</v>
      </c>
      <c r="G7" s="3">
        <f>(G6+((($K$34*$J$32/$D$36)+($E$34*$J$32/$D$36*$C$32/$C$36))*'input asumptions'!G18))*'input asumptions'!G21</f>
        <v>0.4888888888888889</v>
      </c>
      <c r="H7" s="3">
        <f>(H6+((($K$34*$J$32/$D$36)+($E$34*$J$32/$D$36*$C$32/$C$36))*'input asumptions'!H18))*'input asumptions'!H21</f>
        <v>1.1111111111111112</v>
      </c>
      <c r="I7" s="3">
        <f>(I6+((($K$34*$J$32/$D$36)+($E$34*$J$32/$D$36*$C$32/$C$36))*'input asumptions'!I18))*'input asumptions'!I21</f>
        <v>2</v>
      </c>
      <c r="J7" s="3">
        <f>(J6+((($K$34*$J$32/$D$36)+($E$34*$J$32/$D$36*$C$32/$C$36))*'input asumptions'!J18))*'input asumptions'!J21</f>
        <v>2.666666666666667</v>
      </c>
      <c r="K7" s="3">
        <f>(K6+((($K$34*$J$32/$D$36)+($E$34*$J$32/$D$36*$C$32/$C$36))*'input asumptions'!K18))*'input asumptions'!K21</f>
        <v>3.1111111111111107</v>
      </c>
      <c r="L7" s="3">
        <f>(L6+((($K$34*$J$32/$D$36)+($E$34*$J$32/$D$36*$C$32/$C$36))*'input asumptions'!L18))*'input asumptions'!L21</f>
        <v>3.3333333333333335</v>
      </c>
      <c r="M7" s="3">
        <f>(M6+((($K$34*$J$32/$D$36)+($E$34*$J$32/$D$36*$C$32/$C$36))*'input asumptions'!M18))*'input asumptions'!M21</f>
        <v>3.333333333333333</v>
      </c>
      <c r="N7" s="3">
        <f>(N6+((($K$34*$J$32/$D$36)+($E$34*$J$32/$D$36*$C$32/$C$36))*'input asumptions'!N18))*'input asumptions'!N21</f>
        <v>3.1111111111111116</v>
      </c>
      <c r="O7" s="3">
        <f>(O6+((($K$34*$J$32/$D$36)+($E$34*$J$32/$D$36*$C$32/$C$36))*'input asumptions'!O18))*'input asumptions'!O21</f>
        <v>2.6666666666666665</v>
      </c>
      <c r="P7" s="3">
        <f>(P6+((($K$34*$J$32/$D$36)+($E$34*$J$32/$D$36*$C$32/$C$36))*'input asumptions'!P18))*'input asumptions'!P21</f>
        <v>3</v>
      </c>
      <c r="Q7" s="3">
        <f>(Q6+((($K$34*$J$32/$D$36)+($E$34*$J$32/$D$36*$C$32/$C$36))*'input asumptions'!Q18))*'input asumptions'!Q21</f>
        <v>3.3333333333333335</v>
      </c>
      <c r="R7" s="3">
        <f>(R6+((($K$34*$J$32/$D$36)+($E$34*$J$32/$D$36*$C$32/$C$36))*'input asumptions'!R18))*'input asumptions'!R21</f>
        <v>3.6666666666666665</v>
      </c>
      <c r="S7" s="3">
        <f>(S6+((($K$34*$J$32/$D$36)+($E$34*$J$32/$D$36*$C$32/$C$36))*'input asumptions'!S18))*'input asumptions'!S21</f>
        <v>4</v>
      </c>
      <c r="T7" s="3">
        <f>(T6+((($K$34*$J$32/$D$36)+($E$34*$J$32/$D$36*$C$32/$C$36))*'input asumptions'!T18))*'input asumptions'!T21</f>
        <v>4</v>
      </c>
      <c r="U7" s="3">
        <f>(U6+((($K$34*$J$32/$D$36)+($E$34*$J$32/$D$36*$C$32/$C$36))*'input asumptions'!U18))*'input asumptions'!U21</f>
        <v>4</v>
      </c>
      <c r="V7" s="24" t="s">
        <v>77</v>
      </c>
    </row>
    <row r="8" spans="2:22" ht="12">
      <c r="B8" s="45" t="s">
        <v>79</v>
      </c>
      <c r="C8" s="24" t="s">
        <v>76</v>
      </c>
      <c r="D8" s="100">
        <f>(D6+((($E$34*$J$32/$D$36*$C$32/$C$36))*'input asumptions'!D18))*'input asumptions'!D21</f>
        <v>0.011666666666666665</v>
      </c>
      <c r="E8" s="100">
        <f>(E6+((($E$34*$J$32/$D$36*$C$32/$C$36))*'input asumptions'!E18))*'input asumptions'!E21</f>
        <v>0.05833333333333333</v>
      </c>
      <c r="F8" s="100">
        <f>(F6+((($E$34*$J$32/$D$36*$C$32/$C$36))*'input asumptions'!F18))*'input asumptions'!F21</f>
        <v>0.11666666666666665</v>
      </c>
      <c r="G8" s="100">
        <f>(G6+((($E$34*$J$32/$D$36*$C$32/$C$36))*'input asumptions'!G18))*'input asumptions'!G21</f>
        <v>0.21388888888888885</v>
      </c>
      <c r="H8" s="100">
        <f>(H6+((($E$34*$J$32/$D$36*$C$32/$C$36))*'input asumptions'!H18))*'input asumptions'!H21</f>
        <v>0.48611111111111105</v>
      </c>
      <c r="I8" s="100">
        <f>(I6+((($E$34*$J$32/$D$36*$C$32/$C$36))*'input asumptions'!I18))*'input asumptions'!I21</f>
        <v>0.8749999999999999</v>
      </c>
      <c r="J8" s="100">
        <f>(J6+((($E$34*$J$32/$D$36*$C$32/$C$36))*'input asumptions'!J18))*'input asumptions'!J21</f>
        <v>1.1666666666666667</v>
      </c>
      <c r="K8" s="100">
        <f>(K6+((($E$34*$J$32/$D$36*$C$32/$C$36))*'input asumptions'!K18))*'input asumptions'!K21</f>
        <v>1.3611111111111107</v>
      </c>
      <c r="L8" s="100">
        <f>(L6+((($E$34*$J$32/$D$36*$C$32/$C$36))*'input asumptions'!L18))*'input asumptions'!L21</f>
        <v>1.4583333333333333</v>
      </c>
      <c r="M8" s="100">
        <f>(M6+((($E$34*$J$32/$D$36*$C$32/$C$36))*'input asumptions'!M18))*'input asumptions'!M21</f>
        <v>1.458333333333333</v>
      </c>
      <c r="N8" s="100">
        <f>(N6+((($E$34*$J$32/$D$36*$C$32/$C$36))*'input asumptions'!N18))*'input asumptions'!N21</f>
        <v>1.3611111111111112</v>
      </c>
      <c r="O8" s="100">
        <f>(O6+((($E$34*$J$32/$D$36*$C$32/$C$36))*'input asumptions'!O18))*'input asumptions'!O21</f>
        <v>1.1666666666666665</v>
      </c>
      <c r="P8" s="100">
        <f>(P6+((($E$34*$J$32/$D$36*$C$32/$C$36))*'input asumptions'!P18))*'input asumptions'!P21</f>
        <v>1.3124999999999998</v>
      </c>
      <c r="Q8" s="100">
        <f>(Q6+((($E$34*$J$32/$D$36*$C$32/$C$36))*'input asumptions'!Q18))*'input asumptions'!Q21</f>
        <v>1.4583333333333333</v>
      </c>
      <c r="R8" s="100">
        <f>(R6+((($E$34*$J$32/$D$36*$C$32/$C$36))*'input asumptions'!R18))*'input asumptions'!R21</f>
        <v>1.6041666666666665</v>
      </c>
      <c r="S8" s="100">
        <f>(S6+((($E$34*$J$32/$D$36*$C$32/$C$36))*'input asumptions'!S18))*'input asumptions'!S21</f>
        <v>1.7499999999999998</v>
      </c>
      <c r="T8" s="100">
        <f>(T6+((($E$34*$J$32/$D$36*$C$32/$C$36))*'input asumptions'!T18))*'input asumptions'!T21</f>
        <v>1.7499999999999998</v>
      </c>
      <c r="U8" s="100">
        <f>(U6+((($E$34*$J$32/$D$36*$C$32/$C$36))*'input asumptions'!U18))*'input asumptions'!U21</f>
        <v>1.7499999999999998</v>
      </c>
      <c r="V8" s="24" t="s">
        <v>77</v>
      </c>
    </row>
    <row r="9" spans="2:22" ht="12">
      <c r="B9" s="45" t="s">
        <v>80</v>
      </c>
      <c r="C9" s="24" t="s">
        <v>76</v>
      </c>
      <c r="D9" s="100">
        <f>(D6+((($K$34*$J$32/$D$36))*'input asumptions'!D18))*'input asumptions'!D21</f>
        <v>0.015</v>
      </c>
      <c r="E9" s="100">
        <f>(E6+((($K$34*$J$32/$D$36))*'input asumptions'!E18))*'input asumptions'!E21</f>
        <v>0.075</v>
      </c>
      <c r="F9" s="100">
        <f>(F6+((($K$34*$J$32/$D$36))*'input asumptions'!F18))*'input asumptions'!F21</f>
        <v>0.15</v>
      </c>
      <c r="G9" s="100">
        <f>(G6+((($K$34*$J$32/$D$36))*'input asumptions'!G18))*'input asumptions'!G21</f>
        <v>0.27499999999999997</v>
      </c>
      <c r="H9" s="100">
        <f>(H6+((($K$34*$J$32/$D$36))*'input asumptions'!H18))*'input asumptions'!H21</f>
        <v>0.625</v>
      </c>
      <c r="I9" s="100">
        <f>(I6+((($K$34*$J$32/$D$36))*'input asumptions'!I18))*'input asumptions'!I21</f>
        <v>1.125</v>
      </c>
      <c r="J9" s="100">
        <f>(J6+((($K$34*$J$32/$D$36))*'input asumptions'!J18))*'input asumptions'!J21</f>
        <v>1.5000000000000002</v>
      </c>
      <c r="K9" s="100">
        <f>(K6+((($K$34*$J$32/$D$36))*'input asumptions'!K18))*'input asumptions'!K21</f>
        <v>1.7499999999999998</v>
      </c>
      <c r="L9" s="100">
        <f>(L6+((($K$34*$J$32/$D$36))*'input asumptions'!L18))*'input asumptions'!L21</f>
        <v>1.875</v>
      </c>
      <c r="M9" s="100">
        <f>(M6+((($K$34*$J$32/$D$36))*'input asumptions'!M18))*'input asumptions'!M21</f>
        <v>1.8749999999999998</v>
      </c>
      <c r="N9" s="100">
        <f>(N6+((($K$34*$J$32/$D$36))*'input asumptions'!N18))*'input asumptions'!N21</f>
        <v>1.7500000000000002</v>
      </c>
      <c r="O9" s="100">
        <f>(O6+((($K$34*$J$32/$D$36))*'input asumptions'!O18))*'input asumptions'!O21</f>
        <v>1.5</v>
      </c>
      <c r="P9" s="100">
        <f>(P6+((($K$34*$J$32/$D$36))*'input asumptions'!P18))*'input asumptions'!P21</f>
        <v>1.6875</v>
      </c>
      <c r="Q9" s="100">
        <f>(Q6+((($K$34*$J$32/$D$36))*'input asumptions'!Q18))*'input asumptions'!Q21</f>
        <v>1.875</v>
      </c>
      <c r="R9" s="100">
        <f>(R6+((($K$34*$J$32/$D$36))*'input asumptions'!R18))*'input asumptions'!R21</f>
        <v>2.0625</v>
      </c>
      <c r="S9" s="100">
        <f>(S6+((($K$34*$J$32/$D$36))*'input asumptions'!S18))*'input asumptions'!S21</f>
        <v>2.25</v>
      </c>
      <c r="T9" s="100">
        <f>(T6+((($K$34*$J$32/$D$36))*'input asumptions'!T18))*'input asumptions'!T21</f>
        <v>2.25</v>
      </c>
      <c r="U9" s="100">
        <f>(U6+((($K$34*$J$32/$D$36))*'input asumptions'!U18))*'input asumptions'!U21</f>
        <v>2.25</v>
      </c>
      <c r="V9" s="24" t="s">
        <v>77</v>
      </c>
    </row>
    <row r="10" spans="2:22" ht="12">
      <c r="B10" s="45" t="s">
        <v>81</v>
      </c>
      <c r="C10" s="24" t="s">
        <v>76</v>
      </c>
      <c r="D10" s="3">
        <f>(D6+((($K$34*$J$32/$D$36)+($E$34*$J$32/$D$36*$C$32/$C$36))*'input asumptions'!D18))*'input asumptions'!D22</f>
        <v>0</v>
      </c>
      <c r="E10" s="3">
        <f>(E6+((($K$34*$J$32/$D$36)+($E$34*$J$32/$D$36*$C$32/$C$36))*'input asumptions'!E18))*'input asumptions'!E22</f>
        <v>0</v>
      </c>
      <c r="F10" s="3">
        <f>(F6+((($K$34*$J$32/$D$36)+($E$34*$J$32/$D$36*$C$32/$C$36))*'input asumptions'!F18))*'input asumptions'!F22</f>
        <v>0</v>
      </c>
      <c r="G10" s="3">
        <f>(G6+((($K$34*$J$32/$D$36)+($E$34*$J$32/$D$36*$C$32/$C$36))*'input asumptions'!G18))*'input asumptions'!G22</f>
        <v>0.027906976744186046</v>
      </c>
      <c r="H10" s="3">
        <f>(H6+((($K$34*$J$32/$D$36)+($E$34*$J$32/$D$36*$C$32/$C$36))*'input asumptions'!H18))*'input asumptions'!H22</f>
        <v>0.18604651162790697</v>
      </c>
      <c r="I10" s="3">
        <f>(I6+((($K$34*$J$32/$D$36)+($E$34*$J$32/$D$36*$C$32/$C$36))*'input asumptions'!I18))*'input asumptions'!I22</f>
        <v>0.6046511627906976</v>
      </c>
      <c r="J10" s="3">
        <f>(J6+((($K$34*$J$32/$D$36)+($E$34*$J$32/$D$36*$C$32/$C$36))*'input asumptions'!J18))*'input asumptions'!J22</f>
        <v>1.255813953488372</v>
      </c>
      <c r="K10" s="3">
        <f>(K6+((($K$34*$J$32/$D$36)+($E$34*$J$32/$D$36*$C$32/$C$36))*'input asumptions'!K18))*'input asumptions'!K22</f>
        <v>2.13953488372093</v>
      </c>
      <c r="L10" s="3">
        <f>(L6+((($K$34*$J$32/$D$36)+($E$34*$J$32/$D$36*$C$32/$C$36))*'input asumptions'!L18))*'input asumptions'!L22</f>
        <v>3.255813953488372</v>
      </c>
      <c r="M10" s="3">
        <f>(M6+((($K$34*$J$32/$D$36)+($E$34*$J$32/$D$36*$C$32/$C$36))*'input asumptions'!M18))*'input asumptions'!M22</f>
        <v>4.604651162790698</v>
      </c>
      <c r="N10" s="3">
        <f>(N6+((($K$34*$J$32/$D$36)+($E$34*$J$32/$D$36*$C$32/$C$36))*'input asumptions'!N18))*'input asumptions'!N22</f>
        <v>6.186046511627907</v>
      </c>
      <c r="O10" s="3">
        <f>(O6+((($K$34*$J$32/$D$36)+($E$34*$J$32/$D$36*$C$32/$C$36))*'input asumptions'!O18))*'input asumptions'!O22</f>
        <v>8</v>
      </c>
      <c r="P10" s="3">
        <f>(P6+((($K$34*$J$32/$D$36)+($E$34*$J$32/$D$36*$C$32/$C$36))*'input asumptions'!P18))*'input asumptions'!P22</f>
        <v>9</v>
      </c>
      <c r="Q10" s="3">
        <f>(Q6+((($K$34*$J$32/$D$36)+($E$34*$J$32/$D$36*$C$32/$C$36))*'input asumptions'!Q18))*'input asumptions'!Q22</f>
        <v>10</v>
      </c>
      <c r="R10" s="3">
        <f>(R6+((($K$34*$J$32/$D$36)+($E$34*$J$32/$D$36*$C$32/$C$36))*'input asumptions'!R18))*'input asumptions'!R22</f>
        <v>11</v>
      </c>
      <c r="S10" s="3">
        <f>(S6+((($K$34*$J$32/$D$36)+($E$34*$J$32/$D$36*$C$32/$C$36))*'input asumptions'!S18))*'input asumptions'!S22</f>
        <v>12</v>
      </c>
      <c r="T10" s="3">
        <f>(T6+((($K$34*$J$32/$D$36)+($E$34*$J$32/$D$36*$C$32/$C$36))*'input asumptions'!T18))*'input asumptions'!T22</f>
        <v>12</v>
      </c>
      <c r="U10" s="3">
        <f>(U6+((($K$34*$J$32/$D$36)+($E$34*$J$32/$D$36*$C$32/$C$36))*'input asumptions'!U18))*'input asumptions'!U22</f>
        <v>12</v>
      </c>
      <c r="V10" s="24" t="s">
        <v>77</v>
      </c>
    </row>
    <row r="11" spans="2:22" ht="12">
      <c r="B11" s="45" t="s">
        <v>82</v>
      </c>
      <c r="C11" s="24" t="s">
        <v>76</v>
      </c>
      <c r="D11" s="100">
        <f>(D6+((($E$34*$J$32/$D$36*$C$32/$C$36))*'input asumptions'!D18))*'input asumptions'!D22</f>
        <v>0</v>
      </c>
      <c r="E11" s="100">
        <f>(E6+((($E$34*$J$32/$D$36*$C$32/$C$36))*'input asumptions'!E18))*'input asumptions'!E22</f>
        <v>0</v>
      </c>
      <c r="F11" s="100">
        <f>(F6+((($E$34*$J$32/$D$36*$C$32/$C$36))*'input asumptions'!F18))*'input asumptions'!F22</f>
        <v>0</v>
      </c>
      <c r="G11" s="100">
        <f>(G6+((($E$34*$J$32/$D$36*$C$32/$C$36))*'input asumptions'!G18))*'input asumptions'!G22</f>
        <v>0.012209302325581395</v>
      </c>
      <c r="H11" s="100">
        <f>(H6+((($E$34*$J$32/$D$36*$C$32/$C$36))*'input asumptions'!H18))*'input asumptions'!H22</f>
        <v>0.0813953488372093</v>
      </c>
      <c r="I11" s="100">
        <f>(I6+((($E$34*$J$32/$D$36*$C$32/$C$36))*'input asumptions'!I18))*'input asumptions'!I22</f>
        <v>0.2645348837209302</v>
      </c>
      <c r="J11" s="100">
        <f>(J6+((($E$34*$J$32/$D$36*$C$32/$C$36))*'input asumptions'!J18))*'input asumptions'!J22</f>
        <v>0.5494186046511628</v>
      </c>
      <c r="K11" s="100">
        <f>(K6+((($E$34*$J$32/$D$36*$C$32/$C$36))*'input asumptions'!K18))*'input asumptions'!K22</f>
        <v>0.9360465116279069</v>
      </c>
      <c r="L11" s="100">
        <f>(L6+((($E$34*$J$32/$D$36*$C$32/$C$36))*'input asumptions'!L18))*'input asumptions'!L22</f>
        <v>1.4244186046511627</v>
      </c>
      <c r="M11" s="100">
        <f>(M6+((($E$34*$J$32/$D$36*$C$32/$C$36))*'input asumptions'!M18))*'input asumptions'!M22</f>
        <v>2.01453488372093</v>
      </c>
      <c r="N11" s="100">
        <f>(N6+((($E$34*$J$32/$D$36*$C$32/$C$36))*'input asumptions'!N18))*'input asumptions'!N22</f>
        <v>2.706395348837209</v>
      </c>
      <c r="O11" s="100">
        <f>(O6+((($E$34*$J$32/$D$36*$C$32/$C$36))*'input asumptions'!O18))*'input asumptions'!O22</f>
        <v>3.4999999999999996</v>
      </c>
      <c r="P11" s="100">
        <f>(P6+((($E$34*$J$32/$D$36*$C$32/$C$36))*'input asumptions'!P18))*'input asumptions'!P22</f>
        <v>3.937499999999999</v>
      </c>
      <c r="Q11" s="100">
        <f>(Q6+((($E$34*$J$32/$D$36*$C$32/$C$36))*'input asumptions'!Q18))*'input asumptions'!Q22</f>
        <v>4.375</v>
      </c>
      <c r="R11" s="100">
        <f>(R6+((($E$34*$J$32/$D$36*$C$32/$C$36))*'input asumptions'!R18))*'input asumptions'!R22</f>
        <v>4.8125</v>
      </c>
      <c r="S11" s="100">
        <f>(S6+((($E$34*$J$32/$D$36*$C$32/$C$36))*'input asumptions'!S18))*'input asumptions'!S22</f>
        <v>5.249999999999999</v>
      </c>
      <c r="T11" s="100">
        <f>(T6+((($E$34*$J$32/$D$36*$C$32/$C$36))*'input asumptions'!T18))*'input asumptions'!T22</f>
        <v>5.249999999999999</v>
      </c>
      <c r="U11" s="100">
        <f>(U6+((($E$34*$J$32/$D$36*$C$32/$C$36))*'input asumptions'!U18))*'input asumptions'!U22</f>
        <v>5.249999999999999</v>
      </c>
      <c r="V11" s="24" t="s">
        <v>77</v>
      </c>
    </row>
    <row r="12" spans="2:22" ht="12">
      <c r="B12" s="45" t="s">
        <v>83</v>
      </c>
      <c r="C12" s="24" t="s">
        <v>76</v>
      </c>
      <c r="D12" s="100">
        <f>(D6+((($K$34*$J$32/$D$36))*'input asumptions'!D18))*'input asumptions'!D22</f>
        <v>0</v>
      </c>
      <c r="E12" s="100">
        <f>(E6+((($K$34*$J$32/$D$36))*'input asumptions'!E18))*'input asumptions'!E22</f>
        <v>0</v>
      </c>
      <c r="F12" s="100">
        <f>(F6+((($K$34*$J$32/$D$36))*'input asumptions'!F18))*'input asumptions'!F22</f>
        <v>0</v>
      </c>
      <c r="G12" s="100">
        <f>(G6+((($K$34*$J$32/$D$36))*'input asumptions'!G18))*'input asumptions'!G22</f>
        <v>0.015697674418604653</v>
      </c>
      <c r="H12" s="100">
        <f>(H6+((($K$34*$J$32/$D$36))*'input asumptions'!H18))*'input asumptions'!H22</f>
        <v>0.10465116279069767</v>
      </c>
      <c r="I12" s="100">
        <f>(I6+((($K$34*$J$32/$D$36))*'input asumptions'!I18))*'input asumptions'!I22</f>
        <v>0.34011627906976744</v>
      </c>
      <c r="J12" s="100">
        <f>(J6+((($K$34*$J$32/$D$36))*'input asumptions'!J18))*'input asumptions'!J22</f>
        <v>0.7063953488372093</v>
      </c>
      <c r="K12" s="100">
        <f>(K6+((($K$34*$J$32/$D$36))*'input asumptions'!K18))*'input asumptions'!K22</f>
        <v>1.2034883720930232</v>
      </c>
      <c r="L12" s="100">
        <f>(L6+((($K$34*$J$32/$D$36))*'input asumptions'!L18))*'input asumptions'!L22</f>
        <v>1.8313953488372092</v>
      </c>
      <c r="M12" s="100">
        <f>(M6+((($K$34*$J$32/$D$36))*'input asumptions'!M18))*'input asumptions'!M22</f>
        <v>2.5901162790697674</v>
      </c>
      <c r="N12" s="100">
        <f>(N6+((($K$34*$J$32/$D$36))*'input asumptions'!N18))*'input asumptions'!N22</f>
        <v>3.4796511627906974</v>
      </c>
      <c r="O12" s="100">
        <f>(O6+((($K$34*$J$32/$D$36))*'input asumptions'!O18))*'input asumptions'!O22</f>
        <v>4.5</v>
      </c>
      <c r="P12" s="100">
        <f>(P6+((($K$34*$J$32/$D$36))*'input asumptions'!P18))*'input asumptions'!P22</f>
        <v>5.0625</v>
      </c>
      <c r="Q12" s="100">
        <f>(Q6+((($K$34*$J$32/$D$36))*'input asumptions'!Q18))*'input asumptions'!Q22</f>
        <v>5.625</v>
      </c>
      <c r="R12" s="100">
        <f>(R6+((($K$34*$J$32/$D$36))*'input asumptions'!R18))*'input asumptions'!R22</f>
        <v>6.1875</v>
      </c>
      <c r="S12" s="100">
        <f>(S6+((($K$34*$J$32/$D$36))*'input asumptions'!S18))*'input asumptions'!S22</f>
        <v>6.75</v>
      </c>
      <c r="T12" s="100">
        <f>(T6+((($K$34*$J$32/$D$36))*'input asumptions'!T18))*'input asumptions'!T22</f>
        <v>6.75</v>
      </c>
      <c r="U12" s="100">
        <f>(U6+((($K$34*$J$32/$D$36))*'input asumptions'!U18))*'input asumptions'!U22</f>
        <v>6.75</v>
      </c>
      <c r="V12" s="24" t="s">
        <v>77</v>
      </c>
    </row>
    <row r="13" spans="2:22" ht="12">
      <c r="B13" s="4" t="s">
        <v>84</v>
      </c>
      <c r="C13" s="27" t="s">
        <v>76</v>
      </c>
      <c r="D13" s="9">
        <f aca="true" t="shared" si="1" ref="D13:M13">D10+D7</f>
        <v>0.02666666666666667</v>
      </c>
      <c r="E13" s="9">
        <f t="shared" si="1"/>
        <v>0.13333333333333333</v>
      </c>
      <c r="F13" s="9">
        <f t="shared" si="1"/>
        <v>0.26666666666666666</v>
      </c>
      <c r="G13" s="9">
        <f t="shared" si="1"/>
        <v>0.5167958656330749</v>
      </c>
      <c r="H13" s="9">
        <f t="shared" si="1"/>
        <v>1.297157622739018</v>
      </c>
      <c r="I13" s="9">
        <f t="shared" si="1"/>
        <v>2.604651162790698</v>
      </c>
      <c r="J13" s="9">
        <f t="shared" si="1"/>
        <v>3.922480620155039</v>
      </c>
      <c r="K13" s="9">
        <f t="shared" si="1"/>
        <v>5.250645994832041</v>
      </c>
      <c r="L13" s="9">
        <f t="shared" si="1"/>
        <v>6.589147286821706</v>
      </c>
      <c r="M13" s="9">
        <f t="shared" si="1"/>
        <v>7.937984496124031</v>
      </c>
      <c r="N13" s="9">
        <f aca="true" t="shared" si="2" ref="N13:U13">N10+N7</f>
        <v>9.297157622739018</v>
      </c>
      <c r="O13" s="9">
        <f t="shared" si="2"/>
        <v>10.666666666666666</v>
      </c>
      <c r="P13" s="9">
        <f t="shared" si="2"/>
        <v>12</v>
      </c>
      <c r="Q13" s="9">
        <f t="shared" si="2"/>
        <v>13.333333333333334</v>
      </c>
      <c r="R13" s="9">
        <f t="shared" si="2"/>
        <v>14.666666666666666</v>
      </c>
      <c r="S13" s="9">
        <f t="shared" si="2"/>
        <v>16</v>
      </c>
      <c r="T13" s="9">
        <f t="shared" si="2"/>
        <v>16</v>
      </c>
      <c r="U13" s="9">
        <f t="shared" si="2"/>
        <v>16</v>
      </c>
      <c r="V13" s="27" t="s">
        <v>77</v>
      </c>
    </row>
    <row r="14" spans="2:22" ht="12">
      <c r="B14" s="5" t="s">
        <v>85</v>
      </c>
      <c r="C14" s="48" t="s">
        <v>86</v>
      </c>
      <c r="D14" s="11">
        <f>SUM($D6:D6)</f>
        <v>0</v>
      </c>
      <c r="E14" s="11">
        <f>SUM($D6:E6)</f>
        <v>0</v>
      </c>
      <c r="F14" s="11">
        <f>SUM($D6:F6)</f>
        <v>0</v>
      </c>
      <c r="G14" s="11">
        <f>SUM($D6:G6)</f>
        <v>0</v>
      </c>
      <c r="H14" s="11">
        <f>SUM($D6:H6)</f>
        <v>0</v>
      </c>
      <c r="I14" s="11">
        <f>SUM($D6:I6)</f>
        <v>0</v>
      </c>
      <c r="J14" s="11">
        <f>SUM($D6:J6)</f>
        <v>0</v>
      </c>
      <c r="K14" s="11">
        <f>SUM($D6:K6)</f>
        <v>0</v>
      </c>
      <c r="L14" s="11">
        <f>SUM($D6:L6)</f>
        <v>0</v>
      </c>
      <c r="M14" s="11">
        <f>SUM($D6:M6)</f>
        <v>0</v>
      </c>
      <c r="N14" s="11">
        <f>SUM($D6:N6)</f>
        <v>0</v>
      </c>
      <c r="O14" s="11">
        <f>SUM($D6:O6)</f>
        <v>0</v>
      </c>
      <c r="P14" s="11">
        <f>SUM($D6:P6)</f>
        <v>0</v>
      </c>
      <c r="Q14" s="11">
        <f>SUM($D6:Q6)</f>
        <v>0</v>
      </c>
      <c r="R14" s="11">
        <f>SUM($D6:R6)</f>
        <v>0</v>
      </c>
      <c r="S14" s="11">
        <f>SUM($D6:S6)</f>
        <v>0</v>
      </c>
      <c r="T14" s="11">
        <f>SUM($D6:T6)</f>
        <v>0</v>
      </c>
      <c r="U14" s="11">
        <f>SUM($D6:U6)</f>
        <v>0</v>
      </c>
      <c r="V14" s="48" t="s">
        <v>77</v>
      </c>
    </row>
    <row r="15" spans="2:22" ht="12">
      <c r="B15" s="45" t="s">
        <v>87</v>
      </c>
      <c r="C15" s="24" t="s">
        <v>86</v>
      </c>
      <c r="D15" s="3">
        <f>SUM($D7:D7)</f>
        <v>0.02666666666666667</v>
      </c>
      <c r="E15" s="3">
        <f>SUM($D7:E7)</f>
        <v>0.16</v>
      </c>
      <c r="F15" s="3">
        <f>SUM($D7:F7)</f>
        <v>0.42666666666666664</v>
      </c>
      <c r="G15" s="3">
        <f>SUM($D7:G7)</f>
        <v>0.9155555555555555</v>
      </c>
      <c r="H15" s="3">
        <f>SUM($D7:H7)</f>
        <v>2.0266666666666664</v>
      </c>
      <c r="I15" s="3">
        <f>SUM($D7:I7)</f>
        <v>4.026666666666666</v>
      </c>
      <c r="J15" s="3">
        <f>SUM($D7:J7)</f>
        <v>6.693333333333333</v>
      </c>
      <c r="K15" s="3">
        <f>SUM($D7:K7)</f>
        <v>9.804444444444444</v>
      </c>
      <c r="L15" s="3">
        <f>SUM($D7:L7)</f>
        <v>13.137777777777778</v>
      </c>
      <c r="M15" s="3">
        <f>SUM($D7:M7)</f>
        <v>16.47111111111111</v>
      </c>
      <c r="N15" s="3">
        <f>SUM($D7:N7)</f>
        <v>19.58222222222222</v>
      </c>
      <c r="O15" s="3">
        <f>SUM($D7:O7)</f>
        <v>22.24888888888889</v>
      </c>
      <c r="P15" s="3">
        <f>SUM($D7:P7)</f>
        <v>25.24888888888889</v>
      </c>
      <c r="Q15" s="3">
        <f>SUM($D7:Q7)</f>
        <v>28.58222222222222</v>
      </c>
      <c r="R15" s="3">
        <f>SUM($D7:R7)</f>
        <v>32.248888888888885</v>
      </c>
      <c r="S15" s="3">
        <f>SUM($D7:S7)</f>
        <v>36.248888888888885</v>
      </c>
      <c r="T15" s="3">
        <f>SUM($D7:T7)</f>
        <v>40.248888888888885</v>
      </c>
      <c r="U15" s="3">
        <f>SUM($D7:U7)</f>
        <v>44.248888888888885</v>
      </c>
      <c r="V15" s="24" t="s">
        <v>77</v>
      </c>
    </row>
    <row r="16" spans="2:22" ht="12">
      <c r="B16" s="45" t="s">
        <v>88</v>
      </c>
      <c r="C16" s="24" t="s">
        <v>86</v>
      </c>
      <c r="D16" s="3">
        <f>SUM($D10:D10)</f>
        <v>0</v>
      </c>
      <c r="E16" s="3">
        <f>SUM($D10:E10)</f>
        <v>0</v>
      </c>
      <c r="F16" s="3">
        <f>SUM($D10:F10)</f>
        <v>0</v>
      </c>
      <c r="G16" s="3">
        <f>SUM($D10:G10)</f>
        <v>0.027906976744186046</v>
      </c>
      <c r="H16" s="3">
        <f>SUM($D10:H10)</f>
        <v>0.21395348837209302</v>
      </c>
      <c r="I16" s="3">
        <f>SUM($D10:I10)</f>
        <v>0.8186046511627907</v>
      </c>
      <c r="J16" s="3">
        <f>SUM($D10:J10)</f>
        <v>2.0744186046511626</v>
      </c>
      <c r="K16" s="3">
        <f>SUM($D10:K10)</f>
        <v>4.213953488372093</v>
      </c>
      <c r="L16" s="3">
        <f>SUM($D10:L10)</f>
        <v>7.469767441860466</v>
      </c>
      <c r="M16" s="3">
        <f>SUM($D10:M10)</f>
        <v>12.074418604651164</v>
      </c>
      <c r="N16" s="3">
        <f>SUM($D10:N10)</f>
        <v>18.26046511627907</v>
      </c>
      <c r="O16" s="3">
        <f>SUM($D10:O10)</f>
        <v>26.26046511627907</v>
      </c>
      <c r="P16" s="3">
        <f>SUM($D10:P10)</f>
        <v>35.26046511627907</v>
      </c>
      <c r="Q16" s="3">
        <f>SUM($D10:Q10)</f>
        <v>45.26046511627907</v>
      </c>
      <c r="R16" s="3">
        <f>SUM($D10:R10)</f>
        <v>56.26046511627907</v>
      </c>
      <c r="S16" s="3">
        <f>SUM($D10:S10)</f>
        <v>68.26046511627908</v>
      </c>
      <c r="T16" s="3">
        <f>SUM($D10:T10)</f>
        <v>80.26046511627908</v>
      </c>
      <c r="U16" s="3">
        <f>SUM($D10:U10)</f>
        <v>92.26046511627908</v>
      </c>
      <c r="V16" s="24" t="s">
        <v>77</v>
      </c>
    </row>
    <row r="17" spans="2:22" ht="12">
      <c r="B17" s="4" t="s">
        <v>89</v>
      </c>
      <c r="C17" s="27" t="s">
        <v>86</v>
      </c>
      <c r="D17" s="9">
        <f>SUM($D13:D13)</f>
        <v>0.02666666666666667</v>
      </c>
      <c r="E17" s="9">
        <f>SUM($D13:E13)</f>
        <v>0.16</v>
      </c>
      <c r="F17" s="9">
        <f>SUM($D13:F13)</f>
        <v>0.42666666666666664</v>
      </c>
      <c r="G17" s="9">
        <f>SUM($D13:G13)</f>
        <v>0.9434625322997415</v>
      </c>
      <c r="H17" s="9">
        <f>SUM($D13:H13)</f>
        <v>2.2406201550387594</v>
      </c>
      <c r="I17" s="9">
        <f>SUM($D13:I13)</f>
        <v>4.845271317829457</v>
      </c>
      <c r="J17" s="9">
        <f>SUM($D13:J13)</f>
        <v>8.767751937984496</v>
      </c>
      <c r="K17" s="9">
        <f>SUM($D13:K13)</f>
        <v>14.018397932816537</v>
      </c>
      <c r="L17" s="9">
        <f>SUM($D13:L13)</f>
        <v>20.607545219638244</v>
      </c>
      <c r="M17" s="9">
        <f>SUM($D13:M13)</f>
        <v>28.545529715762274</v>
      </c>
      <c r="N17" s="9">
        <f>SUM($D13:N13)</f>
        <v>37.84268733850129</v>
      </c>
      <c r="O17" s="9">
        <f>SUM($D13:O13)</f>
        <v>48.50935400516796</v>
      </c>
      <c r="P17" s="9">
        <f>SUM($D13:P13)</f>
        <v>60.50935400516796</v>
      </c>
      <c r="Q17" s="9">
        <f>SUM($D13:Q13)</f>
        <v>73.84268733850129</v>
      </c>
      <c r="R17" s="9">
        <f>SUM($D13:R13)</f>
        <v>88.50935400516796</v>
      </c>
      <c r="S17" s="9">
        <f>SUM($D13:S13)</f>
        <v>104.50935400516796</v>
      </c>
      <c r="T17" s="9">
        <f>SUM($D13:T13)</f>
        <v>120.50935400516796</v>
      </c>
      <c r="U17" s="9">
        <f>SUM($D13:U13)</f>
        <v>136.50935400516795</v>
      </c>
      <c r="V17" s="27" t="s">
        <v>77</v>
      </c>
    </row>
    <row r="18" spans="2:22" ht="12">
      <c r="B18" s="5" t="s">
        <v>90</v>
      </c>
      <c r="C18" s="48" t="s">
        <v>91</v>
      </c>
      <c r="D18" s="11">
        <v>9000</v>
      </c>
      <c r="E18" s="11">
        <f aca="true" t="shared" si="3" ref="E18:U18">D18</f>
        <v>9000</v>
      </c>
      <c r="F18" s="11">
        <f t="shared" si="3"/>
        <v>9000</v>
      </c>
      <c r="G18" s="11">
        <f t="shared" si="3"/>
        <v>9000</v>
      </c>
      <c r="H18" s="11">
        <f t="shared" si="3"/>
        <v>9000</v>
      </c>
      <c r="I18" s="11">
        <f t="shared" si="3"/>
        <v>9000</v>
      </c>
      <c r="J18" s="11">
        <f t="shared" si="3"/>
        <v>9000</v>
      </c>
      <c r="K18" s="11">
        <f t="shared" si="3"/>
        <v>9000</v>
      </c>
      <c r="L18" s="11">
        <f t="shared" si="3"/>
        <v>9000</v>
      </c>
      <c r="M18" s="11">
        <f t="shared" si="3"/>
        <v>9000</v>
      </c>
      <c r="N18" s="11">
        <f t="shared" si="3"/>
        <v>9000</v>
      </c>
      <c r="O18" s="11">
        <f t="shared" si="3"/>
        <v>9000</v>
      </c>
      <c r="P18" s="11">
        <f t="shared" si="3"/>
        <v>9000</v>
      </c>
      <c r="Q18" s="11">
        <f t="shared" si="3"/>
        <v>9000</v>
      </c>
      <c r="R18" s="11">
        <f t="shared" si="3"/>
        <v>9000</v>
      </c>
      <c r="S18" s="11">
        <f t="shared" si="3"/>
        <v>9000</v>
      </c>
      <c r="T18" s="11">
        <f t="shared" si="3"/>
        <v>9000</v>
      </c>
      <c r="U18" s="11">
        <f t="shared" si="3"/>
        <v>9000</v>
      </c>
      <c r="V18" s="48" t="s">
        <v>77</v>
      </c>
    </row>
    <row r="19" spans="2:22" ht="12">
      <c r="B19" s="45" t="s">
        <v>92</v>
      </c>
      <c r="C19" s="24" t="s">
        <v>91</v>
      </c>
      <c r="D19" s="3">
        <f>IF(AND(D5&gt;=$E$32,D5&lt;=$G$32),D18*(1-$C$32),D18)</f>
        <v>9000</v>
      </c>
      <c r="E19" s="3">
        <f aca="true" t="shared" si="4" ref="E19:N19">IF(AND(E5&gt;=$E$32,E5&lt;=$G$32),MIN($D19*$P$38^(LN(E15/1)/LN(2)),$D$19)*(1-$C$32),MIN($D19*$P$38^(LN(E15/1)/LN(2)),$D$19))</f>
        <v>8100</v>
      </c>
      <c r="F19" s="3">
        <f t="shared" si="4"/>
        <v>8100</v>
      </c>
      <c r="G19" s="3">
        <f t="shared" si="4"/>
        <v>8100</v>
      </c>
      <c r="H19" s="3">
        <f t="shared" si="4"/>
        <v>7893.680164833466</v>
      </c>
      <c r="I19" s="3">
        <f t="shared" si="4"/>
        <v>7698.193938962727</v>
      </c>
      <c r="J19" s="3">
        <f t="shared" si="4"/>
        <v>8396.246795073008</v>
      </c>
      <c r="K19" s="3">
        <f t="shared" si="4"/>
        <v>8279.991981733783</v>
      </c>
      <c r="L19" s="3">
        <f t="shared" si="4"/>
        <v>8191.95422267058</v>
      </c>
      <c r="M19" s="3">
        <f t="shared" si="4"/>
        <v>8124.574768712371</v>
      </c>
      <c r="N19" s="3">
        <f t="shared" si="4"/>
        <v>8073.3934711254715</v>
      </c>
      <c r="O19" s="3">
        <f aca="true" t="shared" si="5" ref="O19:U19">IF(AND(O5&gt;=$E$32,O5&lt;=$G$32),MIN($D19*$P$38^(LN(O15/1)/LN(2)),$D$19)*(1-$C$32),MIN($D19*$P$38^(LN(O15/1)/LN(2)),$D$19))</f>
        <v>8035.832811544042</v>
      </c>
      <c r="P19" s="3">
        <f t="shared" si="5"/>
        <v>7998.791604236957</v>
      </c>
      <c r="Q19" s="3">
        <f t="shared" si="5"/>
        <v>7962.6445204283955</v>
      </c>
      <c r="R19" s="3">
        <f t="shared" si="5"/>
        <v>7927.6174779951125</v>
      </c>
      <c r="S19" s="3">
        <f t="shared" si="5"/>
        <v>7893.832459227725</v>
      </c>
      <c r="T19" s="3">
        <f t="shared" si="5"/>
        <v>7863.7096107314865</v>
      </c>
      <c r="U19" s="3">
        <f t="shared" si="5"/>
        <v>7836.542324614952</v>
      </c>
      <c r="V19" s="24" t="s">
        <v>77</v>
      </c>
    </row>
    <row r="20" spans="2:22" ht="12">
      <c r="B20" s="45" t="s">
        <v>93</v>
      </c>
      <c r="C20" s="24" t="s">
        <v>91</v>
      </c>
      <c r="D20" s="3">
        <v>5500</v>
      </c>
      <c r="E20" s="3">
        <f aca="true" t="shared" si="6" ref="E20:U20">D20</f>
        <v>5500</v>
      </c>
      <c r="F20" s="3">
        <f t="shared" si="6"/>
        <v>5500</v>
      </c>
      <c r="G20" s="3">
        <f t="shared" si="6"/>
        <v>5500</v>
      </c>
      <c r="H20" s="3">
        <f t="shared" si="6"/>
        <v>5500</v>
      </c>
      <c r="I20" s="3">
        <f t="shared" si="6"/>
        <v>5500</v>
      </c>
      <c r="J20" s="3">
        <f t="shared" si="6"/>
        <v>5500</v>
      </c>
      <c r="K20" s="3">
        <f t="shared" si="6"/>
        <v>5500</v>
      </c>
      <c r="L20" s="3">
        <f t="shared" si="6"/>
        <v>5500</v>
      </c>
      <c r="M20" s="3">
        <f t="shared" si="6"/>
        <v>5500</v>
      </c>
      <c r="N20" s="3">
        <f t="shared" si="6"/>
        <v>5500</v>
      </c>
      <c r="O20" s="3">
        <f t="shared" si="6"/>
        <v>5500</v>
      </c>
      <c r="P20" s="3">
        <f t="shared" si="6"/>
        <v>5500</v>
      </c>
      <c r="Q20" s="3">
        <f t="shared" si="6"/>
        <v>5500</v>
      </c>
      <c r="R20" s="3">
        <f t="shared" si="6"/>
        <v>5500</v>
      </c>
      <c r="S20" s="3">
        <f t="shared" si="6"/>
        <v>5500</v>
      </c>
      <c r="T20" s="3">
        <f t="shared" si="6"/>
        <v>5500</v>
      </c>
      <c r="U20" s="3">
        <f t="shared" si="6"/>
        <v>5500</v>
      </c>
      <c r="V20" s="24" t="s">
        <v>77</v>
      </c>
    </row>
    <row r="21" spans="2:22" ht="12">
      <c r="B21" s="4" t="s">
        <v>94</v>
      </c>
      <c r="C21" s="27" t="s">
        <v>91</v>
      </c>
      <c r="D21" s="9">
        <v>5500</v>
      </c>
      <c r="E21" s="9">
        <f>D21</f>
        <v>5500</v>
      </c>
      <c r="F21" s="9">
        <f>E21</f>
        <v>5500</v>
      </c>
      <c r="G21" s="9">
        <f>F21</f>
        <v>5500</v>
      </c>
      <c r="H21" s="9">
        <f aca="true" t="shared" si="7" ref="H21:U21">IF(AND(H5&gt;=$E$32,H5&lt;=$G$32),MIN($D21*$P$38^(LN(H16/1)/LN(2)),$D$21)*(1-$C$32),MIN($D21*$P$38^(LN(H16/1)/LN(2)),$D$21))</f>
        <v>4950</v>
      </c>
      <c r="I21" s="9">
        <f t="shared" si="7"/>
        <v>4950</v>
      </c>
      <c r="J21" s="9">
        <f t="shared" si="7"/>
        <v>5355.348907687805</v>
      </c>
      <c r="K21" s="9">
        <f t="shared" si="7"/>
        <v>5218.495935880516</v>
      </c>
      <c r="L21" s="9">
        <f t="shared" si="7"/>
        <v>5110.511657905439</v>
      </c>
      <c r="M21" s="9">
        <f t="shared" si="7"/>
        <v>5021.651594295101</v>
      </c>
      <c r="N21" s="9">
        <f t="shared" si="7"/>
        <v>4946.350240648103</v>
      </c>
      <c r="O21" s="9">
        <f t="shared" si="7"/>
        <v>4881.141812765728</v>
      </c>
      <c r="P21" s="9">
        <f t="shared" si="7"/>
        <v>4828.882506012038</v>
      </c>
      <c r="Q21" s="9">
        <f t="shared" si="7"/>
        <v>4785.0458344827175</v>
      </c>
      <c r="R21" s="9">
        <f t="shared" si="7"/>
        <v>4747.172138491233</v>
      </c>
      <c r="S21" s="9">
        <f t="shared" si="7"/>
        <v>4713.766342562196</v>
      </c>
      <c r="T21" s="9">
        <f t="shared" si="7"/>
        <v>4685.965615537619</v>
      </c>
      <c r="U21" s="9">
        <f t="shared" si="7"/>
        <v>4662.177153742496</v>
      </c>
      <c r="V21" s="27" t="s">
        <v>77</v>
      </c>
    </row>
    <row r="22" spans="2:22" ht="12">
      <c r="B22" s="45" t="s">
        <v>95</v>
      </c>
      <c r="C22" s="24" t="s">
        <v>96</v>
      </c>
      <c r="D22" s="28">
        <f>((D15*'input asumptions'!$C$12)+(D16*'input asumptions'!$C$9))/1000000</f>
        <v>7.112153184837828E-05</v>
      </c>
      <c r="E22" s="28">
        <f>((E15*'input asumptions'!$C$12)+(E16*'input asumptions'!$C$9))/1000000</f>
        <v>0.0004267291910902697</v>
      </c>
      <c r="F22" s="28">
        <f>((F15*'input asumptions'!$C$12)+(F16*'input asumptions'!$C$9))/1000000</f>
        <v>0.0011379445095740523</v>
      </c>
      <c r="G22" s="28">
        <f>((G15*'input asumptions'!$C$12)+(G16*'input asumptions'!$C$9))/1000000</f>
        <v>0.0024918951504191013</v>
      </c>
      <c r="H22" s="28">
        <f>((H15*'input asumptions'!$C$12)+(H16*'input asumptions'!$C$9))/1000000</f>
        <v>0.005788998246044512</v>
      </c>
      <c r="I22" s="28">
        <f>((I15*'input asumptions'!$C$12)+(I16*'input asumptions'!$C$9))/1000000</f>
        <v>0.01220765742432091</v>
      </c>
      <c r="J22" s="28">
        <f>((J15*'input asumptions'!$C$12)+(J16*'input asumptions'!$C$9))/1000000</f>
        <v>0.021572325672273872</v>
      </c>
      <c r="K22" s="28">
        <f>((K15*'input asumptions'!$C$12)+(K16*'input asumptions'!$C$9))/1000000</f>
        <v>0.03370745597692898</v>
      </c>
      <c r="L22" s="28">
        <f>((L15*'input asumptions'!$C$12)+(L16*'input asumptions'!$C$9))/1000000</f>
        <v>0.04843750132531179</v>
      </c>
      <c r="M22" s="28">
        <f>((M15*'input asumptions'!$C$12)+(M16*'input asumptions'!$C$9))/1000000</f>
        <v>0.0655869147044479</v>
      </c>
      <c r="N22" s="28">
        <f>((N15*'input asumptions'!$C$12)+(N16*'input asumptions'!$C$9))/1000000</f>
        <v>0.08498014910136288</v>
      </c>
      <c r="O22" s="28">
        <f>((O15*'input asumptions'!$C$12)+(O16*'input asumptions'!$C$9))/1000000</f>
        <v>0.10644165750308231</v>
      </c>
      <c r="P22" s="28">
        <f>((P15*'input asumptions'!$C$12)+(P16*'input asumptions'!$C$9))/1000000</f>
        <v>0.13058585445501666</v>
      </c>
      <c r="Q22" s="28">
        <f>((Q15*'input asumptions'!$C$12)+(Q16*'input asumptions'!$C$9))/1000000</f>
        <v>0.15741273995716595</v>
      </c>
      <c r="R22" s="28">
        <f>((R15*'input asumptions'!$C$12)+(R16*'input asumptions'!$C$9))/1000000</f>
        <v>0.18692231400953013</v>
      </c>
      <c r="S22" s="28">
        <f>((S15*'input asumptions'!$C$12)+(S16*'input asumptions'!$C$9))/1000000</f>
        <v>0.21911457661210929</v>
      </c>
      <c r="T22" s="28">
        <f>((T15*'input asumptions'!$C$12)+(T16*'input asumptions'!$C$9))/1000000</f>
        <v>0.2513068392146884</v>
      </c>
      <c r="U22" s="28">
        <f>((U15*'input asumptions'!$C$12)+(U16*'input asumptions'!$C$9))/1000000</f>
        <v>0.2834991018172676</v>
      </c>
      <c r="V22" s="24">
        <f>SUM(D22:U22)</f>
        <v>1.611691776402483</v>
      </c>
    </row>
    <row r="23" spans="2:22" ht="12">
      <c r="B23" s="45" t="s">
        <v>97</v>
      </c>
      <c r="C23" s="24" t="s">
        <v>98</v>
      </c>
      <c r="D23" s="28">
        <f>((D15*'input asumptions'!$C$11)+(D16*'input asumptions'!$C$8))/1000</f>
        <v>0.00018145448455413317</v>
      </c>
      <c r="E23" s="28">
        <f>((E15*'input asumptions'!$C$11)+(E16*'input asumptions'!$C$8))/1000</f>
        <v>0.001088726907324799</v>
      </c>
      <c r="F23" s="28">
        <f>((F15*'input asumptions'!$C$11)+(F16*'input asumptions'!$C$8))/1000</f>
        <v>0.0029032717528661304</v>
      </c>
      <c r="G23" s="28">
        <f>((G15*'input asumptions'!$C$11)+(G16*'input asumptions'!$C$8))/1000</f>
        <v>0.006970716069101255</v>
      </c>
      <c r="H23" s="28">
        <f>((H15*'input asumptions'!$C$11)+(H16*'input asumptions'!$C$8))/1000</f>
        <v>0.019469844699363584</v>
      </c>
      <c r="I23" s="28">
        <f>((I15*'input asumptions'!$C$11)+(I16*'input asumptions'!$C$8))/1000</f>
        <v>0.049129137639237284</v>
      </c>
      <c r="J23" s="28">
        <f>((J15*'input asumptions'!$C$11)+(J16*'input asumptions'!$C$8))/1000</f>
        <v>0.1006096305680714</v>
      </c>
      <c r="K23" s="28">
        <f>((K15*'input asumptions'!$C$11)+(K16*'input asumptions'!$C$8))/1000</f>
        <v>0.17857235916521494</v>
      </c>
      <c r="L23" s="28">
        <f>((L15*'input asumptions'!$C$11)+(L16*'input asumptions'!$C$8))/1000</f>
        <v>0.28767835911001705</v>
      </c>
      <c r="M23" s="28">
        <f>((M15*'input asumptions'!$C$11)+(M16*'input asumptions'!$C$8))/1000</f>
        <v>0.43258866608182656</v>
      </c>
      <c r="N23" s="28">
        <f>((N15*'input asumptions'!$C$11)+(N16*'input asumptions'!$C$8))/1000</f>
        <v>0.6179643157599927</v>
      </c>
      <c r="O23" s="28">
        <f>((O15*'input asumptions'!$C$11)+(O16*'input asumptions'!$C$8))/1000</f>
        <v>0.8484663438238644</v>
      </c>
      <c r="P23" s="28">
        <f>((P15*'input asumptions'!$C$11)+(P16*'input asumptions'!$C$8))/1000</f>
        <v>1.10778112539572</v>
      </c>
      <c r="Q23" s="28">
        <f>((Q15*'input asumptions'!$C$11)+(Q16*'input asumptions'!$C$8))/1000</f>
        <v>1.3959086604755595</v>
      </c>
      <c r="R23" s="28">
        <f>((R15*'input asumptions'!$C$11)+(R16*'input asumptions'!$C$8))/1000</f>
        <v>1.7128489490633834</v>
      </c>
      <c r="S23" s="28">
        <f>((S15*'input asumptions'!$C$11)+(S16*'input asumptions'!$C$8))/1000</f>
        <v>2.058601991159191</v>
      </c>
      <c r="T23" s="28">
        <f>((T15*'input asumptions'!$C$11)+(T16*'input asumptions'!$C$8))/1000</f>
        <v>2.4043550332549986</v>
      </c>
      <c r="U23" s="28">
        <f>((U15*'input asumptions'!$C$11)+(U16*'input asumptions'!$C$8))/1000</f>
        <v>2.7501080753508065</v>
      </c>
      <c r="V23" s="24">
        <f>SUM(D23:U23)</f>
        <v>13.975226660761091</v>
      </c>
    </row>
    <row r="24" spans="2:22" ht="12">
      <c r="B24" s="45" t="s">
        <v>99</v>
      </c>
      <c r="C24" s="24" t="s">
        <v>100</v>
      </c>
      <c r="D24" s="28">
        <f>(D22*'input asumptions'!$K$10/1000)+(D23*'input asumptions'!$Q$10/1000)</f>
        <v>1.578312978344829E-05</v>
      </c>
      <c r="E24" s="28">
        <f>(E22*'input asumptions'!$K$10/1000)+(E23*'input asumptions'!$Q$10/1000)</f>
        <v>9.469877870068973E-05</v>
      </c>
      <c r="F24" s="28">
        <f>(F22*'input asumptions'!$K$10/1000)+(F23*'input asumptions'!$Q$10/1000)</f>
        <v>0.0002525300765351726</v>
      </c>
      <c r="G24" s="28">
        <f>(G22*'input asumptions'!$K$10/1000)+(G23*'input asumptions'!$Q$10/1000)</f>
        <v>0.000561866864347429</v>
      </c>
      <c r="H24" s="28">
        <f>(H22*'input asumptions'!$K$10/1000)+(H23*'input asumptions'!$Q$10/1000)</f>
        <v>0.0013526933283180258</v>
      </c>
      <c r="I24" s="28">
        <f>(I22*'input asumptions'!$K$10/1000)+(I23*'input asumptions'!$Q$10/1000)</f>
        <v>0.0029693152451391322</v>
      </c>
      <c r="J24" s="28">
        <f>(J22*'input asumptions'!$K$10/1000)+(J23*'input asumptions'!$Q$10/1000)</f>
        <v>0.005446701603690659</v>
      </c>
      <c r="K24" s="28">
        <f>(K22*'input asumptions'!$K$10/1000)+(K23*'input asumptions'!$Q$10/1000)</f>
        <v>0.008819821392852522</v>
      </c>
      <c r="L24" s="28">
        <f>(L22*'input asumptions'!$K$10/1000)+(L23*'input asumptions'!$Q$10/1000)</f>
        <v>0.013123643601504628</v>
      </c>
      <c r="M24" s="28">
        <f>(M22*'input asumptions'!$K$10/1000)+(M23*'input asumptions'!$Q$10/1000)</f>
        <v>0.01839313721852689</v>
      </c>
      <c r="N24" s="28">
        <f>(N22*'input asumptions'!$K$10/1000)+(N23*'input asumptions'!$Q$10/1000)</f>
        <v>0.024663271232799225</v>
      </c>
      <c r="O24" s="28">
        <f>(O22*'input asumptions'!$K$10/1000)+(O23*'input asumptions'!$Q$10/1000)</f>
        <v>0.031969014633201544</v>
      </c>
      <c r="P24" s="28">
        <f>(P22*'input asumptions'!$K$10/1000)+(P23*'input asumptions'!$Q$10/1000)</f>
        <v>0.04018797595865415</v>
      </c>
      <c r="Q24" s="28">
        <f>(Q22*'input asumptions'!$K$10/1000)+(Q23*'input asumptions'!$Q$10/1000)</f>
        <v>0.04932015520915705</v>
      </c>
      <c r="R24" s="28">
        <f>(R22*'input asumptions'!$K$10/1000)+(R23*'input asumptions'!$Q$10/1000)</f>
        <v>0.05936555238471023</v>
      </c>
      <c r="S24" s="28">
        <f>(S22*'input asumptions'!$K$10/1000)+(S23*'input asumptions'!$Q$10/1000)</f>
        <v>0.07032416748531371</v>
      </c>
      <c r="T24" s="28">
        <f>(T22*'input asumptions'!$K$10/1000)+(T23*'input asumptions'!$Q$10/1000)</f>
        <v>0.08128278258591717</v>
      </c>
      <c r="U24" s="28">
        <f>(U22*'input asumptions'!$K$10/1000)+(U23*'input asumptions'!$Q$10/1000)</f>
        <v>0.09224139768652068</v>
      </c>
      <c r="V24" s="109">
        <f>SUM(D24:U24)</f>
        <v>0.5003845084156724</v>
      </c>
    </row>
    <row r="25" spans="2:22" ht="12" hidden="1">
      <c r="B25" s="45" t="s">
        <v>101</v>
      </c>
      <c r="C25" s="24" t="s">
        <v>76</v>
      </c>
      <c r="D25" s="28">
        <f aca="true" t="shared" si="8" ref="D25:M25">IF(AND(D5&gt;=$E$32,D5&lt;=$G$32),D13,0)</f>
        <v>0</v>
      </c>
      <c r="E25" s="28">
        <f t="shared" si="8"/>
        <v>0.13333333333333333</v>
      </c>
      <c r="F25" s="28">
        <f t="shared" si="8"/>
        <v>0.26666666666666666</v>
      </c>
      <c r="G25" s="28">
        <f t="shared" si="8"/>
        <v>0.5167958656330749</v>
      </c>
      <c r="H25" s="28">
        <f t="shared" si="8"/>
        <v>1.297157622739018</v>
      </c>
      <c r="I25" s="28">
        <f t="shared" si="8"/>
        <v>2.604651162790698</v>
      </c>
      <c r="J25" s="28">
        <f t="shared" si="8"/>
        <v>0</v>
      </c>
      <c r="K25" s="28">
        <f t="shared" si="8"/>
        <v>0</v>
      </c>
      <c r="L25" s="28">
        <f t="shared" si="8"/>
        <v>0</v>
      </c>
      <c r="M25" s="28">
        <f t="shared" si="8"/>
        <v>0</v>
      </c>
      <c r="N25" s="28">
        <f aca="true" t="shared" si="9" ref="N25:U25">IF(AND(N5&gt;=$E$32,N5&lt;=$G$32),N13,0)</f>
        <v>0</v>
      </c>
      <c r="O25" s="28">
        <f t="shared" si="9"/>
        <v>0</v>
      </c>
      <c r="P25" s="28">
        <f t="shared" si="9"/>
        <v>0</v>
      </c>
      <c r="Q25" s="28">
        <f t="shared" si="9"/>
        <v>0</v>
      </c>
      <c r="R25" s="28">
        <f t="shared" si="9"/>
        <v>0</v>
      </c>
      <c r="S25" s="28">
        <f t="shared" si="9"/>
        <v>0</v>
      </c>
      <c r="T25" s="28">
        <f t="shared" si="9"/>
        <v>0</v>
      </c>
      <c r="U25" s="28">
        <f t="shared" si="9"/>
        <v>0</v>
      </c>
      <c r="V25" s="54"/>
    </row>
    <row r="26" spans="2:22" ht="12" hidden="1">
      <c r="B26" s="45" t="s">
        <v>102</v>
      </c>
      <c r="C26" s="24"/>
      <c r="D26" s="28">
        <f>(D25*('input asumptions'!D21*'input asumptions'!$C$13+'input asumptions'!D22*'input asumptions'!$C$10))/1000000</f>
        <v>0</v>
      </c>
      <c r="E26" s="28">
        <f>(E25*('input asumptions'!E21*'input asumptions'!$C$13+'input asumptions'!E22*'input asumptions'!$C$10))/1000000</f>
        <v>7.891564891724145E-05</v>
      </c>
      <c r="F26" s="28">
        <f>(F25*('input asumptions'!F21*'input asumptions'!$C$13+'input asumptions'!F22*'input asumptions'!$C$10))/1000000</f>
        <v>0.0001578312978344829</v>
      </c>
      <c r="G26" s="28">
        <f>(G25*('input asumptions'!G21*'input asumptions'!$C$13+'input asumptions'!G22*'input asumptions'!$C$10))/1000000</f>
        <v>0.0002997449494304809</v>
      </c>
      <c r="H26" s="28">
        <f>(H25*('input asumptions'!H21*'input asumptions'!$C$13+'input asumptions'!H22*'input asumptions'!$C$10))/1000000</f>
        <v>0.0007693699320024024</v>
      </c>
      <c r="I26" s="28">
        <f>(I25*('input asumptions'!I21*'input asumptions'!$C$13+'input asumptions'!I22*'input asumptions'!$C$10))/1000000</f>
        <v>0.001579026058290383</v>
      </c>
      <c r="J26" s="28">
        <f>(J25*('input asumptions'!J21*'input asumptions'!$C$13+'input asumptions'!J22*'input asumptions'!$C$10))/1000000</f>
        <v>0</v>
      </c>
      <c r="K26" s="28">
        <f>(K25*('input asumptions'!K21*'input asumptions'!$C$13+'input asumptions'!K22*'input asumptions'!$C$10))/1000000</f>
        <v>0</v>
      </c>
      <c r="L26" s="28">
        <f>(L25*('input asumptions'!L21*'input asumptions'!$C$13+'input asumptions'!L22*'input asumptions'!$C$10))/1000000</f>
        <v>0</v>
      </c>
      <c r="M26" s="28">
        <f>(M25*('input asumptions'!M21*'input asumptions'!$C$13+'input asumptions'!M22*'input asumptions'!$C$10))/1000000</f>
        <v>0</v>
      </c>
      <c r="N26" s="28">
        <f>(N25*('input asumptions'!N21*'input asumptions'!$C$13+'input asumptions'!N22*'input asumptions'!$C$10))/1000000</f>
        <v>0</v>
      </c>
      <c r="O26" s="28">
        <f>(O25*('input asumptions'!O21*'input asumptions'!$C$13+'input asumptions'!O22*'input asumptions'!$C$10))/1000000</f>
        <v>0</v>
      </c>
      <c r="P26" s="28">
        <f>(P25*('input asumptions'!P21*'input asumptions'!$C$13+'input asumptions'!P22*'input asumptions'!$C$10))/1000000</f>
        <v>0</v>
      </c>
      <c r="Q26" s="28">
        <f>(Q25*('input asumptions'!Q21*'input asumptions'!$C$13+'input asumptions'!Q22*'input asumptions'!$C$10))/1000000</f>
        <v>0</v>
      </c>
      <c r="R26" s="28">
        <f>(R25*('input asumptions'!R21*'input asumptions'!$C$13+'input asumptions'!R22*'input asumptions'!$C$10))/1000000</f>
        <v>0</v>
      </c>
      <c r="S26" s="28">
        <f>(S25*('input asumptions'!S21*'input asumptions'!$C$13+'input asumptions'!S22*'input asumptions'!$C$10))/1000000</f>
        <v>0</v>
      </c>
      <c r="T26" s="28">
        <f>(T25*('input asumptions'!T21*'input asumptions'!$C$13+'input asumptions'!T22*'input asumptions'!$C$10))/1000000</f>
        <v>0</v>
      </c>
      <c r="U26" s="28">
        <f>(U25*('input asumptions'!U21*'input asumptions'!$C$13+'input asumptions'!U22*'input asumptions'!$C$10))/1000000</f>
        <v>0</v>
      </c>
      <c r="V26" s="54">
        <f>SUM(D26:U26)</f>
        <v>0.0028848878864749907</v>
      </c>
    </row>
    <row r="27" spans="2:22" ht="12">
      <c r="B27" s="35" t="s">
        <v>103</v>
      </c>
      <c r="C27" s="24" t="s">
        <v>100</v>
      </c>
      <c r="D27" s="28">
        <f>SUM($D$26:D26)</f>
        <v>0</v>
      </c>
      <c r="E27" s="28">
        <f>SUM($D$26:E26)</f>
        <v>7.891564891724145E-05</v>
      </c>
      <c r="F27" s="28">
        <f>SUM($D$26:F26)</f>
        <v>0.00023674694675172435</v>
      </c>
      <c r="G27" s="28">
        <f>SUM($D$26:G26)</f>
        <v>0.0005364918961822053</v>
      </c>
      <c r="H27" s="28">
        <f>SUM($D$26:H26)</f>
        <v>0.0013058618281846079</v>
      </c>
      <c r="I27" s="28">
        <f>SUM($D$26:I26)</f>
        <v>0.0028848878864749907</v>
      </c>
      <c r="J27" s="28">
        <f>SUM($D$26:J26)</f>
        <v>0.0028848878864749907</v>
      </c>
      <c r="K27" s="28">
        <f>SUM($D$26:K26)</f>
        <v>0.0028848878864749907</v>
      </c>
      <c r="L27" s="28">
        <f>SUM($D$26:L26)</f>
        <v>0.0028848878864749907</v>
      </c>
      <c r="M27" s="28">
        <f>SUM($D$26:M26)</f>
        <v>0.0028848878864749907</v>
      </c>
      <c r="N27" s="28">
        <f>SUM($D$26:N26)</f>
        <v>0.0028848878864749907</v>
      </c>
      <c r="O27" s="28">
        <f>SUM($D$26:O26)</f>
        <v>0.0028848878864749907</v>
      </c>
      <c r="P27" s="28">
        <f>SUM($D$26:P26)</f>
        <v>0.0028848878864749907</v>
      </c>
      <c r="Q27" s="28">
        <f>SUM($D$26:Q26)</f>
        <v>0.0028848878864749907</v>
      </c>
      <c r="R27" s="28">
        <f>SUM($D$26:R26)</f>
        <v>0.0028848878864749907</v>
      </c>
      <c r="S27" s="28">
        <f>SUM($D$26:S26)</f>
        <v>0.0028848878864749907</v>
      </c>
      <c r="T27" s="28">
        <f>SUM($D$26:T26)</f>
        <v>0.0028848878864749907</v>
      </c>
      <c r="U27" s="28">
        <f>SUM($D$26:U26)</f>
        <v>0.0028848878864749907</v>
      </c>
      <c r="V27" s="54">
        <f>SUM(D27:U27)</f>
        <v>0.03966155884421066</v>
      </c>
    </row>
    <row r="28" spans="2:22" ht="12">
      <c r="B28" s="45" t="s">
        <v>104</v>
      </c>
      <c r="C28" s="24" t="s">
        <v>105</v>
      </c>
      <c r="D28" s="3">
        <f>(D22*'elec prices'!C$10*10)+(D23*'elec prices'!C$8)</f>
        <v>0.006854071171064186</v>
      </c>
      <c r="E28" s="3">
        <f>(E22*'elec prices'!D$10*10)+(E23*'elec prices'!D$8)</f>
        <v>0.041342827026385115</v>
      </c>
      <c r="F28" s="3">
        <f>(F22*'elec prices'!E$10*10)+(F23*'elec prices'!E$8)</f>
        <v>0.10987885996863632</v>
      </c>
      <c r="G28" s="3">
        <f>(G22*'elec prices'!F$10*10)+(G23*'elec prices'!F$8)</f>
        <v>0.24419762507740625</v>
      </c>
      <c r="H28" s="3">
        <f>(H22*'elec prices'!G$10*10)+(H23*'elec prices'!G$8)</f>
        <v>0.5815004537272889</v>
      </c>
      <c r="I28" s="3">
        <f>(I22*'elec prices'!H$10*10)+(I23*'elec prices'!H$8)</f>
        <v>1.2658872590346957</v>
      </c>
      <c r="J28" s="3">
        <f>(J22*'elec prices'!I$10*10)+(J23*'elec prices'!I$8)</f>
        <v>2.2929779524168827</v>
      </c>
      <c r="K28" s="3">
        <f>(K22*'elec prices'!J$10*10)+(K23*'elec prices'!J$8)</f>
        <v>3.679128718561137</v>
      </c>
      <c r="L28" s="3">
        <f>(L22*'elec prices'!K$10*10)+(L23*'elec prices'!K$8)</f>
        <v>5.434707321464208</v>
      </c>
      <c r="M28" s="3">
        <f>(M22*'elec prices'!L$10*10)+(M23*'elec prices'!L$8)</f>
        <v>7.545337101222931</v>
      </c>
      <c r="N28" s="3">
        <f>(N22*'elec prices'!M$10*10)+(N23*'elec prices'!M$8)</f>
        <v>10.0163657833831</v>
      </c>
      <c r="O28" s="3">
        <f>(O22*'elec prices'!N$10*10)+(O23*'elec prices'!N$8)</f>
        <v>12.89845294764734</v>
      </c>
      <c r="P28" s="3">
        <f>(P22*'elec prices'!O$10*10)+(P23*'elec prices'!O$8)</f>
        <v>16.05238396276124</v>
      </c>
      <c r="Q28" s="3">
        <f>(Q22*'elec prices'!P$10*10)+(Q23*'elec prices'!P$8)</f>
        <v>19.44425849035953</v>
      </c>
      <c r="R28" s="3">
        <f>(R22*'elec prices'!Q$10*10)+(R23*'elec prices'!Q$8)</f>
        <v>23.148418162623134</v>
      </c>
      <c r="S28" s="3">
        <f>(S22*'elec prices'!R$10*10)+(S23*'elec prices'!R$8)</f>
        <v>27.129812368024837</v>
      </c>
      <c r="T28" s="3">
        <f>(T22*'elec prices'!S$10*10)+(T23*'elec prices'!S$8)</f>
        <v>31.347739854593204</v>
      </c>
      <c r="U28" s="3">
        <f>(U22*'elec prices'!T$10*10)+(U23*'elec prices'!T$8)</f>
        <v>35.787307121686695</v>
      </c>
      <c r="V28" s="24">
        <f>SUM(D28:U28)</f>
        <v>197.0265508807497</v>
      </c>
    </row>
    <row r="29" spans="2:22" ht="12">
      <c r="B29" s="45" t="s">
        <v>106</v>
      </c>
      <c r="C29" s="24" t="s">
        <v>105</v>
      </c>
      <c r="D29" s="3">
        <f>IF(AND(D5&gt;=$E$32,D5&lt;=$G$32),((((D19/(1-$C$32))*$C$32*'input asumptions'!D21)+(D21/(1-$C$32))*$C$32*'input asumptions'!D22))*D13/1000,0)</f>
        <v>0</v>
      </c>
      <c r="E29" s="3">
        <f>IF(AND(E5&gt;=$E$32,E5&lt;=$G$32),((((E19/(1-$C$32))*$C$32*'input asumptions'!E21)+(E21/(1-$C$32))*$C$32*'input asumptions'!E22))*E13/1000,0)</f>
        <v>0.12</v>
      </c>
      <c r="F29" s="3">
        <f>IF(AND(F5&gt;=$E$32,F5&lt;=$G$32),((((F19/(1-$C$32))*$C$32*'input asumptions'!F21)+(F21/(1-$C$32))*$C$32*'input asumptions'!F22))*F13/1000,0)</f>
        <v>0.24</v>
      </c>
      <c r="G29" s="3">
        <f>IF(AND(G5&gt;=$E$32,G5&lt;=$G$32),((((G19/(1-$C$32))*$C$32*'input asumptions'!G21)+(G21/(1-$C$32))*$C$32*'input asumptions'!G22))*G13/1000,0)</f>
        <v>0.4428820383390421</v>
      </c>
      <c r="H29" s="3">
        <f>IF(AND(H5&gt;=$E$32,H5&lt;=$G$32),((((H19/(1-$C$32))*$C$32*'input asumptions'!H21)+(H21/(1-$C$32))*$C$32*'input asumptions'!H22))*H13/1000,0)</f>
        <v>1.0476370279012748</v>
      </c>
      <c r="I29" s="3">
        <f>IF(AND(I5&gt;=$E$32,I5&lt;=$G$32),((((I19/(1-$C$32))*$C$32*'input asumptions'!I21)+(I21/(1-$C$32))*$C$32*'input asumptions'!I22))*I13/1000,0)</f>
        <v>1.9957500455221064</v>
      </c>
      <c r="J29" s="3">
        <f>IF(AND(J5&gt;=$E$32,J5&lt;=$G$32),((((J19/(1-$C$32))*$C$32*'input asumptions'!J21)+(J21/(1-$C$32))*$C$32*'input asumptions'!J22))*J13/1000,0)</f>
        <v>0</v>
      </c>
      <c r="K29" s="3">
        <f>IF(AND(K5&gt;=$E$32,K5&lt;=$G$32),((((K19/(1-$C$32))*$C$32*'input asumptions'!K21)+(K21/(1-$C$32))*$C$32*'input asumptions'!K22))*K13/1000,0)</f>
        <v>0</v>
      </c>
      <c r="L29" s="3">
        <f>IF(AND(L5&gt;=$E$32,L5&lt;=$G$32),((((L19/(1-$C$32))*$C$32*'input asumptions'!L21)+(L21/(1-$C$32))*$C$32*'input asumptions'!L22))*L13/1000,0)</f>
        <v>0</v>
      </c>
      <c r="M29" s="3">
        <f>IF(AND(M5&gt;=$E$32,M5&lt;=$G$32),((((M19/(1-$C$32))*$C$32*'input asumptions'!M21)+(M21/(1-$C$32))*$C$32*'input asumptions'!M22))*M13/1000,0)</f>
        <v>0</v>
      </c>
      <c r="N29" s="3">
        <f>IF(AND(N5&gt;=$E$32,N5&lt;=$G$32),((((N19/(1-$C$32))*$C$32*'input asumptions'!N21)+(N21/(1-$C$32))*$C$32*'input asumptions'!N22))*N13/1000,0)</f>
        <v>0</v>
      </c>
      <c r="O29" s="3">
        <f>IF(AND(O5&gt;=$E$32,O5&lt;=$G$32),((((O19/(1-$C$32))*$C$32*'input asumptions'!O21)+(O21/(1-$C$32))*$C$32*'input asumptions'!O22))*O13/1000,0)</f>
        <v>0</v>
      </c>
      <c r="P29" s="3">
        <f>IF(AND(P5&gt;=$E$32,P5&lt;=$G$32),((((P19/(1-$C$32))*$C$32*'input asumptions'!P21)+(P21/(1-$C$32))*$C$32*'input asumptions'!P22))*P13/1000,0)</f>
        <v>0</v>
      </c>
      <c r="Q29" s="3">
        <f>IF(AND(Q5&gt;=$E$32,Q5&lt;=$G$32),((((Q19/(1-$C$32))*$C$32*'input asumptions'!Q21)+(Q21/(1-$C$32))*$C$32*'input asumptions'!Q22))*Q13/1000,0)</f>
        <v>0</v>
      </c>
      <c r="R29" s="3">
        <f>IF(AND(R5&gt;=$E$32,R5&lt;=$G$32),((((R19/(1-$C$32))*$C$32*'input asumptions'!R21)+(R21/(1-$C$32))*$C$32*'input asumptions'!R22))*R13/1000,0)</f>
        <v>0</v>
      </c>
      <c r="S29" s="3">
        <f>IF(AND(S5&gt;=$E$32,S5&lt;=$G$32),((((S19/(1-$C$32))*$C$32*'input asumptions'!S21)+(S21/(1-$C$32))*$C$32*'input asumptions'!S22))*S13/1000,0)</f>
        <v>0</v>
      </c>
      <c r="T29" s="3">
        <f>IF(AND(T5&gt;=$E$32,T5&lt;=$G$32),((((T19/(1-$C$32))*$C$32*'input asumptions'!T21)+(T21/(1-$C$32))*$C$32*'input asumptions'!T22))*T13/1000,0)</f>
        <v>0</v>
      </c>
      <c r="U29" s="3">
        <f>IF(AND(U5&gt;=$E$32,U5&lt;=$G$32),((((U19/(1-$C$32))*$C$32*'input asumptions'!U21)+(U21/(1-$C$32))*$C$32*'input asumptions'!U22))*U13/1000,0)</f>
        <v>0</v>
      </c>
      <c r="V29" s="24">
        <f>SUM(D29:U29)</f>
        <v>3.8462691117624233</v>
      </c>
    </row>
    <row r="30" spans="2:22" ht="12">
      <c r="B30" s="4" t="s">
        <v>107</v>
      </c>
      <c r="C30" s="27" t="s">
        <v>108</v>
      </c>
      <c r="D30" s="9" t="s">
        <v>77</v>
      </c>
      <c r="E30" s="9" t="s">
        <v>77</v>
      </c>
      <c r="F30" s="9">
        <f>SUM($D29:F29)/SUM($D24:F24)</f>
        <v>991.7027945533247</v>
      </c>
      <c r="G30" s="9">
        <f>SUM($D29:G29)/SUM($D24:G24)</f>
        <v>868.0942794710592</v>
      </c>
      <c r="H30" s="9">
        <f>SUM($D29:H29)/SUM($D24:H24)</f>
        <v>812.4963434183835</v>
      </c>
      <c r="I30" s="9">
        <f>SUM($D29:I29)/SUM($D24:I24)</f>
        <v>733.0572969854849</v>
      </c>
      <c r="J30" s="9">
        <f>SUM($D29:J29)/SUM($D24:J24)</f>
        <v>359.6799074871561</v>
      </c>
      <c r="K30" s="9">
        <f>SUM($D29:K29)/SUM($D24:K24)</f>
        <v>197.10901524138484</v>
      </c>
      <c r="L30" s="9">
        <f>SUM($D29:L29)/SUM($D24:L24)</f>
        <v>117.84976393098157</v>
      </c>
      <c r="M30" s="9">
        <f>SUM($D29:M29)/SUM($D24:M24)</f>
        <v>75.37242205733408</v>
      </c>
      <c r="N30" s="9">
        <f>SUM($D29:N29)/SUM($D24:N24)</f>
        <v>50.81375572131023</v>
      </c>
      <c r="O30" s="9">
        <f>SUM($D29:O29)/SUM($D24:O24)</f>
        <v>35.72525187207986</v>
      </c>
      <c r="P30" s="9">
        <f>SUM($D29:P29)/SUM($D24:P24)</f>
        <v>26.01459131204757</v>
      </c>
      <c r="Q30" s="9">
        <f>SUM($D29:Q29)/SUM($D24:Q24)</f>
        <v>19.507314733404986</v>
      </c>
      <c r="R30" s="9">
        <f>SUM($D29:R29)/SUM($D24:R24)</f>
        <v>14.99308753159071</v>
      </c>
      <c r="S30" s="9">
        <f>SUM($D29:S29)/SUM($D24:S24)</f>
        <v>11.767317048268206</v>
      </c>
      <c r="T30" s="9">
        <f>SUM($D29:T29)/SUM($D24:T24)</f>
        <v>9.423824660156644</v>
      </c>
      <c r="U30" s="10">
        <f>SUM($D29:U29)/SUM($D24:U24)</f>
        <v>7.686627077925651</v>
      </c>
      <c r="V30" s="27">
        <f>V29/V24</f>
        <v>7.686627077925651</v>
      </c>
    </row>
    <row r="31" spans="2:22" ht="12">
      <c r="B31" s="1"/>
      <c r="C31" s="3"/>
      <c r="D31" s="3"/>
      <c r="E31" s="3"/>
      <c r="F31" s="3"/>
      <c r="G31" s="3"/>
      <c r="H31" s="3"/>
      <c r="I31" s="3"/>
      <c r="J31" s="3"/>
      <c r="K31" s="3"/>
      <c r="L31" s="3"/>
      <c r="M31" s="3"/>
      <c r="N31" s="3"/>
      <c r="O31" s="3"/>
      <c r="P31" s="3"/>
      <c r="Q31" s="3"/>
      <c r="R31" s="3"/>
      <c r="S31" s="3"/>
      <c r="T31" s="3"/>
      <c r="U31" s="3"/>
      <c r="V31" s="3"/>
    </row>
    <row r="32" spans="2:15" ht="12">
      <c r="B32" s="1" t="s">
        <v>109</v>
      </c>
      <c r="C32" s="66">
        <v>0.1</v>
      </c>
      <c r="D32" s="2" t="s">
        <v>110</v>
      </c>
      <c r="E32" s="67">
        <v>1999</v>
      </c>
      <c r="F32" s="3" t="s">
        <v>111</v>
      </c>
      <c r="G32" s="9">
        <v>2003</v>
      </c>
      <c r="H32" s="2" t="s">
        <v>112</v>
      </c>
      <c r="I32" s="104"/>
      <c r="J32" s="9">
        <f>G32-E32+1</f>
        <v>5</v>
      </c>
      <c r="K32" s="12" t="s">
        <v>113</v>
      </c>
      <c r="L32" s="2"/>
      <c r="O32" s="78"/>
    </row>
    <row r="33" spans="2:15" ht="12">
      <c r="B33" s="13" t="s">
        <v>114</v>
      </c>
      <c r="O33" s="78"/>
    </row>
    <row r="34" spans="2:21" ht="12">
      <c r="B34" s="13" t="s">
        <v>115</v>
      </c>
      <c r="E34" s="66">
        <f>1-K34</f>
        <v>0.7</v>
      </c>
      <c r="F34" s="1" t="s">
        <v>116</v>
      </c>
      <c r="G34" s="3"/>
      <c r="H34" s="3"/>
      <c r="I34" s="3"/>
      <c r="J34" s="3"/>
      <c r="K34" s="66">
        <v>0.3</v>
      </c>
      <c r="L34" s="1" t="s">
        <v>117</v>
      </c>
      <c r="M34" s="3"/>
      <c r="N34" s="3"/>
      <c r="O34" s="3"/>
      <c r="P34" s="3"/>
      <c r="Q34" s="3"/>
      <c r="R34" s="3"/>
      <c r="S34" s="3"/>
      <c r="T34" s="3"/>
      <c r="U34" s="3"/>
    </row>
    <row r="35" spans="2:19" ht="12">
      <c r="B35" s="13" t="s">
        <v>118</v>
      </c>
      <c r="G35" s="13"/>
      <c r="H35" s="13"/>
      <c r="I35" s="13"/>
      <c r="J35" s="13"/>
      <c r="K35" s="13"/>
      <c r="L35" s="13"/>
      <c r="M35" s="13"/>
      <c r="N35" s="13"/>
      <c r="O35" s="13"/>
      <c r="P35" s="2"/>
      <c r="Q35" s="2"/>
      <c r="R35" s="2"/>
      <c r="S35" s="2"/>
    </row>
    <row r="36" spans="2:19" ht="12">
      <c r="B36" s="2" t="s">
        <v>119</v>
      </c>
      <c r="C36" s="66">
        <v>0.3</v>
      </c>
      <c r="D36" s="20">
        <v>10</v>
      </c>
      <c r="E36" s="2" t="s">
        <v>120</v>
      </c>
      <c r="F36" s="13"/>
      <c r="G36" s="13"/>
      <c r="H36" s="13"/>
      <c r="I36" s="13"/>
      <c r="J36" s="13"/>
      <c r="K36" s="13"/>
      <c r="L36" s="13"/>
      <c r="M36" s="13"/>
      <c r="N36" s="13"/>
      <c r="O36" s="13"/>
      <c r="P36" s="2"/>
      <c r="Q36" s="2"/>
      <c r="R36" s="2"/>
      <c r="S36" s="2"/>
    </row>
    <row r="37" spans="2:19" ht="12">
      <c r="B37" s="2" t="s">
        <v>121</v>
      </c>
      <c r="G37" s="13"/>
      <c r="H37" s="13"/>
      <c r="I37" s="13"/>
      <c r="J37" s="13"/>
      <c r="K37" s="13"/>
      <c r="L37" s="13"/>
      <c r="M37" s="13"/>
      <c r="N37" s="13"/>
      <c r="O37" s="13"/>
      <c r="P37" s="2"/>
      <c r="Q37" s="2"/>
      <c r="R37" s="2"/>
      <c r="S37" s="2"/>
    </row>
    <row r="38" spans="2:17" ht="12">
      <c r="B38" s="2" t="s">
        <v>122</v>
      </c>
      <c r="P38" s="69">
        <v>0.975</v>
      </c>
      <c r="Q38" s="2" t="s">
        <v>123</v>
      </c>
    </row>
    <row r="39" spans="2:17" ht="12">
      <c r="B39" s="2" t="s">
        <v>124</v>
      </c>
      <c r="P39" s="93"/>
      <c r="Q39" s="2"/>
    </row>
    <row r="40" ht="12">
      <c r="B40" s="2" t="s">
        <v>125</v>
      </c>
    </row>
    <row r="41" ht="12">
      <c r="B41" s="2" t="s">
        <v>126</v>
      </c>
    </row>
    <row r="42" ht="12">
      <c r="B42" s="2" t="s">
        <v>127</v>
      </c>
    </row>
    <row r="43" ht="12">
      <c r="B43" s="2" t="s">
        <v>128</v>
      </c>
    </row>
    <row r="44" ht="12">
      <c r="B44" s="2" t="s">
        <v>129</v>
      </c>
    </row>
    <row r="45" ht="12">
      <c r="B45" s="108" t="s">
        <v>0</v>
      </c>
    </row>
    <row r="46" ht="12">
      <c r="B46" s="108" t="s">
        <v>1</v>
      </c>
    </row>
    <row r="47" ht="12">
      <c r="B47" s="2" t="s">
        <v>2</v>
      </c>
    </row>
    <row r="48" spans="2:21" ht="12">
      <c r="B48" s="13" t="s">
        <v>3</v>
      </c>
      <c r="C48" s="13"/>
      <c r="D48" s="13"/>
      <c r="E48" s="13"/>
      <c r="F48" s="13"/>
      <c r="G48" s="13"/>
      <c r="H48" s="13"/>
      <c r="I48" s="13"/>
      <c r="J48" s="13"/>
      <c r="K48" s="13"/>
      <c r="L48" s="13"/>
      <c r="M48" s="13"/>
      <c r="N48" s="13"/>
      <c r="O48" s="13"/>
      <c r="P48" s="13"/>
      <c r="Q48" s="13"/>
      <c r="R48" s="13"/>
      <c r="S48" s="13"/>
      <c r="T48" s="13"/>
      <c r="U48" s="13"/>
    </row>
    <row r="49" spans="2:22" ht="12">
      <c r="B49" s="13" t="s">
        <v>4</v>
      </c>
      <c r="C49" s="13"/>
      <c r="D49" s="13"/>
      <c r="E49" s="13"/>
      <c r="F49" s="13"/>
      <c r="G49" s="13"/>
      <c r="H49" s="13"/>
      <c r="I49" s="13"/>
      <c r="J49" s="13"/>
      <c r="K49" s="13"/>
      <c r="L49" s="13"/>
      <c r="M49" s="13"/>
      <c r="N49" s="13"/>
      <c r="O49" s="13"/>
      <c r="P49" s="13"/>
      <c r="Q49" s="13"/>
      <c r="R49" s="13"/>
      <c r="S49" s="13"/>
      <c r="T49" s="13"/>
      <c r="U49" s="13"/>
      <c r="V49" s="13"/>
    </row>
    <row r="50" spans="2:22" ht="12">
      <c r="B50" s="13"/>
      <c r="C50" s="13"/>
      <c r="D50" s="13"/>
      <c r="E50" s="13"/>
      <c r="F50" s="13"/>
      <c r="G50" s="13"/>
      <c r="H50" s="13"/>
      <c r="I50" s="13"/>
      <c r="J50" s="13"/>
      <c r="K50" s="13"/>
      <c r="L50" s="13"/>
      <c r="M50" s="13"/>
      <c r="N50" s="13"/>
      <c r="O50" s="13"/>
      <c r="P50" s="13"/>
      <c r="Q50" s="13"/>
      <c r="R50" s="13"/>
      <c r="S50" s="13"/>
      <c r="T50" s="13"/>
      <c r="U50" s="13"/>
      <c r="V50" s="13"/>
    </row>
    <row r="51" spans="2:22" ht="12">
      <c r="B51" s="13"/>
      <c r="C51" s="13"/>
      <c r="D51" s="13"/>
      <c r="E51" s="13"/>
      <c r="F51" s="13"/>
      <c r="G51" s="13"/>
      <c r="H51" s="13"/>
      <c r="I51" s="13"/>
      <c r="J51" s="13"/>
      <c r="K51" s="13"/>
      <c r="L51" s="13"/>
      <c r="M51" s="13"/>
      <c r="N51" s="13"/>
      <c r="O51" s="13"/>
      <c r="P51" s="13"/>
      <c r="Q51" s="13"/>
      <c r="R51" s="13"/>
      <c r="S51" s="13"/>
      <c r="T51" s="13"/>
      <c r="U51" s="13"/>
      <c r="V51" s="13"/>
    </row>
    <row r="52" spans="2:23" ht="12">
      <c r="B52" s="13"/>
      <c r="C52" s="13"/>
      <c r="D52" s="13"/>
      <c r="E52" s="13"/>
      <c r="F52" s="13"/>
      <c r="G52" s="13"/>
      <c r="H52" s="13"/>
      <c r="I52" s="13"/>
      <c r="J52" s="13"/>
      <c r="K52" s="13"/>
      <c r="L52" s="13"/>
      <c r="M52" s="13"/>
      <c r="N52" s="13"/>
      <c r="O52" s="13"/>
      <c r="P52" s="13"/>
      <c r="Q52" s="13"/>
      <c r="R52" s="13"/>
      <c r="S52" s="13"/>
      <c r="T52" s="13"/>
      <c r="U52" s="13"/>
      <c r="V52" s="13"/>
      <c r="W52" s="12"/>
    </row>
    <row r="53" spans="2:22" ht="12">
      <c r="B53" s="13"/>
      <c r="C53" s="13"/>
      <c r="D53" s="13"/>
      <c r="E53" s="13"/>
      <c r="F53" s="13"/>
      <c r="G53" s="13"/>
      <c r="H53" s="13"/>
      <c r="I53" s="13"/>
      <c r="J53" s="13"/>
      <c r="K53" s="13"/>
      <c r="L53" s="13"/>
      <c r="M53" s="13"/>
      <c r="N53" s="13"/>
      <c r="O53" s="13"/>
      <c r="P53" s="13"/>
      <c r="Q53" s="13"/>
      <c r="R53" s="13"/>
      <c r="S53" s="13"/>
      <c r="T53" s="13"/>
      <c r="U53" s="13"/>
      <c r="V53" s="13"/>
    </row>
    <row r="54" spans="2:22" ht="12">
      <c r="B54" s="13"/>
      <c r="C54" s="13"/>
      <c r="D54" s="13"/>
      <c r="E54" s="13"/>
      <c r="F54" s="13"/>
      <c r="G54" s="13"/>
      <c r="H54" s="13"/>
      <c r="I54" s="13"/>
      <c r="J54" s="13"/>
      <c r="K54" s="13"/>
      <c r="L54" s="13"/>
      <c r="M54" s="13"/>
      <c r="N54" s="13"/>
      <c r="O54" s="13"/>
      <c r="P54" s="13"/>
      <c r="Q54" s="13"/>
      <c r="R54" s="13"/>
      <c r="S54" s="13"/>
      <c r="T54" s="13"/>
      <c r="U54" s="13"/>
      <c r="V54" s="13"/>
    </row>
    <row r="55" spans="2:22" ht="12">
      <c r="B55" s="13"/>
      <c r="C55" s="13"/>
      <c r="D55" s="13"/>
      <c r="E55" s="13"/>
      <c r="F55" s="13"/>
      <c r="G55" s="13"/>
      <c r="H55" s="13"/>
      <c r="I55" s="13"/>
      <c r="J55" s="13"/>
      <c r="K55" s="13"/>
      <c r="L55" s="13"/>
      <c r="M55" s="13"/>
      <c r="N55" s="13"/>
      <c r="O55" s="13"/>
      <c r="P55" s="13"/>
      <c r="Q55" s="13"/>
      <c r="R55" s="13"/>
      <c r="S55" s="13"/>
      <c r="T55" s="13"/>
      <c r="U55" s="13"/>
      <c r="V55" s="13"/>
    </row>
    <row r="56" spans="2:22" ht="12">
      <c r="B56" s="13"/>
      <c r="C56" s="13"/>
      <c r="D56" s="13"/>
      <c r="E56" s="13"/>
      <c r="F56" s="13"/>
      <c r="G56" s="13"/>
      <c r="H56" s="13"/>
      <c r="I56" s="13"/>
      <c r="J56" s="13"/>
      <c r="K56" s="13"/>
      <c r="L56" s="13"/>
      <c r="M56" s="13"/>
      <c r="N56" s="13"/>
      <c r="O56" s="13"/>
      <c r="P56" s="13"/>
      <c r="Q56" s="13"/>
      <c r="R56" s="13"/>
      <c r="S56" s="13"/>
      <c r="T56" s="13"/>
      <c r="U56" s="13"/>
      <c r="V56" s="13"/>
    </row>
    <row r="57" spans="2:22" ht="12">
      <c r="B57" s="13"/>
      <c r="C57" s="13"/>
      <c r="D57" s="13"/>
      <c r="E57" s="13"/>
      <c r="F57" s="13"/>
      <c r="G57" s="13"/>
      <c r="H57" s="13"/>
      <c r="I57" s="13"/>
      <c r="J57" s="13"/>
      <c r="K57" s="13"/>
      <c r="L57" s="13"/>
      <c r="M57" s="13"/>
      <c r="N57" s="13"/>
      <c r="O57" s="13"/>
      <c r="P57" s="13"/>
      <c r="Q57" s="13"/>
      <c r="R57" s="13"/>
      <c r="S57" s="13"/>
      <c r="T57" s="13"/>
      <c r="U57" s="13"/>
      <c r="V57" s="13"/>
    </row>
    <row r="58" spans="2:22" ht="12">
      <c r="B58" s="13"/>
      <c r="C58" s="13"/>
      <c r="D58" s="13"/>
      <c r="E58" s="13"/>
      <c r="F58" s="13"/>
      <c r="G58" s="13"/>
      <c r="H58" s="13"/>
      <c r="I58" s="13"/>
      <c r="J58" s="13"/>
      <c r="K58" s="13"/>
      <c r="L58" s="13"/>
      <c r="M58" s="13"/>
      <c r="N58" s="13"/>
      <c r="O58" s="13"/>
      <c r="P58" s="13"/>
      <c r="Q58" s="13"/>
      <c r="R58" s="13"/>
      <c r="S58" s="13"/>
      <c r="T58" s="13"/>
      <c r="U58" s="13"/>
      <c r="V58" s="13"/>
    </row>
    <row r="59" spans="2:22" ht="12">
      <c r="B59" s="13"/>
      <c r="C59" s="13"/>
      <c r="D59" s="13"/>
      <c r="E59" s="13"/>
      <c r="F59" s="13"/>
      <c r="G59" s="13"/>
      <c r="H59" s="13"/>
      <c r="I59" s="13"/>
      <c r="J59" s="13"/>
      <c r="K59" s="13"/>
      <c r="L59" s="13"/>
      <c r="M59" s="13"/>
      <c r="N59" s="13"/>
      <c r="O59" s="13"/>
      <c r="P59" s="13"/>
      <c r="Q59" s="13"/>
      <c r="R59" s="13"/>
      <c r="S59" s="13"/>
      <c r="T59" s="13"/>
      <c r="U59" s="13"/>
      <c r="V59" s="13"/>
    </row>
    <row r="60" s="13" customFormat="1" ht="12"/>
    <row r="61" s="13" customFormat="1" ht="12"/>
    <row r="62" spans="2:22" ht="12">
      <c r="B62" s="13"/>
      <c r="C62" s="13"/>
      <c r="D62" s="13"/>
      <c r="E62" s="13"/>
      <c r="F62" s="13"/>
      <c r="G62" s="13"/>
      <c r="H62" s="13"/>
      <c r="I62" s="13"/>
      <c r="J62" s="13"/>
      <c r="K62" s="13"/>
      <c r="L62" s="13"/>
      <c r="M62" s="13"/>
      <c r="N62" s="13"/>
      <c r="O62" s="13"/>
      <c r="P62" s="13"/>
      <c r="Q62" s="13"/>
      <c r="R62" s="13"/>
      <c r="S62" s="13"/>
      <c r="T62" s="13"/>
      <c r="U62" s="13"/>
      <c r="V62" s="13"/>
    </row>
    <row r="63" spans="2:22" ht="12">
      <c r="B63" s="13"/>
      <c r="C63" s="13"/>
      <c r="D63" s="13"/>
      <c r="E63" s="13"/>
      <c r="F63" s="13"/>
      <c r="G63" s="13"/>
      <c r="H63" s="13"/>
      <c r="I63" s="13"/>
      <c r="J63" s="13"/>
      <c r="K63" s="13"/>
      <c r="L63" s="13"/>
      <c r="M63" s="13"/>
      <c r="N63" s="13"/>
      <c r="O63" s="13"/>
      <c r="P63" s="13"/>
      <c r="Q63" s="13"/>
      <c r="R63" s="13"/>
      <c r="S63" s="13"/>
      <c r="T63" s="13"/>
      <c r="U63" s="13"/>
      <c r="V63" s="13"/>
    </row>
    <row r="64" spans="2:22" ht="12">
      <c r="B64" s="13"/>
      <c r="C64" s="13"/>
      <c r="D64" s="13"/>
      <c r="E64" s="13"/>
      <c r="F64" s="13"/>
      <c r="G64" s="13"/>
      <c r="H64" s="13"/>
      <c r="I64" s="13"/>
      <c r="J64" s="13"/>
      <c r="K64" s="13"/>
      <c r="L64" s="13"/>
      <c r="M64" s="13"/>
      <c r="N64" s="13"/>
      <c r="O64" s="13"/>
      <c r="P64" s="13"/>
      <c r="Q64" s="13"/>
      <c r="R64" s="13"/>
      <c r="S64" s="13"/>
      <c r="T64" s="13"/>
      <c r="U64" s="13"/>
      <c r="V64" s="13"/>
    </row>
    <row r="65" spans="2:7" ht="12">
      <c r="B65" s="13"/>
      <c r="C65" s="72"/>
      <c r="D65" s="13"/>
      <c r="E65" s="13"/>
      <c r="F65" s="13"/>
      <c r="G65" s="13"/>
    </row>
    <row r="66" spans="2:7" ht="12">
      <c r="B66" s="13"/>
      <c r="C66" s="13"/>
      <c r="D66" s="13"/>
      <c r="E66" s="13"/>
      <c r="F66" s="13"/>
      <c r="G66" s="13"/>
    </row>
    <row r="67" spans="2:7" ht="12">
      <c r="B67" s="13"/>
      <c r="C67" s="13"/>
      <c r="D67" s="13"/>
      <c r="E67" s="13"/>
      <c r="F67" s="13"/>
      <c r="G67" s="13"/>
    </row>
    <row r="68" spans="2:7" ht="12">
      <c r="B68" s="13"/>
      <c r="C68" s="13"/>
      <c r="D68" s="13"/>
      <c r="E68" s="13"/>
      <c r="F68" s="13"/>
      <c r="G68" s="13"/>
    </row>
    <row r="69" spans="2:7" ht="12">
      <c r="B69" s="13"/>
      <c r="C69" s="13"/>
      <c r="D69" s="13"/>
      <c r="E69" s="13"/>
      <c r="F69" s="13"/>
      <c r="G69" s="13"/>
    </row>
    <row r="70" spans="2:7" ht="12">
      <c r="B70" s="13"/>
      <c r="C70" s="13"/>
      <c r="D70" s="13"/>
      <c r="E70" s="13"/>
      <c r="F70" s="13"/>
      <c r="G70" s="13"/>
    </row>
    <row r="71" spans="2:7" ht="12">
      <c r="B71" s="13"/>
      <c r="C71" s="13"/>
      <c r="D71" s="13"/>
      <c r="E71" s="13"/>
      <c r="F71" s="13"/>
      <c r="G71" s="13"/>
    </row>
    <row r="72" spans="2:7" ht="12">
      <c r="B72" s="13"/>
      <c r="C72" s="13"/>
      <c r="D72" s="13"/>
      <c r="E72" s="13"/>
      <c r="F72" s="13"/>
      <c r="G72" s="13"/>
    </row>
    <row r="73" spans="2:7" ht="12">
      <c r="B73" s="13"/>
      <c r="C73" s="13"/>
      <c r="D73" s="13"/>
      <c r="E73" s="13"/>
      <c r="F73" s="13"/>
      <c r="G73" s="13"/>
    </row>
    <row r="74" spans="2:7" ht="12">
      <c r="B74" s="13"/>
      <c r="C74" s="13"/>
      <c r="D74" s="13"/>
      <c r="E74" s="13"/>
      <c r="F74" s="13"/>
      <c r="G74" s="13"/>
    </row>
    <row r="75" spans="2:7" ht="12">
      <c r="B75" s="13"/>
      <c r="C75" s="13"/>
      <c r="D75" s="13"/>
      <c r="E75" s="13"/>
      <c r="F75" s="13"/>
      <c r="G75" s="13"/>
    </row>
    <row r="76" spans="2:7" ht="12">
      <c r="B76" s="13"/>
      <c r="C76" s="13"/>
      <c r="D76" s="13"/>
      <c r="E76" s="13"/>
      <c r="F76" s="13"/>
      <c r="G76" s="13"/>
    </row>
    <row r="77" spans="2:7" ht="12">
      <c r="B77" s="13"/>
      <c r="C77" s="13"/>
      <c r="D77" s="13"/>
      <c r="E77" s="13"/>
      <c r="F77" s="13"/>
      <c r="G77" s="13"/>
    </row>
    <row r="78" spans="2:7" ht="12">
      <c r="B78" s="13"/>
      <c r="C78" s="13"/>
      <c r="D78" s="13"/>
      <c r="E78" s="13"/>
      <c r="F78" s="13"/>
      <c r="G78" s="13"/>
    </row>
    <row r="79" spans="2:7" ht="12">
      <c r="B79" s="13"/>
      <c r="C79" s="13"/>
      <c r="D79" s="13"/>
      <c r="E79" s="13"/>
      <c r="F79" s="13"/>
      <c r="G79" s="13"/>
    </row>
    <row r="80" spans="2:7" ht="12">
      <c r="B80" s="13"/>
      <c r="C80" s="13"/>
      <c r="D80" s="13"/>
      <c r="E80" s="13"/>
      <c r="F80" s="13"/>
      <c r="G80" s="13"/>
    </row>
    <row r="81" spans="2:7" ht="12">
      <c r="B81" s="13"/>
      <c r="C81" s="13"/>
      <c r="D81" s="13"/>
      <c r="E81" s="13"/>
      <c r="F81" s="13"/>
      <c r="G81" s="13"/>
    </row>
    <row r="82" spans="2:7" ht="12">
      <c r="B82" s="13"/>
      <c r="C82" s="13"/>
      <c r="D82" s="13"/>
      <c r="E82" s="13"/>
      <c r="F82" s="13"/>
      <c r="G82" s="13"/>
    </row>
    <row r="83" spans="2:7" ht="12">
      <c r="B83" s="13"/>
      <c r="C83" s="13"/>
      <c r="D83" s="13"/>
      <c r="E83" s="13"/>
      <c r="F83" s="13"/>
      <c r="G83" s="13"/>
    </row>
    <row r="84" spans="2:7" ht="12">
      <c r="B84" s="13"/>
      <c r="C84" s="13"/>
      <c r="D84" s="13"/>
      <c r="E84" s="13"/>
      <c r="F84" s="13"/>
      <c r="G84" s="13"/>
    </row>
    <row r="85" spans="2:7" ht="12">
      <c r="B85" s="13"/>
      <c r="C85" s="13"/>
      <c r="D85" s="13"/>
      <c r="E85" s="13"/>
      <c r="F85" s="13"/>
      <c r="G85" s="13"/>
    </row>
    <row r="86" spans="2:7" ht="12">
      <c r="B86" s="13"/>
      <c r="C86" s="13"/>
      <c r="D86" s="13"/>
      <c r="E86" s="13"/>
      <c r="F86" s="13"/>
      <c r="G86" s="13"/>
    </row>
    <row r="87" spans="2:7" ht="12">
      <c r="B87" s="13"/>
      <c r="C87" s="13"/>
      <c r="D87" s="13"/>
      <c r="E87" s="13"/>
      <c r="F87" s="13"/>
      <c r="G87" s="13"/>
    </row>
    <row r="88" spans="2:7" ht="12">
      <c r="B88" s="13"/>
      <c r="C88" s="13"/>
      <c r="D88" s="13"/>
      <c r="E88" s="13"/>
      <c r="F88" s="13"/>
      <c r="G88" s="13"/>
    </row>
    <row r="89" spans="2:7" ht="12">
      <c r="B89" s="13"/>
      <c r="C89" s="13"/>
      <c r="D89" s="13"/>
      <c r="E89" s="13"/>
      <c r="F89" s="13"/>
      <c r="G89" s="13"/>
    </row>
    <row r="90" spans="2:7" ht="12">
      <c r="B90" s="13"/>
      <c r="C90" s="13"/>
      <c r="D90" s="13"/>
      <c r="E90" s="13"/>
      <c r="F90" s="13"/>
      <c r="G90" s="13"/>
    </row>
    <row r="91" spans="2:7" ht="12">
      <c r="B91" s="13"/>
      <c r="C91" s="13"/>
      <c r="D91" s="13"/>
      <c r="E91" s="13"/>
      <c r="F91" s="13"/>
      <c r="G91" s="13"/>
    </row>
    <row r="92" spans="2:7" ht="12">
      <c r="B92" s="13"/>
      <c r="C92" s="13"/>
      <c r="D92" s="13"/>
      <c r="E92" s="13"/>
      <c r="F92" s="13"/>
      <c r="G92" s="13"/>
    </row>
    <row r="93" spans="2:7" ht="12">
      <c r="B93" s="13"/>
      <c r="C93" s="13"/>
      <c r="D93" s="13"/>
      <c r="E93" s="13"/>
      <c r="F93" s="13"/>
      <c r="G93" s="13"/>
    </row>
  </sheetData>
  <printOptions horizontalCentered="1"/>
  <pageMargins left="0.5" right="0.5" top="0.75" bottom="0.75" header="0.25" footer="0.25"/>
  <pageSetup orientation="landscape" paperSize="9" scale="70"/>
  <headerFooter alignWithMargins="0">
    <oddHeader>&amp;L&amp;"Times,Regular"&amp;9Cooper Richey&amp;C&amp;"Times,Regular"&amp;9Ph: (510) 486-5417   |   Fax: (510) 486-7976&amp;R&amp;"Times,Regular"&amp;9&amp;D     &amp;T</oddHeader>
    <oddFooter>&amp;L&amp;"Times,Regular"&amp;9&amp;F&amp;C&amp;"Times,Regular"&amp;9&amp;A&amp;R&amp;"Times,Regular"&amp;9&amp;P of &amp;N</oddFooter>
  </headerFooter>
</worksheet>
</file>

<file path=xl/worksheets/sheet2.xml><?xml version="1.0" encoding="utf-8"?>
<worksheet xmlns="http://schemas.openxmlformats.org/spreadsheetml/2006/main" xmlns:r="http://schemas.openxmlformats.org/officeDocument/2006/relationships">
  <dimension ref="B2:W93"/>
  <sheetViews>
    <sheetView showGridLines="0" defaultGridColor="0" colorId="23" workbookViewId="0" topLeftCell="A1">
      <selection activeCell="R11" sqref="R11"/>
    </sheetView>
  </sheetViews>
  <sheetFormatPr defaultColWidth="11.421875" defaultRowHeight="12.75"/>
  <cols>
    <col min="1" max="1" width="0.85546875" style="2" customWidth="1"/>
    <col min="2" max="2" width="45.140625" style="2" customWidth="1"/>
    <col min="3" max="3" width="11.140625" style="12" customWidth="1"/>
    <col min="4" max="4" width="5.28125" style="12" customWidth="1"/>
    <col min="5" max="5" width="6.421875" style="12" customWidth="1"/>
    <col min="6" max="20" width="5.00390625" style="12" customWidth="1"/>
    <col min="21" max="21" width="6.7109375" style="12" customWidth="1"/>
    <col min="22" max="22" width="11.421875" style="2" customWidth="1"/>
    <col min="23" max="23" width="5.140625" style="2" customWidth="1"/>
    <col min="24" max="16384" width="10.8515625" style="2" customWidth="1"/>
  </cols>
  <sheetData>
    <row r="1" ht="4.5" customHeight="1"/>
    <row r="2" spans="2:22" ht="12">
      <c r="B2" s="5"/>
      <c r="C2" s="11"/>
      <c r="D2" s="11"/>
      <c r="E2" s="11"/>
      <c r="F2" s="11"/>
      <c r="G2" s="11"/>
      <c r="H2" s="11"/>
      <c r="I2" s="11"/>
      <c r="J2" s="11"/>
      <c r="K2" s="11"/>
      <c r="L2" s="11"/>
      <c r="M2" s="11"/>
      <c r="N2" s="11"/>
      <c r="O2" s="11"/>
      <c r="P2" s="11"/>
      <c r="Q2" s="11"/>
      <c r="R2" s="11"/>
      <c r="S2" s="11"/>
      <c r="T2" s="11"/>
      <c r="U2" s="11"/>
      <c r="V2" s="6"/>
    </row>
    <row r="3" spans="2:22" ht="18.75">
      <c r="B3" s="49" t="s">
        <v>68</v>
      </c>
      <c r="C3" s="3"/>
      <c r="D3" s="3"/>
      <c r="E3" s="3"/>
      <c r="F3" s="3"/>
      <c r="G3" s="3"/>
      <c r="H3" s="3"/>
      <c r="I3" s="3"/>
      <c r="J3" s="3"/>
      <c r="K3" s="3"/>
      <c r="L3" s="3"/>
      <c r="M3" s="89">
        <f>C32</f>
        <v>0.1</v>
      </c>
      <c r="N3" s="90" t="s">
        <v>69</v>
      </c>
      <c r="O3" s="91"/>
      <c r="P3" s="91">
        <f>J32</f>
        <v>10</v>
      </c>
      <c r="Q3" s="90" t="s">
        <v>70</v>
      </c>
      <c r="R3" s="91"/>
      <c r="S3" s="3"/>
      <c r="T3" s="3"/>
      <c r="U3" s="53"/>
      <c r="V3" s="50" t="s">
        <v>71</v>
      </c>
    </row>
    <row r="4" spans="2:22" ht="12.75">
      <c r="B4" s="52"/>
      <c r="C4" s="3"/>
      <c r="D4" s="3"/>
      <c r="E4" s="3"/>
      <c r="F4" s="3"/>
      <c r="G4" s="3"/>
      <c r="H4" s="3"/>
      <c r="I4" s="3"/>
      <c r="J4" s="3"/>
      <c r="K4" s="3"/>
      <c r="L4" s="3"/>
      <c r="M4" s="3"/>
      <c r="N4" s="3"/>
      <c r="O4" s="3"/>
      <c r="P4" s="3"/>
      <c r="Q4" s="3"/>
      <c r="R4" s="3"/>
      <c r="S4" s="3"/>
      <c r="T4" s="3"/>
      <c r="U4" s="3"/>
      <c r="V4" s="115" t="s">
        <v>72</v>
      </c>
    </row>
    <row r="5" spans="2:22" ht="12">
      <c r="B5" s="46"/>
      <c r="C5" s="47" t="s">
        <v>73</v>
      </c>
      <c r="D5" s="7">
        <v>1998</v>
      </c>
      <c r="E5" s="7">
        <v>1999</v>
      </c>
      <c r="F5" s="7">
        <v>2000</v>
      </c>
      <c r="G5" s="7">
        <v>2001</v>
      </c>
      <c r="H5" s="7">
        <v>2002</v>
      </c>
      <c r="I5" s="7">
        <v>2003</v>
      </c>
      <c r="J5" s="7">
        <v>2004</v>
      </c>
      <c r="K5" s="7">
        <v>2005</v>
      </c>
      <c r="L5" s="7">
        <v>2006</v>
      </c>
      <c r="M5" s="7">
        <v>2007</v>
      </c>
      <c r="N5" s="7">
        <v>2008</v>
      </c>
      <c r="O5" s="7">
        <v>2009</v>
      </c>
      <c r="P5" s="7">
        <v>2010</v>
      </c>
      <c r="Q5" s="7">
        <v>2011</v>
      </c>
      <c r="R5" s="7">
        <v>2012</v>
      </c>
      <c r="S5" s="7">
        <v>2013</v>
      </c>
      <c r="T5" s="7">
        <v>2014</v>
      </c>
      <c r="U5" s="8">
        <v>2015</v>
      </c>
      <c r="V5" s="116" t="s">
        <v>74</v>
      </c>
    </row>
    <row r="6" spans="2:22" ht="12">
      <c r="B6" s="5" t="s">
        <v>75</v>
      </c>
      <c r="C6" s="48" t="s">
        <v>76</v>
      </c>
      <c r="D6" s="11">
        <v>0</v>
      </c>
      <c r="E6" s="11">
        <f aca="true" t="shared" si="0" ref="E6:U6">D6</f>
        <v>0</v>
      </c>
      <c r="F6" s="11">
        <f t="shared" si="0"/>
        <v>0</v>
      </c>
      <c r="G6" s="11">
        <f t="shared" si="0"/>
        <v>0</v>
      </c>
      <c r="H6" s="11">
        <f t="shared" si="0"/>
        <v>0</v>
      </c>
      <c r="I6" s="11">
        <f t="shared" si="0"/>
        <v>0</v>
      </c>
      <c r="J6" s="11">
        <f t="shared" si="0"/>
        <v>0</v>
      </c>
      <c r="K6" s="11">
        <f t="shared" si="0"/>
        <v>0</v>
      </c>
      <c r="L6" s="11">
        <f t="shared" si="0"/>
        <v>0</v>
      </c>
      <c r="M6" s="11">
        <f t="shared" si="0"/>
        <v>0</v>
      </c>
      <c r="N6" s="11">
        <f t="shared" si="0"/>
        <v>0</v>
      </c>
      <c r="O6" s="11">
        <f t="shared" si="0"/>
        <v>0</v>
      </c>
      <c r="P6" s="11">
        <f t="shared" si="0"/>
        <v>0</v>
      </c>
      <c r="Q6" s="11">
        <f t="shared" si="0"/>
        <v>0</v>
      </c>
      <c r="R6" s="11">
        <f t="shared" si="0"/>
        <v>0</v>
      </c>
      <c r="S6" s="11">
        <f t="shared" si="0"/>
        <v>0</v>
      </c>
      <c r="T6" s="11">
        <f t="shared" si="0"/>
        <v>0</v>
      </c>
      <c r="U6" s="11">
        <f t="shared" si="0"/>
        <v>0</v>
      </c>
      <c r="V6" s="48" t="s">
        <v>77</v>
      </c>
    </row>
    <row r="7" spans="2:22" ht="12">
      <c r="B7" s="45" t="s">
        <v>78</v>
      </c>
      <c r="C7" s="24" t="s">
        <v>76</v>
      </c>
      <c r="D7" s="3">
        <f>(D6+((($K$34*$J$32/$D$36)+($E$34*$J$32/$D$36*$C$32/$C$36))*'input asumptions'!D18))*'input asumptions'!D21</f>
        <v>0.05333333333333334</v>
      </c>
      <c r="E7" s="3">
        <f>(E6+((($K$34*$J$32/$D$36)+($E$34*$J$32/$D$36*$C$32/$C$36))*'input asumptions'!E18))*'input asumptions'!E21</f>
        <v>0.26666666666666666</v>
      </c>
      <c r="F7" s="3">
        <f>(F6+((($K$34*$J$32/$D$36)+($E$34*$J$32/$D$36*$C$32/$C$36))*'input asumptions'!F18))*'input asumptions'!F21</f>
        <v>0.5333333333333333</v>
      </c>
      <c r="G7" s="3">
        <f>(G6+((($K$34*$J$32/$D$36)+($E$34*$J$32/$D$36*$C$32/$C$36))*'input asumptions'!G18))*'input asumptions'!G21</f>
        <v>0.9777777777777777</v>
      </c>
      <c r="H7" s="3">
        <f>(H6+((($K$34*$J$32/$D$36)+($E$34*$J$32/$D$36*$C$32/$C$36))*'input asumptions'!H18))*'input asumptions'!H21</f>
        <v>2.2222222222222223</v>
      </c>
      <c r="I7" s="3">
        <f>(I6+((($K$34*$J$32/$D$36)+($E$34*$J$32/$D$36*$C$32/$C$36))*'input asumptions'!I18))*'input asumptions'!I21</f>
        <v>4</v>
      </c>
      <c r="J7" s="3">
        <f>(J6+((($K$34*$J$32/$D$36)+($E$34*$J$32/$D$36*$C$32/$C$36))*'input asumptions'!J18))*'input asumptions'!J21</f>
        <v>5.333333333333334</v>
      </c>
      <c r="K7" s="3">
        <f>(K6+((($K$34*$J$32/$D$36)+($E$34*$J$32/$D$36*$C$32/$C$36))*'input asumptions'!K18))*'input asumptions'!K21</f>
        <v>6.222222222222221</v>
      </c>
      <c r="L7" s="3">
        <f>(L6+((($K$34*$J$32/$D$36)+($E$34*$J$32/$D$36*$C$32/$C$36))*'input asumptions'!L18))*'input asumptions'!L21</f>
        <v>6.666666666666667</v>
      </c>
      <c r="M7" s="3">
        <f>(M6+((($K$34*$J$32/$D$36)+($E$34*$J$32/$D$36*$C$32/$C$36))*'input asumptions'!M18))*'input asumptions'!M21</f>
        <v>6.666666666666666</v>
      </c>
      <c r="N7" s="3">
        <f>(N6+((($K$34*$J$32/$D$36)+($E$34*$J$32/$D$36*$C$32/$C$36))*'input asumptions'!N18))*'input asumptions'!N21</f>
        <v>6.222222222222223</v>
      </c>
      <c r="O7" s="3">
        <f>(O6+((($K$34*$J$32/$D$36)+($E$34*$J$32/$D$36*$C$32/$C$36))*'input asumptions'!O18))*'input asumptions'!O21</f>
        <v>5.333333333333333</v>
      </c>
      <c r="P7" s="3">
        <f>(P6+((($K$34*$J$32/$D$36)+($E$34*$J$32/$D$36*$C$32/$C$36))*'input asumptions'!P18))*'input asumptions'!P21</f>
        <v>6</v>
      </c>
      <c r="Q7" s="3">
        <f>(Q6+((($K$34*$J$32/$D$36)+($E$34*$J$32/$D$36*$C$32/$C$36))*'input asumptions'!Q18))*'input asumptions'!Q21</f>
        <v>6.666666666666667</v>
      </c>
      <c r="R7" s="3">
        <f>(R6+((($K$34*$J$32/$D$36)+($E$34*$J$32/$D$36*$C$32/$C$36))*'input asumptions'!R18))*'input asumptions'!R21</f>
        <v>7.333333333333333</v>
      </c>
      <c r="S7" s="3">
        <f>(S6+((($K$34*$J$32/$D$36)+($E$34*$J$32/$D$36*$C$32/$C$36))*'input asumptions'!S18))*'input asumptions'!S21</f>
        <v>8</v>
      </c>
      <c r="T7" s="3">
        <f>(T6+((($K$34*$J$32/$D$36)+($E$34*$J$32/$D$36*$C$32/$C$36))*'input asumptions'!T18))*'input asumptions'!T21</f>
        <v>8</v>
      </c>
      <c r="U7" s="3">
        <f>(U6+((($K$34*$J$32/$D$36)+($E$34*$J$32/$D$36*$C$32/$C$36))*'input asumptions'!U18))*'input asumptions'!U21</f>
        <v>8</v>
      </c>
      <c r="V7" s="24" t="s">
        <v>77</v>
      </c>
    </row>
    <row r="8" spans="2:22" ht="12">
      <c r="B8" s="45" t="s">
        <v>79</v>
      </c>
      <c r="C8" s="24" t="s">
        <v>76</v>
      </c>
      <c r="D8" s="100">
        <f>(D6+((($E$34*$J$32/$D$36*$C$32/$C$36))*'input asumptions'!D18))*'input asumptions'!D21</f>
        <v>0.02333333333333333</v>
      </c>
      <c r="E8" s="100">
        <f>(E6+((($E$34*$J$32/$D$36*$C$32/$C$36))*'input asumptions'!E18))*'input asumptions'!E21</f>
        <v>0.11666666666666665</v>
      </c>
      <c r="F8" s="100">
        <f>(F6+((($E$34*$J$32/$D$36*$C$32/$C$36))*'input asumptions'!F18))*'input asumptions'!F21</f>
        <v>0.2333333333333333</v>
      </c>
      <c r="G8" s="100">
        <f>(G6+((($E$34*$J$32/$D$36*$C$32/$C$36))*'input asumptions'!G18))*'input asumptions'!G21</f>
        <v>0.4277777777777777</v>
      </c>
      <c r="H8" s="100">
        <f>(H6+((($E$34*$J$32/$D$36*$C$32/$C$36))*'input asumptions'!H18))*'input asumptions'!H21</f>
        <v>0.9722222222222221</v>
      </c>
      <c r="I8" s="100">
        <f>(I6+((($E$34*$J$32/$D$36*$C$32/$C$36))*'input asumptions'!I18))*'input asumptions'!I21</f>
        <v>1.7499999999999998</v>
      </c>
      <c r="J8" s="100">
        <f>(J6+((($E$34*$J$32/$D$36*$C$32/$C$36))*'input asumptions'!J18))*'input asumptions'!J21</f>
        <v>2.3333333333333335</v>
      </c>
      <c r="K8" s="100">
        <f>(K6+((($E$34*$J$32/$D$36*$C$32/$C$36))*'input asumptions'!K18))*'input asumptions'!K21</f>
        <v>2.7222222222222214</v>
      </c>
      <c r="L8" s="100">
        <f>(L6+((($E$34*$J$32/$D$36*$C$32/$C$36))*'input asumptions'!L18))*'input asumptions'!L21</f>
        <v>2.9166666666666665</v>
      </c>
      <c r="M8" s="100">
        <f>(M6+((($E$34*$J$32/$D$36*$C$32/$C$36))*'input asumptions'!M18))*'input asumptions'!M21</f>
        <v>2.916666666666666</v>
      </c>
      <c r="N8" s="100">
        <f>(N6+((($E$34*$J$32/$D$36*$C$32/$C$36))*'input asumptions'!N18))*'input asumptions'!N21</f>
        <v>2.7222222222222223</v>
      </c>
      <c r="O8" s="100">
        <f>(O6+((($E$34*$J$32/$D$36*$C$32/$C$36))*'input asumptions'!O18))*'input asumptions'!O21</f>
        <v>2.333333333333333</v>
      </c>
      <c r="P8" s="100">
        <f>(P6+((($E$34*$J$32/$D$36*$C$32/$C$36))*'input asumptions'!P18))*'input asumptions'!P21</f>
        <v>2.6249999999999996</v>
      </c>
      <c r="Q8" s="100">
        <f>(Q6+((($E$34*$J$32/$D$36*$C$32/$C$36))*'input asumptions'!Q18))*'input asumptions'!Q21</f>
        <v>2.9166666666666665</v>
      </c>
      <c r="R8" s="100">
        <f>(R6+((($E$34*$J$32/$D$36*$C$32/$C$36))*'input asumptions'!R18))*'input asumptions'!R21</f>
        <v>3.208333333333333</v>
      </c>
      <c r="S8" s="100">
        <f>(S6+((($E$34*$J$32/$D$36*$C$32/$C$36))*'input asumptions'!S18))*'input asumptions'!S21</f>
        <v>3.4999999999999996</v>
      </c>
      <c r="T8" s="100">
        <f>(T6+((($E$34*$J$32/$D$36*$C$32/$C$36))*'input asumptions'!T18))*'input asumptions'!T21</f>
        <v>3.4999999999999996</v>
      </c>
      <c r="U8" s="100">
        <f>(U6+((($E$34*$J$32/$D$36*$C$32/$C$36))*'input asumptions'!U18))*'input asumptions'!U21</f>
        <v>3.4999999999999996</v>
      </c>
      <c r="V8" s="24" t="s">
        <v>77</v>
      </c>
    </row>
    <row r="9" spans="2:22" ht="12">
      <c r="B9" s="45" t="s">
        <v>80</v>
      </c>
      <c r="C9" s="24" t="s">
        <v>76</v>
      </c>
      <c r="D9" s="100">
        <f>(D6+((($K$34*$J$32/$D$36))*'input asumptions'!D18))*'input asumptions'!D21</f>
        <v>0.03</v>
      </c>
      <c r="E9" s="100">
        <f>(E6+((($K$34*$J$32/$D$36))*'input asumptions'!E18))*'input asumptions'!E21</f>
        <v>0.15</v>
      </c>
      <c r="F9" s="100">
        <f>(F6+((($K$34*$J$32/$D$36))*'input asumptions'!F18))*'input asumptions'!F21</f>
        <v>0.3</v>
      </c>
      <c r="G9" s="100">
        <f>(G6+((($K$34*$J$32/$D$36))*'input asumptions'!G18))*'input asumptions'!G21</f>
        <v>0.5499999999999999</v>
      </c>
      <c r="H9" s="100">
        <f>(H6+((($K$34*$J$32/$D$36))*'input asumptions'!H18))*'input asumptions'!H21</f>
        <v>1.25</v>
      </c>
      <c r="I9" s="100">
        <f>(I6+((($K$34*$J$32/$D$36))*'input asumptions'!I18))*'input asumptions'!I21</f>
        <v>2.25</v>
      </c>
      <c r="J9" s="100">
        <f>(J6+((($K$34*$J$32/$D$36))*'input asumptions'!J18))*'input asumptions'!J21</f>
        <v>3.0000000000000004</v>
      </c>
      <c r="K9" s="100">
        <f>(K6+((($K$34*$J$32/$D$36))*'input asumptions'!K18))*'input asumptions'!K21</f>
        <v>3.4999999999999996</v>
      </c>
      <c r="L9" s="100">
        <f>(L6+((($K$34*$J$32/$D$36))*'input asumptions'!L18))*'input asumptions'!L21</f>
        <v>3.75</v>
      </c>
      <c r="M9" s="100">
        <f>(M6+((($K$34*$J$32/$D$36))*'input asumptions'!M18))*'input asumptions'!M21</f>
        <v>3.7499999999999996</v>
      </c>
      <c r="N9" s="100">
        <f>(N6+((($K$34*$J$32/$D$36))*'input asumptions'!N18))*'input asumptions'!N21</f>
        <v>3.5000000000000004</v>
      </c>
      <c r="O9" s="100">
        <f>(O6+((($K$34*$J$32/$D$36))*'input asumptions'!O18))*'input asumptions'!O21</f>
        <v>3</v>
      </c>
      <c r="P9" s="100">
        <f>(P6+((($K$34*$J$32/$D$36))*'input asumptions'!P18))*'input asumptions'!P21</f>
        <v>3.375</v>
      </c>
      <c r="Q9" s="100">
        <f>(Q6+((($K$34*$J$32/$D$36))*'input asumptions'!Q18))*'input asumptions'!Q21</f>
        <v>3.75</v>
      </c>
      <c r="R9" s="100">
        <f>(R6+((($K$34*$J$32/$D$36))*'input asumptions'!R18))*'input asumptions'!R21</f>
        <v>4.125</v>
      </c>
      <c r="S9" s="100">
        <f>(S6+((($K$34*$J$32/$D$36))*'input asumptions'!S18))*'input asumptions'!S21</f>
        <v>4.5</v>
      </c>
      <c r="T9" s="100">
        <f>(T6+((($K$34*$J$32/$D$36))*'input asumptions'!T18))*'input asumptions'!T21</f>
        <v>4.5</v>
      </c>
      <c r="U9" s="100">
        <f>(U6+((($K$34*$J$32/$D$36))*'input asumptions'!U18))*'input asumptions'!U21</f>
        <v>4.5</v>
      </c>
      <c r="V9" s="24" t="s">
        <v>77</v>
      </c>
    </row>
    <row r="10" spans="2:22" ht="12">
      <c r="B10" s="45" t="s">
        <v>81</v>
      </c>
      <c r="C10" s="24" t="s">
        <v>76</v>
      </c>
      <c r="D10" s="3">
        <f>(D6+((($K$34*$J$32/$D$36)+($E$34*$J$32/$D$36*$C$32/$C$36))*'input asumptions'!D18))*'input asumptions'!D22</f>
        <v>0</v>
      </c>
      <c r="E10" s="3">
        <f>(E6+((($K$34*$J$32/$D$36)+($E$34*$J$32/$D$36*$C$32/$C$36))*'input asumptions'!E18))*'input asumptions'!E22</f>
        <v>0</v>
      </c>
      <c r="F10" s="3">
        <f>(F6+((($K$34*$J$32/$D$36)+($E$34*$J$32/$D$36*$C$32/$C$36))*'input asumptions'!F18))*'input asumptions'!F22</f>
        <v>0</v>
      </c>
      <c r="G10" s="3">
        <f>(G6+((($K$34*$J$32/$D$36)+($E$34*$J$32/$D$36*$C$32/$C$36))*'input asumptions'!G18))*'input asumptions'!G22</f>
        <v>0.05581395348837209</v>
      </c>
      <c r="H10" s="3">
        <f>(H6+((($K$34*$J$32/$D$36)+($E$34*$J$32/$D$36*$C$32/$C$36))*'input asumptions'!H18))*'input asumptions'!H22</f>
        <v>0.37209302325581395</v>
      </c>
      <c r="I10" s="3">
        <f>(I6+((($K$34*$J$32/$D$36)+($E$34*$J$32/$D$36*$C$32/$C$36))*'input asumptions'!I18))*'input asumptions'!I22</f>
        <v>1.2093023255813953</v>
      </c>
      <c r="J10" s="3">
        <f>(J6+((($K$34*$J$32/$D$36)+($E$34*$J$32/$D$36*$C$32/$C$36))*'input asumptions'!J18))*'input asumptions'!J22</f>
        <v>2.511627906976744</v>
      </c>
      <c r="K10" s="3">
        <f>(K6+((($K$34*$J$32/$D$36)+($E$34*$J$32/$D$36*$C$32/$C$36))*'input asumptions'!K18))*'input asumptions'!K22</f>
        <v>4.27906976744186</v>
      </c>
      <c r="L10" s="3">
        <f>(L6+((($K$34*$J$32/$D$36)+($E$34*$J$32/$D$36*$C$32/$C$36))*'input asumptions'!L18))*'input asumptions'!L22</f>
        <v>6.511627906976744</v>
      </c>
      <c r="M10" s="3">
        <f>(M6+((($K$34*$J$32/$D$36)+($E$34*$J$32/$D$36*$C$32/$C$36))*'input asumptions'!M18))*'input asumptions'!M22</f>
        <v>9.209302325581396</v>
      </c>
      <c r="N10" s="3">
        <f>(N6+((($K$34*$J$32/$D$36)+($E$34*$J$32/$D$36*$C$32/$C$36))*'input asumptions'!N18))*'input asumptions'!N22</f>
        <v>12.372093023255815</v>
      </c>
      <c r="O10" s="3">
        <f>(O6+((($K$34*$J$32/$D$36)+($E$34*$J$32/$D$36*$C$32/$C$36))*'input asumptions'!O18))*'input asumptions'!O22</f>
        <v>16</v>
      </c>
      <c r="P10" s="3">
        <f>(P6+((($K$34*$J$32/$D$36)+($E$34*$J$32/$D$36*$C$32/$C$36))*'input asumptions'!P18))*'input asumptions'!P22</f>
        <v>18</v>
      </c>
      <c r="Q10" s="3">
        <f>(Q6+((($K$34*$J$32/$D$36)+($E$34*$J$32/$D$36*$C$32/$C$36))*'input asumptions'!Q18))*'input asumptions'!Q22</f>
        <v>20</v>
      </c>
      <c r="R10" s="3">
        <f>(R6+((($K$34*$J$32/$D$36)+($E$34*$J$32/$D$36*$C$32/$C$36))*'input asumptions'!R18))*'input asumptions'!R22</f>
        <v>22</v>
      </c>
      <c r="S10" s="3">
        <f>(S6+((($K$34*$J$32/$D$36)+($E$34*$J$32/$D$36*$C$32/$C$36))*'input asumptions'!S18))*'input asumptions'!S22</f>
        <v>24</v>
      </c>
      <c r="T10" s="3">
        <f>(T6+((($K$34*$J$32/$D$36)+($E$34*$J$32/$D$36*$C$32/$C$36))*'input asumptions'!T18))*'input asumptions'!T22</f>
        <v>24</v>
      </c>
      <c r="U10" s="3">
        <f>(U6+((($K$34*$J$32/$D$36)+($E$34*$J$32/$D$36*$C$32/$C$36))*'input asumptions'!U18))*'input asumptions'!U22</f>
        <v>24</v>
      </c>
      <c r="V10" s="24" t="s">
        <v>77</v>
      </c>
    </row>
    <row r="11" spans="2:22" ht="12">
      <c r="B11" s="45" t="s">
        <v>82</v>
      </c>
      <c r="C11" s="24" t="s">
        <v>76</v>
      </c>
      <c r="D11" s="100">
        <f>(D6+((($E$34*$J$32/$D$36*$C$32/$C$36))*'input asumptions'!D18))*'input asumptions'!D22</f>
        <v>0</v>
      </c>
      <c r="E11" s="100">
        <f>(E6+((($E$34*$J$32/$D$36*$C$32/$C$36))*'input asumptions'!E18))*'input asumptions'!E22</f>
        <v>0</v>
      </c>
      <c r="F11" s="100">
        <f>(F6+((($E$34*$J$32/$D$36*$C$32/$C$36))*'input asumptions'!F18))*'input asumptions'!F22</f>
        <v>0</v>
      </c>
      <c r="G11" s="100">
        <f>(G6+((($E$34*$J$32/$D$36*$C$32/$C$36))*'input asumptions'!G18))*'input asumptions'!G22</f>
        <v>0.02441860465116279</v>
      </c>
      <c r="H11" s="100">
        <f>(H6+((($E$34*$J$32/$D$36*$C$32/$C$36))*'input asumptions'!H18))*'input asumptions'!H22</f>
        <v>0.1627906976744186</v>
      </c>
      <c r="I11" s="100">
        <f>(I6+((($E$34*$J$32/$D$36*$C$32/$C$36))*'input asumptions'!I18))*'input asumptions'!I22</f>
        <v>0.5290697674418604</v>
      </c>
      <c r="J11" s="100">
        <f>(J6+((($E$34*$J$32/$D$36*$C$32/$C$36))*'input asumptions'!J18))*'input asumptions'!J22</f>
        <v>1.0988372093023255</v>
      </c>
      <c r="K11" s="100">
        <f>(K6+((($E$34*$J$32/$D$36*$C$32/$C$36))*'input asumptions'!K18))*'input asumptions'!K22</f>
        <v>1.8720930232558137</v>
      </c>
      <c r="L11" s="100">
        <f>(L6+((($E$34*$J$32/$D$36*$C$32/$C$36))*'input asumptions'!L18))*'input asumptions'!L22</f>
        <v>2.8488372093023253</v>
      </c>
      <c r="M11" s="100">
        <f>(M6+((($E$34*$J$32/$D$36*$C$32/$C$36))*'input asumptions'!M18))*'input asumptions'!M22</f>
        <v>4.02906976744186</v>
      </c>
      <c r="N11" s="100">
        <f>(N6+((($E$34*$J$32/$D$36*$C$32/$C$36))*'input asumptions'!N18))*'input asumptions'!N22</f>
        <v>5.412790697674418</v>
      </c>
      <c r="O11" s="100">
        <f>(O6+((($E$34*$J$32/$D$36*$C$32/$C$36))*'input asumptions'!O18))*'input asumptions'!O22</f>
        <v>6.999999999999999</v>
      </c>
      <c r="P11" s="100">
        <f>(P6+((($E$34*$J$32/$D$36*$C$32/$C$36))*'input asumptions'!P18))*'input asumptions'!P22</f>
        <v>7.874999999999998</v>
      </c>
      <c r="Q11" s="100">
        <f>(Q6+((($E$34*$J$32/$D$36*$C$32/$C$36))*'input asumptions'!Q18))*'input asumptions'!Q22</f>
        <v>8.75</v>
      </c>
      <c r="R11" s="100">
        <f>(R6+((($E$34*$J$32/$D$36*$C$32/$C$36))*'input asumptions'!R18))*'input asumptions'!R22</f>
        <v>9.625</v>
      </c>
      <c r="S11" s="100">
        <f>(S6+((($E$34*$J$32/$D$36*$C$32/$C$36))*'input asumptions'!S18))*'input asumptions'!S22</f>
        <v>10.499999999999998</v>
      </c>
      <c r="T11" s="100">
        <f>(T6+((($E$34*$J$32/$D$36*$C$32/$C$36))*'input asumptions'!T18))*'input asumptions'!T22</f>
        <v>10.499999999999998</v>
      </c>
      <c r="U11" s="100">
        <f>(U6+((($E$34*$J$32/$D$36*$C$32/$C$36))*'input asumptions'!U18))*'input asumptions'!U22</f>
        <v>10.499999999999998</v>
      </c>
      <c r="V11" s="24" t="s">
        <v>77</v>
      </c>
    </row>
    <row r="12" spans="2:22" ht="12">
      <c r="B12" s="45" t="s">
        <v>83</v>
      </c>
      <c r="C12" s="24" t="s">
        <v>76</v>
      </c>
      <c r="D12" s="100">
        <f>(D6+((($K$34*$J$32/$D$36))*'input asumptions'!D18))*'input asumptions'!D22</f>
        <v>0</v>
      </c>
      <c r="E12" s="100">
        <f>(E6+((($K$34*$J$32/$D$36))*'input asumptions'!E18))*'input asumptions'!E22</f>
        <v>0</v>
      </c>
      <c r="F12" s="100">
        <f>(F6+((($K$34*$J$32/$D$36))*'input asumptions'!F18))*'input asumptions'!F22</f>
        <v>0</v>
      </c>
      <c r="G12" s="100">
        <f>(G6+((($K$34*$J$32/$D$36))*'input asumptions'!G18))*'input asumptions'!G22</f>
        <v>0.031395348837209305</v>
      </c>
      <c r="H12" s="100">
        <f>(H6+((($K$34*$J$32/$D$36))*'input asumptions'!H18))*'input asumptions'!H22</f>
        <v>0.20930232558139533</v>
      </c>
      <c r="I12" s="100">
        <f>(I6+((($K$34*$J$32/$D$36))*'input asumptions'!I18))*'input asumptions'!I22</f>
        <v>0.6802325581395349</v>
      </c>
      <c r="J12" s="100">
        <f>(J6+((($K$34*$J$32/$D$36))*'input asumptions'!J18))*'input asumptions'!J22</f>
        <v>1.4127906976744187</v>
      </c>
      <c r="K12" s="100">
        <f>(K6+((($K$34*$J$32/$D$36))*'input asumptions'!K18))*'input asumptions'!K22</f>
        <v>2.4069767441860463</v>
      </c>
      <c r="L12" s="100">
        <f>(L6+((($K$34*$J$32/$D$36))*'input asumptions'!L18))*'input asumptions'!L22</f>
        <v>3.6627906976744184</v>
      </c>
      <c r="M12" s="100">
        <f>(M6+((($K$34*$J$32/$D$36))*'input asumptions'!M18))*'input asumptions'!M22</f>
        <v>5.180232558139535</v>
      </c>
      <c r="N12" s="100">
        <f>(N6+((($K$34*$J$32/$D$36))*'input asumptions'!N18))*'input asumptions'!N22</f>
        <v>6.959302325581395</v>
      </c>
      <c r="O12" s="100">
        <f>(O6+((($K$34*$J$32/$D$36))*'input asumptions'!O18))*'input asumptions'!O22</f>
        <v>9</v>
      </c>
      <c r="P12" s="100">
        <f>(P6+((($K$34*$J$32/$D$36))*'input asumptions'!P18))*'input asumptions'!P22</f>
        <v>10.125</v>
      </c>
      <c r="Q12" s="100">
        <f>(Q6+((($K$34*$J$32/$D$36))*'input asumptions'!Q18))*'input asumptions'!Q22</f>
        <v>11.25</v>
      </c>
      <c r="R12" s="100">
        <f>(R6+((($K$34*$J$32/$D$36))*'input asumptions'!R18))*'input asumptions'!R22</f>
        <v>12.375</v>
      </c>
      <c r="S12" s="100">
        <f>(S6+((($K$34*$J$32/$D$36))*'input asumptions'!S18))*'input asumptions'!S22</f>
        <v>13.5</v>
      </c>
      <c r="T12" s="100">
        <f>(T6+((($K$34*$J$32/$D$36))*'input asumptions'!T18))*'input asumptions'!T22</f>
        <v>13.5</v>
      </c>
      <c r="U12" s="100">
        <f>(U6+((($K$34*$J$32/$D$36))*'input asumptions'!U18))*'input asumptions'!U22</f>
        <v>13.5</v>
      </c>
      <c r="V12" s="24" t="s">
        <v>77</v>
      </c>
    </row>
    <row r="13" spans="2:22" ht="12">
      <c r="B13" s="4" t="s">
        <v>84</v>
      </c>
      <c r="C13" s="27" t="s">
        <v>76</v>
      </c>
      <c r="D13" s="9">
        <f aca="true" t="shared" si="1" ref="D13:M13">D10+D7</f>
        <v>0.05333333333333334</v>
      </c>
      <c r="E13" s="9">
        <f t="shared" si="1"/>
        <v>0.26666666666666666</v>
      </c>
      <c r="F13" s="9">
        <f t="shared" si="1"/>
        <v>0.5333333333333333</v>
      </c>
      <c r="G13" s="9">
        <f t="shared" si="1"/>
        <v>1.0335917312661498</v>
      </c>
      <c r="H13" s="9">
        <f t="shared" si="1"/>
        <v>2.594315245478036</v>
      </c>
      <c r="I13" s="9">
        <f t="shared" si="1"/>
        <v>5.209302325581396</v>
      </c>
      <c r="J13" s="9">
        <f t="shared" si="1"/>
        <v>7.844961240310078</v>
      </c>
      <c r="K13" s="9">
        <f t="shared" si="1"/>
        <v>10.501291989664082</v>
      </c>
      <c r="L13" s="9">
        <f t="shared" si="1"/>
        <v>13.178294573643411</v>
      </c>
      <c r="M13" s="9">
        <f t="shared" si="1"/>
        <v>15.875968992248062</v>
      </c>
      <c r="N13" s="9">
        <f aca="true" t="shared" si="2" ref="N13:U13">N10+N7</f>
        <v>18.594315245478036</v>
      </c>
      <c r="O13" s="9">
        <f t="shared" si="2"/>
        <v>21.333333333333332</v>
      </c>
      <c r="P13" s="9">
        <f t="shared" si="2"/>
        <v>24</v>
      </c>
      <c r="Q13" s="9">
        <f t="shared" si="2"/>
        <v>26.666666666666668</v>
      </c>
      <c r="R13" s="9">
        <f t="shared" si="2"/>
        <v>29.333333333333332</v>
      </c>
      <c r="S13" s="9">
        <f t="shared" si="2"/>
        <v>32</v>
      </c>
      <c r="T13" s="9">
        <f t="shared" si="2"/>
        <v>32</v>
      </c>
      <c r="U13" s="9">
        <f t="shared" si="2"/>
        <v>32</v>
      </c>
      <c r="V13" s="27" t="s">
        <v>77</v>
      </c>
    </row>
    <row r="14" spans="2:22" ht="12">
      <c r="B14" s="5" t="s">
        <v>85</v>
      </c>
      <c r="C14" s="48" t="s">
        <v>86</v>
      </c>
      <c r="D14" s="11">
        <f>SUM($D6:D6)</f>
        <v>0</v>
      </c>
      <c r="E14" s="11">
        <f>SUM($D6:E6)</f>
        <v>0</v>
      </c>
      <c r="F14" s="11">
        <f>SUM($D6:F6)</f>
        <v>0</v>
      </c>
      <c r="G14" s="11">
        <f>SUM($D6:G6)</f>
        <v>0</v>
      </c>
      <c r="H14" s="11">
        <f>SUM($D6:H6)</f>
        <v>0</v>
      </c>
      <c r="I14" s="11">
        <f>SUM($D6:I6)</f>
        <v>0</v>
      </c>
      <c r="J14" s="11">
        <f>SUM($D6:J6)</f>
        <v>0</v>
      </c>
      <c r="K14" s="11">
        <f>SUM($D6:K6)</f>
        <v>0</v>
      </c>
      <c r="L14" s="11">
        <f>SUM($D6:L6)</f>
        <v>0</v>
      </c>
      <c r="M14" s="11">
        <f>SUM($D6:M6)</f>
        <v>0</v>
      </c>
      <c r="N14" s="11">
        <f>SUM($D6:N6)</f>
        <v>0</v>
      </c>
      <c r="O14" s="11">
        <f>SUM($D6:O6)</f>
        <v>0</v>
      </c>
      <c r="P14" s="11">
        <f>SUM($D6:P6)</f>
        <v>0</v>
      </c>
      <c r="Q14" s="11">
        <f>SUM($D6:Q6)</f>
        <v>0</v>
      </c>
      <c r="R14" s="11">
        <f>SUM($D6:R6)</f>
        <v>0</v>
      </c>
      <c r="S14" s="11">
        <f>SUM($D6:S6)</f>
        <v>0</v>
      </c>
      <c r="T14" s="11">
        <f>SUM($D6:T6)</f>
        <v>0</v>
      </c>
      <c r="U14" s="11">
        <f>SUM($D6:U6)</f>
        <v>0</v>
      </c>
      <c r="V14" s="48" t="s">
        <v>77</v>
      </c>
    </row>
    <row r="15" spans="2:22" ht="12">
      <c r="B15" s="45" t="s">
        <v>87</v>
      </c>
      <c r="C15" s="24" t="s">
        <v>86</v>
      </c>
      <c r="D15" s="3">
        <f>SUM($D7:D7)</f>
        <v>0.05333333333333334</v>
      </c>
      <c r="E15" s="3">
        <f>SUM($D7:E7)</f>
        <v>0.32</v>
      </c>
      <c r="F15" s="3">
        <f>SUM($D7:F7)</f>
        <v>0.8533333333333333</v>
      </c>
      <c r="G15" s="3">
        <f>SUM($D7:G7)</f>
        <v>1.831111111111111</v>
      </c>
      <c r="H15" s="3">
        <f>SUM($D7:H7)</f>
        <v>4.053333333333333</v>
      </c>
      <c r="I15" s="3">
        <f>SUM($D7:I7)</f>
        <v>8.053333333333333</v>
      </c>
      <c r="J15" s="3">
        <f>SUM($D7:J7)</f>
        <v>13.386666666666667</v>
      </c>
      <c r="K15" s="3">
        <f>SUM($D7:K7)</f>
        <v>19.608888888888888</v>
      </c>
      <c r="L15" s="3">
        <f>SUM($D7:L7)</f>
        <v>26.275555555555556</v>
      </c>
      <c r="M15" s="3">
        <f>SUM($D7:M7)</f>
        <v>32.94222222222222</v>
      </c>
      <c r="N15" s="3">
        <f>SUM($D7:N7)</f>
        <v>39.16444444444444</v>
      </c>
      <c r="O15" s="3">
        <f>SUM($D7:O7)</f>
        <v>44.49777777777778</v>
      </c>
      <c r="P15" s="3">
        <f>SUM($D7:P7)</f>
        <v>50.49777777777778</v>
      </c>
      <c r="Q15" s="3">
        <f>SUM($D7:Q7)</f>
        <v>57.16444444444444</v>
      </c>
      <c r="R15" s="3">
        <f>SUM($D7:R7)</f>
        <v>64.49777777777777</v>
      </c>
      <c r="S15" s="3">
        <f>SUM($D7:S7)</f>
        <v>72.49777777777777</v>
      </c>
      <c r="T15" s="3">
        <f>SUM($D7:T7)</f>
        <v>80.49777777777777</v>
      </c>
      <c r="U15" s="3">
        <f>SUM($D7:U7)</f>
        <v>88.49777777777777</v>
      </c>
      <c r="V15" s="24" t="s">
        <v>77</v>
      </c>
    </row>
    <row r="16" spans="2:22" ht="12">
      <c r="B16" s="45" t="s">
        <v>88</v>
      </c>
      <c r="C16" s="24" t="s">
        <v>86</v>
      </c>
      <c r="D16" s="3">
        <f>SUM($D10:D10)</f>
        <v>0</v>
      </c>
      <c r="E16" s="3">
        <f>SUM($D10:E10)</f>
        <v>0</v>
      </c>
      <c r="F16" s="3">
        <f>SUM($D10:F10)</f>
        <v>0</v>
      </c>
      <c r="G16" s="3">
        <f>SUM($D10:G10)</f>
        <v>0.05581395348837209</v>
      </c>
      <c r="H16" s="3">
        <f>SUM($D10:H10)</f>
        <v>0.42790697674418604</v>
      </c>
      <c r="I16" s="3">
        <f>SUM($D10:I10)</f>
        <v>1.6372093023255814</v>
      </c>
      <c r="J16" s="3">
        <f>SUM($D10:J10)</f>
        <v>4.148837209302325</v>
      </c>
      <c r="K16" s="3">
        <f>SUM($D10:K10)</f>
        <v>8.427906976744186</v>
      </c>
      <c r="L16" s="3">
        <f>SUM($D10:L10)</f>
        <v>14.939534883720931</v>
      </c>
      <c r="M16" s="3">
        <f>SUM($D10:M10)</f>
        <v>24.14883720930233</v>
      </c>
      <c r="N16" s="3">
        <f>SUM($D10:N10)</f>
        <v>36.52093023255814</v>
      </c>
      <c r="O16" s="3">
        <f>SUM($D10:O10)</f>
        <v>52.52093023255814</v>
      </c>
      <c r="P16" s="3">
        <f>SUM($D10:P10)</f>
        <v>70.52093023255814</v>
      </c>
      <c r="Q16" s="3">
        <f>SUM($D10:Q10)</f>
        <v>90.52093023255814</v>
      </c>
      <c r="R16" s="3">
        <f>SUM($D10:R10)</f>
        <v>112.52093023255814</v>
      </c>
      <c r="S16" s="3">
        <f>SUM($D10:S10)</f>
        <v>136.52093023255816</v>
      </c>
      <c r="T16" s="3">
        <f>SUM($D10:T10)</f>
        <v>160.52093023255816</v>
      </c>
      <c r="U16" s="3">
        <f>SUM($D10:U10)</f>
        <v>184.52093023255816</v>
      </c>
      <c r="V16" s="24" t="s">
        <v>77</v>
      </c>
    </row>
    <row r="17" spans="2:22" ht="12">
      <c r="B17" s="4" t="s">
        <v>89</v>
      </c>
      <c r="C17" s="27" t="s">
        <v>86</v>
      </c>
      <c r="D17" s="9">
        <f>SUM($D13:D13)</f>
        <v>0.05333333333333334</v>
      </c>
      <c r="E17" s="9">
        <f>SUM($D13:E13)</f>
        <v>0.32</v>
      </c>
      <c r="F17" s="9">
        <f>SUM($D13:F13)</f>
        <v>0.8533333333333333</v>
      </c>
      <c r="G17" s="9">
        <f>SUM($D13:G13)</f>
        <v>1.886925064599483</v>
      </c>
      <c r="H17" s="9">
        <f>SUM($D13:H13)</f>
        <v>4.481240310077519</v>
      </c>
      <c r="I17" s="9">
        <f>SUM($D13:I13)</f>
        <v>9.690542635658915</v>
      </c>
      <c r="J17" s="9">
        <f>SUM($D13:J13)</f>
        <v>17.535503875968992</v>
      </c>
      <c r="K17" s="9">
        <f>SUM($D13:K13)</f>
        <v>28.036795865633074</v>
      </c>
      <c r="L17" s="9">
        <f>SUM($D13:L13)</f>
        <v>41.21509043927649</v>
      </c>
      <c r="M17" s="9">
        <f>SUM($D13:M13)</f>
        <v>57.09105943152455</v>
      </c>
      <c r="N17" s="9">
        <f>SUM($D13:N13)</f>
        <v>75.68537467700259</v>
      </c>
      <c r="O17" s="9">
        <f>SUM($D13:O13)</f>
        <v>97.01870801033591</v>
      </c>
      <c r="P17" s="9">
        <f>SUM($D13:P13)</f>
        <v>121.01870801033591</v>
      </c>
      <c r="Q17" s="9">
        <f>SUM($D13:Q13)</f>
        <v>147.68537467700259</v>
      </c>
      <c r="R17" s="9">
        <f>SUM($D13:R13)</f>
        <v>177.01870801033593</v>
      </c>
      <c r="S17" s="9">
        <f>SUM($D13:S13)</f>
        <v>209.01870801033593</v>
      </c>
      <c r="T17" s="9">
        <f>SUM($D13:T13)</f>
        <v>241.01870801033593</v>
      </c>
      <c r="U17" s="9">
        <f>SUM($D13:U13)</f>
        <v>273.0187080103359</v>
      </c>
      <c r="V17" s="27" t="s">
        <v>77</v>
      </c>
    </row>
    <row r="18" spans="2:22" ht="12">
      <c r="B18" s="5" t="s">
        <v>90</v>
      </c>
      <c r="C18" s="48" t="s">
        <v>91</v>
      </c>
      <c r="D18" s="11">
        <v>9000</v>
      </c>
      <c r="E18" s="11">
        <f aca="true" t="shared" si="3" ref="E18:U18">D18</f>
        <v>9000</v>
      </c>
      <c r="F18" s="11">
        <f t="shared" si="3"/>
        <v>9000</v>
      </c>
      <c r="G18" s="11">
        <f t="shared" si="3"/>
        <v>9000</v>
      </c>
      <c r="H18" s="11">
        <f t="shared" si="3"/>
        <v>9000</v>
      </c>
      <c r="I18" s="11">
        <f t="shared" si="3"/>
        <v>9000</v>
      </c>
      <c r="J18" s="11">
        <f t="shared" si="3"/>
        <v>9000</v>
      </c>
      <c r="K18" s="11">
        <f t="shared" si="3"/>
        <v>9000</v>
      </c>
      <c r="L18" s="11">
        <f t="shared" si="3"/>
        <v>9000</v>
      </c>
      <c r="M18" s="11">
        <f t="shared" si="3"/>
        <v>9000</v>
      </c>
      <c r="N18" s="11">
        <f t="shared" si="3"/>
        <v>9000</v>
      </c>
      <c r="O18" s="11">
        <f t="shared" si="3"/>
        <v>9000</v>
      </c>
      <c r="P18" s="11">
        <f t="shared" si="3"/>
        <v>9000</v>
      </c>
      <c r="Q18" s="11">
        <f t="shared" si="3"/>
        <v>9000</v>
      </c>
      <c r="R18" s="11">
        <f t="shared" si="3"/>
        <v>9000</v>
      </c>
      <c r="S18" s="11">
        <f t="shared" si="3"/>
        <v>9000</v>
      </c>
      <c r="T18" s="11">
        <f t="shared" si="3"/>
        <v>9000</v>
      </c>
      <c r="U18" s="11">
        <f t="shared" si="3"/>
        <v>9000</v>
      </c>
      <c r="V18" s="48" t="s">
        <v>77</v>
      </c>
    </row>
    <row r="19" spans="2:22" ht="12">
      <c r="B19" s="45" t="s">
        <v>92</v>
      </c>
      <c r="C19" s="24" t="s">
        <v>91</v>
      </c>
      <c r="D19" s="3">
        <f>IF(AND(D5&gt;=$E$32,D5&lt;=$G$32),D18*(1-$C$32),D18)</f>
        <v>9000</v>
      </c>
      <c r="E19" s="3">
        <f aca="true" t="shared" si="4" ref="E19:N19">IF(AND(E5&gt;=$E$32,E5&lt;=$G$32),MIN($D19*$P$38^(LN(E15/1)/LN(2)),$D$19)*(1-$C$32),MIN($D19*$P$38^(LN(E15/1)/LN(2)),$D$19))</f>
        <v>8100</v>
      </c>
      <c r="F19" s="3">
        <f t="shared" si="4"/>
        <v>8100</v>
      </c>
      <c r="G19" s="3">
        <f t="shared" si="4"/>
        <v>7922.990485458188</v>
      </c>
      <c r="H19" s="3">
        <f t="shared" si="4"/>
        <v>7696.338160712628</v>
      </c>
      <c r="I19" s="3">
        <f t="shared" si="4"/>
        <v>7505.739090488659</v>
      </c>
      <c r="J19" s="3">
        <f t="shared" si="4"/>
        <v>7367.706562676564</v>
      </c>
      <c r="K19" s="3">
        <f t="shared" si="4"/>
        <v>7265.692963971394</v>
      </c>
      <c r="L19" s="3">
        <f t="shared" si="4"/>
        <v>7188.439830393433</v>
      </c>
      <c r="M19" s="3">
        <f t="shared" si="4"/>
        <v>7129.314359545106</v>
      </c>
      <c r="N19" s="3">
        <f t="shared" si="4"/>
        <v>7084.402770912601</v>
      </c>
      <c r="O19" s="3">
        <f aca="true" t="shared" si="5" ref="O19:U19">IF(AND(O5&gt;=$E$32,O5&lt;=$G$32),MIN($D19*$P$38^(LN(O15/1)/LN(2)),$D$19)*(1-$C$32),MIN($D19*$P$38^(LN(O15/1)/LN(2)),$D$19))</f>
        <v>7834.93699125544</v>
      </c>
      <c r="P19" s="3">
        <f t="shared" si="5"/>
        <v>7798.821814131032</v>
      </c>
      <c r="Q19" s="3">
        <f t="shared" si="5"/>
        <v>7763.578407417685</v>
      </c>
      <c r="R19" s="3">
        <f t="shared" si="5"/>
        <v>7729.427041045235</v>
      </c>
      <c r="S19" s="3">
        <f t="shared" si="5"/>
        <v>7696.486647747032</v>
      </c>
      <c r="T19" s="3">
        <f t="shared" si="5"/>
        <v>7667.116870463199</v>
      </c>
      <c r="U19" s="3">
        <f t="shared" si="5"/>
        <v>7640.62876649958</v>
      </c>
      <c r="V19" s="24" t="s">
        <v>77</v>
      </c>
    </row>
    <row r="20" spans="2:22" ht="12">
      <c r="B20" s="45" t="s">
        <v>93</v>
      </c>
      <c r="C20" s="24" t="s">
        <v>91</v>
      </c>
      <c r="D20" s="3">
        <v>5500</v>
      </c>
      <c r="E20" s="3">
        <f aca="true" t="shared" si="6" ref="E20:U20">D20</f>
        <v>5500</v>
      </c>
      <c r="F20" s="3">
        <f t="shared" si="6"/>
        <v>5500</v>
      </c>
      <c r="G20" s="3">
        <f t="shared" si="6"/>
        <v>5500</v>
      </c>
      <c r="H20" s="3">
        <f t="shared" si="6"/>
        <v>5500</v>
      </c>
      <c r="I20" s="3">
        <f t="shared" si="6"/>
        <v>5500</v>
      </c>
      <c r="J20" s="3">
        <f t="shared" si="6"/>
        <v>5500</v>
      </c>
      <c r="K20" s="3">
        <f t="shared" si="6"/>
        <v>5500</v>
      </c>
      <c r="L20" s="3">
        <f t="shared" si="6"/>
        <v>5500</v>
      </c>
      <c r="M20" s="3">
        <f t="shared" si="6"/>
        <v>5500</v>
      </c>
      <c r="N20" s="3">
        <f t="shared" si="6"/>
        <v>5500</v>
      </c>
      <c r="O20" s="3">
        <f t="shared" si="6"/>
        <v>5500</v>
      </c>
      <c r="P20" s="3">
        <f t="shared" si="6"/>
        <v>5500</v>
      </c>
      <c r="Q20" s="3">
        <f t="shared" si="6"/>
        <v>5500</v>
      </c>
      <c r="R20" s="3">
        <f t="shared" si="6"/>
        <v>5500</v>
      </c>
      <c r="S20" s="3">
        <f t="shared" si="6"/>
        <v>5500</v>
      </c>
      <c r="T20" s="3">
        <f t="shared" si="6"/>
        <v>5500</v>
      </c>
      <c r="U20" s="3">
        <f t="shared" si="6"/>
        <v>5500</v>
      </c>
      <c r="V20" s="24" t="s">
        <v>77</v>
      </c>
    </row>
    <row r="21" spans="2:22" ht="12">
      <c r="B21" s="4" t="s">
        <v>94</v>
      </c>
      <c r="C21" s="27" t="s">
        <v>91</v>
      </c>
      <c r="D21" s="9">
        <v>5500</v>
      </c>
      <c r="E21" s="9">
        <f>D21</f>
        <v>5500</v>
      </c>
      <c r="F21" s="9">
        <f>E21</f>
        <v>5500</v>
      </c>
      <c r="G21" s="9">
        <f>F21</f>
        <v>5500</v>
      </c>
      <c r="H21" s="9">
        <f aca="true" t="shared" si="7" ref="H21:U21">IF(AND(H5&gt;=$E$32,H5&lt;=$G$32),MIN($D21*$P$38^(LN(H16/1)/LN(2)),$D$21)*(1-$C$32),MIN($D21*$P$38^(LN(H16/1)/LN(2)),$D$21))</f>
        <v>4950</v>
      </c>
      <c r="I21" s="9">
        <f t="shared" si="7"/>
        <v>4861.6630463953</v>
      </c>
      <c r="J21" s="9">
        <f t="shared" si="7"/>
        <v>4699.318666496049</v>
      </c>
      <c r="K21" s="9">
        <f t="shared" si="7"/>
        <v>4579.230183735153</v>
      </c>
      <c r="L21" s="9">
        <f t="shared" si="7"/>
        <v>4484.473979812023</v>
      </c>
      <c r="M21" s="9">
        <f t="shared" si="7"/>
        <v>4406.499273993951</v>
      </c>
      <c r="N21" s="9">
        <f t="shared" si="7"/>
        <v>4340.422336168711</v>
      </c>
      <c r="O21" s="9">
        <f t="shared" si="7"/>
        <v>4759.113267446584</v>
      </c>
      <c r="P21" s="9">
        <f t="shared" si="7"/>
        <v>4708.160443361738</v>
      </c>
      <c r="Q21" s="9">
        <f t="shared" si="7"/>
        <v>4665.419688620649</v>
      </c>
      <c r="R21" s="9">
        <f t="shared" si="7"/>
        <v>4628.492835028953</v>
      </c>
      <c r="S21" s="9">
        <f t="shared" si="7"/>
        <v>4595.922183998141</v>
      </c>
      <c r="T21" s="9">
        <f t="shared" si="7"/>
        <v>4568.816475149178</v>
      </c>
      <c r="U21" s="9">
        <f t="shared" si="7"/>
        <v>4545.6227248989335</v>
      </c>
      <c r="V21" s="27" t="s">
        <v>77</v>
      </c>
    </row>
    <row r="22" spans="2:22" ht="12">
      <c r="B22" s="45" t="s">
        <v>95</v>
      </c>
      <c r="C22" s="24" t="s">
        <v>96</v>
      </c>
      <c r="D22" s="28">
        <f>((D15*'input asumptions'!$C$12)+(D16*'input asumptions'!$C$9))/1000000</f>
        <v>0.00014224306369675657</v>
      </c>
      <c r="E22" s="28">
        <f>((E15*'input asumptions'!$C$12)+(E16*'input asumptions'!$C$9))/1000000</f>
        <v>0.0008534583821805394</v>
      </c>
      <c r="F22" s="28">
        <f>((F15*'input asumptions'!$C$12)+(F16*'input asumptions'!$C$9))/1000000</f>
        <v>0.0022758890191481047</v>
      </c>
      <c r="G22" s="28">
        <f>((G15*'input asumptions'!$C$12)+(G16*'input asumptions'!$C$9))/1000000</f>
        <v>0.0049837903008382025</v>
      </c>
      <c r="H22" s="28">
        <f>((H15*'input asumptions'!$C$12)+(H16*'input asumptions'!$C$9))/1000000</f>
        <v>0.011577996492089024</v>
      </c>
      <c r="I22" s="28">
        <f>((I15*'input asumptions'!$C$12)+(I16*'input asumptions'!$C$9))/1000000</f>
        <v>0.02441531484864182</v>
      </c>
      <c r="J22" s="28">
        <f>((J15*'input asumptions'!$C$12)+(J16*'input asumptions'!$C$9))/1000000</f>
        <v>0.043144651344547744</v>
      </c>
      <c r="K22" s="28">
        <f>((K15*'input asumptions'!$C$12)+(K16*'input asumptions'!$C$9))/1000000</f>
        <v>0.06741491195385796</v>
      </c>
      <c r="L22" s="28">
        <f>((L15*'input asumptions'!$C$12)+(L16*'input asumptions'!$C$9))/1000000</f>
        <v>0.09687500265062358</v>
      </c>
      <c r="M22" s="28">
        <f>((M15*'input asumptions'!$C$12)+(M16*'input asumptions'!$C$9))/1000000</f>
        <v>0.1311738294088958</v>
      </c>
      <c r="N22" s="28">
        <f>((N15*'input asumptions'!$C$12)+(N16*'input asumptions'!$C$9))/1000000</f>
        <v>0.16996029820272576</v>
      </c>
      <c r="O22" s="28">
        <f>((O15*'input asumptions'!$C$12)+(O16*'input asumptions'!$C$9))/1000000</f>
        <v>0.21288331500616461</v>
      </c>
      <c r="P22" s="28">
        <f>((P15*'input asumptions'!$C$12)+(P16*'input asumptions'!$C$9))/1000000</f>
        <v>0.26117170891003333</v>
      </c>
      <c r="Q22" s="28">
        <f>((Q15*'input asumptions'!$C$12)+(Q16*'input asumptions'!$C$9))/1000000</f>
        <v>0.3148254799143319</v>
      </c>
      <c r="R22" s="28">
        <f>((R15*'input asumptions'!$C$12)+(R16*'input asumptions'!$C$9))/1000000</f>
        <v>0.37384462801906027</v>
      </c>
      <c r="S22" s="28">
        <f>((S15*'input asumptions'!$C$12)+(S16*'input asumptions'!$C$9))/1000000</f>
        <v>0.43822915322421857</v>
      </c>
      <c r="T22" s="28">
        <f>((T15*'input asumptions'!$C$12)+(T16*'input asumptions'!$C$9))/1000000</f>
        <v>0.5026136784293768</v>
      </c>
      <c r="U22" s="28">
        <f>((U15*'input asumptions'!$C$12)+(U16*'input asumptions'!$C$9))/1000000</f>
        <v>0.5669982036345352</v>
      </c>
      <c r="V22" s="24">
        <f>SUM(D22:U22)</f>
        <v>3.223383552804966</v>
      </c>
    </row>
    <row r="23" spans="2:22" ht="12">
      <c r="B23" s="45" t="s">
        <v>97</v>
      </c>
      <c r="C23" s="24" t="s">
        <v>98</v>
      </c>
      <c r="D23" s="28">
        <f>((D15*'input asumptions'!$C$11)+(D16*'input asumptions'!$C$8))/1000</f>
        <v>0.00036290896910826635</v>
      </c>
      <c r="E23" s="28">
        <f>((E15*'input asumptions'!$C$11)+(E16*'input asumptions'!$C$8))/1000</f>
        <v>0.002177453814649598</v>
      </c>
      <c r="F23" s="28">
        <f>((F15*'input asumptions'!$C$11)+(F16*'input asumptions'!$C$8))/1000</f>
        <v>0.005806543505732261</v>
      </c>
      <c r="G23" s="28">
        <f>((G15*'input asumptions'!$C$11)+(G16*'input asumptions'!$C$8))/1000</f>
        <v>0.01394143213820251</v>
      </c>
      <c r="H23" s="28">
        <f>((H15*'input asumptions'!$C$11)+(H16*'input asumptions'!$C$8))/1000</f>
        <v>0.03893968939872717</v>
      </c>
      <c r="I23" s="28">
        <f>((I15*'input asumptions'!$C$11)+(I16*'input asumptions'!$C$8))/1000</f>
        <v>0.09825827527847457</v>
      </c>
      <c r="J23" s="28">
        <f>((J15*'input asumptions'!$C$11)+(J16*'input asumptions'!$C$8))/1000</f>
        <v>0.2012192611361428</v>
      </c>
      <c r="K23" s="28">
        <f>((K15*'input asumptions'!$C$11)+(K16*'input asumptions'!$C$8))/1000</f>
        <v>0.3571447183304299</v>
      </c>
      <c r="L23" s="28">
        <f>((L15*'input asumptions'!$C$11)+(L16*'input asumptions'!$C$8))/1000</f>
        <v>0.5753567182200341</v>
      </c>
      <c r="M23" s="28">
        <f>((M15*'input asumptions'!$C$11)+(M16*'input asumptions'!$C$8))/1000</f>
        <v>0.8651773321636531</v>
      </c>
      <c r="N23" s="28">
        <f>((N15*'input asumptions'!$C$11)+(N16*'input asumptions'!$C$8))/1000</f>
        <v>1.2359286315199853</v>
      </c>
      <c r="O23" s="28">
        <f>((O15*'input asumptions'!$C$11)+(O16*'input asumptions'!$C$8))/1000</f>
        <v>1.6969326876477289</v>
      </c>
      <c r="P23" s="28">
        <f>((P15*'input asumptions'!$C$11)+(P16*'input asumptions'!$C$8))/1000</f>
        <v>2.21556225079144</v>
      </c>
      <c r="Q23" s="28">
        <f>((Q15*'input asumptions'!$C$11)+(Q16*'input asumptions'!$C$8))/1000</f>
        <v>2.791817320951119</v>
      </c>
      <c r="R23" s="28">
        <f>((R15*'input asumptions'!$C$11)+(R16*'input asumptions'!$C$8))/1000</f>
        <v>3.4256978981267667</v>
      </c>
      <c r="S23" s="28">
        <f>((S15*'input asumptions'!$C$11)+(S16*'input asumptions'!$C$8))/1000</f>
        <v>4.117203982318382</v>
      </c>
      <c r="T23" s="28">
        <f>((T15*'input asumptions'!$C$11)+(T16*'input asumptions'!$C$8))/1000</f>
        <v>4.808710066509997</v>
      </c>
      <c r="U23" s="28">
        <f>((U15*'input asumptions'!$C$11)+(U16*'input asumptions'!$C$8))/1000</f>
        <v>5.500216150701613</v>
      </c>
      <c r="V23" s="24">
        <f>SUM(D23:U23)</f>
        <v>27.950453321522183</v>
      </c>
    </row>
    <row r="24" spans="2:22" ht="12">
      <c r="B24" s="45" t="s">
        <v>99</v>
      </c>
      <c r="C24" s="24" t="s">
        <v>100</v>
      </c>
      <c r="D24" s="28">
        <f>(D22*'input asumptions'!$K$10/1000)+(D23*'input asumptions'!$Q$10/1000)</f>
        <v>3.156625956689658E-05</v>
      </c>
      <c r="E24" s="28">
        <f>(E22*'input asumptions'!$K$10/1000)+(E23*'input asumptions'!$Q$10/1000)</f>
        <v>0.00018939755740137945</v>
      </c>
      <c r="F24" s="28">
        <f>(F22*'input asumptions'!$K$10/1000)+(F23*'input asumptions'!$Q$10/1000)</f>
        <v>0.0005050601530703452</v>
      </c>
      <c r="G24" s="28">
        <f>(G22*'input asumptions'!$K$10/1000)+(G23*'input asumptions'!$Q$10/1000)</f>
        <v>0.001123733728694858</v>
      </c>
      <c r="H24" s="28">
        <f>(H22*'input asumptions'!$K$10/1000)+(H23*'input asumptions'!$Q$10/1000)</f>
        <v>0.0027053866566360517</v>
      </c>
      <c r="I24" s="28">
        <f>(I22*'input asumptions'!$K$10/1000)+(I23*'input asumptions'!$Q$10/1000)</f>
        <v>0.0059386304902782645</v>
      </c>
      <c r="J24" s="28">
        <f>(J22*'input asumptions'!$K$10/1000)+(J23*'input asumptions'!$Q$10/1000)</f>
        <v>0.010893403207381318</v>
      </c>
      <c r="K24" s="28">
        <f>(K22*'input asumptions'!$K$10/1000)+(K23*'input asumptions'!$Q$10/1000)</f>
        <v>0.017639642785705043</v>
      </c>
      <c r="L24" s="28">
        <f>(L22*'input asumptions'!$K$10/1000)+(L23*'input asumptions'!$Q$10/1000)</f>
        <v>0.026247287203009256</v>
      </c>
      <c r="M24" s="28">
        <f>(M22*'input asumptions'!$K$10/1000)+(M23*'input asumptions'!$Q$10/1000)</f>
        <v>0.03678627443705378</v>
      </c>
      <c r="N24" s="28">
        <f>(N22*'input asumptions'!$K$10/1000)+(N23*'input asumptions'!$Q$10/1000)</f>
        <v>0.04932654246559845</v>
      </c>
      <c r="O24" s="28">
        <f>(O22*'input asumptions'!$K$10/1000)+(O23*'input asumptions'!$Q$10/1000)</f>
        <v>0.06393802926640309</v>
      </c>
      <c r="P24" s="28">
        <f>(P22*'input asumptions'!$K$10/1000)+(P23*'input asumptions'!$Q$10/1000)</f>
        <v>0.0803759519173083</v>
      </c>
      <c r="Q24" s="28">
        <f>(Q22*'input asumptions'!$K$10/1000)+(Q23*'input asumptions'!$Q$10/1000)</f>
        <v>0.0986403104183141</v>
      </c>
      <c r="R24" s="28">
        <f>(R22*'input asumptions'!$K$10/1000)+(R23*'input asumptions'!$Q$10/1000)</f>
        <v>0.11873110476942046</v>
      </c>
      <c r="S24" s="28">
        <f>(S22*'input asumptions'!$K$10/1000)+(S23*'input asumptions'!$Q$10/1000)</f>
        <v>0.14064833497062743</v>
      </c>
      <c r="T24" s="28">
        <f>(T22*'input asumptions'!$K$10/1000)+(T23*'input asumptions'!$Q$10/1000)</f>
        <v>0.16256556517183435</v>
      </c>
      <c r="U24" s="28">
        <f>(U22*'input asumptions'!$K$10/1000)+(U23*'input asumptions'!$Q$10/1000)</f>
        <v>0.18448279537304135</v>
      </c>
      <c r="V24" s="109">
        <f>SUM(D24:U24)</f>
        <v>1.0007690168313448</v>
      </c>
    </row>
    <row r="25" spans="2:22" ht="12" hidden="1">
      <c r="B25" s="45" t="s">
        <v>101</v>
      </c>
      <c r="C25" s="24" t="s">
        <v>76</v>
      </c>
      <c r="D25" s="28">
        <f aca="true" t="shared" si="8" ref="D25:M25">IF(AND(D5&gt;=$E$32,D5&lt;=$G$32),D13,0)</f>
        <v>0</v>
      </c>
      <c r="E25" s="28">
        <f t="shared" si="8"/>
        <v>0.26666666666666666</v>
      </c>
      <c r="F25" s="28">
        <f t="shared" si="8"/>
        <v>0.5333333333333333</v>
      </c>
      <c r="G25" s="28">
        <f t="shared" si="8"/>
        <v>1.0335917312661498</v>
      </c>
      <c r="H25" s="28">
        <f t="shared" si="8"/>
        <v>2.594315245478036</v>
      </c>
      <c r="I25" s="28">
        <f t="shared" si="8"/>
        <v>5.209302325581396</v>
      </c>
      <c r="J25" s="28">
        <f t="shared" si="8"/>
        <v>7.844961240310078</v>
      </c>
      <c r="K25" s="28">
        <f t="shared" si="8"/>
        <v>10.501291989664082</v>
      </c>
      <c r="L25" s="28">
        <f t="shared" si="8"/>
        <v>13.178294573643411</v>
      </c>
      <c r="M25" s="28">
        <f t="shared" si="8"/>
        <v>15.875968992248062</v>
      </c>
      <c r="N25" s="28">
        <f aca="true" t="shared" si="9" ref="N25:U25">IF(AND(N5&gt;=$E$32,N5&lt;=$G$32),N13,0)</f>
        <v>18.594315245478036</v>
      </c>
      <c r="O25" s="28">
        <f t="shared" si="9"/>
        <v>0</v>
      </c>
      <c r="P25" s="28">
        <f t="shared" si="9"/>
        <v>0</v>
      </c>
      <c r="Q25" s="28">
        <f t="shared" si="9"/>
        <v>0</v>
      </c>
      <c r="R25" s="28">
        <f t="shared" si="9"/>
        <v>0</v>
      </c>
      <c r="S25" s="28">
        <f t="shared" si="9"/>
        <v>0</v>
      </c>
      <c r="T25" s="28">
        <f t="shared" si="9"/>
        <v>0</v>
      </c>
      <c r="U25" s="28">
        <f t="shared" si="9"/>
        <v>0</v>
      </c>
      <c r="V25" s="54"/>
    </row>
    <row r="26" spans="2:22" ht="12" hidden="1">
      <c r="B26" s="45" t="s">
        <v>102</v>
      </c>
      <c r="C26" s="24"/>
      <c r="D26" s="28">
        <f>(D25*('input asumptions'!D21*'input asumptions'!$C$13+'input asumptions'!D22*'input asumptions'!$C$10))/1000000</f>
        <v>0</v>
      </c>
      <c r="E26" s="28">
        <f>(E25*('input asumptions'!E21*'input asumptions'!$C$13+'input asumptions'!E22*'input asumptions'!$C$10))/1000000</f>
        <v>0.0001578312978344829</v>
      </c>
      <c r="F26" s="28">
        <f>(F25*('input asumptions'!F21*'input asumptions'!$C$13+'input asumptions'!F22*'input asumptions'!$C$10))/1000000</f>
        <v>0.0003156625956689658</v>
      </c>
      <c r="G26" s="28">
        <f>(G25*('input asumptions'!G21*'input asumptions'!$C$13+'input asumptions'!G22*'input asumptions'!$C$10))/1000000</f>
        <v>0.0005994898988609618</v>
      </c>
      <c r="H26" s="28">
        <f>(H25*('input asumptions'!H21*'input asumptions'!$C$13+'input asumptions'!H22*'input asumptions'!$C$10))/1000000</f>
        <v>0.0015387398640048049</v>
      </c>
      <c r="I26" s="28">
        <f>(I25*('input asumptions'!I21*'input asumptions'!$C$13+'input asumptions'!I22*'input asumptions'!$C$10))/1000000</f>
        <v>0.003158052116580766</v>
      </c>
      <c r="J26" s="28">
        <f>(J25*('input asumptions'!J21*'input asumptions'!$C$13+'input asumptions'!J22*'input asumptions'!$C$10))/1000000</f>
        <v>0.004858749990027415</v>
      </c>
      <c r="K26" s="28">
        <f>(K25*('input asumptions'!K21*'input asumptions'!$C$13+'input asumptions'!K22*'input asumptions'!$C$10))/1000000</f>
        <v>0.006641646716644284</v>
      </c>
      <c r="L26" s="28">
        <f>(L25*('input asumptions'!L21*'input asumptions'!$C$13+'input asumptions'!L22*'input asumptions'!$C$10))/1000000</f>
        <v>0.00850755552873091</v>
      </c>
      <c r="M26" s="28">
        <f>(M25*('input asumptions'!M21*'input asumptions'!$C$13+'input asumptions'!M22*'input asumptions'!$C$10))/1000000</f>
        <v>0.01045728965858682</v>
      </c>
      <c r="N26" s="28">
        <f>(N25*('input asumptions'!N21*'input asumptions'!$C$13+'input asumptions'!N22*'input asumptions'!$C$10))/1000000</f>
        <v>0.012491662338511553</v>
      </c>
      <c r="O26" s="28">
        <f>(O25*('input asumptions'!O21*'input asumptions'!$C$13+'input asumptions'!O22*'input asumptions'!$C$10))/1000000</f>
        <v>0</v>
      </c>
      <c r="P26" s="28">
        <f>(P25*('input asumptions'!P21*'input asumptions'!$C$13+'input asumptions'!P22*'input asumptions'!$C$10))/1000000</f>
        <v>0</v>
      </c>
      <c r="Q26" s="28">
        <f>(Q25*('input asumptions'!Q21*'input asumptions'!$C$13+'input asumptions'!Q22*'input asumptions'!$C$10))/1000000</f>
        <v>0</v>
      </c>
      <c r="R26" s="28">
        <f>(R25*('input asumptions'!R21*'input asumptions'!$C$13+'input asumptions'!R22*'input asumptions'!$C$10))/1000000</f>
        <v>0</v>
      </c>
      <c r="S26" s="28">
        <f>(S25*('input asumptions'!S21*'input asumptions'!$C$13+'input asumptions'!S22*'input asumptions'!$C$10))/1000000</f>
        <v>0</v>
      </c>
      <c r="T26" s="28">
        <f>(T25*('input asumptions'!T21*'input asumptions'!$C$13+'input asumptions'!T22*'input asumptions'!$C$10))/1000000</f>
        <v>0</v>
      </c>
      <c r="U26" s="28">
        <f>(U25*('input asumptions'!U21*'input asumptions'!$C$13+'input asumptions'!U22*'input asumptions'!$C$10))/1000000</f>
        <v>0</v>
      </c>
      <c r="V26" s="54">
        <f>SUM(D26:U26)</f>
        <v>0.04872668000545096</v>
      </c>
    </row>
    <row r="27" spans="2:22" ht="12">
      <c r="B27" s="35" t="s">
        <v>103</v>
      </c>
      <c r="C27" s="24" t="s">
        <v>100</v>
      </c>
      <c r="D27" s="28">
        <f>SUM($D$26:D26)</f>
        <v>0</v>
      </c>
      <c r="E27" s="28">
        <f>SUM($D$26:E26)</f>
        <v>0.0001578312978344829</v>
      </c>
      <c r="F27" s="28">
        <f>SUM($D$26:F26)</f>
        <v>0.0004734938935034487</v>
      </c>
      <c r="G27" s="28">
        <f>SUM($D$26:G26)</f>
        <v>0.0010729837923644106</v>
      </c>
      <c r="H27" s="28">
        <f>SUM($D$26:H26)</f>
        <v>0.0026117236563692157</v>
      </c>
      <c r="I27" s="28">
        <f>SUM($D$26:I26)</f>
        <v>0.005769775772949981</v>
      </c>
      <c r="J27" s="28">
        <f>SUM($D$26:J26)</f>
        <v>0.010628525762977396</v>
      </c>
      <c r="K27" s="28">
        <f>SUM($D$26:K26)</f>
        <v>0.01727017247962168</v>
      </c>
      <c r="L27" s="28">
        <f>SUM($D$26:L26)</f>
        <v>0.02577772800835259</v>
      </c>
      <c r="M27" s="28">
        <f>SUM($D$26:M26)</f>
        <v>0.03623501766693941</v>
      </c>
      <c r="N27" s="28">
        <f>SUM($D$26:N26)</f>
        <v>0.04872668000545096</v>
      </c>
      <c r="O27" s="28">
        <f>SUM($D$26:O26)</f>
        <v>0.04872668000545096</v>
      </c>
      <c r="P27" s="28">
        <f>SUM($D$26:P26)</f>
        <v>0.04872668000545096</v>
      </c>
      <c r="Q27" s="28">
        <f>SUM($D$26:Q26)</f>
        <v>0.04872668000545096</v>
      </c>
      <c r="R27" s="28">
        <f>SUM($D$26:R26)</f>
        <v>0.04872668000545096</v>
      </c>
      <c r="S27" s="28">
        <f>SUM($D$26:S26)</f>
        <v>0.04872668000545096</v>
      </c>
      <c r="T27" s="28">
        <f>SUM($D$26:T26)</f>
        <v>0.04872668000545096</v>
      </c>
      <c r="U27" s="28">
        <f>SUM($D$26:U26)</f>
        <v>0.04872668000545096</v>
      </c>
      <c r="V27" s="54">
        <f>SUM(D27:U27)</f>
        <v>0.48981069237452024</v>
      </c>
    </row>
    <row r="28" spans="2:22" ht="12">
      <c r="B28" s="45" t="s">
        <v>104</v>
      </c>
      <c r="C28" s="24" t="s">
        <v>105</v>
      </c>
      <c r="D28" s="3">
        <f>(D22*'elec prices'!C$10*10)+(D23*'elec prices'!C$8)</f>
        <v>0.013708142342128372</v>
      </c>
      <c r="E28" s="3">
        <f>(E22*'elec prices'!D$10*10)+(E23*'elec prices'!D$8)</f>
        <v>0.08268565405277023</v>
      </c>
      <c r="F28" s="3">
        <f>(F22*'elec prices'!E$10*10)+(F23*'elec prices'!E$8)</f>
        <v>0.21975771993727264</v>
      </c>
      <c r="G28" s="3">
        <f>(G22*'elec prices'!F$10*10)+(G23*'elec prices'!F$8)</f>
        <v>0.4883952501548125</v>
      </c>
      <c r="H28" s="3">
        <f>(H22*'elec prices'!G$10*10)+(H23*'elec prices'!G$8)</f>
        <v>1.1630009074545777</v>
      </c>
      <c r="I28" s="3">
        <f>(I22*'elec prices'!H$10*10)+(I23*'elec prices'!H$8)</f>
        <v>2.5317745180693914</v>
      </c>
      <c r="J28" s="3">
        <f>(J22*'elec prices'!I$10*10)+(J23*'elec prices'!I$8)</f>
        <v>4.5859559048337655</v>
      </c>
      <c r="K28" s="3">
        <f>(K22*'elec prices'!J$10*10)+(K23*'elec prices'!J$8)</f>
        <v>7.358257437122274</v>
      </c>
      <c r="L28" s="3">
        <f>(L22*'elec prices'!K$10*10)+(L23*'elec prices'!K$8)</f>
        <v>10.869414642928415</v>
      </c>
      <c r="M28" s="3">
        <f>(M22*'elec prices'!L$10*10)+(M23*'elec prices'!L$8)</f>
        <v>15.090674202445863</v>
      </c>
      <c r="N28" s="3">
        <f>(N22*'elec prices'!M$10*10)+(N23*'elec prices'!M$8)</f>
        <v>20.0327315667662</v>
      </c>
      <c r="O28" s="3">
        <f>(O22*'elec prices'!N$10*10)+(O23*'elec prices'!N$8)</f>
        <v>25.79690589529468</v>
      </c>
      <c r="P28" s="3">
        <f>(P22*'elec prices'!O$10*10)+(P23*'elec prices'!O$8)</f>
        <v>32.10476792552248</v>
      </c>
      <c r="Q28" s="3">
        <f>(Q22*'elec prices'!P$10*10)+(Q23*'elec prices'!P$8)</f>
        <v>38.88851698071906</v>
      </c>
      <c r="R28" s="3">
        <f>(R22*'elec prices'!Q$10*10)+(R23*'elec prices'!Q$8)</f>
        <v>46.29683632524627</v>
      </c>
      <c r="S28" s="3">
        <f>(S22*'elec prices'!R$10*10)+(S23*'elec prices'!R$8)</f>
        <v>54.25962473604967</v>
      </c>
      <c r="T28" s="3">
        <f>(T22*'elec prices'!S$10*10)+(T23*'elec prices'!S$8)</f>
        <v>62.69547970918641</v>
      </c>
      <c r="U28" s="3">
        <f>(U22*'elec prices'!T$10*10)+(U23*'elec prices'!T$8)</f>
        <v>71.57461424337339</v>
      </c>
      <c r="V28" s="24">
        <f>SUM(D28:U28)</f>
        <v>394.0531017614994</v>
      </c>
    </row>
    <row r="29" spans="2:22" ht="12">
      <c r="B29" s="45" t="s">
        <v>106</v>
      </c>
      <c r="C29" s="24" t="s">
        <v>105</v>
      </c>
      <c r="D29" s="3">
        <f>IF(AND(D5&gt;=$E$32,D5&lt;=$G$32),((((D19/(1-$C$32))*$C$32*'input asumptions'!D21)+(D21/(1-$C$32))*$C$32*'input asumptions'!D22))*D13/1000,0)</f>
        <v>0</v>
      </c>
      <c r="E29" s="3">
        <f>IF(AND(E5&gt;=$E$32,E5&lt;=$G$32),((((E19/(1-$C$32))*$C$32*'input asumptions'!E21)+(E21/(1-$C$32))*$C$32*'input asumptions'!E22))*E13/1000,0)</f>
        <v>0.24</v>
      </c>
      <c r="F29" s="3">
        <f>IF(AND(F5&gt;=$E$32,F5&lt;=$G$32),((((F19/(1-$C$32))*$C$32*'input asumptions'!F21)+(F21/(1-$C$32))*$C$32*'input asumptions'!F22))*F13/1000,0)</f>
        <v>0.48</v>
      </c>
      <c r="G29" s="3">
        <f>IF(AND(G5&gt;=$E$32,G5&lt;=$G$32),((((G19/(1-$C$32))*$C$32*'input asumptions'!G21)+(G21/(1-$C$32))*$C$32*'input asumptions'!G22))*G13/1000,0)</f>
        <v>0.8671297130073029</v>
      </c>
      <c r="H29" s="3">
        <f>IF(AND(H5&gt;=$E$32,H5&lt;=$G$32),((((H19/(1-$C$32))*$C$32*'input asumptions'!H21)+(H21/(1-$C$32))*$C$32*'input asumptions'!H22))*H13/1000,0)</f>
        <v>2.047869669704042</v>
      </c>
      <c r="I29" s="3">
        <f>IF(AND(I5&gt;=$E$32,I5&lt;=$G$32),((((I19/(1-$C$32))*$C$32*'input asumptions'!I21)+(I21/(1-$C$32))*$C$32*'input asumptions'!I22))*I13/1000,0)</f>
        <v>3.8963602717996166</v>
      </c>
      <c r="J29" s="3">
        <f>IF(AND(J5&gt;=$E$32,J5&lt;=$G$32),((((J19/(1-$C$32))*$C$32*'input asumptions'!J21)+(J21/(1-$C$32))*$C$32*'input asumptions'!J22))*J13/1000,0)</f>
        <v>5.567457300428487</v>
      </c>
      <c r="K29" s="3">
        <f>IF(AND(K5&gt;=$E$32,K5&lt;=$G$32),((((K19/(1-$C$32))*$C$32*'input asumptions'!K21)+(K21/(1-$C$32))*$C$32*'input asumptions'!K22))*K13/1000,0)</f>
        <v>7.088766072800075</v>
      </c>
      <c r="L29" s="3">
        <f>IF(AND(L5&gt;=$E$32,L5&lt;=$G$32),((((L19/(1-$C$32))*$C$32*'input asumptions'!L21)+(L21/(1-$C$32))*$C$32*'input asumptions'!L22))*L13/1000,0)</f>
        <v>8.469707286825097</v>
      </c>
      <c r="M29" s="3">
        <f>IF(AND(M5&gt;=$E$32,M5&lt;=$G$32),((((M19/(1-$C$32))*$C$32*'input asumptions'!M21)+(M21/(1-$C$32))*$C$32*'input asumptions'!M22))*M13/1000,0)</f>
        <v>9.714058518781199</v>
      </c>
      <c r="N29" s="3">
        <f>IF(AND(N5&gt;=$E$32,N5&lt;=$G$32),((((N19/(1-$C$32))*$C$32*'input asumptions'!N21)+(N21/(1-$C$32))*$C$32*'input asumptions'!N22))*N13/1000,0)</f>
        <v>10.822426862489195</v>
      </c>
      <c r="O29" s="3">
        <f>IF(AND(O5&gt;=$E$32,O5&lt;=$G$32),((((O19/(1-$C$32))*$C$32*'input asumptions'!O21)+(O21/(1-$C$32))*$C$32*'input asumptions'!O22))*O13/1000,0)</f>
        <v>0</v>
      </c>
      <c r="P29" s="3">
        <f>IF(AND(P5&gt;=$E$32,P5&lt;=$G$32),((((P19/(1-$C$32))*$C$32*'input asumptions'!P21)+(P21/(1-$C$32))*$C$32*'input asumptions'!P22))*P13/1000,0)</f>
        <v>0</v>
      </c>
      <c r="Q29" s="3">
        <f>IF(AND(Q5&gt;=$E$32,Q5&lt;=$G$32),((((Q19/(1-$C$32))*$C$32*'input asumptions'!Q21)+(Q21/(1-$C$32))*$C$32*'input asumptions'!Q22))*Q13/1000,0)</f>
        <v>0</v>
      </c>
      <c r="R29" s="3">
        <f>IF(AND(R5&gt;=$E$32,R5&lt;=$G$32),((((R19/(1-$C$32))*$C$32*'input asumptions'!R21)+(R21/(1-$C$32))*$C$32*'input asumptions'!R22))*R13/1000,0)</f>
        <v>0</v>
      </c>
      <c r="S29" s="3">
        <f>IF(AND(S5&gt;=$E$32,S5&lt;=$G$32),((((S19/(1-$C$32))*$C$32*'input asumptions'!S21)+(S21/(1-$C$32))*$C$32*'input asumptions'!S22))*S13/1000,0)</f>
        <v>0</v>
      </c>
      <c r="T29" s="3">
        <f>IF(AND(T5&gt;=$E$32,T5&lt;=$G$32),((((T19/(1-$C$32))*$C$32*'input asumptions'!T21)+(T21/(1-$C$32))*$C$32*'input asumptions'!T22))*T13/1000,0)</f>
        <v>0</v>
      </c>
      <c r="U29" s="3">
        <f>IF(AND(U5&gt;=$E$32,U5&lt;=$G$32),((((U19/(1-$C$32))*$C$32*'input asumptions'!U21)+(U21/(1-$C$32))*$C$32*'input asumptions'!U22))*U13/1000,0)</f>
        <v>0</v>
      </c>
      <c r="V29" s="24">
        <f>SUM(D29:U29)</f>
        <v>49.193775695835015</v>
      </c>
    </row>
    <row r="30" spans="2:22" ht="12">
      <c r="B30" s="4" t="s">
        <v>107</v>
      </c>
      <c r="C30" s="27" t="s">
        <v>108</v>
      </c>
      <c r="D30" s="9" t="s">
        <v>77</v>
      </c>
      <c r="E30" s="9" t="s">
        <v>77</v>
      </c>
      <c r="F30" s="9">
        <f>SUM($D29:F29)/SUM($D24:F24)</f>
        <v>991.7027945533247</v>
      </c>
      <c r="G30" s="9">
        <f>SUM($D29:G29)/SUM($D24:G24)</f>
        <v>858.0203310379536</v>
      </c>
      <c r="H30" s="9">
        <f>SUM($D29:H29)/SUM($D24:H24)</f>
        <v>797.9987238881828</v>
      </c>
      <c r="I30" s="9">
        <f>SUM($D29:I29)/SUM($D24:I24)</f>
        <v>717.6978508962891</v>
      </c>
      <c r="J30" s="9">
        <f>SUM($D29:J29)/SUM($D24:J24)</f>
        <v>612.4612102850208</v>
      </c>
      <c r="K30" s="9">
        <f>SUM($D29:K29)/SUM($D24:K24)</f>
        <v>517.2745971586629</v>
      </c>
      <c r="L30" s="9">
        <f>SUM($D29:L29)/SUM($D24:L24)</f>
        <v>439.02997948647584</v>
      </c>
      <c r="M30" s="9">
        <f>SUM($D29:M29)/SUM($D24:M24)</f>
        <v>375.9671275121605</v>
      </c>
      <c r="N30" s="9">
        <f>SUM($D29:N29)/SUM($D24:N24)</f>
        <v>324.9539265950733</v>
      </c>
      <c r="O30" s="9">
        <f>SUM($D29:O29)/SUM($D24:O24)</f>
        <v>228.46295672574632</v>
      </c>
      <c r="P30" s="9">
        <f>SUM($D29:P29)/SUM($D24:P24)</f>
        <v>166.36329032594412</v>
      </c>
      <c r="Q30" s="9">
        <f>SUM($D29:Q29)/SUM($D24:Q24)</f>
        <v>124.74926188712007</v>
      </c>
      <c r="R30" s="9">
        <f>SUM($D29:R29)/SUM($D24:R24)</f>
        <v>95.88078259546548</v>
      </c>
      <c r="S30" s="9">
        <f>SUM($D29:S29)/SUM($D24:S24)</f>
        <v>75.25198297279695</v>
      </c>
      <c r="T30" s="9">
        <f>SUM($D29:T29)/SUM($D24:T24)</f>
        <v>60.26535105290624</v>
      </c>
      <c r="U30" s="10">
        <f>SUM($D29:U29)/SUM($D24:U24)</f>
        <v>49.15597392452591</v>
      </c>
      <c r="V30" s="27">
        <f>V29/V24</f>
        <v>49.15597392452591</v>
      </c>
    </row>
    <row r="31" spans="2:22" ht="12">
      <c r="B31" s="1"/>
      <c r="C31" s="3"/>
      <c r="D31" s="3"/>
      <c r="E31" s="3"/>
      <c r="F31" s="3"/>
      <c r="G31" s="3"/>
      <c r="H31" s="3"/>
      <c r="I31" s="3"/>
      <c r="J31" s="3"/>
      <c r="K31" s="3"/>
      <c r="L31" s="3"/>
      <c r="M31" s="3"/>
      <c r="N31" s="3"/>
      <c r="O31" s="3"/>
      <c r="P31" s="3"/>
      <c r="Q31" s="3"/>
      <c r="R31" s="3"/>
      <c r="S31" s="3"/>
      <c r="T31" s="3"/>
      <c r="U31" s="3"/>
      <c r="V31" s="3"/>
    </row>
    <row r="32" spans="2:15" ht="12">
      <c r="B32" s="1" t="s">
        <v>109</v>
      </c>
      <c r="C32" s="66">
        <v>0.1</v>
      </c>
      <c r="D32" s="2" t="s">
        <v>110</v>
      </c>
      <c r="E32" s="67">
        <v>1999</v>
      </c>
      <c r="F32" s="3" t="s">
        <v>111</v>
      </c>
      <c r="G32" s="9">
        <v>2008</v>
      </c>
      <c r="H32" s="2" t="s">
        <v>112</v>
      </c>
      <c r="I32" s="104"/>
      <c r="J32" s="9">
        <f>G32-E32+1</f>
        <v>10</v>
      </c>
      <c r="K32" s="12" t="s">
        <v>113</v>
      </c>
      <c r="L32" s="2"/>
      <c r="O32" s="78"/>
    </row>
    <row r="33" spans="2:15" ht="12">
      <c r="B33" s="13" t="s">
        <v>114</v>
      </c>
      <c r="O33" s="78"/>
    </row>
    <row r="34" spans="2:21" ht="12">
      <c r="B34" s="13" t="s">
        <v>115</v>
      </c>
      <c r="E34" s="66">
        <f>1-K34</f>
        <v>0.7</v>
      </c>
      <c r="F34" s="1" t="s">
        <v>116</v>
      </c>
      <c r="G34" s="3"/>
      <c r="H34" s="3"/>
      <c r="I34" s="3"/>
      <c r="J34" s="3"/>
      <c r="K34" s="66">
        <v>0.3</v>
      </c>
      <c r="L34" s="1" t="s">
        <v>117</v>
      </c>
      <c r="M34" s="3"/>
      <c r="N34" s="3"/>
      <c r="O34" s="3"/>
      <c r="P34" s="3"/>
      <c r="Q34" s="3"/>
      <c r="R34" s="3"/>
      <c r="S34" s="3"/>
      <c r="T34" s="3"/>
      <c r="U34" s="3"/>
    </row>
    <row r="35" spans="2:19" ht="12">
      <c r="B35" s="13" t="s">
        <v>118</v>
      </c>
      <c r="G35" s="13"/>
      <c r="H35" s="13"/>
      <c r="I35" s="13"/>
      <c r="J35" s="13"/>
      <c r="K35" s="13"/>
      <c r="L35" s="13"/>
      <c r="M35" s="13"/>
      <c r="N35" s="13"/>
      <c r="O35" s="13"/>
      <c r="P35" s="2"/>
      <c r="Q35" s="2"/>
      <c r="R35" s="2"/>
      <c r="S35" s="2"/>
    </row>
    <row r="36" spans="2:19" ht="12">
      <c r="B36" s="2" t="s">
        <v>119</v>
      </c>
      <c r="C36" s="66">
        <v>0.3</v>
      </c>
      <c r="D36" s="20">
        <v>10</v>
      </c>
      <c r="E36" s="2" t="s">
        <v>120</v>
      </c>
      <c r="F36" s="13"/>
      <c r="G36" s="13"/>
      <c r="H36" s="13"/>
      <c r="I36" s="13"/>
      <c r="J36" s="13"/>
      <c r="K36" s="13"/>
      <c r="L36" s="13"/>
      <c r="M36" s="13"/>
      <c r="N36" s="13"/>
      <c r="O36" s="13"/>
      <c r="P36" s="2"/>
      <c r="Q36" s="2"/>
      <c r="R36" s="2"/>
      <c r="S36" s="2"/>
    </row>
    <row r="37" spans="2:19" ht="12">
      <c r="B37" s="2" t="s">
        <v>121</v>
      </c>
      <c r="G37" s="13"/>
      <c r="H37" s="13"/>
      <c r="I37" s="13"/>
      <c r="J37" s="13"/>
      <c r="K37" s="13"/>
      <c r="L37" s="13"/>
      <c r="M37" s="13"/>
      <c r="N37" s="13"/>
      <c r="O37" s="13"/>
      <c r="P37" s="2"/>
      <c r="Q37" s="2"/>
      <c r="R37" s="2"/>
      <c r="S37" s="2"/>
    </row>
    <row r="38" spans="2:17" ht="12">
      <c r="B38" s="2" t="s">
        <v>122</v>
      </c>
      <c r="P38" s="69">
        <v>0.975</v>
      </c>
      <c r="Q38" s="2" t="s">
        <v>123</v>
      </c>
    </row>
    <row r="39" spans="2:17" ht="12">
      <c r="B39" s="2" t="s">
        <v>124</v>
      </c>
      <c r="P39" s="93"/>
      <c r="Q39" s="2"/>
    </row>
    <row r="40" ht="12">
      <c r="B40" s="2" t="s">
        <v>125</v>
      </c>
    </row>
    <row r="41" ht="12">
      <c r="B41" s="2" t="s">
        <v>126</v>
      </c>
    </row>
    <row r="42" ht="12">
      <c r="B42" s="2" t="s">
        <v>127</v>
      </c>
    </row>
    <row r="43" ht="12">
      <c r="B43" s="2" t="s">
        <v>128</v>
      </c>
    </row>
    <row r="44" ht="12">
      <c r="B44" s="2" t="s">
        <v>129</v>
      </c>
    </row>
    <row r="45" ht="12">
      <c r="B45" s="108" t="s">
        <v>0</v>
      </c>
    </row>
    <row r="46" ht="12">
      <c r="B46" s="108" t="s">
        <v>1</v>
      </c>
    </row>
    <row r="47" ht="12">
      <c r="B47" s="2" t="s">
        <v>2</v>
      </c>
    </row>
    <row r="48" spans="2:21" ht="12">
      <c r="B48" s="13" t="s">
        <v>3</v>
      </c>
      <c r="C48" s="13"/>
      <c r="D48" s="13"/>
      <c r="E48" s="13"/>
      <c r="F48" s="13"/>
      <c r="G48" s="13"/>
      <c r="H48" s="13"/>
      <c r="I48" s="13"/>
      <c r="J48" s="13"/>
      <c r="K48" s="13"/>
      <c r="L48" s="13"/>
      <c r="M48" s="13"/>
      <c r="N48" s="13"/>
      <c r="O48" s="13"/>
      <c r="P48" s="13"/>
      <c r="Q48" s="13"/>
      <c r="R48" s="13"/>
      <c r="S48" s="13"/>
      <c r="T48" s="13"/>
      <c r="U48" s="13"/>
    </row>
    <row r="49" spans="2:22" ht="12">
      <c r="B49" s="13" t="s">
        <v>4</v>
      </c>
      <c r="C49" s="13"/>
      <c r="D49" s="13"/>
      <c r="E49" s="13"/>
      <c r="F49" s="13"/>
      <c r="G49" s="13"/>
      <c r="H49" s="13"/>
      <c r="I49" s="13"/>
      <c r="J49" s="13"/>
      <c r="K49" s="13"/>
      <c r="L49" s="13"/>
      <c r="M49" s="13"/>
      <c r="N49" s="13"/>
      <c r="O49" s="13"/>
      <c r="P49" s="13"/>
      <c r="Q49" s="13"/>
      <c r="R49" s="13"/>
      <c r="S49" s="13"/>
      <c r="T49" s="13"/>
      <c r="U49" s="13"/>
      <c r="V49" s="13"/>
    </row>
    <row r="50" spans="2:22" ht="12">
      <c r="B50" s="13"/>
      <c r="C50" s="13"/>
      <c r="D50" s="13"/>
      <c r="E50" s="13"/>
      <c r="F50" s="13"/>
      <c r="G50" s="13"/>
      <c r="H50" s="13"/>
      <c r="I50" s="13"/>
      <c r="J50" s="13"/>
      <c r="K50" s="13"/>
      <c r="L50" s="13"/>
      <c r="M50" s="13"/>
      <c r="N50" s="13"/>
      <c r="O50" s="13"/>
      <c r="P50" s="13"/>
      <c r="Q50" s="13"/>
      <c r="R50" s="13"/>
      <c r="S50" s="13"/>
      <c r="T50" s="13"/>
      <c r="U50" s="13"/>
      <c r="V50" s="13"/>
    </row>
    <row r="51" spans="2:22" ht="12">
      <c r="B51" s="13"/>
      <c r="C51" s="13"/>
      <c r="D51" s="13"/>
      <c r="E51" s="13"/>
      <c r="F51" s="13"/>
      <c r="G51" s="13"/>
      <c r="H51" s="13"/>
      <c r="I51" s="13"/>
      <c r="J51" s="13"/>
      <c r="K51" s="13"/>
      <c r="L51" s="13"/>
      <c r="M51" s="13"/>
      <c r="N51" s="13"/>
      <c r="O51" s="13"/>
      <c r="P51" s="13"/>
      <c r="Q51" s="13"/>
      <c r="R51" s="13"/>
      <c r="S51" s="13"/>
      <c r="T51" s="13"/>
      <c r="U51" s="13"/>
      <c r="V51" s="13"/>
    </row>
    <row r="52" spans="2:23" ht="12">
      <c r="B52" s="13"/>
      <c r="C52" s="13"/>
      <c r="D52" s="13"/>
      <c r="E52" s="13"/>
      <c r="F52" s="13"/>
      <c r="G52" s="13"/>
      <c r="H52" s="13"/>
      <c r="I52" s="13"/>
      <c r="J52" s="13"/>
      <c r="K52" s="13"/>
      <c r="L52" s="13"/>
      <c r="M52" s="13"/>
      <c r="N52" s="13"/>
      <c r="O52" s="13"/>
      <c r="P52" s="13"/>
      <c r="Q52" s="13"/>
      <c r="R52" s="13"/>
      <c r="S52" s="13"/>
      <c r="T52" s="13"/>
      <c r="U52" s="13"/>
      <c r="V52" s="13"/>
      <c r="W52" s="12"/>
    </row>
    <row r="53" spans="2:22" ht="12">
      <c r="B53" s="13"/>
      <c r="C53" s="13"/>
      <c r="D53" s="13"/>
      <c r="E53" s="13"/>
      <c r="F53" s="13"/>
      <c r="G53" s="13"/>
      <c r="H53" s="13"/>
      <c r="I53" s="13"/>
      <c r="J53" s="13"/>
      <c r="K53" s="13"/>
      <c r="L53" s="13"/>
      <c r="M53" s="13"/>
      <c r="N53" s="13"/>
      <c r="O53" s="13"/>
      <c r="P53" s="13"/>
      <c r="Q53" s="13"/>
      <c r="R53" s="13"/>
      <c r="S53" s="13"/>
      <c r="T53" s="13"/>
      <c r="U53" s="13"/>
      <c r="V53" s="13"/>
    </row>
    <row r="54" spans="2:22" ht="12">
      <c r="B54" s="13"/>
      <c r="C54" s="13"/>
      <c r="D54" s="13"/>
      <c r="E54" s="13"/>
      <c r="F54" s="13"/>
      <c r="G54" s="13"/>
      <c r="H54" s="13"/>
      <c r="I54" s="13"/>
      <c r="J54" s="13"/>
      <c r="K54" s="13"/>
      <c r="L54" s="13"/>
      <c r="M54" s="13"/>
      <c r="N54" s="13"/>
      <c r="O54" s="13"/>
      <c r="P54" s="13"/>
      <c r="Q54" s="13"/>
      <c r="R54" s="13"/>
      <c r="S54" s="13"/>
      <c r="T54" s="13"/>
      <c r="U54" s="13"/>
      <c r="V54" s="13"/>
    </row>
    <row r="55" spans="2:22" ht="12">
      <c r="B55" s="13"/>
      <c r="C55" s="13"/>
      <c r="D55" s="13"/>
      <c r="E55" s="13"/>
      <c r="F55" s="13"/>
      <c r="G55" s="13"/>
      <c r="H55" s="13"/>
      <c r="I55" s="13"/>
      <c r="J55" s="13"/>
      <c r="K55" s="13"/>
      <c r="L55" s="13"/>
      <c r="M55" s="13"/>
      <c r="N55" s="13"/>
      <c r="O55" s="13"/>
      <c r="P55" s="13"/>
      <c r="Q55" s="13"/>
      <c r="R55" s="13"/>
      <c r="S55" s="13"/>
      <c r="T55" s="13"/>
      <c r="U55" s="13"/>
      <c r="V55" s="13"/>
    </row>
    <row r="56" spans="2:22" ht="12">
      <c r="B56" s="13"/>
      <c r="C56" s="13"/>
      <c r="D56" s="13"/>
      <c r="E56" s="13"/>
      <c r="F56" s="13"/>
      <c r="G56" s="13"/>
      <c r="H56" s="13"/>
      <c r="I56" s="13"/>
      <c r="J56" s="13"/>
      <c r="K56" s="13"/>
      <c r="L56" s="13"/>
      <c r="M56" s="13"/>
      <c r="N56" s="13"/>
      <c r="O56" s="13"/>
      <c r="P56" s="13"/>
      <c r="Q56" s="13"/>
      <c r="R56" s="13"/>
      <c r="S56" s="13"/>
      <c r="T56" s="13"/>
      <c r="U56" s="13"/>
      <c r="V56" s="13"/>
    </row>
    <row r="57" spans="2:22" ht="12">
      <c r="B57" s="13"/>
      <c r="C57" s="13"/>
      <c r="D57" s="13"/>
      <c r="E57" s="13"/>
      <c r="F57" s="13"/>
      <c r="G57" s="13"/>
      <c r="H57" s="13"/>
      <c r="I57" s="13"/>
      <c r="J57" s="13"/>
      <c r="K57" s="13"/>
      <c r="L57" s="13"/>
      <c r="M57" s="13"/>
      <c r="N57" s="13"/>
      <c r="O57" s="13"/>
      <c r="P57" s="13"/>
      <c r="Q57" s="13"/>
      <c r="R57" s="13"/>
      <c r="S57" s="13"/>
      <c r="T57" s="13"/>
      <c r="U57" s="13"/>
      <c r="V57" s="13"/>
    </row>
    <row r="58" spans="2:22" ht="12">
      <c r="B58" s="13"/>
      <c r="C58" s="13"/>
      <c r="D58" s="13"/>
      <c r="E58" s="13"/>
      <c r="F58" s="13"/>
      <c r="G58" s="13"/>
      <c r="H58" s="13"/>
      <c r="I58" s="13"/>
      <c r="J58" s="13"/>
      <c r="K58" s="13"/>
      <c r="L58" s="13"/>
      <c r="M58" s="13"/>
      <c r="N58" s="13"/>
      <c r="O58" s="13"/>
      <c r="P58" s="13"/>
      <c r="Q58" s="13"/>
      <c r="R58" s="13"/>
      <c r="S58" s="13"/>
      <c r="T58" s="13"/>
      <c r="U58" s="13"/>
      <c r="V58" s="13"/>
    </row>
    <row r="59" spans="2:22" ht="12">
      <c r="B59" s="13"/>
      <c r="C59" s="13"/>
      <c r="D59" s="13"/>
      <c r="E59" s="13"/>
      <c r="F59" s="13"/>
      <c r="G59" s="13"/>
      <c r="H59" s="13"/>
      <c r="I59" s="13"/>
      <c r="J59" s="13"/>
      <c r="K59" s="13"/>
      <c r="L59" s="13"/>
      <c r="M59" s="13"/>
      <c r="N59" s="13"/>
      <c r="O59" s="13"/>
      <c r="P59" s="13"/>
      <c r="Q59" s="13"/>
      <c r="R59" s="13"/>
      <c r="S59" s="13"/>
      <c r="T59" s="13"/>
      <c r="U59" s="13"/>
      <c r="V59" s="13"/>
    </row>
    <row r="60" s="13" customFormat="1" ht="12"/>
    <row r="61" s="13" customFormat="1" ht="12"/>
    <row r="62" spans="2:22" ht="12">
      <c r="B62" s="13"/>
      <c r="C62" s="13"/>
      <c r="D62" s="13"/>
      <c r="E62" s="13"/>
      <c r="F62" s="13"/>
      <c r="G62" s="13"/>
      <c r="H62" s="13"/>
      <c r="I62" s="13"/>
      <c r="J62" s="13"/>
      <c r="K62" s="13"/>
      <c r="L62" s="13"/>
      <c r="M62" s="13"/>
      <c r="N62" s="13"/>
      <c r="O62" s="13"/>
      <c r="P62" s="13"/>
      <c r="Q62" s="13"/>
      <c r="R62" s="13"/>
      <c r="S62" s="13"/>
      <c r="T62" s="13"/>
      <c r="U62" s="13"/>
      <c r="V62" s="13"/>
    </row>
    <row r="63" spans="2:22" ht="12">
      <c r="B63" s="13"/>
      <c r="C63" s="13"/>
      <c r="D63" s="13"/>
      <c r="E63" s="13"/>
      <c r="F63" s="13"/>
      <c r="G63" s="13"/>
      <c r="H63" s="13"/>
      <c r="I63" s="13"/>
      <c r="J63" s="13"/>
      <c r="K63" s="13"/>
      <c r="L63" s="13"/>
      <c r="M63" s="13"/>
      <c r="N63" s="13"/>
      <c r="O63" s="13"/>
      <c r="P63" s="13"/>
      <c r="Q63" s="13"/>
      <c r="R63" s="13"/>
      <c r="S63" s="13"/>
      <c r="T63" s="13"/>
      <c r="U63" s="13"/>
      <c r="V63" s="13"/>
    </row>
    <row r="64" spans="2:22" ht="12">
      <c r="B64" s="13"/>
      <c r="C64" s="13"/>
      <c r="D64" s="13"/>
      <c r="E64" s="13"/>
      <c r="F64" s="13"/>
      <c r="G64" s="13"/>
      <c r="H64" s="13"/>
      <c r="I64" s="13"/>
      <c r="J64" s="13"/>
      <c r="K64" s="13"/>
      <c r="L64" s="13"/>
      <c r="M64" s="13"/>
      <c r="N64" s="13"/>
      <c r="O64" s="13"/>
      <c r="P64" s="13"/>
      <c r="Q64" s="13"/>
      <c r="R64" s="13"/>
      <c r="S64" s="13"/>
      <c r="T64" s="13"/>
      <c r="U64" s="13"/>
      <c r="V64" s="13"/>
    </row>
    <row r="65" spans="2:7" ht="12">
      <c r="B65" s="13"/>
      <c r="C65" s="72"/>
      <c r="D65" s="13"/>
      <c r="E65" s="13"/>
      <c r="F65" s="13"/>
      <c r="G65" s="13"/>
    </row>
    <row r="66" spans="2:7" ht="12">
      <c r="B66" s="13"/>
      <c r="C66" s="13"/>
      <c r="D66" s="13"/>
      <c r="E66" s="13"/>
      <c r="F66" s="13"/>
      <c r="G66" s="13"/>
    </row>
    <row r="67" spans="2:7" ht="12">
      <c r="B67" s="13"/>
      <c r="C67" s="13"/>
      <c r="D67" s="13"/>
      <c r="E67" s="13"/>
      <c r="F67" s="13"/>
      <c r="G67" s="13"/>
    </row>
    <row r="68" spans="2:7" ht="12">
      <c r="B68" s="13"/>
      <c r="C68" s="13"/>
      <c r="D68" s="13"/>
      <c r="E68" s="13"/>
      <c r="F68" s="13"/>
      <c r="G68" s="13"/>
    </row>
    <row r="69" spans="2:7" ht="12">
      <c r="B69" s="13"/>
      <c r="C69" s="13"/>
      <c r="D69" s="13"/>
      <c r="E69" s="13"/>
      <c r="F69" s="13"/>
      <c r="G69" s="13"/>
    </row>
    <row r="70" spans="2:7" ht="12">
      <c r="B70" s="13"/>
      <c r="C70" s="13"/>
      <c r="D70" s="13"/>
      <c r="E70" s="13"/>
      <c r="F70" s="13"/>
      <c r="G70" s="13"/>
    </row>
    <row r="71" spans="2:7" ht="12">
      <c r="B71" s="13"/>
      <c r="C71" s="13"/>
      <c r="D71" s="13"/>
      <c r="E71" s="13"/>
      <c r="F71" s="13"/>
      <c r="G71" s="13"/>
    </row>
    <row r="72" spans="2:7" ht="12">
      <c r="B72" s="13"/>
      <c r="C72" s="13"/>
      <c r="D72" s="13"/>
      <c r="E72" s="13"/>
      <c r="F72" s="13"/>
      <c r="G72" s="13"/>
    </row>
    <row r="73" spans="2:7" ht="12">
      <c r="B73" s="13"/>
      <c r="C73" s="13"/>
      <c r="D73" s="13"/>
      <c r="E73" s="13"/>
      <c r="F73" s="13"/>
      <c r="G73" s="13"/>
    </row>
    <row r="74" spans="2:7" ht="12">
      <c r="B74" s="13"/>
      <c r="C74" s="13"/>
      <c r="D74" s="13"/>
      <c r="E74" s="13"/>
      <c r="F74" s="13"/>
      <c r="G74" s="13"/>
    </row>
    <row r="75" spans="2:7" ht="12">
      <c r="B75" s="13"/>
      <c r="C75" s="13"/>
      <c r="D75" s="13"/>
      <c r="E75" s="13"/>
      <c r="F75" s="13"/>
      <c r="G75" s="13"/>
    </row>
    <row r="76" spans="2:7" ht="12">
      <c r="B76" s="13"/>
      <c r="C76" s="13"/>
      <c r="D76" s="13"/>
      <c r="E76" s="13"/>
      <c r="F76" s="13"/>
      <c r="G76" s="13"/>
    </row>
    <row r="77" spans="2:7" ht="12">
      <c r="B77" s="13"/>
      <c r="C77" s="13"/>
      <c r="D77" s="13"/>
      <c r="E77" s="13"/>
      <c r="F77" s="13"/>
      <c r="G77" s="13"/>
    </row>
    <row r="78" spans="2:7" ht="12">
      <c r="B78" s="13"/>
      <c r="C78" s="13"/>
      <c r="D78" s="13"/>
      <c r="E78" s="13"/>
      <c r="F78" s="13"/>
      <c r="G78" s="13"/>
    </row>
    <row r="79" spans="2:7" ht="12">
      <c r="B79" s="13"/>
      <c r="C79" s="13"/>
      <c r="D79" s="13"/>
      <c r="E79" s="13"/>
      <c r="F79" s="13"/>
      <c r="G79" s="13"/>
    </row>
    <row r="80" spans="2:7" ht="12">
      <c r="B80" s="13"/>
      <c r="C80" s="13"/>
      <c r="D80" s="13"/>
      <c r="E80" s="13"/>
      <c r="F80" s="13"/>
      <c r="G80" s="13"/>
    </row>
    <row r="81" spans="2:7" ht="12">
      <c r="B81" s="13"/>
      <c r="C81" s="13"/>
      <c r="D81" s="13"/>
      <c r="E81" s="13"/>
      <c r="F81" s="13"/>
      <c r="G81" s="13"/>
    </row>
    <row r="82" spans="2:7" ht="12">
      <c r="B82" s="13"/>
      <c r="C82" s="13"/>
      <c r="D82" s="13"/>
      <c r="E82" s="13"/>
      <c r="F82" s="13"/>
      <c r="G82" s="13"/>
    </row>
    <row r="83" spans="2:7" ht="12">
      <c r="B83" s="13"/>
      <c r="C83" s="13"/>
      <c r="D83" s="13"/>
      <c r="E83" s="13"/>
      <c r="F83" s="13"/>
      <c r="G83" s="13"/>
    </row>
    <row r="84" spans="2:7" ht="12">
      <c r="B84" s="13"/>
      <c r="C84" s="13"/>
      <c r="D84" s="13"/>
      <c r="E84" s="13"/>
      <c r="F84" s="13"/>
      <c r="G84" s="13"/>
    </row>
    <row r="85" spans="2:7" ht="12">
      <c r="B85" s="13"/>
      <c r="C85" s="13"/>
      <c r="D85" s="13"/>
      <c r="E85" s="13"/>
      <c r="F85" s="13"/>
      <c r="G85" s="13"/>
    </row>
    <row r="86" spans="2:7" ht="12">
      <c r="B86" s="13"/>
      <c r="C86" s="13"/>
      <c r="D86" s="13"/>
      <c r="E86" s="13"/>
      <c r="F86" s="13"/>
      <c r="G86" s="13"/>
    </row>
    <row r="87" spans="2:7" ht="12">
      <c r="B87" s="13"/>
      <c r="C87" s="13"/>
      <c r="D87" s="13"/>
      <c r="E87" s="13"/>
      <c r="F87" s="13"/>
      <c r="G87" s="13"/>
    </row>
    <row r="88" spans="2:7" ht="12">
      <c r="B88" s="13"/>
      <c r="C88" s="13"/>
      <c r="D88" s="13"/>
      <c r="E88" s="13"/>
      <c r="F88" s="13"/>
      <c r="G88" s="13"/>
    </row>
    <row r="89" spans="2:7" ht="12">
      <c r="B89" s="13"/>
      <c r="C89" s="13"/>
      <c r="D89" s="13"/>
      <c r="E89" s="13"/>
      <c r="F89" s="13"/>
      <c r="G89" s="13"/>
    </row>
    <row r="90" spans="2:7" ht="12">
      <c r="B90" s="13"/>
      <c r="C90" s="13"/>
      <c r="D90" s="13"/>
      <c r="E90" s="13"/>
      <c r="F90" s="13"/>
      <c r="G90" s="13"/>
    </row>
    <row r="91" spans="2:7" ht="12">
      <c r="B91" s="13"/>
      <c r="C91" s="13"/>
      <c r="D91" s="13"/>
      <c r="E91" s="13"/>
      <c r="F91" s="13"/>
      <c r="G91" s="13"/>
    </row>
    <row r="92" spans="2:7" ht="12">
      <c r="B92" s="13"/>
      <c r="C92" s="13"/>
      <c r="D92" s="13"/>
      <c r="E92" s="13"/>
      <c r="F92" s="13"/>
      <c r="G92" s="13"/>
    </row>
    <row r="93" spans="2:7" ht="12">
      <c r="B93" s="13"/>
      <c r="C93" s="13"/>
      <c r="D93" s="13"/>
      <c r="E93" s="13"/>
      <c r="F93" s="13"/>
      <c r="G93" s="13"/>
    </row>
  </sheetData>
  <printOptions horizontalCentered="1"/>
  <pageMargins left="0.5" right="0.5" top="0.75" bottom="0.75" header="0.25" footer="0.25"/>
  <pageSetup orientation="landscape" paperSize="9" scale="70"/>
  <headerFooter alignWithMargins="0">
    <oddHeader>&amp;L&amp;"Times,Regular"&amp;9Cooper Richey&amp;C&amp;"Times,Regular"&amp;9Ph: (510) 486-5417   |   Fax: (510) 486-7976&amp;R&amp;"Times,Regular"&amp;9&amp;D     &amp;T</oddHeader>
    <oddFooter>&amp;L&amp;"Times,Regular"&amp;9&amp;F&amp;C&amp;"Times,Regular"&amp;9&amp;A&amp;R&amp;"Times,Regular"&amp;9&amp;P of &amp;N</oddFooter>
  </headerFooter>
</worksheet>
</file>

<file path=xl/worksheets/sheet3.xml><?xml version="1.0" encoding="utf-8"?>
<worksheet xmlns="http://schemas.openxmlformats.org/spreadsheetml/2006/main" xmlns:r="http://schemas.openxmlformats.org/officeDocument/2006/relationships">
  <dimension ref="B2:W93"/>
  <sheetViews>
    <sheetView showGridLines="0" defaultGridColor="0" colorId="23" workbookViewId="0" topLeftCell="A1">
      <selection activeCell="R11" sqref="R11"/>
    </sheetView>
  </sheetViews>
  <sheetFormatPr defaultColWidth="11.421875" defaultRowHeight="12.75"/>
  <cols>
    <col min="1" max="1" width="0.85546875" style="2" customWidth="1"/>
    <col min="2" max="2" width="45.140625" style="2" customWidth="1"/>
    <col min="3" max="3" width="11.140625" style="12" customWidth="1"/>
    <col min="4" max="4" width="5.28125" style="12" customWidth="1"/>
    <col min="5" max="5" width="6.421875" style="12" customWidth="1"/>
    <col min="6" max="20" width="5.00390625" style="12" customWidth="1"/>
    <col min="21" max="21" width="6.7109375" style="12" customWidth="1"/>
    <col min="22" max="22" width="11.421875" style="2" customWidth="1"/>
    <col min="23" max="23" width="5.140625" style="2" customWidth="1"/>
    <col min="24" max="16384" width="10.8515625" style="2" customWidth="1"/>
  </cols>
  <sheetData>
    <row r="1" ht="4.5" customHeight="1"/>
    <row r="2" spans="2:22" ht="12">
      <c r="B2" s="5"/>
      <c r="C2" s="11"/>
      <c r="D2" s="11"/>
      <c r="E2" s="11"/>
      <c r="F2" s="11"/>
      <c r="G2" s="11"/>
      <c r="H2" s="11"/>
      <c r="I2" s="11"/>
      <c r="J2" s="11"/>
      <c r="K2" s="11"/>
      <c r="L2" s="11"/>
      <c r="M2" s="11"/>
      <c r="N2" s="11"/>
      <c r="O2" s="11"/>
      <c r="P2" s="11"/>
      <c r="Q2" s="11"/>
      <c r="R2" s="11"/>
      <c r="S2" s="11"/>
      <c r="T2" s="11"/>
      <c r="U2" s="11"/>
      <c r="V2" s="6"/>
    </row>
    <row r="3" spans="2:22" ht="18.75">
      <c r="B3" s="49" t="s">
        <v>68</v>
      </c>
      <c r="C3" s="3"/>
      <c r="D3" s="3"/>
      <c r="E3" s="3"/>
      <c r="F3" s="3"/>
      <c r="G3" s="3"/>
      <c r="H3" s="3"/>
      <c r="I3" s="3"/>
      <c r="J3" s="3"/>
      <c r="K3" s="3"/>
      <c r="L3" s="3"/>
      <c r="M3" s="89">
        <f>C32</f>
        <v>0.2</v>
      </c>
      <c r="N3" s="90" t="s">
        <v>69</v>
      </c>
      <c r="O3" s="91"/>
      <c r="P3" s="91">
        <f>J32</f>
        <v>5</v>
      </c>
      <c r="Q3" s="90" t="s">
        <v>70</v>
      </c>
      <c r="R3" s="91"/>
      <c r="S3" s="3"/>
      <c r="T3" s="3"/>
      <c r="U3" s="53"/>
      <c r="V3" s="50" t="s">
        <v>71</v>
      </c>
    </row>
    <row r="4" spans="2:22" ht="12.75">
      <c r="B4" s="52"/>
      <c r="C4" s="3"/>
      <c r="D4" s="3"/>
      <c r="E4" s="3"/>
      <c r="F4" s="3"/>
      <c r="G4" s="3"/>
      <c r="H4" s="3"/>
      <c r="I4" s="3"/>
      <c r="J4" s="3"/>
      <c r="K4" s="3"/>
      <c r="L4" s="3"/>
      <c r="M4" s="3"/>
      <c r="N4" s="3"/>
      <c r="O4" s="3"/>
      <c r="P4" s="3"/>
      <c r="Q4" s="3"/>
      <c r="R4" s="3"/>
      <c r="S4" s="3"/>
      <c r="T4" s="3"/>
      <c r="U4" s="3"/>
      <c r="V4" s="115" t="s">
        <v>72</v>
      </c>
    </row>
    <row r="5" spans="2:22" ht="12">
      <c r="B5" s="46"/>
      <c r="C5" s="47" t="s">
        <v>73</v>
      </c>
      <c r="D5" s="7">
        <v>1998</v>
      </c>
      <c r="E5" s="7">
        <v>1999</v>
      </c>
      <c r="F5" s="7">
        <v>2000</v>
      </c>
      <c r="G5" s="7">
        <v>2001</v>
      </c>
      <c r="H5" s="7">
        <v>2002</v>
      </c>
      <c r="I5" s="7">
        <v>2003</v>
      </c>
      <c r="J5" s="7">
        <v>2004</v>
      </c>
      <c r="K5" s="7">
        <v>2005</v>
      </c>
      <c r="L5" s="7">
        <v>2006</v>
      </c>
      <c r="M5" s="7">
        <v>2007</v>
      </c>
      <c r="N5" s="7">
        <v>2008</v>
      </c>
      <c r="O5" s="7">
        <v>2009</v>
      </c>
      <c r="P5" s="7">
        <v>2010</v>
      </c>
      <c r="Q5" s="7">
        <v>2011</v>
      </c>
      <c r="R5" s="7">
        <v>2012</v>
      </c>
      <c r="S5" s="7">
        <v>2013</v>
      </c>
      <c r="T5" s="7" t="s">
        <v>5</v>
      </c>
      <c r="U5" s="8">
        <v>2015</v>
      </c>
      <c r="V5" s="116" t="s">
        <v>74</v>
      </c>
    </row>
    <row r="6" spans="2:22" ht="12">
      <c r="B6" s="5" t="s">
        <v>75</v>
      </c>
      <c r="C6" s="48" t="s">
        <v>76</v>
      </c>
      <c r="D6" s="11">
        <v>0</v>
      </c>
      <c r="E6" s="11">
        <f aca="true" t="shared" si="0" ref="E6:U6">D6</f>
        <v>0</v>
      </c>
      <c r="F6" s="11">
        <f t="shared" si="0"/>
        <v>0</v>
      </c>
      <c r="G6" s="11">
        <f t="shared" si="0"/>
        <v>0</v>
      </c>
      <c r="H6" s="11">
        <f t="shared" si="0"/>
        <v>0</v>
      </c>
      <c r="I6" s="11">
        <f t="shared" si="0"/>
        <v>0</v>
      </c>
      <c r="J6" s="11">
        <f t="shared" si="0"/>
        <v>0</v>
      </c>
      <c r="K6" s="11">
        <f t="shared" si="0"/>
        <v>0</v>
      </c>
      <c r="L6" s="11">
        <f t="shared" si="0"/>
        <v>0</v>
      </c>
      <c r="M6" s="11">
        <f t="shared" si="0"/>
        <v>0</v>
      </c>
      <c r="N6" s="11">
        <f t="shared" si="0"/>
        <v>0</v>
      </c>
      <c r="O6" s="11">
        <f t="shared" si="0"/>
        <v>0</v>
      </c>
      <c r="P6" s="11">
        <f t="shared" si="0"/>
        <v>0</v>
      </c>
      <c r="Q6" s="11">
        <f t="shared" si="0"/>
        <v>0</v>
      </c>
      <c r="R6" s="11">
        <f t="shared" si="0"/>
        <v>0</v>
      </c>
      <c r="S6" s="11">
        <f t="shared" si="0"/>
        <v>0</v>
      </c>
      <c r="T6" s="11">
        <f t="shared" si="0"/>
        <v>0</v>
      </c>
      <c r="U6" s="11">
        <f t="shared" si="0"/>
        <v>0</v>
      </c>
      <c r="V6" s="48" t="s">
        <v>77</v>
      </c>
    </row>
    <row r="7" spans="2:22" ht="12">
      <c r="B7" s="45" t="s">
        <v>78</v>
      </c>
      <c r="C7" s="24" t="s">
        <v>76</v>
      </c>
      <c r="D7" s="3">
        <f>(D6+((($K$34*$J$32/$D$36)+($E$34*$J$32/$D$36*$C$32/$C$36))*'input asumptions'!D18))*'input asumptions'!D21</f>
        <v>0.03833333333333333</v>
      </c>
      <c r="E7" s="3">
        <f>(E6+((($K$34*$J$32/$D$36)+($E$34*$J$32/$D$36*$C$32/$C$36))*'input asumptions'!E18))*'input asumptions'!E21</f>
        <v>0.19166666666666665</v>
      </c>
      <c r="F7" s="3">
        <f>(F6+((($K$34*$J$32/$D$36)+($E$34*$J$32/$D$36*$C$32/$C$36))*'input asumptions'!F18))*'input asumptions'!F21</f>
        <v>0.3833333333333333</v>
      </c>
      <c r="G7" s="3">
        <f>(G6+((($K$34*$J$32/$D$36)+($E$34*$J$32/$D$36*$C$32/$C$36))*'input asumptions'!G18))*'input asumptions'!G21</f>
        <v>0.7027777777777777</v>
      </c>
      <c r="H7" s="3">
        <f>(H6+((($K$34*$J$32/$D$36)+($E$34*$J$32/$D$36*$C$32/$C$36))*'input asumptions'!H18))*'input asumptions'!H21</f>
        <v>1.597222222222222</v>
      </c>
      <c r="I7" s="3">
        <f>(I6+((($K$34*$J$32/$D$36)+($E$34*$J$32/$D$36*$C$32/$C$36))*'input asumptions'!I18))*'input asumptions'!I21</f>
        <v>2.875</v>
      </c>
      <c r="J7" s="3">
        <f>(J6+((($K$34*$J$32/$D$36)+($E$34*$J$32/$D$36*$C$32/$C$36))*'input asumptions'!J18))*'input asumptions'!J21</f>
        <v>3.833333333333334</v>
      </c>
      <c r="K7" s="3">
        <f>(K6+((($K$34*$J$32/$D$36)+($E$34*$J$32/$D$36*$C$32/$C$36))*'input asumptions'!K18))*'input asumptions'!K21</f>
        <v>4.472222222222221</v>
      </c>
      <c r="L7" s="3">
        <f>(L6+((($K$34*$J$32/$D$36)+($E$34*$J$32/$D$36*$C$32/$C$36))*'input asumptions'!L18))*'input asumptions'!L21</f>
        <v>4.791666666666666</v>
      </c>
      <c r="M7" s="3">
        <f>(M6+((($K$34*$J$32/$D$36)+($E$34*$J$32/$D$36*$C$32/$C$36))*'input asumptions'!M18))*'input asumptions'!M21</f>
        <v>4.791666666666666</v>
      </c>
      <c r="N7" s="3">
        <f>(N6+((($K$34*$J$32/$D$36)+($E$34*$J$32/$D$36*$C$32/$C$36))*'input asumptions'!N18))*'input asumptions'!N21</f>
        <v>4.472222222222222</v>
      </c>
      <c r="O7" s="3">
        <f>(O6+((($K$34*$J$32/$D$36)+($E$34*$J$32/$D$36*$C$32/$C$36))*'input asumptions'!O18))*'input asumptions'!O21</f>
        <v>3.833333333333333</v>
      </c>
      <c r="P7" s="3">
        <f>(P6+((($K$34*$J$32/$D$36)+($E$34*$J$32/$D$36*$C$32/$C$36))*'input asumptions'!P18))*'input asumptions'!P21</f>
        <v>4.3125</v>
      </c>
      <c r="Q7" s="3">
        <f>(Q6+((($K$34*$J$32/$D$36)+($E$34*$J$32/$D$36*$C$32/$C$36))*'input asumptions'!Q18))*'input asumptions'!Q21</f>
        <v>4.791666666666666</v>
      </c>
      <c r="R7" s="3">
        <f>(R6+((($K$34*$J$32/$D$36)+($E$34*$J$32/$D$36*$C$32/$C$36))*'input asumptions'!R18))*'input asumptions'!R21</f>
        <v>5.270833333333333</v>
      </c>
      <c r="S7" s="3">
        <f>(S6+((($K$34*$J$32/$D$36)+($E$34*$J$32/$D$36*$C$32/$C$36))*'input asumptions'!S18))*'input asumptions'!S21</f>
        <v>5.75</v>
      </c>
      <c r="T7" s="3">
        <f>(T6+((($K$34*$J$32/$D$36)+($E$34*$J$32/$D$36*$C$32/$C$36))*'input asumptions'!T18))*'input asumptions'!T21</f>
        <v>5.75</v>
      </c>
      <c r="U7" s="3">
        <f>(U6+((($K$34*$J$32/$D$36)+($E$34*$J$32/$D$36*$C$32/$C$36))*'input asumptions'!U18))*'input asumptions'!U21</f>
        <v>5.75</v>
      </c>
      <c r="V7" s="24" t="s">
        <v>77</v>
      </c>
    </row>
    <row r="8" spans="2:22" ht="12">
      <c r="B8" s="45" t="s">
        <v>79</v>
      </c>
      <c r="C8" s="24" t="s">
        <v>76</v>
      </c>
      <c r="D8" s="100">
        <f>(D6+((($E$34*$J$32/$D$36*$C$32/$C$36))*'input asumptions'!D18))*'input asumptions'!D21</f>
        <v>0.02333333333333333</v>
      </c>
      <c r="E8" s="100">
        <f>(E6+((($E$34*$J$32/$D$36*$C$32/$C$36))*'input asumptions'!E18))*'input asumptions'!E21</f>
        <v>0.11666666666666665</v>
      </c>
      <c r="F8" s="100">
        <f>(F6+((($E$34*$J$32/$D$36*$C$32/$C$36))*'input asumptions'!F18))*'input asumptions'!F21</f>
        <v>0.2333333333333333</v>
      </c>
      <c r="G8" s="100">
        <f>(G6+((($E$34*$J$32/$D$36*$C$32/$C$36))*'input asumptions'!G18))*'input asumptions'!G21</f>
        <v>0.4277777777777777</v>
      </c>
      <c r="H8" s="100">
        <f>(H6+((($E$34*$J$32/$D$36*$C$32/$C$36))*'input asumptions'!H18))*'input asumptions'!H21</f>
        <v>0.9722222222222221</v>
      </c>
      <c r="I8" s="100">
        <f>(I6+((($E$34*$J$32/$D$36*$C$32/$C$36))*'input asumptions'!I18))*'input asumptions'!I21</f>
        <v>1.7499999999999998</v>
      </c>
      <c r="J8" s="100">
        <f>(J6+((($E$34*$J$32/$D$36*$C$32/$C$36))*'input asumptions'!J18))*'input asumptions'!J21</f>
        <v>2.3333333333333335</v>
      </c>
      <c r="K8" s="100">
        <f>(K6+((($E$34*$J$32/$D$36*$C$32/$C$36))*'input asumptions'!K18))*'input asumptions'!K21</f>
        <v>2.7222222222222214</v>
      </c>
      <c r="L8" s="100">
        <f>(L6+((($E$34*$J$32/$D$36*$C$32/$C$36))*'input asumptions'!L18))*'input asumptions'!L21</f>
        <v>2.9166666666666665</v>
      </c>
      <c r="M8" s="100">
        <f>(M6+((($E$34*$J$32/$D$36*$C$32/$C$36))*'input asumptions'!M18))*'input asumptions'!M21</f>
        <v>2.916666666666666</v>
      </c>
      <c r="N8" s="100">
        <f>(N6+((($E$34*$J$32/$D$36*$C$32/$C$36))*'input asumptions'!N18))*'input asumptions'!N21</f>
        <v>2.7222222222222223</v>
      </c>
      <c r="O8" s="100">
        <f>(O6+((($E$34*$J$32/$D$36*$C$32/$C$36))*'input asumptions'!O18))*'input asumptions'!O21</f>
        <v>2.333333333333333</v>
      </c>
      <c r="P8" s="100">
        <f>(P6+((($E$34*$J$32/$D$36*$C$32/$C$36))*'input asumptions'!P18))*'input asumptions'!P21</f>
        <v>2.6249999999999996</v>
      </c>
      <c r="Q8" s="100">
        <f>(Q6+((($E$34*$J$32/$D$36*$C$32/$C$36))*'input asumptions'!Q18))*'input asumptions'!Q21</f>
        <v>2.9166666666666665</v>
      </c>
      <c r="R8" s="100">
        <f>(R6+((($E$34*$J$32/$D$36*$C$32/$C$36))*'input asumptions'!R18))*'input asumptions'!R21</f>
        <v>3.208333333333333</v>
      </c>
      <c r="S8" s="100">
        <f>(S6+((($E$34*$J$32/$D$36*$C$32/$C$36))*'input asumptions'!S18))*'input asumptions'!S21</f>
        <v>3.4999999999999996</v>
      </c>
      <c r="T8" s="100">
        <f>(T6+((($E$34*$J$32/$D$36*$C$32/$C$36))*'input asumptions'!T18))*'input asumptions'!T21</f>
        <v>3.4999999999999996</v>
      </c>
      <c r="U8" s="100">
        <f>(U6+((($E$34*$J$32/$D$36*$C$32/$C$36))*'input asumptions'!U18))*'input asumptions'!U21</f>
        <v>3.4999999999999996</v>
      </c>
      <c r="V8" s="24" t="s">
        <v>77</v>
      </c>
    </row>
    <row r="9" spans="2:22" ht="12">
      <c r="B9" s="45" t="s">
        <v>80</v>
      </c>
      <c r="C9" s="24" t="s">
        <v>76</v>
      </c>
      <c r="D9" s="100">
        <f>(D6+((($K$34*$J$32/$D$36))*'input asumptions'!D18))*'input asumptions'!D21</f>
        <v>0.015</v>
      </c>
      <c r="E9" s="100">
        <f>(E6+((($K$34*$J$32/$D$36))*'input asumptions'!E18))*'input asumptions'!E21</f>
        <v>0.075</v>
      </c>
      <c r="F9" s="100">
        <f>(F6+((($K$34*$J$32/$D$36))*'input asumptions'!F18))*'input asumptions'!F21</f>
        <v>0.15</v>
      </c>
      <c r="G9" s="100">
        <f>(G6+((($K$34*$J$32/$D$36))*'input asumptions'!G18))*'input asumptions'!G21</f>
        <v>0.27499999999999997</v>
      </c>
      <c r="H9" s="100">
        <f>(H6+((($K$34*$J$32/$D$36))*'input asumptions'!H18))*'input asumptions'!H21</f>
        <v>0.625</v>
      </c>
      <c r="I9" s="100">
        <f>(I6+((($K$34*$J$32/$D$36))*'input asumptions'!I18))*'input asumptions'!I21</f>
        <v>1.125</v>
      </c>
      <c r="J9" s="100">
        <f>(J6+((($K$34*$J$32/$D$36))*'input asumptions'!J18))*'input asumptions'!J21</f>
        <v>1.5000000000000002</v>
      </c>
      <c r="K9" s="100">
        <f>(K6+((($K$34*$J$32/$D$36))*'input asumptions'!K18))*'input asumptions'!K21</f>
        <v>1.7499999999999998</v>
      </c>
      <c r="L9" s="100">
        <f>(L6+((($K$34*$J$32/$D$36))*'input asumptions'!L18))*'input asumptions'!L21</f>
        <v>1.875</v>
      </c>
      <c r="M9" s="100">
        <f>(M6+((($K$34*$J$32/$D$36))*'input asumptions'!M18))*'input asumptions'!M21</f>
        <v>1.8749999999999998</v>
      </c>
      <c r="N9" s="100">
        <f>(N6+((($K$34*$J$32/$D$36))*'input asumptions'!N18))*'input asumptions'!N21</f>
        <v>1.7500000000000002</v>
      </c>
      <c r="O9" s="100">
        <f>(O6+((($K$34*$J$32/$D$36))*'input asumptions'!O18))*'input asumptions'!O21</f>
        <v>1.5</v>
      </c>
      <c r="P9" s="100">
        <f>(P6+((($K$34*$J$32/$D$36))*'input asumptions'!P18))*'input asumptions'!P21</f>
        <v>1.6875</v>
      </c>
      <c r="Q9" s="100">
        <f>(Q6+((($K$34*$J$32/$D$36))*'input asumptions'!Q18))*'input asumptions'!Q21</f>
        <v>1.875</v>
      </c>
      <c r="R9" s="100">
        <f>(R6+((($K$34*$J$32/$D$36))*'input asumptions'!R18))*'input asumptions'!R21</f>
        <v>2.0625</v>
      </c>
      <c r="S9" s="100">
        <f>(S6+((($K$34*$J$32/$D$36))*'input asumptions'!S18))*'input asumptions'!S21</f>
        <v>2.25</v>
      </c>
      <c r="T9" s="100">
        <f>(T6+((($K$34*$J$32/$D$36))*'input asumptions'!T18))*'input asumptions'!T21</f>
        <v>2.25</v>
      </c>
      <c r="U9" s="100">
        <f>(U6+((($K$34*$J$32/$D$36))*'input asumptions'!U18))*'input asumptions'!U21</f>
        <v>2.25</v>
      </c>
      <c r="V9" s="24" t="s">
        <v>77</v>
      </c>
    </row>
    <row r="10" spans="2:22" ht="12">
      <c r="B10" s="45" t="s">
        <v>81</v>
      </c>
      <c r="C10" s="24" t="s">
        <v>76</v>
      </c>
      <c r="D10" s="3">
        <f>(D6+((($K$34*$J$32/$D$36)+($E$34*$J$32/$D$36*$C$32/$C$36))*'input asumptions'!D18))*'input asumptions'!D22</f>
        <v>0</v>
      </c>
      <c r="E10" s="3">
        <f>(E6+((($K$34*$J$32/$D$36)+($E$34*$J$32/$D$36*$C$32/$C$36))*'input asumptions'!E18))*'input asumptions'!E22</f>
        <v>0</v>
      </c>
      <c r="F10" s="3">
        <f>(F6+((($K$34*$J$32/$D$36)+($E$34*$J$32/$D$36*$C$32/$C$36))*'input asumptions'!F18))*'input asumptions'!F22</f>
        <v>0</v>
      </c>
      <c r="G10" s="3">
        <f>(G6+((($K$34*$J$32/$D$36)+($E$34*$J$32/$D$36*$C$32/$C$36))*'input asumptions'!G18))*'input asumptions'!G22</f>
        <v>0.04011627906976744</v>
      </c>
      <c r="H10" s="3">
        <f>(H6+((($K$34*$J$32/$D$36)+($E$34*$J$32/$D$36*$C$32/$C$36))*'input asumptions'!H18))*'input asumptions'!H22</f>
        <v>0.26744186046511625</v>
      </c>
      <c r="I10" s="3">
        <f>(I6+((($K$34*$J$32/$D$36)+($E$34*$J$32/$D$36*$C$32/$C$36))*'input asumptions'!I18))*'input asumptions'!I22</f>
        <v>0.8691860465116278</v>
      </c>
      <c r="J10" s="3">
        <f>(J6+((($K$34*$J$32/$D$36)+($E$34*$J$32/$D$36*$C$32/$C$36))*'input asumptions'!J18))*'input asumptions'!J22</f>
        <v>1.805232558139535</v>
      </c>
      <c r="K10" s="3">
        <f>(K6+((($K$34*$J$32/$D$36)+($E$34*$J$32/$D$36*$C$32/$C$36))*'input asumptions'!K18))*'input asumptions'!K22</f>
        <v>3.075581395348837</v>
      </c>
      <c r="L10" s="3">
        <f>(L6+((($K$34*$J$32/$D$36)+($E$34*$J$32/$D$36*$C$32/$C$36))*'input asumptions'!L18))*'input asumptions'!L22</f>
        <v>4.680232558139534</v>
      </c>
      <c r="M10" s="3">
        <f>(M6+((($K$34*$J$32/$D$36)+($E$34*$J$32/$D$36*$C$32/$C$36))*'input asumptions'!M18))*'input asumptions'!M22</f>
        <v>6.619186046511628</v>
      </c>
      <c r="N10" s="3">
        <f>(N6+((($K$34*$J$32/$D$36)+($E$34*$J$32/$D$36*$C$32/$C$36))*'input asumptions'!N18))*'input asumptions'!N22</f>
        <v>8.892441860465116</v>
      </c>
      <c r="O10" s="3">
        <f>(O6+((($K$34*$J$32/$D$36)+($E$34*$J$32/$D$36*$C$32/$C$36))*'input asumptions'!O18))*'input asumptions'!O22</f>
        <v>11.5</v>
      </c>
      <c r="P10" s="3">
        <f>(P6+((($K$34*$J$32/$D$36)+($E$34*$J$32/$D$36*$C$32/$C$36))*'input asumptions'!P18))*'input asumptions'!P22</f>
        <v>12.9375</v>
      </c>
      <c r="Q10" s="3">
        <f>(Q6+((($K$34*$J$32/$D$36)+($E$34*$J$32/$D$36*$C$32/$C$36))*'input asumptions'!Q18))*'input asumptions'!Q22</f>
        <v>14.374999999999998</v>
      </c>
      <c r="R10" s="3">
        <f>(R6+((($K$34*$J$32/$D$36)+($E$34*$J$32/$D$36*$C$32/$C$36))*'input asumptions'!R18))*'input asumptions'!R22</f>
        <v>15.8125</v>
      </c>
      <c r="S10" s="3">
        <f>(S6+((($K$34*$J$32/$D$36)+($E$34*$J$32/$D$36*$C$32/$C$36))*'input asumptions'!S18))*'input asumptions'!S22</f>
        <v>17.25</v>
      </c>
      <c r="T10" s="3">
        <f>(T6+((($K$34*$J$32/$D$36)+($E$34*$J$32/$D$36*$C$32/$C$36))*'input asumptions'!T18))*'input asumptions'!T22</f>
        <v>17.25</v>
      </c>
      <c r="U10" s="3">
        <f>(U6+((($K$34*$J$32/$D$36)+($E$34*$J$32/$D$36*$C$32/$C$36))*'input asumptions'!U18))*'input asumptions'!U22</f>
        <v>17.25</v>
      </c>
      <c r="V10" s="24" t="s">
        <v>77</v>
      </c>
    </row>
    <row r="11" spans="2:22" ht="12">
      <c r="B11" s="45" t="s">
        <v>82</v>
      </c>
      <c r="C11" s="24" t="s">
        <v>76</v>
      </c>
      <c r="D11" s="100">
        <f>(D6+((($E$34*$J$32/$D$36*$C$32/$C$36))*'input asumptions'!D18))*'input asumptions'!D22</f>
        <v>0</v>
      </c>
      <c r="E11" s="100">
        <f>(E6+((($E$34*$J$32/$D$36*$C$32/$C$36))*'input asumptions'!E18))*'input asumptions'!E22</f>
        <v>0</v>
      </c>
      <c r="F11" s="100">
        <f>(F6+((($E$34*$J$32/$D$36*$C$32/$C$36))*'input asumptions'!F18))*'input asumptions'!F22</f>
        <v>0</v>
      </c>
      <c r="G11" s="100">
        <f>(G6+((($E$34*$J$32/$D$36*$C$32/$C$36))*'input asumptions'!G18))*'input asumptions'!G22</f>
        <v>0.02441860465116279</v>
      </c>
      <c r="H11" s="100">
        <f>(H6+((($E$34*$J$32/$D$36*$C$32/$C$36))*'input asumptions'!H18))*'input asumptions'!H22</f>
        <v>0.1627906976744186</v>
      </c>
      <c r="I11" s="100">
        <f>(I6+((($E$34*$J$32/$D$36*$C$32/$C$36))*'input asumptions'!I18))*'input asumptions'!I22</f>
        <v>0.5290697674418604</v>
      </c>
      <c r="J11" s="100">
        <f>(J6+((($E$34*$J$32/$D$36*$C$32/$C$36))*'input asumptions'!J18))*'input asumptions'!J22</f>
        <v>1.0988372093023255</v>
      </c>
      <c r="K11" s="100">
        <f>(K6+((($E$34*$J$32/$D$36*$C$32/$C$36))*'input asumptions'!K18))*'input asumptions'!K22</f>
        <v>1.8720930232558137</v>
      </c>
      <c r="L11" s="100">
        <f>(L6+((($E$34*$J$32/$D$36*$C$32/$C$36))*'input asumptions'!L18))*'input asumptions'!L22</f>
        <v>2.8488372093023253</v>
      </c>
      <c r="M11" s="100">
        <f>(M6+((($E$34*$J$32/$D$36*$C$32/$C$36))*'input asumptions'!M18))*'input asumptions'!M22</f>
        <v>4.02906976744186</v>
      </c>
      <c r="N11" s="100">
        <f>(N6+((($E$34*$J$32/$D$36*$C$32/$C$36))*'input asumptions'!N18))*'input asumptions'!N22</f>
        <v>5.412790697674418</v>
      </c>
      <c r="O11" s="100">
        <f>(O6+((($E$34*$J$32/$D$36*$C$32/$C$36))*'input asumptions'!O18))*'input asumptions'!O22</f>
        <v>6.999999999999999</v>
      </c>
      <c r="P11" s="100">
        <f>(P6+((($E$34*$J$32/$D$36*$C$32/$C$36))*'input asumptions'!P18))*'input asumptions'!P22</f>
        <v>7.874999999999998</v>
      </c>
      <c r="Q11" s="100">
        <f>(Q6+((($E$34*$J$32/$D$36*$C$32/$C$36))*'input asumptions'!Q18))*'input asumptions'!Q22</f>
        <v>8.75</v>
      </c>
      <c r="R11" s="100">
        <f>(R6+((($E$34*$J$32/$D$36*$C$32/$C$36))*'input asumptions'!R18))*'input asumptions'!R22</f>
        <v>9.625</v>
      </c>
      <c r="S11" s="100">
        <f>(S6+((($E$34*$J$32/$D$36*$C$32/$C$36))*'input asumptions'!S18))*'input asumptions'!S22</f>
        <v>10.499999999999998</v>
      </c>
      <c r="T11" s="100">
        <f>(T6+((($E$34*$J$32/$D$36*$C$32/$C$36))*'input asumptions'!T18))*'input asumptions'!T22</f>
        <v>10.499999999999998</v>
      </c>
      <c r="U11" s="100">
        <f>(U6+((($E$34*$J$32/$D$36*$C$32/$C$36))*'input asumptions'!U18))*'input asumptions'!U22</f>
        <v>10.499999999999998</v>
      </c>
      <c r="V11" s="24" t="s">
        <v>77</v>
      </c>
    </row>
    <row r="12" spans="2:22" ht="12">
      <c r="B12" s="45" t="s">
        <v>83</v>
      </c>
      <c r="C12" s="24" t="s">
        <v>76</v>
      </c>
      <c r="D12" s="100">
        <f>(D6+((($K$34*$J$32/$D$36))*'input asumptions'!D18))*'input asumptions'!D22</f>
        <v>0</v>
      </c>
      <c r="E12" s="100">
        <f>(E6+((($K$34*$J$32/$D$36))*'input asumptions'!E18))*'input asumptions'!E22</f>
        <v>0</v>
      </c>
      <c r="F12" s="100">
        <f>(F6+((($K$34*$J$32/$D$36))*'input asumptions'!F18))*'input asumptions'!F22</f>
        <v>0</v>
      </c>
      <c r="G12" s="100">
        <f>(G6+((($K$34*$J$32/$D$36))*'input asumptions'!G18))*'input asumptions'!G22</f>
        <v>0.015697674418604653</v>
      </c>
      <c r="H12" s="100">
        <f>(H6+((($K$34*$J$32/$D$36))*'input asumptions'!H18))*'input asumptions'!H22</f>
        <v>0.10465116279069767</v>
      </c>
      <c r="I12" s="100">
        <f>(I6+((($K$34*$J$32/$D$36))*'input asumptions'!I18))*'input asumptions'!I22</f>
        <v>0.34011627906976744</v>
      </c>
      <c r="J12" s="100">
        <f>(J6+((($K$34*$J$32/$D$36))*'input asumptions'!J18))*'input asumptions'!J22</f>
        <v>0.7063953488372093</v>
      </c>
      <c r="K12" s="100">
        <f>(K6+((($K$34*$J$32/$D$36))*'input asumptions'!K18))*'input asumptions'!K22</f>
        <v>1.2034883720930232</v>
      </c>
      <c r="L12" s="100">
        <f>(L6+((($K$34*$J$32/$D$36))*'input asumptions'!L18))*'input asumptions'!L22</f>
        <v>1.8313953488372092</v>
      </c>
      <c r="M12" s="100">
        <f>(M6+((($K$34*$J$32/$D$36))*'input asumptions'!M18))*'input asumptions'!M22</f>
        <v>2.5901162790697674</v>
      </c>
      <c r="N12" s="100">
        <f>(N6+((($K$34*$J$32/$D$36))*'input asumptions'!N18))*'input asumptions'!N22</f>
        <v>3.4796511627906974</v>
      </c>
      <c r="O12" s="100">
        <f>(O6+((($K$34*$J$32/$D$36))*'input asumptions'!O18))*'input asumptions'!O22</f>
        <v>4.5</v>
      </c>
      <c r="P12" s="100">
        <f>(P6+((($K$34*$J$32/$D$36))*'input asumptions'!P18))*'input asumptions'!P22</f>
        <v>5.0625</v>
      </c>
      <c r="Q12" s="100">
        <f>(Q6+((($K$34*$J$32/$D$36))*'input asumptions'!Q18))*'input asumptions'!Q22</f>
        <v>5.625</v>
      </c>
      <c r="R12" s="100">
        <f>(R6+((($K$34*$J$32/$D$36))*'input asumptions'!R18))*'input asumptions'!R22</f>
        <v>6.1875</v>
      </c>
      <c r="S12" s="100">
        <f>(S6+((($K$34*$J$32/$D$36))*'input asumptions'!S18))*'input asumptions'!S22</f>
        <v>6.75</v>
      </c>
      <c r="T12" s="100">
        <f>(T6+((($K$34*$J$32/$D$36))*'input asumptions'!T18))*'input asumptions'!T22</f>
        <v>6.75</v>
      </c>
      <c r="U12" s="100">
        <f>(U6+((($K$34*$J$32/$D$36))*'input asumptions'!U18))*'input asumptions'!U22</f>
        <v>6.75</v>
      </c>
      <c r="V12" s="24" t="s">
        <v>77</v>
      </c>
    </row>
    <row r="13" spans="2:22" ht="12">
      <c r="B13" s="4" t="s">
        <v>84</v>
      </c>
      <c r="C13" s="27" t="s">
        <v>76</v>
      </c>
      <c r="D13" s="9">
        <f aca="true" t="shared" si="1" ref="D13:M13">D10+D7</f>
        <v>0.03833333333333333</v>
      </c>
      <c r="E13" s="9">
        <f t="shared" si="1"/>
        <v>0.19166666666666665</v>
      </c>
      <c r="F13" s="9">
        <f t="shared" si="1"/>
        <v>0.3833333333333333</v>
      </c>
      <c r="G13" s="9">
        <f t="shared" si="1"/>
        <v>0.7428940568475452</v>
      </c>
      <c r="H13" s="9">
        <f t="shared" si="1"/>
        <v>1.8646640826873384</v>
      </c>
      <c r="I13" s="9">
        <f t="shared" si="1"/>
        <v>3.744186046511628</v>
      </c>
      <c r="J13" s="9">
        <f t="shared" si="1"/>
        <v>5.638565891472869</v>
      </c>
      <c r="K13" s="9">
        <f t="shared" si="1"/>
        <v>7.547803617571058</v>
      </c>
      <c r="L13" s="9">
        <f t="shared" si="1"/>
        <v>9.4718992248062</v>
      </c>
      <c r="M13" s="9">
        <f t="shared" si="1"/>
        <v>11.410852713178294</v>
      </c>
      <c r="N13" s="9">
        <f aca="true" t="shared" si="2" ref="N13:U13">N10+N7</f>
        <v>13.364664082687337</v>
      </c>
      <c r="O13" s="9">
        <f t="shared" si="2"/>
        <v>15.333333333333332</v>
      </c>
      <c r="P13" s="9">
        <f t="shared" si="2"/>
        <v>17.25</v>
      </c>
      <c r="Q13" s="9">
        <f t="shared" si="2"/>
        <v>19.166666666666664</v>
      </c>
      <c r="R13" s="9">
        <f t="shared" si="2"/>
        <v>21.083333333333332</v>
      </c>
      <c r="S13" s="9">
        <f t="shared" si="2"/>
        <v>23</v>
      </c>
      <c r="T13" s="9">
        <f t="shared" si="2"/>
        <v>23</v>
      </c>
      <c r="U13" s="9">
        <f t="shared" si="2"/>
        <v>23</v>
      </c>
      <c r="V13" s="27" t="s">
        <v>77</v>
      </c>
    </row>
    <row r="14" spans="2:22" ht="12">
      <c r="B14" s="5" t="s">
        <v>85</v>
      </c>
      <c r="C14" s="48" t="s">
        <v>86</v>
      </c>
      <c r="D14" s="11">
        <f>SUM($D6:D6)</f>
        <v>0</v>
      </c>
      <c r="E14" s="11">
        <f>SUM($D6:E6)</f>
        <v>0</v>
      </c>
      <c r="F14" s="11">
        <f>SUM($D6:F6)</f>
        <v>0</v>
      </c>
      <c r="G14" s="11">
        <f>SUM($D6:G6)</f>
        <v>0</v>
      </c>
      <c r="H14" s="11">
        <f>SUM($D6:H6)</f>
        <v>0</v>
      </c>
      <c r="I14" s="11">
        <f>SUM($D6:I6)</f>
        <v>0</v>
      </c>
      <c r="J14" s="11">
        <f>SUM($D6:J6)</f>
        <v>0</v>
      </c>
      <c r="K14" s="11">
        <f>SUM($D6:K6)</f>
        <v>0</v>
      </c>
      <c r="L14" s="11">
        <f>SUM($D6:L6)</f>
        <v>0</v>
      </c>
      <c r="M14" s="11">
        <f>SUM($D6:M6)</f>
        <v>0</v>
      </c>
      <c r="N14" s="11">
        <f>SUM($D6:N6)</f>
        <v>0</v>
      </c>
      <c r="O14" s="11">
        <f>SUM($D6:O6)</f>
        <v>0</v>
      </c>
      <c r="P14" s="11">
        <f>SUM($D6:P6)</f>
        <v>0</v>
      </c>
      <c r="Q14" s="11">
        <f>SUM($D6:Q6)</f>
        <v>0</v>
      </c>
      <c r="R14" s="11">
        <f>SUM($D6:R6)</f>
        <v>0</v>
      </c>
      <c r="S14" s="11">
        <f>SUM($D6:S6)</f>
        <v>0</v>
      </c>
      <c r="T14" s="11">
        <f>SUM($D6:T6)</f>
        <v>0</v>
      </c>
      <c r="U14" s="11">
        <f>SUM($D6:U6)</f>
        <v>0</v>
      </c>
      <c r="V14" s="48" t="s">
        <v>77</v>
      </c>
    </row>
    <row r="15" spans="2:22" ht="12">
      <c r="B15" s="45" t="s">
        <v>87</v>
      </c>
      <c r="C15" s="24" t="s">
        <v>86</v>
      </c>
      <c r="D15" s="3">
        <f>SUM($D7:D7)</f>
        <v>0.03833333333333333</v>
      </c>
      <c r="E15" s="3">
        <f>SUM($D7:E7)</f>
        <v>0.22999999999999998</v>
      </c>
      <c r="F15" s="3">
        <f>SUM($D7:F7)</f>
        <v>0.6133333333333333</v>
      </c>
      <c r="G15" s="3">
        <f>SUM($D7:G7)</f>
        <v>1.316111111111111</v>
      </c>
      <c r="H15" s="3">
        <f>SUM($D7:H7)</f>
        <v>2.913333333333333</v>
      </c>
      <c r="I15" s="3">
        <f>SUM($D7:I7)</f>
        <v>5.788333333333333</v>
      </c>
      <c r="J15" s="3">
        <f>SUM($D7:J7)</f>
        <v>9.621666666666666</v>
      </c>
      <c r="K15" s="3">
        <f>SUM($D7:K7)</f>
        <v>14.093888888888888</v>
      </c>
      <c r="L15" s="3">
        <f>SUM($D7:L7)</f>
        <v>18.885555555555555</v>
      </c>
      <c r="M15" s="3">
        <f>SUM($D7:M7)</f>
        <v>23.67722222222222</v>
      </c>
      <c r="N15" s="3">
        <f>SUM($D7:N7)</f>
        <v>28.14944444444444</v>
      </c>
      <c r="O15" s="3">
        <f>SUM($D7:O7)</f>
        <v>31.982777777777773</v>
      </c>
      <c r="P15" s="3">
        <f>SUM($D7:P7)</f>
        <v>36.29527777777777</v>
      </c>
      <c r="Q15" s="3">
        <f>SUM($D7:Q7)</f>
        <v>41.086944444444434</v>
      </c>
      <c r="R15" s="3">
        <f>SUM($D7:R7)</f>
        <v>46.35777777777777</v>
      </c>
      <c r="S15" s="3">
        <f>SUM($D7:S7)</f>
        <v>52.10777777777777</v>
      </c>
      <c r="T15" s="3">
        <f>SUM($D7:T7)</f>
        <v>57.85777777777777</v>
      </c>
      <c r="U15" s="3">
        <f>SUM($D7:U7)</f>
        <v>63.60777777777777</v>
      </c>
      <c r="V15" s="24" t="s">
        <v>77</v>
      </c>
    </row>
    <row r="16" spans="2:22" ht="12">
      <c r="B16" s="45" t="s">
        <v>88</v>
      </c>
      <c r="C16" s="24" t="s">
        <v>86</v>
      </c>
      <c r="D16" s="3">
        <f>SUM($D10:D10)</f>
        <v>0</v>
      </c>
      <c r="E16" s="3">
        <f>SUM($D10:E10)</f>
        <v>0</v>
      </c>
      <c r="F16" s="3">
        <f>SUM($D10:F10)</f>
        <v>0</v>
      </c>
      <c r="G16" s="3">
        <f>SUM($D10:G10)</f>
        <v>0.04011627906976744</v>
      </c>
      <c r="H16" s="3">
        <f>SUM($D10:H10)</f>
        <v>0.3075581395348837</v>
      </c>
      <c r="I16" s="3">
        <f>SUM($D10:I10)</f>
        <v>1.1767441860465115</v>
      </c>
      <c r="J16" s="3">
        <f>SUM($D10:J10)</f>
        <v>2.9819767441860465</v>
      </c>
      <c r="K16" s="3">
        <f>SUM($D10:K10)</f>
        <v>6.057558139534883</v>
      </c>
      <c r="L16" s="3">
        <f>SUM($D10:L10)</f>
        <v>10.737790697674416</v>
      </c>
      <c r="M16" s="3">
        <f>SUM($D10:M10)</f>
        <v>17.356976744186046</v>
      </c>
      <c r="N16" s="3">
        <f>SUM($D10:N10)</f>
        <v>26.24941860465116</v>
      </c>
      <c r="O16" s="3">
        <f>SUM($D10:O10)</f>
        <v>37.74941860465116</v>
      </c>
      <c r="P16" s="3">
        <f>SUM($D10:P10)</f>
        <v>50.68691860465116</v>
      </c>
      <c r="Q16" s="3">
        <f>SUM($D10:Q10)</f>
        <v>65.06191860465115</v>
      </c>
      <c r="R16" s="3">
        <f>SUM($D10:R10)</f>
        <v>80.87441860465115</v>
      </c>
      <c r="S16" s="3">
        <f>SUM($D10:S10)</f>
        <v>98.12441860465115</v>
      </c>
      <c r="T16" s="3">
        <f>SUM($D10:T10)</f>
        <v>115.37441860465115</v>
      </c>
      <c r="U16" s="3">
        <f>SUM($D10:U10)</f>
        <v>132.62441860465117</v>
      </c>
      <c r="V16" s="24" t="s">
        <v>77</v>
      </c>
    </row>
    <row r="17" spans="2:22" ht="12">
      <c r="B17" s="4" t="s">
        <v>89</v>
      </c>
      <c r="C17" s="27" t="s">
        <v>86</v>
      </c>
      <c r="D17" s="9">
        <f>SUM($D13:D13)</f>
        <v>0.03833333333333333</v>
      </c>
      <c r="E17" s="9">
        <f>SUM($D13:E13)</f>
        <v>0.22999999999999998</v>
      </c>
      <c r="F17" s="9">
        <f>SUM($D13:F13)</f>
        <v>0.6133333333333333</v>
      </c>
      <c r="G17" s="9">
        <f>SUM($D13:G13)</f>
        <v>1.3562273901808783</v>
      </c>
      <c r="H17" s="9">
        <f>SUM($D13:H13)</f>
        <v>3.2208914728682165</v>
      </c>
      <c r="I17" s="9">
        <f>SUM($D13:I13)</f>
        <v>6.965077519379845</v>
      </c>
      <c r="J17" s="9">
        <f>SUM($D13:J13)</f>
        <v>12.603643410852714</v>
      </c>
      <c r="K17" s="9">
        <f>SUM($D13:K13)</f>
        <v>20.15144702842377</v>
      </c>
      <c r="L17" s="9">
        <f>SUM($D13:L13)</f>
        <v>29.623346253229972</v>
      </c>
      <c r="M17" s="9">
        <f>SUM($D13:M13)</f>
        <v>41.03419896640827</v>
      </c>
      <c r="N17" s="9">
        <f>SUM($D13:N13)</f>
        <v>54.39886304909561</v>
      </c>
      <c r="O17" s="9">
        <f>SUM($D13:O13)</f>
        <v>69.73219638242894</v>
      </c>
      <c r="P17" s="9">
        <f>SUM($D13:P13)</f>
        <v>86.98219638242894</v>
      </c>
      <c r="Q17" s="9">
        <f>SUM($D13:Q13)</f>
        <v>106.14886304909561</v>
      </c>
      <c r="R17" s="9">
        <f>SUM($D13:R13)</f>
        <v>127.23219638242894</v>
      </c>
      <c r="S17" s="9">
        <f>SUM($D13:S13)</f>
        <v>150.23219638242892</v>
      </c>
      <c r="T17" s="9">
        <f>SUM($D13:T13)</f>
        <v>173.23219638242892</v>
      </c>
      <c r="U17" s="9">
        <f>SUM($D13:U13)</f>
        <v>196.23219638242892</v>
      </c>
      <c r="V17" s="27" t="s">
        <v>77</v>
      </c>
    </row>
    <row r="18" spans="2:22" ht="12">
      <c r="B18" s="5" t="s">
        <v>90</v>
      </c>
      <c r="C18" s="48" t="s">
        <v>91</v>
      </c>
      <c r="D18" s="11">
        <v>9000</v>
      </c>
      <c r="E18" s="11">
        <f aca="true" t="shared" si="3" ref="E18:U18">D18</f>
        <v>9000</v>
      </c>
      <c r="F18" s="11">
        <f t="shared" si="3"/>
        <v>9000</v>
      </c>
      <c r="G18" s="11">
        <f t="shared" si="3"/>
        <v>9000</v>
      </c>
      <c r="H18" s="11">
        <f t="shared" si="3"/>
        <v>9000</v>
      </c>
      <c r="I18" s="11">
        <f t="shared" si="3"/>
        <v>9000</v>
      </c>
      <c r="J18" s="11">
        <f t="shared" si="3"/>
        <v>9000</v>
      </c>
      <c r="K18" s="11">
        <f t="shared" si="3"/>
        <v>9000</v>
      </c>
      <c r="L18" s="11">
        <f t="shared" si="3"/>
        <v>9000</v>
      </c>
      <c r="M18" s="11">
        <f t="shared" si="3"/>
        <v>9000</v>
      </c>
      <c r="N18" s="11">
        <f t="shared" si="3"/>
        <v>9000</v>
      </c>
      <c r="O18" s="11">
        <f t="shared" si="3"/>
        <v>9000</v>
      </c>
      <c r="P18" s="11">
        <f t="shared" si="3"/>
        <v>9000</v>
      </c>
      <c r="Q18" s="11">
        <f t="shared" si="3"/>
        <v>9000</v>
      </c>
      <c r="R18" s="11">
        <f t="shared" si="3"/>
        <v>9000</v>
      </c>
      <c r="S18" s="11">
        <f t="shared" si="3"/>
        <v>9000</v>
      </c>
      <c r="T18" s="11">
        <f t="shared" si="3"/>
        <v>9000</v>
      </c>
      <c r="U18" s="11">
        <f t="shared" si="3"/>
        <v>9000</v>
      </c>
      <c r="V18" s="48" t="s">
        <v>77</v>
      </c>
    </row>
    <row r="19" spans="2:22" ht="12">
      <c r="B19" s="45" t="s">
        <v>92</v>
      </c>
      <c r="C19" s="24" t="s">
        <v>91</v>
      </c>
      <c r="D19" s="3">
        <f>IF(AND(D5&gt;=$E$32,D5&lt;=$G$32),D18*(1-$C$32),D18)</f>
        <v>9000</v>
      </c>
      <c r="E19" s="3">
        <f aca="true" t="shared" si="4" ref="E19:N19">IF(AND(E5&gt;=$E$32,E5&lt;=$G$32),MIN($D19*$P$38^(LN(E15/1)/LN(2)),$D$19)*(1-$C$32),MIN($D19*$P$38^(LN(E15/1)/LN(2)),$D$19))</f>
        <v>7200</v>
      </c>
      <c r="F19" s="3">
        <f t="shared" si="4"/>
        <v>7200</v>
      </c>
      <c r="G19" s="3">
        <f t="shared" si="4"/>
        <v>7128.123758795273</v>
      </c>
      <c r="H19" s="3">
        <f t="shared" si="4"/>
        <v>6924.2101198769515</v>
      </c>
      <c r="I19" s="3">
        <f t="shared" si="4"/>
        <v>6752.7327259104495</v>
      </c>
      <c r="J19" s="3">
        <f t="shared" si="4"/>
        <v>8285.685230475437</v>
      </c>
      <c r="K19" s="3">
        <f t="shared" si="4"/>
        <v>8170.961257566288</v>
      </c>
      <c r="L19" s="3">
        <f t="shared" si="4"/>
        <v>8084.082777478948</v>
      </c>
      <c r="M19" s="3">
        <f t="shared" si="4"/>
        <v>8017.590574459543</v>
      </c>
      <c r="N19" s="3">
        <f t="shared" si="4"/>
        <v>7967.083230899657</v>
      </c>
      <c r="O19" s="3">
        <f aca="true" t="shared" si="5" ref="O19:U19">IF(AND(O5&gt;=$E$32,O5&lt;=$G$32),MIN($D19*$P$38^(LN(O15/1)/LN(2)),$D$19)*(1-$C$32),MIN($D19*$P$38^(LN(O15/1)/LN(2)),$D$19))</f>
        <v>7930.017169129844</v>
      </c>
      <c r="P19" s="3">
        <f t="shared" si="5"/>
        <v>7893.463719500017</v>
      </c>
      <c r="Q19" s="3">
        <f t="shared" si="5"/>
        <v>7857.79261957319</v>
      </c>
      <c r="R19" s="3">
        <f t="shared" si="5"/>
        <v>7823.22681234525</v>
      </c>
      <c r="S19" s="3">
        <f t="shared" si="5"/>
        <v>7789.886673847115</v>
      </c>
      <c r="T19" s="3">
        <f t="shared" si="5"/>
        <v>7760.160482254985</v>
      </c>
      <c r="U19" s="3">
        <f t="shared" si="5"/>
        <v>7733.3509342721945</v>
      </c>
      <c r="V19" s="24" t="s">
        <v>77</v>
      </c>
    </row>
    <row r="20" spans="2:22" ht="12">
      <c r="B20" s="45" t="s">
        <v>93</v>
      </c>
      <c r="C20" s="24" t="s">
        <v>91</v>
      </c>
      <c r="D20" s="3">
        <v>5500</v>
      </c>
      <c r="E20" s="3">
        <f aca="true" t="shared" si="6" ref="E20:U20">D20</f>
        <v>5500</v>
      </c>
      <c r="F20" s="3">
        <f t="shared" si="6"/>
        <v>5500</v>
      </c>
      <c r="G20" s="3">
        <f t="shared" si="6"/>
        <v>5500</v>
      </c>
      <c r="H20" s="3">
        <f t="shared" si="6"/>
        <v>5500</v>
      </c>
      <c r="I20" s="3">
        <f t="shared" si="6"/>
        <v>5500</v>
      </c>
      <c r="J20" s="3">
        <f t="shared" si="6"/>
        <v>5500</v>
      </c>
      <c r="K20" s="3">
        <f t="shared" si="6"/>
        <v>5500</v>
      </c>
      <c r="L20" s="3">
        <f t="shared" si="6"/>
        <v>5500</v>
      </c>
      <c r="M20" s="3">
        <f t="shared" si="6"/>
        <v>5500</v>
      </c>
      <c r="N20" s="3">
        <f t="shared" si="6"/>
        <v>5500</v>
      </c>
      <c r="O20" s="3">
        <f t="shared" si="6"/>
        <v>5500</v>
      </c>
      <c r="P20" s="3">
        <f t="shared" si="6"/>
        <v>5500</v>
      </c>
      <c r="Q20" s="3">
        <f t="shared" si="6"/>
        <v>5500</v>
      </c>
      <c r="R20" s="3">
        <f t="shared" si="6"/>
        <v>5500</v>
      </c>
      <c r="S20" s="3">
        <f t="shared" si="6"/>
        <v>5500</v>
      </c>
      <c r="T20" s="3">
        <f t="shared" si="6"/>
        <v>5500</v>
      </c>
      <c r="U20" s="3">
        <f t="shared" si="6"/>
        <v>5500</v>
      </c>
      <c r="V20" s="24" t="s">
        <v>77</v>
      </c>
    </row>
    <row r="21" spans="2:22" ht="12">
      <c r="B21" s="4" t="s">
        <v>94</v>
      </c>
      <c r="C21" s="27" t="s">
        <v>91</v>
      </c>
      <c r="D21" s="9">
        <v>5500</v>
      </c>
      <c r="E21" s="9">
        <f>D21</f>
        <v>5500</v>
      </c>
      <c r="F21" s="9">
        <f>E21</f>
        <v>5500</v>
      </c>
      <c r="G21" s="9">
        <f>F21</f>
        <v>5500</v>
      </c>
      <c r="H21" s="9">
        <f aca="true" t="shared" si="7" ref="H21:U21">IF(AND(H5&gt;=$E$32,H5&lt;=$G$32),MIN($D21*$P$38^(LN(H16/1)/LN(2)),$D$21)*(1-$C$32),MIN($D21*$P$38^(LN(H16/1)/LN(2)),$D$21))</f>
        <v>4400</v>
      </c>
      <c r="I21" s="9">
        <f t="shared" si="7"/>
        <v>4373.921176842516</v>
      </c>
      <c r="J21" s="9">
        <f t="shared" si="7"/>
        <v>5284.829809255955</v>
      </c>
      <c r="K21" s="9">
        <f t="shared" si="7"/>
        <v>5149.778913906414</v>
      </c>
      <c r="L21" s="9">
        <f t="shared" si="7"/>
        <v>5043.216570161745</v>
      </c>
      <c r="M21" s="9">
        <f t="shared" si="7"/>
        <v>4955.526613612667</v>
      </c>
      <c r="N21" s="9">
        <f t="shared" si="7"/>
        <v>4881.216826278419</v>
      </c>
      <c r="O21" s="9">
        <f t="shared" si="7"/>
        <v>4816.867061318608</v>
      </c>
      <c r="P21" s="9">
        <f t="shared" si="7"/>
        <v>4765.295903789266</v>
      </c>
      <c r="Q21" s="9">
        <f t="shared" si="7"/>
        <v>4722.036472437531</v>
      </c>
      <c r="R21" s="9">
        <f t="shared" si="7"/>
        <v>4684.661496313163</v>
      </c>
      <c r="S21" s="9">
        <f t="shared" si="7"/>
        <v>4651.695587056669</v>
      </c>
      <c r="T21" s="9">
        <f t="shared" si="7"/>
        <v>4624.260939299626</v>
      </c>
      <c r="U21" s="9">
        <f t="shared" si="7"/>
        <v>4600.7857233653785</v>
      </c>
      <c r="V21" s="27" t="s">
        <v>77</v>
      </c>
    </row>
    <row r="22" spans="2:22" ht="12">
      <c r="B22" s="45" t="s">
        <v>95</v>
      </c>
      <c r="C22" s="24" t="s">
        <v>96</v>
      </c>
      <c r="D22" s="28">
        <f>((D15*'input asumptions'!$C$12)+(D16*'input asumptions'!$C$9))/1000000</f>
        <v>0.00010223720203204377</v>
      </c>
      <c r="E22" s="28">
        <f>((E15*'input asumptions'!$C$12)+(E16*'input asumptions'!$C$9))/1000000</f>
        <v>0.0006134232121922626</v>
      </c>
      <c r="F22" s="28">
        <f>((F15*'input asumptions'!$C$12)+(F16*'input asumptions'!$C$9))/1000000</f>
        <v>0.0016357952325127003</v>
      </c>
      <c r="G22" s="28">
        <f>((G15*'input asumptions'!$C$12)+(G16*'input asumptions'!$C$9))/1000000</f>
        <v>0.0035820992787274587</v>
      </c>
      <c r="H22" s="28">
        <f>((H15*'input asumptions'!$C$12)+(H16*'input asumptions'!$C$9))/1000000</f>
        <v>0.008321684978688987</v>
      </c>
      <c r="I22" s="28">
        <f>((I15*'input asumptions'!$C$12)+(I16*'input asumptions'!$C$9))/1000000</f>
        <v>0.01754850754746131</v>
      </c>
      <c r="J22" s="28">
        <f>((J15*'input asumptions'!$C$12)+(J16*'input asumptions'!$C$9))/1000000</f>
        <v>0.031010218153893692</v>
      </c>
      <c r="K22" s="28">
        <f>((K15*'input asumptions'!$C$12)+(K16*'input asumptions'!$C$9))/1000000</f>
        <v>0.0484544679668354</v>
      </c>
      <c r="L22" s="28">
        <f>((L15*'input asumptions'!$C$12)+(L16*'input asumptions'!$C$9))/1000000</f>
        <v>0.0696289081551357</v>
      </c>
      <c r="M22" s="28">
        <f>((M15*'input asumptions'!$C$12)+(M16*'input asumptions'!$C$9))/1000000</f>
        <v>0.09428118988764385</v>
      </c>
      <c r="N22" s="28">
        <f>((N15*'input asumptions'!$C$12)+(N16*'input asumptions'!$C$9))/1000000</f>
        <v>0.12215896433320914</v>
      </c>
      <c r="O22" s="28">
        <f>((O15*'input asumptions'!$C$12)+(O16*'input asumptions'!$C$9))/1000000</f>
        <v>0.1530098826606808</v>
      </c>
      <c r="P22" s="28">
        <f>((P15*'input asumptions'!$C$12)+(P16*'input asumptions'!$C$9))/1000000</f>
        <v>0.18771716577908643</v>
      </c>
      <c r="Q22" s="28">
        <f>((Q15*'input asumptions'!$C$12)+(Q16*'input asumptions'!$C$9))/1000000</f>
        <v>0.22628081368842598</v>
      </c>
      <c r="R22" s="28">
        <f>((R15*'input asumptions'!$C$12)+(R16*'input asumptions'!$C$9))/1000000</f>
        <v>0.2687008263886996</v>
      </c>
      <c r="S22" s="28">
        <f>((S15*'input asumptions'!$C$12)+(S16*'input asumptions'!$C$9))/1000000</f>
        <v>0.314977203879907</v>
      </c>
      <c r="T22" s="28">
        <f>((T15*'input asumptions'!$C$12)+(T16*'input asumptions'!$C$9))/1000000</f>
        <v>0.3612535813711146</v>
      </c>
      <c r="U22" s="28">
        <f>((U15*'input asumptions'!$C$12)+(U16*'input asumptions'!$C$9))/1000000</f>
        <v>0.40752995886232213</v>
      </c>
      <c r="V22" s="24">
        <f>SUM(D22:U22)</f>
        <v>2.3168069285785693</v>
      </c>
    </row>
    <row r="23" spans="2:22" ht="12">
      <c r="B23" s="45" t="s">
        <v>97</v>
      </c>
      <c r="C23" s="24" t="s">
        <v>98</v>
      </c>
      <c r="D23" s="28">
        <f>((D15*'input asumptions'!$C$11)+(D16*'input asumptions'!$C$8))/1000</f>
        <v>0.00026084082154656643</v>
      </c>
      <c r="E23" s="28">
        <f>((E15*'input asumptions'!$C$11)+(E16*'input asumptions'!$C$8))/1000</f>
        <v>0.0015650449292793985</v>
      </c>
      <c r="F23" s="28">
        <f>((F15*'input asumptions'!$C$11)+(F16*'input asumptions'!$C$8))/1000</f>
        <v>0.004173453144745063</v>
      </c>
      <c r="G23" s="28">
        <f>((G15*'input asumptions'!$C$11)+(G16*'input asumptions'!$C$8))/1000</f>
        <v>0.010020404349333054</v>
      </c>
      <c r="H23" s="28">
        <f>((H15*'input asumptions'!$C$11)+(H16*'input asumptions'!$C$8))/1000</f>
        <v>0.027987901755335158</v>
      </c>
      <c r="I23" s="28">
        <f>((I15*'input asumptions'!$C$11)+(I16*'input asumptions'!$C$8))/1000</f>
        <v>0.0706231353564036</v>
      </c>
      <c r="J23" s="28">
        <f>((J15*'input asumptions'!$C$11)+(J16*'input asumptions'!$C$8))/1000</f>
        <v>0.14462634394160265</v>
      </c>
      <c r="K23" s="28">
        <f>((K15*'input asumptions'!$C$11)+(K16*'input asumptions'!$C$8))/1000</f>
        <v>0.25669776629999647</v>
      </c>
      <c r="L23" s="28">
        <f>((L15*'input asumptions'!$C$11)+(L16*'input asumptions'!$C$8))/1000</f>
        <v>0.41353764122064934</v>
      </c>
      <c r="M23" s="28">
        <f>((M15*'input asumptions'!$C$11)+(M16*'input asumptions'!$C$8))/1000</f>
        <v>0.6218462074926255</v>
      </c>
      <c r="N23" s="28">
        <f>((N15*'input asumptions'!$C$11)+(N16*'input asumptions'!$C$8))/1000</f>
        <v>0.8883237039049894</v>
      </c>
      <c r="O23" s="28">
        <f>((O15*'input asumptions'!$C$11)+(O16*'input asumptions'!$C$8))/1000</f>
        <v>1.219670369246805</v>
      </c>
      <c r="P23" s="28">
        <f>((P15*'input asumptions'!$C$11)+(P16*'input asumptions'!$C$8))/1000</f>
        <v>1.5924353677563476</v>
      </c>
      <c r="Q23" s="28">
        <f>((Q15*'input asumptions'!$C$11)+(Q16*'input asumptions'!$C$8))/1000</f>
        <v>2.006618699433617</v>
      </c>
      <c r="R23" s="28">
        <f>((R15*'input asumptions'!$C$11)+(R16*'input asumptions'!$C$8))/1000</f>
        <v>2.462220364278613</v>
      </c>
      <c r="S23" s="28">
        <f>((S15*'input asumptions'!$C$11)+(S16*'input asumptions'!$C$8))/1000</f>
        <v>2.959240362291337</v>
      </c>
      <c r="T23" s="28">
        <f>((T15*'input asumptions'!$C$11)+(T16*'input asumptions'!$C$8))/1000</f>
        <v>3.45626036030406</v>
      </c>
      <c r="U23" s="28">
        <f>((U15*'input asumptions'!$C$11)+(U16*'input asumptions'!$C$8))/1000</f>
        <v>3.9532803583167837</v>
      </c>
      <c r="V23" s="24">
        <f>SUM(D23:U23)</f>
        <v>20.089388324844073</v>
      </c>
    </row>
    <row r="24" spans="2:22" ht="12">
      <c r="B24" s="45" t="s">
        <v>99</v>
      </c>
      <c r="C24" s="24" t="s">
        <v>100</v>
      </c>
      <c r="D24" s="28">
        <f>(D22*'input asumptions'!$K$10/1000)+(D23*'input asumptions'!$Q$10/1000)</f>
        <v>2.2688249063706915E-05</v>
      </c>
      <c r="E24" s="28">
        <f>(E22*'input asumptions'!$K$10/1000)+(E23*'input asumptions'!$Q$10/1000)</f>
        <v>0.0001361294943822415</v>
      </c>
      <c r="F24" s="28">
        <f>(F22*'input asumptions'!$K$10/1000)+(F23*'input asumptions'!$Q$10/1000)</f>
        <v>0.00036301198501931064</v>
      </c>
      <c r="G24" s="28">
        <f>(G22*'input asumptions'!$K$10/1000)+(G23*'input asumptions'!$Q$10/1000)</f>
        <v>0.0008076836174994291</v>
      </c>
      <c r="H24" s="28">
        <f>(H22*'input asumptions'!$K$10/1000)+(H23*'input asumptions'!$Q$10/1000)</f>
        <v>0.0019444966594571623</v>
      </c>
      <c r="I24" s="28">
        <f>(I22*'input asumptions'!$K$10/1000)+(I23*'input asumptions'!$Q$10/1000)</f>
        <v>0.004268390664887502</v>
      </c>
      <c r="J24" s="28">
        <f>(J22*'input asumptions'!$K$10/1000)+(J23*'input asumptions'!$Q$10/1000)</f>
        <v>0.007829633555305323</v>
      </c>
      <c r="K24" s="28">
        <f>(K22*'input asumptions'!$K$10/1000)+(K23*'input asumptions'!$Q$10/1000)</f>
        <v>0.012678493252225498</v>
      </c>
      <c r="L24" s="28">
        <f>(L22*'input asumptions'!$K$10/1000)+(L23*'input asumptions'!$Q$10/1000)</f>
        <v>0.018865237677162902</v>
      </c>
      <c r="M24" s="28">
        <f>(M22*'input asumptions'!$K$10/1000)+(M23*'input asumptions'!$Q$10/1000)</f>
        <v>0.026440134751632403</v>
      </c>
      <c r="N24" s="28">
        <f>(N22*'input asumptions'!$K$10/1000)+(N23*'input asumptions'!$Q$10/1000)</f>
        <v>0.03545345239714889</v>
      </c>
      <c r="O24" s="28">
        <f>(O22*'input asumptions'!$K$10/1000)+(O23*'input asumptions'!$Q$10/1000)</f>
        <v>0.045955458535227214</v>
      </c>
      <c r="P24" s="28">
        <f>(P22*'input asumptions'!$K$10/1000)+(P23*'input asumptions'!$Q$10/1000)</f>
        <v>0.057770215440565334</v>
      </c>
      <c r="Q24" s="28">
        <f>(Q22*'input asumptions'!$K$10/1000)+(Q23*'input asumptions'!$Q$10/1000)</f>
        <v>0.07089772311316324</v>
      </c>
      <c r="R24" s="28">
        <f>(R22*'input asumptions'!$K$10/1000)+(R23*'input asumptions'!$Q$10/1000)</f>
        <v>0.08533798155302096</v>
      </c>
      <c r="S24" s="28">
        <f>(S22*'input asumptions'!$K$10/1000)+(S23*'input asumptions'!$Q$10/1000)</f>
        <v>0.10109099076013844</v>
      </c>
      <c r="T24" s="28">
        <f>(T22*'input asumptions'!$K$10/1000)+(T23*'input asumptions'!$Q$10/1000)</f>
        <v>0.11684399996725595</v>
      </c>
      <c r="U24" s="28">
        <f>(U22*'input asumptions'!$K$10/1000)+(U23*'input asumptions'!$Q$10/1000)</f>
        <v>0.13259700917437345</v>
      </c>
      <c r="V24" s="109">
        <f>SUM(D24:U24)</f>
        <v>0.7193027308475289</v>
      </c>
    </row>
    <row r="25" spans="2:22" ht="12" hidden="1">
      <c r="B25" s="45" t="s">
        <v>101</v>
      </c>
      <c r="C25" s="24" t="s">
        <v>76</v>
      </c>
      <c r="D25" s="28">
        <f aca="true" t="shared" si="8" ref="D25:M25">IF(AND(D5&gt;=$E$32,D5&lt;=$G$32),D13,0)</f>
        <v>0</v>
      </c>
      <c r="E25" s="28">
        <f t="shared" si="8"/>
        <v>0.19166666666666665</v>
      </c>
      <c r="F25" s="28">
        <f t="shared" si="8"/>
        <v>0.3833333333333333</v>
      </c>
      <c r="G25" s="28">
        <f t="shared" si="8"/>
        <v>0.7428940568475452</v>
      </c>
      <c r="H25" s="28">
        <f t="shared" si="8"/>
        <v>1.8646640826873384</v>
      </c>
      <c r="I25" s="28">
        <f t="shared" si="8"/>
        <v>3.744186046511628</v>
      </c>
      <c r="J25" s="28">
        <f t="shared" si="8"/>
        <v>0</v>
      </c>
      <c r="K25" s="28">
        <f t="shared" si="8"/>
        <v>0</v>
      </c>
      <c r="L25" s="28">
        <f t="shared" si="8"/>
        <v>0</v>
      </c>
      <c r="M25" s="28">
        <f t="shared" si="8"/>
        <v>0</v>
      </c>
      <c r="N25" s="28">
        <f aca="true" t="shared" si="9" ref="N25:U25">IF(AND(N5&gt;=$E$32,N5&lt;=$G$32),N13,0)</f>
        <v>0</v>
      </c>
      <c r="O25" s="28">
        <f t="shared" si="9"/>
        <v>0</v>
      </c>
      <c r="P25" s="28">
        <f t="shared" si="9"/>
        <v>0</v>
      </c>
      <c r="Q25" s="28">
        <f t="shared" si="9"/>
        <v>0</v>
      </c>
      <c r="R25" s="28">
        <f t="shared" si="9"/>
        <v>0</v>
      </c>
      <c r="S25" s="28">
        <f t="shared" si="9"/>
        <v>0</v>
      </c>
      <c r="T25" s="28">
        <f t="shared" si="9"/>
        <v>0</v>
      </c>
      <c r="U25" s="28">
        <f t="shared" si="9"/>
        <v>0</v>
      </c>
      <c r="V25" s="54"/>
    </row>
    <row r="26" spans="2:22" ht="12" hidden="1">
      <c r="B26" s="45" t="s">
        <v>102</v>
      </c>
      <c r="C26" s="24"/>
      <c r="D26" s="28">
        <f>(D25*('input asumptions'!D21*'input asumptions'!$C$13+'input asumptions'!D22*'input asumptions'!$C$10))/1000000</f>
        <v>0</v>
      </c>
      <c r="E26" s="28">
        <f>(E25*('input asumptions'!E21*'input asumptions'!$C$13+'input asumptions'!E22*'input asumptions'!$C$10))/1000000</f>
        <v>0.00011344124531853456</v>
      </c>
      <c r="F26" s="28">
        <f>(F25*('input asumptions'!F21*'input asumptions'!$C$13+'input asumptions'!F22*'input asumptions'!$C$10))/1000000</f>
        <v>0.0002268824906370691</v>
      </c>
      <c r="G26" s="28">
        <f>(G25*('input asumptions'!G21*'input asumptions'!$C$13+'input asumptions'!G22*'input asumptions'!$C$10))/1000000</f>
        <v>0.0004308833648063163</v>
      </c>
      <c r="H26" s="28">
        <f>(H25*('input asumptions'!H21*'input asumptions'!$C$13+'input asumptions'!H22*'input asumptions'!$C$10))/1000000</f>
        <v>0.0011059692772534535</v>
      </c>
      <c r="I26" s="28">
        <f>(I25*('input asumptions'!I21*'input asumptions'!$C$13+'input asumptions'!I22*'input asumptions'!$C$10))/1000000</f>
        <v>0.0022698499587924252</v>
      </c>
      <c r="J26" s="28">
        <f>(J25*('input asumptions'!J21*'input asumptions'!$C$13+'input asumptions'!J22*'input asumptions'!$C$10))/1000000</f>
        <v>0</v>
      </c>
      <c r="K26" s="28">
        <f>(K25*('input asumptions'!K21*'input asumptions'!$C$13+'input asumptions'!K22*'input asumptions'!$C$10))/1000000</f>
        <v>0</v>
      </c>
      <c r="L26" s="28">
        <f>(L25*('input asumptions'!L21*'input asumptions'!$C$13+'input asumptions'!L22*'input asumptions'!$C$10))/1000000</f>
        <v>0</v>
      </c>
      <c r="M26" s="28">
        <f>(M25*('input asumptions'!M21*'input asumptions'!$C$13+'input asumptions'!M22*'input asumptions'!$C$10))/1000000</f>
        <v>0</v>
      </c>
      <c r="N26" s="28">
        <f>(N25*('input asumptions'!N21*'input asumptions'!$C$13+'input asumptions'!N22*'input asumptions'!$C$10))/1000000</f>
        <v>0</v>
      </c>
      <c r="O26" s="28">
        <f>(O25*('input asumptions'!O21*'input asumptions'!$C$13+'input asumptions'!O22*'input asumptions'!$C$10))/1000000</f>
        <v>0</v>
      </c>
      <c r="P26" s="28">
        <f>(P25*('input asumptions'!P21*'input asumptions'!$C$13+'input asumptions'!P22*'input asumptions'!$C$10))/1000000</f>
        <v>0</v>
      </c>
      <c r="Q26" s="28">
        <f>(Q25*('input asumptions'!Q21*'input asumptions'!$C$13+'input asumptions'!Q22*'input asumptions'!$C$10))/1000000</f>
        <v>0</v>
      </c>
      <c r="R26" s="28">
        <f>(R25*('input asumptions'!R21*'input asumptions'!$C$13+'input asumptions'!R22*'input asumptions'!$C$10))/1000000</f>
        <v>0</v>
      </c>
      <c r="S26" s="28">
        <f>(S25*('input asumptions'!S21*'input asumptions'!$C$13+'input asumptions'!S22*'input asumptions'!$C$10))/1000000</f>
        <v>0</v>
      </c>
      <c r="T26" s="28">
        <f>(T25*('input asumptions'!T21*'input asumptions'!$C$13+'input asumptions'!T22*'input asumptions'!$C$10))/1000000</f>
        <v>0</v>
      </c>
      <c r="U26" s="28">
        <f>(U25*('input asumptions'!U21*'input asumptions'!$C$13+'input asumptions'!U22*'input asumptions'!$C$10))/1000000</f>
        <v>0</v>
      </c>
      <c r="V26" s="54">
        <f>SUM(D26:U26)</f>
        <v>0.0041470263368077985</v>
      </c>
    </row>
    <row r="27" spans="2:22" ht="12">
      <c r="B27" s="35" t="s">
        <v>103</v>
      </c>
      <c r="C27" s="24" t="s">
        <v>100</v>
      </c>
      <c r="D27" s="28">
        <f>SUM($D$26:D26)</f>
        <v>0</v>
      </c>
      <c r="E27" s="28">
        <f>SUM($D$26:E26)</f>
        <v>0.00011344124531853456</v>
      </c>
      <c r="F27" s="28">
        <f>SUM($D$26:F26)</f>
        <v>0.00034032373595560366</v>
      </c>
      <c r="G27" s="28">
        <f>SUM($D$26:G26)</f>
        <v>0.00077120710076192</v>
      </c>
      <c r="H27" s="28">
        <f>SUM($D$26:H26)</f>
        <v>0.0018771763780153735</v>
      </c>
      <c r="I27" s="28">
        <f>SUM($D$26:I26)</f>
        <v>0.0041470263368077985</v>
      </c>
      <c r="J27" s="28">
        <f>SUM($D$26:J26)</f>
        <v>0.0041470263368077985</v>
      </c>
      <c r="K27" s="28">
        <f>SUM($D$26:K26)</f>
        <v>0.0041470263368077985</v>
      </c>
      <c r="L27" s="28">
        <f>SUM($D$26:L26)</f>
        <v>0.0041470263368077985</v>
      </c>
      <c r="M27" s="28">
        <f>SUM($D$26:M26)</f>
        <v>0.0041470263368077985</v>
      </c>
      <c r="N27" s="28">
        <f>SUM($D$26:N26)</f>
        <v>0.0041470263368077985</v>
      </c>
      <c r="O27" s="28">
        <f>SUM($D$26:O26)</f>
        <v>0.0041470263368077985</v>
      </c>
      <c r="P27" s="28">
        <f>SUM($D$26:P26)</f>
        <v>0.0041470263368077985</v>
      </c>
      <c r="Q27" s="28">
        <f>SUM($D$26:Q26)</f>
        <v>0.0041470263368077985</v>
      </c>
      <c r="R27" s="28">
        <f>SUM($D$26:R26)</f>
        <v>0.0041470263368077985</v>
      </c>
      <c r="S27" s="28">
        <f>SUM($D$26:S26)</f>
        <v>0.0041470263368077985</v>
      </c>
      <c r="T27" s="28">
        <f>SUM($D$26:T26)</f>
        <v>0.0041470263368077985</v>
      </c>
      <c r="U27" s="28">
        <f>SUM($D$26:U26)</f>
        <v>0.0041470263368077985</v>
      </c>
      <c r="V27" s="54">
        <f>SUM(D27:U27)</f>
        <v>0.05701349083855284</v>
      </c>
    </row>
    <row r="28" spans="2:22" ht="12">
      <c r="B28" s="45" t="s">
        <v>104</v>
      </c>
      <c r="C28" s="24" t="s">
        <v>105</v>
      </c>
      <c r="D28" s="3">
        <f>(D22*'elec prices'!C$10*10)+(D23*'elec prices'!C$8)</f>
        <v>0.009852727308404766</v>
      </c>
      <c r="E28" s="3">
        <f>(E22*'elec prices'!D$10*10)+(E23*'elec prices'!D$8)</f>
        <v>0.0594303138504286</v>
      </c>
      <c r="F28" s="3">
        <f>(F22*'elec prices'!E$10*10)+(F23*'elec prices'!E$8)</f>
        <v>0.15795086120491472</v>
      </c>
      <c r="G28" s="3">
        <f>(G22*'elec prices'!F$10*10)+(G23*'elec prices'!F$8)</f>
        <v>0.35103408604877157</v>
      </c>
      <c r="H28" s="3">
        <f>(H22*'elec prices'!G$10*10)+(H23*'elec prices'!G$8)</f>
        <v>0.8359069022329777</v>
      </c>
      <c r="I28" s="3">
        <f>(I22*'elec prices'!H$10*10)+(I23*'elec prices'!H$8)</f>
        <v>1.8197129348623755</v>
      </c>
      <c r="J28" s="3">
        <f>(J22*'elec prices'!I$10*10)+(J23*'elec prices'!I$8)</f>
        <v>3.296155806599269</v>
      </c>
      <c r="K28" s="3">
        <f>(K22*'elec prices'!J$10*10)+(K23*'elec prices'!J$8)</f>
        <v>5.288747532931634</v>
      </c>
      <c r="L28" s="3">
        <f>(L22*'elec prices'!K$10*10)+(L23*'elec prices'!K$8)</f>
        <v>7.812391774604796</v>
      </c>
      <c r="M28" s="3">
        <f>(M22*'elec prices'!L$10*10)+(M23*'elec prices'!L$8)</f>
        <v>10.846422083007962</v>
      </c>
      <c r="N28" s="3">
        <f>(N22*'elec prices'!M$10*10)+(N23*'elec prices'!M$8)</f>
        <v>14.398525813613205</v>
      </c>
      <c r="O28" s="3">
        <f>(O22*'elec prices'!N$10*10)+(O23*'elec prices'!N$8)</f>
        <v>18.541526112243055</v>
      </c>
      <c r="P28" s="3">
        <f>(P22*'elec prices'!O$10*10)+(P23*'elec prices'!O$8)</f>
        <v>23.07530194646928</v>
      </c>
      <c r="Q28" s="3">
        <f>(Q22*'elec prices'!P$10*10)+(Q23*'elec prices'!P$8)</f>
        <v>27.951121579891822</v>
      </c>
      <c r="R28" s="3">
        <f>(R22*'elec prices'!Q$10*10)+(R23*'elec prices'!Q$8)</f>
        <v>33.27585110877075</v>
      </c>
      <c r="S28" s="3">
        <f>(S22*'elec prices'!R$10*10)+(S23*'elec prices'!R$8)</f>
        <v>38.999105279035696</v>
      </c>
      <c r="T28" s="3">
        <f>(T22*'elec prices'!S$10*10)+(T23*'elec prices'!S$8)</f>
        <v>45.06237604097774</v>
      </c>
      <c r="U28" s="3">
        <f>(U22*'elec prices'!T$10*10)+(U23*'elec prices'!T$8)</f>
        <v>51.44425398742461</v>
      </c>
      <c r="V28" s="24">
        <f>SUM(D28:U28)</f>
        <v>283.2256668910777</v>
      </c>
    </row>
    <row r="29" spans="2:22" ht="12">
      <c r="B29" s="45" t="s">
        <v>106</v>
      </c>
      <c r="C29" s="24" t="s">
        <v>105</v>
      </c>
      <c r="D29" s="3">
        <f>IF(AND(D5&gt;=$E$32,D5&lt;=$G$32),((((D19/(1-$C$32))*$C$32*'input asumptions'!D21)+(D21/(1-$C$32))*$C$32*'input asumptions'!D22))*D13/1000,0)</f>
        <v>0</v>
      </c>
      <c r="E29" s="3">
        <f>IF(AND(E5&gt;=$E$32,E5&lt;=$G$32),((((E19/(1-$C$32))*$C$32*'input asumptions'!E21)+(E21/(1-$C$32))*$C$32*'input asumptions'!E22))*E13/1000,0)</f>
        <v>0.345</v>
      </c>
      <c r="F29" s="3">
        <f>IF(AND(F5&gt;=$E$32,F5&lt;=$G$32),((((F19/(1-$C$32))*$C$32*'input asumptions'!F21)+(F21/(1-$C$32))*$C$32*'input asumptions'!F22))*F13/1000,0)</f>
        <v>0.69</v>
      </c>
      <c r="G29" s="3">
        <f>IF(AND(G5&gt;=$E$32,G5&lt;=$G$32),((((G19/(1-$C$32))*$C$32*'input asumptions'!G21)+(G21/(1-$C$32))*$C$32*'input asumptions'!G22))*G13/1000,0)</f>
        <v>1.2669880110985567</v>
      </c>
      <c r="H29" s="3">
        <f>IF(AND(H5&gt;=$E$32,H5&lt;=$G$32),((((H19/(1-$C$32))*$C$32*'input asumptions'!H21)+(H21/(1-$C$32))*$C$32*'input asumptions'!H22))*H13/1000,0)</f>
        <v>2.976063819450914</v>
      </c>
      <c r="I29" s="3">
        <f>IF(AND(I5&gt;=$E$32,I5&lt;=$G$32),((((I19/(1-$C$32))*$C$32*'input asumptions'!I21)+(I21/(1-$C$32))*$C$32*'input asumptions'!I22))*I13/1000,0)</f>
        <v>5.668988542922806</v>
      </c>
      <c r="J29" s="3">
        <f>IF(AND(J5&gt;=$E$32,J5&lt;=$G$32),((((J19/(1-$C$32))*$C$32*'input asumptions'!J21)+(J21/(1-$C$32))*$C$32*'input asumptions'!J22))*J13/1000,0)</f>
        <v>0</v>
      </c>
      <c r="K29" s="3">
        <f>IF(AND(K5&gt;=$E$32,K5&lt;=$G$32),((((K19/(1-$C$32))*$C$32*'input asumptions'!K21)+(K21/(1-$C$32))*$C$32*'input asumptions'!K22))*K13/1000,0)</f>
        <v>0</v>
      </c>
      <c r="L29" s="3">
        <f>IF(AND(L5&gt;=$E$32,L5&lt;=$G$32),((((L19/(1-$C$32))*$C$32*'input asumptions'!L21)+(L21/(1-$C$32))*$C$32*'input asumptions'!L22))*L13/1000,0)</f>
        <v>0</v>
      </c>
      <c r="M29" s="3">
        <f>IF(AND(M5&gt;=$E$32,M5&lt;=$G$32),((((M19/(1-$C$32))*$C$32*'input asumptions'!M21)+(M21/(1-$C$32))*$C$32*'input asumptions'!M22))*M13/1000,0)</f>
        <v>0</v>
      </c>
      <c r="N29" s="3">
        <f>IF(AND(N5&gt;=$E$32,N5&lt;=$G$32),((((N19/(1-$C$32))*$C$32*'input asumptions'!N21)+(N21/(1-$C$32))*$C$32*'input asumptions'!N22))*N13/1000,0)</f>
        <v>0</v>
      </c>
      <c r="O29" s="3">
        <f>IF(AND(O5&gt;=$E$32,O5&lt;=$G$32),((((O19/(1-$C$32))*$C$32*'input asumptions'!O21)+(O21/(1-$C$32))*$C$32*'input asumptions'!O22))*O13/1000,0)</f>
        <v>0</v>
      </c>
      <c r="P29" s="3">
        <f>IF(AND(P5&gt;=$E$32,P5&lt;=$G$32),((((P19/(1-$C$32))*$C$32*'input asumptions'!P21)+(P21/(1-$C$32))*$C$32*'input asumptions'!P22))*P13/1000,0)</f>
        <v>0</v>
      </c>
      <c r="Q29" s="3">
        <f>IF(AND(Q5&gt;=$E$32,Q5&lt;=$G$32),((((Q19/(1-$C$32))*$C$32*'input asumptions'!Q21)+(Q21/(1-$C$32))*$C$32*'input asumptions'!Q22))*Q13/1000,0)</f>
        <v>0</v>
      </c>
      <c r="R29" s="3">
        <f>IF(AND(R5&gt;=$E$32,R5&lt;=$G$32),((((R19/(1-$C$32))*$C$32*'input asumptions'!R21)+(R21/(1-$C$32))*$C$32*'input asumptions'!R22))*R13/1000,0)</f>
        <v>0</v>
      </c>
      <c r="S29" s="3">
        <f>IF(AND(S5&gt;=$E$32,S5&lt;=$G$32),((((S19/(1-$C$32))*$C$32*'input asumptions'!S21)+(S21/(1-$C$32))*$C$32*'input asumptions'!S22))*S13/1000,0)</f>
        <v>0</v>
      </c>
      <c r="T29" s="3">
        <f>IF(AND(T5&gt;=$E$32,T5&lt;=$G$32),((((T19/(1-$C$32))*$C$32*'input asumptions'!T21)+(T21/(1-$C$32))*$C$32*'input asumptions'!T22))*T13/1000,0)</f>
        <v>0</v>
      </c>
      <c r="U29" s="3">
        <f>IF(AND(U5&gt;=$E$32,U5&lt;=$G$32),((((U19/(1-$C$32))*$C$32*'input asumptions'!U21)+(U21/(1-$C$32))*$C$32*'input asumptions'!U22))*U13/1000,0)</f>
        <v>0</v>
      </c>
      <c r="V29" s="24">
        <f>SUM(D29:U29)</f>
        <v>10.947040373472277</v>
      </c>
    </row>
    <row r="30" spans="2:22" ht="12">
      <c r="B30" s="4" t="s">
        <v>107</v>
      </c>
      <c r="C30" s="27" t="s">
        <v>108</v>
      </c>
      <c r="D30" s="9" t="s">
        <v>77</v>
      </c>
      <c r="E30" s="9" t="s">
        <v>77</v>
      </c>
      <c r="F30" s="9">
        <f>SUM($D29:F29)/SUM($D24:F24)</f>
        <v>1983.4055891066491</v>
      </c>
      <c r="G30" s="9">
        <f>SUM($D29:G29)/SUM($D24:G24)</f>
        <v>1731.451600757152</v>
      </c>
      <c r="H30" s="9">
        <f>SUM($D29:H29)/SUM($D24:H24)</f>
        <v>1612.1062005946444</v>
      </c>
      <c r="I30" s="9">
        <f>SUM($D29:I29)/SUM($D24:I24)</f>
        <v>1451.4000053809502</v>
      </c>
      <c r="J30" s="9">
        <f>SUM($D29:J29)/SUM($D24:J24)</f>
        <v>712.1399947985441</v>
      </c>
      <c r="K30" s="9">
        <f>SUM($D29:K29)/SUM($D24:K24)</f>
        <v>390.26148018501266</v>
      </c>
      <c r="L30" s="9">
        <f>SUM($D29:L29)/SUM($D24:L24)</f>
        <v>233.33394088969447</v>
      </c>
      <c r="M30" s="9">
        <f>SUM($D29:M29)/SUM($D24:M24)</f>
        <v>149.23190073879869</v>
      </c>
      <c r="N30" s="9">
        <f>SUM($D29:N29)/SUM($D24:N24)</f>
        <v>100.60753181315961</v>
      </c>
      <c r="O30" s="9">
        <f>SUM($D29:O29)/SUM($D24:O24)</f>
        <v>70.73339420069809</v>
      </c>
      <c r="P30" s="9">
        <f>SUM($D29:P29)/SUM($D24:P24)</f>
        <v>51.50699423572711</v>
      </c>
      <c r="Q30" s="9">
        <f>SUM($D29:Q29)/SUM($D24:Q24)</f>
        <v>38.62306101509622</v>
      </c>
      <c r="R30" s="9">
        <f>SUM($D29:R29)/SUM($D24:R24)</f>
        <v>29.685220259745535</v>
      </c>
      <c r="S30" s="9">
        <f>SUM($D29:S29)/SUM($D24:S24)</f>
        <v>23.298429873639197</v>
      </c>
      <c r="T30" s="9">
        <f>SUM($D29:T29)/SUM($D24:T24)</f>
        <v>18.658485794639482</v>
      </c>
      <c r="U30" s="10">
        <f>SUM($D29:U29)/SUM($D24:U24)</f>
        <v>15.218961230098163</v>
      </c>
      <c r="V30" s="27">
        <f>V29/V24</f>
        <v>15.218961230098163</v>
      </c>
    </row>
    <row r="31" spans="2:22" ht="12">
      <c r="B31" s="1"/>
      <c r="C31" s="3"/>
      <c r="D31" s="3"/>
      <c r="E31" s="3"/>
      <c r="F31" s="3"/>
      <c r="G31" s="3"/>
      <c r="H31" s="3"/>
      <c r="I31" s="3"/>
      <c r="J31" s="3"/>
      <c r="K31" s="3"/>
      <c r="L31" s="3"/>
      <c r="M31" s="3"/>
      <c r="N31" s="3"/>
      <c r="O31" s="3"/>
      <c r="P31" s="3"/>
      <c r="Q31" s="3"/>
      <c r="R31" s="3"/>
      <c r="S31" s="3"/>
      <c r="T31" s="3"/>
      <c r="U31" s="3"/>
      <c r="V31" s="3"/>
    </row>
    <row r="32" spans="2:15" ht="12">
      <c r="B32" s="1" t="s">
        <v>109</v>
      </c>
      <c r="C32" s="66">
        <v>0.2</v>
      </c>
      <c r="D32" s="2" t="s">
        <v>110</v>
      </c>
      <c r="E32" s="67">
        <v>1999</v>
      </c>
      <c r="F32" s="3" t="s">
        <v>111</v>
      </c>
      <c r="G32" s="9">
        <v>2003</v>
      </c>
      <c r="H32" s="2" t="s">
        <v>112</v>
      </c>
      <c r="I32" s="104"/>
      <c r="J32" s="9">
        <f>G32-E32+1</f>
        <v>5</v>
      </c>
      <c r="K32" s="12" t="s">
        <v>113</v>
      </c>
      <c r="L32" s="2"/>
      <c r="O32" s="78"/>
    </row>
    <row r="33" spans="2:15" ht="12">
      <c r="B33" s="13" t="s">
        <v>114</v>
      </c>
      <c r="O33" s="78"/>
    </row>
    <row r="34" spans="2:21" ht="12">
      <c r="B34" s="13" t="s">
        <v>115</v>
      </c>
      <c r="E34" s="66">
        <f>1-K34</f>
        <v>0.7</v>
      </c>
      <c r="F34" s="1" t="s">
        <v>116</v>
      </c>
      <c r="G34" s="3"/>
      <c r="H34" s="3"/>
      <c r="I34" s="3"/>
      <c r="J34" s="3"/>
      <c r="K34" s="66">
        <v>0.3</v>
      </c>
      <c r="L34" s="1" t="s">
        <v>117</v>
      </c>
      <c r="M34" s="3"/>
      <c r="N34" s="3"/>
      <c r="O34" s="3"/>
      <c r="P34" s="3"/>
      <c r="Q34" s="3"/>
      <c r="R34" s="3"/>
      <c r="S34" s="3"/>
      <c r="T34" s="3"/>
      <c r="U34" s="3"/>
    </row>
    <row r="35" spans="2:19" ht="12">
      <c r="B35" s="13" t="s">
        <v>118</v>
      </c>
      <c r="G35" s="13"/>
      <c r="H35" s="13"/>
      <c r="I35" s="13"/>
      <c r="J35" s="13"/>
      <c r="K35" s="13"/>
      <c r="L35" s="13"/>
      <c r="M35" s="13"/>
      <c r="N35" s="13"/>
      <c r="O35" s="13"/>
      <c r="P35" s="2"/>
      <c r="Q35" s="2"/>
      <c r="R35" s="2"/>
      <c r="S35" s="2"/>
    </row>
    <row r="36" spans="2:19" ht="12">
      <c r="B36" s="2" t="s">
        <v>119</v>
      </c>
      <c r="C36" s="66">
        <v>0.3</v>
      </c>
      <c r="D36" s="20">
        <v>10</v>
      </c>
      <c r="E36" s="2" t="s">
        <v>120</v>
      </c>
      <c r="F36" s="13"/>
      <c r="G36" s="13"/>
      <c r="H36" s="13"/>
      <c r="I36" s="13"/>
      <c r="J36" s="13"/>
      <c r="K36" s="13"/>
      <c r="L36" s="13"/>
      <c r="M36" s="13"/>
      <c r="N36" s="13"/>
      <c r="O36" s="13"/>
      <c r="P36" s="2"/>
      <c r="Q36" s="2"/>
      <c r="R36" s="2"/>
      <c r="S36" s="2"/>
    </row>
    <row r="37" spans="2:19" ht="12">
      <c r="B37" s="2" t="s">
        <v>121</v>
      </c>
      <c r="G37" s="13"/>
      <c r="H37" s="13"/>
      <c r="I37" s="13"/>
      <c r="J37" s="13"/>
      <c r="K37" s="13"/>
      <c r="L37" s="13"/>
      <c r="M37" s="13"/>
      <c r="N37" s="13"/>
      <c r="O37" s="13"/>
      <c r="P37" s="2"/>
      <c r="Q37" s="2"/>
      <c r="R37" s="2"/>
      <c r="S37" s="2"/>
    </row>
    <row r="38" spans="2:17" ht="12">
      <c r="B38" s="2" t="s">
        <v>122</v>
      </c>
      <c r="P38" s="69">
        <v>0.975</v>
      </c>
      <c r="Q38" s="2" t="s">
        <v>123</v>
      </c>
    </row>
    <row r="39" spans="2:17" ht="12">
      <c r="B39" s="2" t="s">
        <v>124</v>
      </c>
      <c r="P39" s="93"/>
      <c r="Q39" s="2"/>
    </row>
    <row r="40" ht="12">
      <c r="B40" s="2" t="s">
        <v>125</v>
      </c>
    </row>
    <row r="41" ht="12">
      <c r="B41" s="2" t="s">
        <v>126</v>
      </c>
    </row>
    <row r="42" ht="12">
      <c r="B42" s="2" t="s">
        <v>127</v>
      </c>
    </row>
    <row r="43" ht="12">
      <c r="B43" s="2" t="s">
        <v>128</v>
      </c>
    </row>
    <row r="44" ht="12">
      <c r="B44" s="2" t="s">
        <v>129</v>
      </c>
    </row>
    <row r="45" ht="12">
      <c r="B45" s="108" t="s">
        <v>0</v>
      </c>
    </row>
    <row r="46" ht="12">
      <c r="B46" s="108" t="s">
        <v>1</v>
      </c>
    </row>
    <row r="47" ht="12">
      <c r="B47" s="2" t="s">
        <v>2</v>
      </c>
    </row>
    <row r="48" spans="2:21" ht="12">
      <c r="B48" s="13" t="s">
        <v>3</v>
      </c>
      <c r="C48" s="13"/>
      <c r="D48" s="13"/>
      <c r="E48" s="13"/>
      <c r="F48" s="13"/>
      <c r="G48" s="13"/>
      <c r="H48" s="13"/>
      <c r="I48" s="13"/>
      <c r="J48" s="13"/>
      <c r="K48" s="13"/>
      <c r="L48" s="13"/>
      <c r="M48" s="13"/>
      <c r="N48" s="13"/>
      <c r="O48" s="13"/>
      <c r="P48" s="13"/>
      <c r="Q48" s="13"/>
      <c r="R48" s="13"/>
      <c r="S48" s="13"/>
      <c r="T48" s="13"/>
      <c r="U48" s="13"/>
    </row>
    <row r="49" spans="2:22" ht="12">
      <c r="B49" s="13" t="s">
        <v>4</v>
      </c>
      <c r="C49" s="13"/>
      <c r="D49" s="13"/>
      <c r="E49" s="13"/>
      <c r="F49" s="13"/>
      <c r="G49" s="13"/>
      <c r="H49" s="13"/>
      <c r="I49" s="13"/>
      <c r="J49" s="13"/>
      <c r="K49" s="13"/>
      <c r="L49" s="13"/>
      <c r="M49" s="13"/>
      <c r="N49" s="13"/>
      <c r="O49" s="13"/>
      <c r="P49" s="13"/>
      <c r="Q49" s="13"/>
      <c r="R49" s="13"/>
      <c r="S49" s="13"/>
      <c r="T49" s="13"/>
      <c r="U49" s="13"/>
      <c r="V49" s="13"/>
    </row>
    <row r="50" spans="2:22" ht="12">
      <c r="B50" s="13"/>
      <c r="C50" s="13"/>
      <c r="D50" s="13"/>
      <c r="E50" s="13"/>
      <c r="F50" s="13"/>
      <c r="G50" s="13"/>
      <c r="H50" s="13"/>
      <c r="I50" s="13"/>
      <c r="J50" s="13"/>
      <c r="K50" s="13"/>
      <c r="L50" s="13"/>
      <c r="M50" s="13"/>
      <c r="N50" s="13"/>
      <c r="O50" s="13"/>
      <c r="P50" s="13"/>
      <c r="Q50" s="13"/>
      <c r="R50" s="13"/>
      <c r="S50" s="13"/>
      <c r="T50" s="13"/>
      <c r="U50" s="13"/>
      <c r="V50" s="13"/>
    </row>
    <row r="51" spans="2:22" ht="12">
      <c r="B51" s="13"/>
      <c r="C51" s="13"/>
      <c r="D51" s="13"/>
      <c r="E51" s="13"/>
      <c r="F51" s="13"/>
      <c r="G51" s="13"/>
      <c r="H51" s="13"/>
      <c r="I51" s="13"/>
      <c r="J51" s="13"/>
      <c r="K51" s="13"/>
      <c r="L51" s="13"/>
      <c r="M51" s="13"/>
      <c r="N51" s="13"/>
      <c r="O51" s="13"/>
      <c r="P51" s="13"/>
      <c r="Q51" s="13"/>
      <c r="R51" s="13"/>
      <c r="S51" s="13"/>
      <c r="T51" s="13"/>
      <c r="U51" s="13"/>
      <c r="V51" s="13"/>
    </row>
    <row r="52" spans="2:23" ht="12">
      <c r="B52" s="13"/>
      <c r="C52" s="13"/>
      <c r="D52" s="13"/>
      <c r="E52" s="13"/>
      <c r="F52" s="13"/>
      <c r="G52" s="13"/>
      <c r="H52" s="13"/>
      <c r="I52" s="13"/>
      <c r="J52" s="13"/>
      <c r="K52" s="13"/>
      <c r="L52" s="13"/>
      <c r="M52" s="13"/>
      <c r="N52" s="13"/>
      <c r="O52" s="13"/>
      <c r="P52" s="13"/>
      <c r="Q52" s="13"/>
      <c r="R52" s="13"/>
      <c r="S52" s="13"/>
      <c r="T52" s="13"/>
      <c r="U52" s="13"/>
      <c r="V52" s="13"/>
      <c r="W52" s="12"/>
    </row>
    <row r="53" spans="2:22" ht="12">
      <c r="B53" s="13"/>
      <c r="C53" s="13"/>
      <c r="D53" s="13"/>
      <c r="E53" s="13"/>
      <c r="F53" s="13"/>
      <c r="G53" s="13"/>
      <c r="H53" s="13"/>
      <c r="I53" s="13"/>
      <c r="J53" s="13"/>
      <c r="K53" s="13"/>
      <c r="L53" s="13"/>
      <c r="M53" s="13"/>
      <c r="N53" s="13"/>
      <c r="O53" s="13"/>
      <c r="P53" s="13"/>
      <c r="Q53" s="13"/>
      <c r="R53" s="13"/>
      <c r="S53" s="13"/>
      <c r="T53" s="13"/>
      <c r="U53" s="13"/>
      <c r="V53" s="13"/>
    </row>
    <row r="54" spans="2:22" ht="12">
      <c r="B54" s="13"/>
      <c r="C54" s="13"/>
      <c r="D54" s="13"/>
      <c r="E54" s="13"/>
      <c r="F54" s="13"/>
      <c r="G54" s="13"/>
      <c r="H54" s="13"/>
      <c r="I54" s="13"/>
      <c r="J54" s="13"/>
      <c r="K54" s="13"/>
      <c r="L54" s="13"/>
      <c r="M54" s="13"/>
      <c r="N54" s="13"/>
      <c r="O54" s="13"/>
      <c r="P54" s="13"/>
      <c r="Q54" s="13"/>
      <c r="R54" s="13"/>
      <c r="S54" s="13"/>
      <c r="T54" s="13"/>
      <c r="U54" s="13"/>
      <c r="V54" s="13"/>
    </row>
    <row r="55" spans="2:22" ht="12">
      <c r="B55" s="13"/>
      <c r="C55" s="13"/>
      <c r="D55" s="13"/>
      <c r="E55" s="13"/>
      <c r="F55" s="13"/>
      <c r="G55" s="13"/>
      <c r="H55" s="13"/>
      <c r="I55" s="13"/>
      <c r="J55" s="13"/>
      <c r="K55" s="13"/>
      <c r="L55" s="13"/>
      <c r="M55" s="13"/>
      <c r="N55" s="13"/>
      <c r="O55" s="13"/>
      <c r="P55" s="13"/>
      <c r="Q55" s="13"/>
      <c r="R55" s="13"/>
      <c r="S55" s="13"/>
      <c r="T55" s="13"/>
      <c r="U55" s="13"/>
      <c r="V55" s="13"/>
    </row>
    <row r="56" spans="2:22" ht="12">
      <c r="B56" s="13"/>
      <c r="C56" s="13"/>
      <c r="D56" s="13"/>
      <c r="E56" s="13"/>
      <c r="F56" s="13"/>
      <c r="G56" s="13"/>
      <c r="H56" s="13"/>
      <c r="I56" s="13"/>
      <c r="J56" s="13"/>
      <c r="K56" s="13"/>
      <c r="L56" s="13"/>
      <c r="M56" s="13"/>
      <c r="N56" s="13"/>
      <c r="O56" s="13"/>
      <c r="P56" s="13"/>
      <c r="Q56" s="13"/>
      <c r="R56" s="13"/>
      <c r="S56" s="13"/>
      <c r="T56" s="13"/>
      <c r="U56" s="13"/>
      <c r="V56" s="13"/>
    </row>
    <row r="57" spans="2:22" ht="12">
      <c r="B57" s="13"/>
      <c r="C57" s="13"/>
      <c r="D57" s="13"/>
      <c r="E57" s="13"/>
      <c r="F57" s="13"/>
      <c r="G57" s="13"/>
      <c r="H57" s="13"/>
      <c r="I57" s="13"/>
      <c r="J57" s="13"/>
      <c r="K57" s="13"/>
      <c r="L57" s="13"/>
      <c r="M57" s="13"/>
      <c r="N57" s="13"/>
      <c r="O57" s="13"/>
      <c r="P57" s="13"/>
      <c r="Q57" s="13"/>
      <c r="R57" s="13"/>
      <c r="S57" s="13"/>
      <c r="T57" s="13"/>
      <c r="U57" s="13"/>
      <c r="V57" s="13"/>
    </row>
    <row r="58" spans="2:22" ht="12">
      <c r="B58" s="13"/>
      <c r="C58" s="13"/>
      <c r="D58" s="13"/>
      <c r="E58" s="13"/>
      <c r="F58" s="13"/>
      <c r="G58" s="13"/>
      <c r="H58" s="13"/>
      <c r="I58" s="13"/>
      <c r="J58" s="13"/>
      <c r="K58" s="13"/>
      <c r="L58" s="13"/>
      <c r="M58" s="13"/>
      <c r="N58" s="13"/>
      <c r="O58" s="13"/>
      <c r="P58" s="13"/>
      <c r="Q58" s="13"/>
      <c r="R58" s="13"/>
      <c r="S58" s="13"/>
      <c r="T58" s="13"/>
      <c r="U58" s="13"/>
      <c r="V58" s="13"/>
    </row>
    <row r="59" spans="2:22" ht="12">
      <c r="B59" s="13"/>
      <c r="C59" s="13"/>
      <c r="D59" s="13"/>
      <c r="E59" s="13"/>
      <c r="F59" s="13"/>
      <c r="G59" s="13"/>
      <c r="H59" s="13"/>
      <c r="I59" s="13"/>
      <c r="J59" s="13"/>
      <c r="K59" s="13"/>
      <c r="L59" s="13"/>
      <c r="M59" s="13"/>
      <c r="N59" s="13"/>
      <c r="O59" s="13"/>
      <c r="P59" s="13"/>
      <c r="Q59" s="13"/>
      <c r="R59" s="13"/>
      <c r="S59" s="13"/>
      <c r="T59" s="13"/>
      <c r="U59" s="13"/>
      <c r="V59" s="13"/>
    </row>
    <row r="60" s="13" customFormat="1" ht="12"/>
    <row r="61" s="13" customFormat="1" ht="12"/>
    <row r="62" spans="2:22" ht="12">
      <c r="B62" s="13"/>
      <c r="C62" s="13"/>
      <c r="D62" s="13"/>
      <c r="E62" s="13"/>
      <c r="F62" s="13"/>
      <c r="G62" s="13"/>
      <c r="H62" s="13"/>
      <c r="I62" s="13"/>
      <c r="J62" s="13"/>
      <c r="K62" s="13"/>
      <c r="L62" s="13"/>
      <c r="M62" s="13"/>
      <c r="N62" s="13"/>
      <c r="O62" s="13"/>
      <c r="P62" s="13"/>
      <c r="Q62" s="13"/>
      <c r="R62" s="13"/>
      <c r="S62" s="13"/>
      <c r="T62" s="13"/>
      <c r="U62" s="13"/>
      <c r="V62" s="13"/>
    </row>
    <row r="63" spans="2:22" ht="12">
      <c r="B63" s="13"/>
      <c r="C63" s="13"/>
      <c r="D63" s="13"/>
      <c r="E63" s="13"/>
      <c r="F63" s="13"/>
      <c r="G63" s="13"/>
      <c r="H63" s="13"/>
      <c r="I63" s="13"/>
      <c r="J63" s="13"/>
      <c r="K63" s="13"/>
      <c r="L63" s="13"/>
      <c r="M63" s="13"/>
      <c r="N63" s="13"/>
      <c r="O63" s="13"/>
      <c r="P63" s="13"/>
      <c r="Q63" s="13"/>
      <c r="R63" s="13"/>
      <c r="S63" s="13"/>
      <c r="T63" s="13"/>
      <c r="U63" s="13"/>
      <c r="V63" s="13"/>
    </row>
    <row r="64" spans="2:22" ht="12">
      <c r="B64" s="13"/>
      <c r="C64" s="13"/>
      <c r="D64" s="13"/>
      <c r="E64" s="13"/>
      <c r="F64" s="13"/>
      <c r="G64" s="13"/>
      <c r="H64" s="13"/>
      <c r="I64" s="13"/>
      <c r="J64" s="13"/>
      <c r="K64" s="13"/>
      <c r="L64" s="13"/>
      <c r="M64" s="13"/>
      <c r="N64" s="13"/>
      <c r="O64" s="13"/>
      <c r="P64" s="13"/>
      <c r="Q64" s="13"/>
      <c r="R64" s="13"/>
      <c r="S64" s="13"/>
      <c r="T64" s="13"/>
      <c r="U64" s="13"/>
      <c r="V64" s="13"/>
    </row>
    <row r="65" spans="2:7" ht="12">
      <c r="B65" s="13"/>
      <c r="C65" s="72"/>
      <c r="D65" s="13"/>
      <c r="E65" s="13"/>
      <c r="F65" s="13"/>
      <c r="G65" s="13"/>
    </row>
    <row r="66" spans="2:7" ht="12">
      <c r="B66" s="13"/>
      <c r="C66" s="13"/>
      <c r="D66" s="13"/>
      <c r="E66" s="13"/>
      <c r="F66" s="13"/>
      <c r="G66" s="13"/>
    </row>
    <row r="67" spans="2:7" ht="12">
      <c r="B67" s="13"/>
      <c r="C67" s="13"/>
      <c r="D67" s="13"/>
      <c r="E67" s="13"/>
      <c r="F67" s="13"/>
      <c r="G67" s="13"/>
    </row>
    <row r="68" spans="2:7" ht="12">
      <c r="B68" s="13"/>
      <c r="C68" s="13"/>
      <c r="D68" s="13"/>
      <c r="E68" s="13"/>
      <c r="F68" s="13"/>
      <c r="G68" s="13"/>
    </row>
    <row r="69" spans="2:7" ht="12">
      <c r="B69" s="13"/>
      <c r="C69" s="13"/>
      <c r="D69" s="13"/>
      <c r="E69" s="13"/>
      <c r="F69" s="13"/>
      <c r="G69" s="13"/>
    </row>
    <row r="70" spans="2:7" ht="12">
      <c r="B70" s="13"/>
      <c r="C70" s="13"/>
      <c r="D70" s="13"/>
      <c r="E70" s="13"/>
      <c r="F70" s="13"/>
      <c r="G70" s="13"/>
    </row>
    <row r="71" spans="2:7" ht="12">
      <c r="B71" s="13"/>
      <c r="C71" s="13"/>
      <c r="D71" s="13"/>
      <c r="E71" s="13"/>
      <c r="F71" s="13"/>
      <c r="G71" s="13"/>
    </row>
    <row r="72" spans="2:7" ht="12">
      <c r="B72" s="13"/>
      <c r="C72" s="13"/>
      <c r="D72" s="13"/>
      <c r="E72" s="13"/>
      <c r="F72" s="13"/>
      <c r="G72" s="13"/>
    </row>
    <row r="73" spans="2:7" ht="12">
      <c r="B73" s="13"/>
      <c r="C73" s="13"/>
      <c r="D73" s="13"/>
      <c r="E73" s="13"/>
      <c r="F73" s="13"/>
      <c r="G73" s="13"/>
    </row>
    <row r="74" spans="2:7" ht="12">
      <c r="B74" s="13"/>
      <c r="C74" s="13"/>
      <c r="D74" s="13"/>
      <c r="E74" s="13"/>
      <c r="F74" s="13"/>
      <c r="G74" s="13"/>
    </row>
    <row r="75" spans="2:7" ht="12">
      <c r="B75" s="13"/>
      <c r="C75" s="13"/>
      <c r="D75" s="13"/>
      <c r="E75" s="13"/>
      <c r="F75" s="13"/>
      <c r="G75" s="13"/>
    </row>
    <row r="76" spans="2:7" ht="12">
      <c r="B76" s="13"/>
      <c r="C76" s="13"/>
      <c r="D76" s="13"/>
      <c r="E76" s="13"/>
      <c r="F76" s="13"/>
      <c r="G76" s="13"/>
    </row>
    <row r="77" spans="2:7" ht="12">
      <c r="B77" s="13"/>
      <c r="C77" s="13"/>
      <c r="D77" s="13"/>
      <c r="E77" s="13"/>
      <c r="F77" s="13"/>
      <c r="G77" s="13"/>
    </row>
    <row r="78" spans="2:7" ht="12">
      <c r="B78" s="13"/>
      <c r="C78" s="13"/>
      <c r="D78" s="13"/>
      <c r="E78" s="13"/>
      <c r="F78" s="13"/>
      <c r="G78" s="13"/>
    </row>
    <row r="79" spans="2:7" ht="12">
      <c r="B79" s="13"/>
      <c r="C79" s="13"/>
      <c r="D79" s="13"/>
      <c r="E79" s="13"/>
      <c r="F79" s="13"/>
      <c r="G79" s="13"/>
    </row>
    <row r="80" spans="2:7" ht="12">
      <c r="B80" s="13"/>
      <c r="C80" s="13"/>
      <c r="D80" s="13"/>
      <c r="E80" s="13"/>
      <c r="F80" s="13"/>
      <c r="G80" s="13"/>
    </row>
    <row r="81" spans="2:7" ht="12">
      <c r="B81" s="13"/>
      <c r="C81" s="13"/>
      <c r="D81" s="13"/>
      <c r="E81" s="13"/>
      <c r="F81" s="13"/>
      <c r="G81" s="13"/>
    </row>
    <row r="82" spans="2:7" ht="12">
      <c r="B82" s="13"/>
      <c r="C82" s="13"/>
      <c r="D82" s="13"/>
      <c r="E82" s="13"/>
      <c r="F82" s="13"/>
      <c r="G82" s="13"/>
    </row>
    <row r="83" spans="2:7" ht="12">
      <c r="B83" s="13"/>
      <c r="C83" s="13"/>
      <c r="D83" s="13"/>
      <c r="E83" s="13"/>
      <c r="F83" s="13"/>
      <c r="G83" s="13"/>
    </row>
    <row r="84" spans="2:7" ht="12">
      <c r="B84" s="13"/>
      <c r="C84" s="13"/>
      <c r="D84" s="13"/>
      <c r="E84" s="13"/>
      <c r="F84" s="13"/>
      <c r="G84" s="13"/>
    </row>
    <row r="85" spans="2:7" ht="12">
      <c r="B85" s="13"/>
      <c r="C85" s="13"/>
      <c r="D85" s="13"/>
      <c r="E85" s="13"/>
      <c r="F85" s="13"/>
      <c r="G85" s="13"/>
    </row>
    <row r="86" spans="2:7" ht="12">
      <c r="B86" s="13"/>
      <c r="C86" s="13"/>
      <c r="D86" s="13"/>
      <c r="E86" s="13"/>
      <c r="F86" s="13"/>
      <c r="G86" s="13"/>
    </row>
    <row r="87" spans="2:7" ht="12">
      <c r="B87" s="13"/>
      <c r="C87" s="13"/>
      <c r="D87" s="13"/>
      <c r="E87" s="13"/>
      <c r="F87" s="13"/>
      <c r="G87" s="13"/>
    </row>
    <row r="88" spans="2:7" ht="12">
      <c r="B88" s="13"/>
      <c r="C88" s="13"/>
      <c r="D88" s="13"/>
      <c r="E88" s="13"/>
      <c r="F88" s="13"/>
      <c r="G88" s="13"/>
    </row>
    <row r="89" spans="2:7" ht="12">
      <c r="B89" s="13"/>
      <c r="C89" s="13"/>
      <c r="D89" s="13"/>
      <c r="E89" s="13"/>
      <c r="F89" s="13"/>
      <c r="G89" s="13"/>
    </row>
    <row r="90" spans="2:7" ht="12">
      <c r="B90" s="13"/>
      <c r="C90" s="13"/>
      <c r="D90" s="13"/>
      <c r="E90" s="13"/>
      <c r="F90" s="13"/>
      <c r="G90" s="13"/>
    </row>
    <row r="91" spans="2:7" ht="12">
      <c r="B91" s="13"/>
      <c r="C91" s="13"/>
      <c r="D91" s="13"/>
      <c r="E91" s="13"/>
      <c r="F91" s="13"/>
      <c r="G91" s="13"/>
    </row>
    <row r="92" spans="2:7" ht="12">
      <c r="B92" s="13"/>
      <c r="C92" s="13"/>
      <c r="D92" s="13"/>
      <c r="E92" s="13"/>
      <c r="F92" s="13"/>
      <c r="G92" s="13"/>
    </row>
    <row r="93" spans="2:7" ht="12">
      <c r="B93" s="13"/>
      <c r="C93" s="13"/>
      <c r="D93" s="13"/>
      <c r="E93" s="13"/>
      <c r="F93" s="13"/>
      <c r="G93" s="13"/>
    </row>
  </sheetData>
  <printOptions horizontalCentered="1"/>
  <pageMargins left="0.5" right="0.5" top="0.75" bottom="0.75" header="0.25" footer="0.25"/>
  <pageSetup orientation="landscape" paperSize="9" scale="70"/>
  <headerFooter alignWithMargins="0">
    <oddHeader>&amp;L&amp;"Times,Regular"&amp;9Cooper Richey&amp;C&amp;"Times,Regular"&amp;9Ph: (510) 486-5417   |   Fax: (510) 486-7976&amp;R&amp;"Times,Regular"&amp;9&amp;D     &amp;T</oddHeader>
    <oddFooter>&amp;L&amp;"Times,Regular"&amp;9&amp;F&amp;C&amp;"Times,Regular"&amp;9&amp;A&amp;R&amp;"Times,Regular"&amp;9&amp;P of &amp;N</oddFooter>
  </headerFooter>
</worksheet>
</file>

<file path=xl/worksheets/sheet4.xml><?xml version="1.0" encoding="utf-8"?>
<worksheet xmlns="http://schemas.openxmlformats.org/spreadsheetml/2006/main" xmlns:r="http://schemas.openxmlformats.org/officeDocument/2006/relationships">
  <dimension ref="B2:W93"/>
  <sheetViews>
    <sheetView showGridLines="0" defaultGridColor="0" colorId="23" workbookViewId="0" topLeftCell="A15">
      <selection activeCell="R11" sqref="R11"/>
    </sheetView>
  </sheetViews>
  <sheetFormatPr defaultColWidth="11.421875" defaultRowHeight="12.75"/>
  <cols>
    <col min="1" max="1" width="0.85546875" style="2" customWidth="1"/>
    <col min="2" max="2" width="45.140625" style="2" customWidth="1"/>
    <col min="3" max="3" width="11.140625" style="12" customWidth="1"/>
    <col min="4" max="4" width="5.28125" style="12" customWidth="1"/>
    <col min="5" max="5" width="6.421875" style="12" customWidth="1"/>
    <col min="6" max="20" width="5.00390625" style="12" customWidth="1"/>
    <col min="21" max="21" width="6.7109375" style="12" customWidth="1"/>
    <col min="22" max="22" width="11.421875" style="2" customWidth="1"/>
    <col min="23" max="23" width="5.140625" style="2" customWidth="1"/>
    <col min="24" max="16384" width="10.8515625" style="2" customWidth="1"/>
  </cols>
  <sheetData>
    <row r="1" ht="4.5" customHeight="1"/>
    <row r="2" spans="2:22" ht="12">
      <c r="B2" s="5"/>
      <c r="C2" s="11"/>
      <c r="D2" s="11"/>
      <c r="E2" s="11"/>
      <c r="F2" s="11"/>
      <c r="G2" s="11"/>
      <c r="H2" s="11"/>
      <c r="I2" s="11"/>
      <c r="J2" s="11"/>
      <c r="K2" s="11"/>
      <c r="L2" s="11"/>
      <c r="M2" s="11"/>
      <c r="N2" s="11"/>
      <c r="O2" s="11"/>
      <c r="P2" s="11"/>
      <c r="Q2" s="11"/>
      <c r="R2" s="11"/>
      <c r="S2" s="11"/>
      <c r="T2" s="11"/>
      <c r="U2" s="11"/>
      <c r="V2" s="6"/>
    </row>
    <row r="3" spans="2:22" ht="18.75">
      <c r="B3" s="49" t="s">
        <v>68</v>
      </c>
      <c r="C3" s="3"/>
      <c r="D3" s="3"/>
      <c r="E3" s="3"/>
      <c r="F3" s="3"/>
      <c r="G3" s="3"/>
      <c r="H3" s="3"/>
      <c r="I3" s="3"/>
      <c r="J3" s="3"/>
      <c r="K3" s="3"/>
      <c r="L3" s="3"/>
      <c r="M3" s="89">
        <f>C32</f>
        <v>0.2</v>
      </c>
      <c r="N3" s="90" t="s">
        <v>69</v>
      </c>
      <c r="O3" s="91"/>
      <c r="P3" s="91">
        <f>J32</f>
        <v>10</v>
      </c>
      <c r="Q3" s="90" t="s">
        <v>70</v>
      </c>
      <c r="R3" s="91"/>
      <c r="S3" s="3"/>
      <c r="T3" s="3"/>
      <c r="U3" s="53"/>
      <c r="V3" s="50" t="s">
        <v>71</v>
      </c>
    </row>
    <row r="4" spans="2:22" ht="12.75">
      <c r="B4" s="52"/>
      <c r="C4" s="3"/>
      <c r="D4" s="3"/>
      <c r="E4" s="3"/>
      <c r="F4" s="3"/>
      <c r="G4" s="3"/>
      <c r="H4" s="3"/>
      <c r="I4" s="3"/>
      <c r="J4" s="3"/>
      <c r="K4" s="3"/>
      <c r="L4" s="3"/>
      <c r="M4" s="3"/>
      <c r="N4" s="3"/>
      <c r="O4" s="3"/>
      <c r="P4" s="3"/>
      <c r="Q4" s="3"/>
      <c r="R4" s="3"/>
      <c r="S4" s="3"/>
      <c r="T4" s="3"/>
      <c r="U4" s="3"/>
      <c r="V4" s="115" t="s">
        <v>72</v>
      </c>
    </row>
    <row r="5" spans="2:22" ht="12">
      <c r="B5" s="46"/>
      <c r="C5" s="47" t="s">
        <v>73</v>
      </c>
      <c r="D5" s="7">
        <v>1998</v>
      </c>
      <c r="E5" s="7">
        <v>1999</v>
      </c>
      <c r="F5" s="7">
        <v>2000</v>
      </c>
      <c r="G5" s="7">
        <v>2001</v>
      </c>
      <c r="H5" s="7">
        <v>2002</v>
      </c>
      <c r="I5" s="7">
        <v>2003</v>
      </c>
      <c r="J5" s="7">
        <v>2004</v>
      </c>
      <c r="K5" s="7">
        <v>2005</v>
      </c>
      <c r="L5" s="7">
        <v>2006</v>
      </c>
      <c r="M5" s="7">
        <v>2007</v>
      </c>
      <c r="N5" s="7">
        <v>2008</v>
      </c>
      <c r="O5" s="7">
        <v>2009</v>
      </c>
      <c r="P5" s="7">
        <v>2010</v>
      </c>
      <c r="Q5" s="7">
        <v>2011</v>
      </c>
      <c r="R5" s="7">
        <v>2012</v>
      </c>
      <c r="S5" s="7">
        <v>2013</v>
      </c>
      <c r="T5" s="7">
        <v>2014</v>
      </c>
      <c r="U5" s="8">
        <v>2015</v>
      </c>
      <c r="V5" s="116" t="s">
        <v>74</v>
      </c>
    </row>
    <row r="6" spans="2:22" ht="12">
      <c r="B6" s="5" t="s">
        <v>75</v>
      </c>
      <c r="C6" s="48" t="s">
        <v>76</v>
      </c>
      <c r="D6" s="11">
        <v>0</v>
      </c>
      <c r="E6" s="11">
        <f aca="true" t="shared" si="0" ref="E6:U6">D6</f>
        <v>0</v>
      </c>
      <c r="F6" s="11">
        <f t="shared" si="0"/>
        <v>0</v>
      </c>
      <c r="G6" s="11">
        <f t="shared" si="0"/>
        <v>0</v>
      </c>
      <c r="H6" s="11">
        <f t="shared" si="0"/>
        <v>0</v>
      </c>
      <c r="I6" s="11">
        <f t="shared" si="0"/>
        <v>0</v>
      </c>
      <c r="J6" s="11">
        <f t="shared" si="0"/>
        <v>0</v>
      </c>
      <c r="K6" s="11">
        <f t="shared" si="0"/>
        <v>0</v>
      </c>
      <c r="L6" s="11">
        <f t="shared" si="0"/>
        <v>0</v>
      </c>
      <c r="M6" s="11">
        <f t="shared" si="0"/>
        <v>0</v>
      </c>
      <c r="N6" s="11">
        <f t="shared" si="0"/>
        <v>0</v>
      </c>
      <c r="O6" s="11">
        <f t="shared" si="0"/>
        <v>0</v>
      </c>
      <c r="P6" s="11">
        <f t="shared" si="0"/>
        <v>0</v>
      </c>
      <c r="Q6" s="11">
        <f t="shared" si="0"/>
        <v>0</v>
      </c>
      <c r="R6" s="11">
        <f t="shared" si="0"/>
        <v>0</v>
      </c>
      <c r="S6" s="11">
        <f t="shared" si="0"/>
        <v>0</v>
      </c>
      <c r="T6" s="11">
        <f t="shared" si="0"/>
        <v>0</v>
      </c>
      <c r="U6" s="11">
        <f t="shared" si="0"/>
        <v>0</v>
      </c>
      <c r="V6" s="48" t="s">
        <v>77</v>
      </c>
    </row>
    <row r="7" spans="2:22" ht="12">
      <c r="B7" s="45" t="s">
        <v>78</v>
      </c>
      <c r="C7" s="24" t="s">
        <v>76</v>
      </c>
      <c r="D7" s="3">
        <f>(D6+((($K$34*$J$32/$D$36)+($E$34*$J$32/$D$36*$C$32/$C$36))*'input asumptions'!D18))*'input asumptions'!D21</f>
        <v>0.07666666666666666</v>
      </c>
      <c r="E7" s="3">
        <f>(E6+((($K$34*$J$32/$D$36)+($E$34*$J$32/$D$36*$C$32/$C$36))*'input asumptions'!E18))*'input asumptions'!E21</f>
        <v>0.3833333333333333</v>
      </c>
      <c r="F7" s="3">
        <f>(F6+((($K$34*$J$32/$D$36)+($E$34*$J$32/$D$36*$C$32/$C$36))*'input asumptions'!F18))*'input asumptions'!F21</f>
        <v>0.7666666666666666</v>
      </c>
      <c r="G7" s="3">
        <f>(G6+((($K$34*$J$32/$D$36)+($E$34*$J$32/$D$36*$C$32/$C$36))*'input asumptions'!G18))*'input asumptions'!G21</f>
        <v>1.4055555555555554</v>
      </c>
      <c r="H7" s="3">
        <f>(H6+((($K$34*$J$32/$D$36)+($E$34*$J$32/$D$36*$C$32/$C$36))*'input asumptions'!H18))*'input asumptions'!H21</f>
        <v>3.194444444444444</v>
      </c>
      <c r="I7" s="3">
        <f>(I6+((($K$34*$J$32/$D$36)+($E$34*$J$32/$D$36*$C$32/$C$36))*'input asumptions'!I18))*'input asumptions'!I21</f>
        <v>5.75</v>
      </c>
      <c r="J7" s="3">
        <f>(J6+((($K$34*$J$32/$D$36)+($E$34*$J$32/$D$36*$C$32/$C$36))*'input asumptions'!J18))*'input asumptions'!J21</f>
        <v>7.666666666666668</v>
      </c>
      <c r="K7" s="3">
        <f>(K6+((($K$34*$J$32/$D$36)+($E$34*$J$32/$D$36*$C$32/$C$36))*'input asumptions'!K18))*'input asumptions'!K21</f>
        <v>8.944444444444443</v>
      </c>
      <c r="L7" s="3">
        <f>(L6+((($K$34*$J$32/$D$36)+($E$34*$J$32/$D$36*$C$32/$C$36))*'input asumptions'!L18))*'input asumptions'!L21</f>
        <v>9.583333333333332</v>
      </c>
      <c r="M7" s="3">
        <f>(M6+((($K$34*$J$32/$D$36)+($E$34*$J$32/$D$36*$C$32/$C$36))*'input asumptions'!M18))*'input asumptions'!M21</f>
        <v>9.583333333333332</v>
      </c>
      <c r="N7" s="3">
        <f>(N6+((($K$34*$J$32/$D$36)+($E$34*$J$32/$D$36*$C$32/$C$36))*'input asumptions'!N18))*'input asumptions'!N21</f>
        <v>8.944444444444445</v>
      </c>
      <c r="O7" s="3">
        <f>(O6+((($K$34*$J$32/$D$36)+($E$34*$J$32/$D$36*$C$32/$C$36))*'input asumptions'!O18))*'input asumptions'!O21</f>
        <v>7.666666666666666</v>
      </c>
      <c r="P7" s="3">
        <f>(P6+((($K$34*$J$32/$D$36)+($E$34*$J$32/$D$36*$C$32/$C$36))*'input asumptions'!P18))*'input asumptions'!P21</f>
        <v>8.625</v>
      </c>
      <c r="Q7" s="3">
        <f>(Q6+((($K$34*$J$32/$D$36)+($E$34*$J$32/$D$36*$C$32/$C$36))*'input asumptions'!Q18))*'input asumptions'!Q21</f>
        <v>9.583333333333332</v>
      </c>
      <c r="R7" s="3">
        <f>(R6+((($K$34*$J$32/$D$36)+($E$34*$J$32/$D$36*$C$32/$C$36))*'input asumptions'!R18))*'input asumptions'!R21</f>
        <v>10.541666666666666</v>
      </c>
      <c r="S7" s="3">
        <f>(S6+((($K$34*$J$32/$D$36)+($E$34*$J$32/$D$36*$C$32/$C$36))*'input asumptions'!S18))*'input asumptions'!S21</f>
        <v>11.5</v>
      </c>
      <c r="T7" s="3">
        <f>(T6+((($K$34*$J$32/$D$36)+($E$34*$J$32/$D$36*$C$32/$C$36))*'input asumptions'!T18))*'input asumptions'!T21</f>
        <v>11.5</v>
      </c>
      <c r="U7" s="3">
        <f>(U6+((($K$34*$J$32/$D$36)+($E$34*$J$32/$D$36*$C$32/$C$36))*'input asumptions'!U18))*'input asumptions'!U21</f>
        <v>11.5</v>
      </c>
      <c r="V7" s="24" t="s">
        <v>77</v>
      </c>
    </row>
    <row r="8" spans="2:22" ht="12">
      <c r="B8" s="45" t="s">
        <v>79</v>
      </c>
      <c r="C8" s="24" t="s">
        <v>76</v>
      </c>
      <c r="D8" s="100">
        <f>(D6+((($E$34*$J$32/$D$36*$C$32/$C$36))*'input asumptions'!D18))*'input asumptions'!D21</f>
        <v>0.04666666666666666</v>
      </c>
      <c r="E8" s="100">
        <f>(E6+((($E$34*$J$32/$D$36*$C$32/$C$36))*'input asumptions'!E18))*'input asumptions'!E21</f>
        <v>0.2333333333333333</v>
      </c>
      <c r="F8" s="100">
        <f>(F6+((($E$34*$J$32/$D$36*$C$32/$C$36))*'input asumptions'!F18))*'input asumptions'!F21</f>
        <v>0.4666666666666666</v>
      </c>
      <c r="G8" s="100">
        <f>(G6+((($E$34*$J$32/$D$36*$C$32/$C$36))*'input asumptions'!G18))*'input asumptions'!G21</f>
        <v>0.8555555555555554</v>
      </c>
      <c r="H8" s="100">
        <f>(H6+((($E$34*$J$32/$D$36*$C$32/$C$36))*'input asumptions'!H18))*'input asumptions'!H21</f>
        <v>1.9444444444444442</v>
      </c>
      <c r="I8" s="100">
        <f>(I6+((($E$34*$J$32/$D$36*$C$32/$C$36))*'input asumptions'!I18))*'input asumptions'!I21</f>
        <v>3.4999999999999996</v>
      </c>
      <c r="J8" s="100">
        <f>(J6+((($E$34*$J$32/$D$36*$C$32/$C$36))*'input asumptions'!J18))*'input asumptions'!J21</f>
        <v>4.666666666666667</v>
      </c>
      <c r="K8" s="100">
        <f>(K6+((($E$34*$J$32/$D$36*$C$32/$C$36))*'input asumptions'!K18))*'input asumptions'!K21</f>
        <v>5.444444444444443</v>
      </c>
      <c r="L8" s="100">
        <f>(L6+((($E$34*$J$32/$D$36*$C$32/$C$36))*'input asumptions'!L18))*'input asumptions'!L21</f>
        <v>5.833333333333333</v>
      </c>
      <c r="M8" s="100">
        <f>(M6+((($E$34*$J$32/$D$36*$C$32/$C$36))*'input asumptions'!M18))*'input asumptions'!M21</f>
        <v>5.833333333333332</v>
      </c>
      <c r="N8" s="100">
        <f>(N6+((($E$34*$J$32/$D$36*$C$32/$C$36))*'input asumptions'!N18))*'input asumptions'!N21</f>
        <v>5.444444444444445</v>
      </c>
      <c r="O8" s="100">
        <f>(O6+((($E$34*$J$32/$D$36*$C$32/$C$36))*'input asumptions'!O18))*'input asumptions'!O21</f>
        <v>4.666666666666666</v>
      </c>
      <c r="P8" s="100">
        <f>(P6+((($E$34*$J$32/$D$36*$C$32/$C$36))*'input asumptions'!P18))*'input asumptions'!P21</f>
        <v>5.249999999999999</v>
      </c>
      <c r="Q8" s="100">
        <f>(Q6+((($E$34*$J$32/$D$36*$C$32/$C$36))*'input asumptions'!Q18))*'input asumptions'!Q21</f>
        <v>5.833333333333333</v>
      </c>
      <c r="R8" s="100">
        <f>(R6+((($E$34*$J$32/$D$36*$C$32/$C$36))*'input asumptions'!R18))*'input asumptions'!R21</f>
        <v>6.416666666666666</v>
      </c>
      <c r="S8" s="100">
        <f>(S6+((($E$34*$J$32/$D$36*$C$32/$C$36))*'input asumptions'!S18))*'input asumptions'!S21</f>
        <v>6.999999999999999</v>
      </c>
      <c r="T8" s="100">
        <f>(T6+((($E$34*$J$32/$D$36*$C$32/$C$36))*'input asumptions'!T18))*'input asumptions'!T21</f>
        <v>6.999999999999999</v>
      </c>
      <c r="U8" s="100">
        <f>(U6+((($E$34*$J$32/$D$36*$C$32/$C$36))*'input asumptions'!U18))*'input asumptions'!U21</f>
        <v>6.999999999999999</v>
      </c>
      <c r="V8" s="24" t="s">
        <v>77</v>
      </c>
    </row>
    <row r="9" spans="2:22" ht="12">
      <c r="B9" s="45" t="s">
        <v>80</v>
      </c>
      <c r="C9" s="24" t="s">
        <v>76</v>
      </c>
      <c r="D9" s="100">
        <f>(D6+((($K$34*$J$32/$D$36))*'input asumptions'!D18))*'input asumptions'!D21</f>
        <v>0.03</v>
      </c>
      <c r="E9" s="100">
        <f>(E6+((($K$34*$J$32/$D$36))*'input asumptions'!E18))*'input asumptions'!E21</f>
        <v>0.15</v>
      </c>
      <c r="F9" s="100">
        <f>(F6+((($K$34*$J$32/$D$36))*'input asumptions'!F18))*'input asumptions'!F21</f>
        <v>0.3</v>
      </c>
      <c r="G9" s="100">
        <f>(G6+((($K$34*$J$32/$D$36))*'input asumptions'!G18))*'input asumptions'!G21</f>
        <v>0.5499999999999999</v>
      </c>
      <c r="H9" s="100">
        <f>(H6+((($K$34*$J$32/$D$36))*'input asumptions'!H18))*'input asumptions'!H21</f>
        <v>1.25</v>
      </c>
      <c r="I9" s="100">
        <f>(I6+((($K$34*$J$32/$D$36))*'input asumptions'!I18))*'input asumptions'!I21</f>
        <v>2.25</v>
      </c>
      <c r="J9" s="100">
        <f>(J6+((($K$34*$J$32/$D$36))*'input asumptions'!J18))*'input asumptions'!J21</f>
        <v>3.0000000000000004</v>
      </c>
      <c r="K9" s="100">
        <f>(K6+((($K$34*$J$32/$D$36))*'input asumptions'!K18))*'input asumptions'!K21</f>
        <v>3.4999999999999996</v>
      </c>
      <c r="L9" s="100">
        <f>(L6+((($K$34*$J$32/$D$36))*'input asumptions'!L18))*'input asumptions'!L21</f>
        <v>3.75</v>
      </c>
      <c r="M9" s="100">
        <f>(M6+((($K$34*$J$32/$D$36))*'input asumptions'!M18))*'input asumptions'!M21</f>
        <v>3.7499999999999996</v>
      </c>
      <c r="N9" s="100">
        <f>(N6+((($K$34*$J$32/$D$36))*'input asumptions'!N18))*'input asumptions'!N21</f>
        <v>3.5000000000000004</v>
      </c>
      <c r="O9" s="100">
        <f>(O6+((($K$34*$J$32/$D$36))*'input asumptions'!O18))*'input asumptions'!O21</f>
        <v>3</v>
      </c>
      <c r="P9" s="100">
        <f>(P6+((($K$34*$J$32/$D$36))*'input asumptions'!P18))*'input asumptions'!P21</f>
        <v>3.375</v>
      </c>
      <c r="Q9" s="100">
        <f>(Q6+((($K$34*$J$32/$D$36))*'input asumptions'!Q18))*'input asumptions'!Q21</f>
        <v>3.75</v>
      </c>
      <c r="R9" s="100">
        <f>(R6+((($K$34*$J$32/$D$36))*'input asumptions'!R18))*'input asumptions'!R21</f>
        <v>4.125</v>
      </c>
      <c r="S9" s="100">
        <f>(S6+((($K$34*$J$32/$D$36))*'input asumptions'!S18))*'input asumptions'!S21</f>
        <v>4.5</v>
      </c>
      <c r="T9" s="100">
        <f>(T6+((($K$34*$J$32/$D$36))*'input asumptions'!T18))*'input asumptions'!T21</f>
        <v>4.5</v>
      </c>
      <c r="U9" s="100">
        <f>(U6+((($K$34*$J$32/$D$36))*'input asumptions'!U18))*'input asumptions'!U21</f>
        <v>4.5</v>
      </c>
      <c r="V9" s="24" t="s">
        <v>77</v>
      </c>
    </row>
    <row r="10" spans="2:22" ht="12">
      <c r="B10" s="45" t="s">
        <v>81</v>
      </c>
      <c r="C10" s="24" t="s">
        <v>76</v>
      </c>
      <c r="D10" s="3">
        <f>(D6+((($K$34*$J$32/$D$36)+($E$34*$J$32/$D$36*$C$32/$C$36))*'input asumptions'!D18))*'input asumptions'!D22</f>
        <v>0</v>
      </c>
      <c r="E10" s="3">
        <f>(E6+((($K$34*$J$32/$D$36)+($E$34*$J$32/$D$36*$C$32/$C$36))*'input asumptions'!E18))*'input asumptions'!E22</f>
        <v>0</v>
      </c>
      <c r="F10" s="3">
        <f>(F6+((($K$34*$J$32/$D$36)+($E$34*$J$32/$D$36*$C$32/$C$36))*'input asumptions'!F18))*'input asumptions'!F22</f>
        <v>0</v>
      </c>
      <c r="G10" s="3">
        <f>(G6+((($K$34*$J$32/$D$36)+($E$34*$J$32/$D$36*$C$32/$C$36))*'input asumptions'!G18))*'input asumptions'!G22</f>
        <v>0.08023255813953488</v>
      </c>
      <c r="H10" s="3">
        <f>(H6+((($K$34*$J$32/$D$36)+($E$34*$J$32/$D$36*$C$32/$C$36))*'input asumptions'!H18))*'input asumptions'!H22</f>
        <v>0.5348837209302325</v>
      </c>
      <c r="I10" s="3">
        <f>(I6+((($K$34*$J$32/$D$36)+($E$34*$J$32/$D$36*$C$32/$C$36))*'input asumptions'!I18))*'input asumptions'!I22</f>
        <v>1.7383720930232556</v>
      </c>
      <c r="J10" s="3">
        <f>(J6+((($K$34*$J$32/$D$36)+($E$34*$J$32/$D$36*$C$32/$C$36))*'input asumptions'!J18))*'input asumptions'!J22</f>
        <v>3.61046511627907</v>
      </c>
      <c r="K10" s="3">
        <f>(K6+((($K$34*$J$32/$D$36)+($E$34*$J$32/$D$36*$C$32/$C$36))*'input asumptions'!K18))*'input asumptions'!K22</f>
        <v>6.151162790697674</v>
      </c>
      <c r="L10" s="3">
        <f>(L6+((($K$34*$J$32/$D$36)+($E$34*$J$32/$D$36*$C$32/$C$36))*'input asumptions'!L18))*'input asumptions'!L22</f>
        <v>9.360465116279068</v>
      </c>
      <c r="M10" s="3">
        <f>(M6+((($K$34*$J$32/$D$36)+($E$34*$J$32/$D$36*$C$32/$C$36))*'input asumptions'!M18))*'input asumptions'!M22</f>
        <v>13.238372093023257</v>
      </c>
      <c r="N10" s="3">
        <f>(N6+((($K$34*$J$32/$D$36)+($E$34*$J$32/$D$36*$C$32/$C$36))*'input asumptions'!N18))*'input asumptions'!N22</f>
        <v>17.78488372093023</v>
      </c>
      <c r="O10" s="3">
        <f>(O6+((($K$34*$J$32/$D$36)+($E$34*$J$32/$D$36*$C$32/$C$36))*'input asumptions'!O18))*'input asumptions'!O22</f>
        <v>23</v>
      </c>
      <c r="P10" s="3">
        <f>(P6+((($K$34*$J$32/$D$36)+($E$34*$J$32/$D$36*$C$32/$C$36))*'input asumptions'!P18))*'input asumptions'!P22</f>
        <v>25.875</v>
      </c>
      <c r="Q10" s="3">
        <f>(Q6+((($K$34*$J$32/$D$36)+($E$34*$J$32/$D$36*$C$32/$C$36))*'input asumptions'!Q18))*'input asumptions'!Q22</f>
        <v>28.749999999999996</v>
      </c>
      <c r="R10" s="3">
        <f>(R6+((($K$34*$J$32/$D$36)+($E$34*$J$32/$D$36*$C$32/$C$36))*'input asumptions'!R18))*'input asumptions'!R22</f>
        <v>31.625</v>
      </c>
      <c r="S10" s="3">
        <f>(S6+((($K$34*$J$32/$D$36)+($E$34*$J$32/$D$36*$C$32/$C$36))*'input asumptions'!S18))*'input asumptions'!S22</f>
        <v>34.5</v>
      </c>
      <c r="T10" s="3">
        <f>(T6+((($K$34*$J$32/$D$36)+($E$34*$J$32/$D$36*$C$32/$C$36))*'input asumptions'!T18))*'input asumptions'!T22</f>
        <v>34.5</v>
      </c>
      <c r="U10" s="3">
        <f>(U6+((($K$34*$J$32/$D$36)+($E$34*$J$32/$D$36*$C$32/$C$36))*'input asumptions'!U18))*'input asumptions'!U22</f>
        <v>34.5</v>
      </c>
      <c r="V10" s="24" t="s">
        <v>77</v>
      </c>
    </row>
    <row r="11" spans="2:22" ht="12">
      <c r="B11" s="45" t="s">
        <v>82</v>
      </c>
      <c r="C11" s="24" t="s">
        <v>76</v>
      </c>
      <c r="D11" s="100">
        <f>(D6+((($E$34*$J$32/$D$36*$C$32/$C$36))*'input asumptions'!D18))*'input asumptions'!D22</f>
        <v>0</v>
      </c>
      <c r="E11" s="100">
        <f>(E6+((($E$34*$J$32/$D$36*$C$32/$C$36))*'input asumptions'!E18))*'input asumptions'!E22</f>
        <v>0</v>
      </c>
      <c r="F11" s="100">
        <f>(F6+((($E$34*$J$32/$D$36*$C$32/$C$36))*'input asumptions'!F18))*'input asumptions'!F22</f>
        <v>0</v>
      </c>
      <c r="G11" s="100">
        <f>(G6+((($E$34*$J$32/$D$36*$C$32/$C$36))*'input asumptions'!G18))*'input asumptions'!G22</f>
        <v>0.04883720930232558</v>
      </c>
      <c r="H11" s="100">
        <f>(H6+((($E$34*$J$32/$D$36*$C$32/$C$36))*'input asumptions'!H18))*'input asumptions'!H22</f>
        <v>0.3255813953488372</v>
      </c>
      <c r="I11" s="100">
        <f>(I6+((($E$34*$J$32/$D$36*$C$32/$C$36))*'input asumptions'!I18))*'input asumptions'!I22</f>
        <v>1.0581395348837208</v>
      </c>
      <c r="J11" s="100">
        <f>(J6+((($E$34*$J$32/$D$36*$C$32/$C$36))*'input asumptions'!J18))*'input asumptions'!J22</f>
        <v>2.197674418604651</v>
      </c>
      <c r="K11" s="100">
        <f>(K6+((($E$34*$J$32/$D$36*$C$32/$C$36))*'input asumptions'!K18))*'input asumptions'!K22</f>
        <v>3.7441860465116275</v>
      </c>
      <c r="L11" s="100">
        <f>(L6+((($E$34*$J$32/$D$36*$C$32/$C$36))*'input asumptions'!L18))*'input asumptions'!L22</f>
        <v>5.697674418604651</v>
      </c>
      <c r="M11" s="100">
        <f>(M6+((($E$34*$J$32/$D$36*$C$32/$C$36))*'input asumptions'!M18))*'input asumptions'!M22</f>
        <v>8.05813953488372</v>
      </c>
      <c r="N11" s="100">
        <f>(N6+((($E$34*$J$32/$D$36*$C$32/$C$36))*'input asumptions'!N18))*'input asumptions'!N22</f>
        <v>10.825581395348836</v>
      </c>
      <c r="O11" s="100">
        <f>(O6+((($E$34*$J$32/$D$36*$C$32/$C$36))*'input asumptions'!O18))*'input asumptions'!O22</f>
        <v>13.999999999999998</v>
      </c>
      <c r="P11" s="100">
        <f>(P6+((($E$34*$J$32/$D$36*$C$32/$C$36))*'input asumptions'!P18))*'input asumptions'!P22</f>
        <v>15.749999999999996</v>
      </c>
      <c r="Q11" s="100">
        <f>(Q6+((($E$34*$J$32/$D$36*$C$32/$C$36))*'input asumptions'!Q18))*'input asumptions'!Q22</f>
        <v>17.5</v>
      </c>
      <c r="R11" s="100">
        <f>(R6+((($E$34*$J$32/$D$36*$C$32/$C$36))*'input asumptions'!R18))*'input asumptions'!R22</f>
        <v>19.25</v>
      </c>
      <c r="S11" s="100">
        <f>(S6+((($E$34*$J$32/$D$36*$C$32/$C$36))*'input asumptions'!S18))*'input asumptions'!S22</f>
        <v>20.999999999999996</v>
      </c>
      <c r="T11" s="100">
        <f>(T6+((($E$34*$J$32/$D$36*$C$32/$C$36))*'input asumptions'!T18))*'input asumptions'!T22</f>
        <v>20.999999999999996</v>
      </c>
      <c r="U11" s="100">
        <f>(U6+((($E$34*$J$32/$D$36*$C$32/$C$36))*'input asumptions'!U18))*'input asumptions'!U22</f>
        <v>20.999999999999996</v>
      </c>
      <c r="V11" s="24" t="s">
        <v>77</v>
      </c>
    </row>
    <row r="12" spans="2:22" ht="12">
      <c r="B12" s="45" t="s">
        <v>83</v>
      </c>
      <c r="C12" s="24" t="s">
        <v>76</v>
      </c>
      <c r="D12" s="100">
        <f>(D6+((($K$34*$J$32/$D$36))*'input asumptions'!D18))*'input asumptions'!D22</f>
        <v>0</v>
      </c>
      <c r="E12" s="100">
        <f>(E6+((($K$34*$J$32/$D$36))*'input asumptions'!E18))*'input asumptions'!E22</f>
        <v>0</v>
      </c>
      <c r="F12" s="100">
        <f>(F6+((($K$34*$J$32/$D$36))*'input asumptions'!F18))*'input asumptions'!F22</f>
        <v>0</v>
      </c>
      <c r="G12" s="100">
        <f>(G6+((($K$34*$J$32/$D$36))*'input asumptions'!G18))*'input asumptions'!G22</f>
        <v>0.031395348837209305</v>
      </c>
      <c r="H12" s="100">
        <f>(H6+((($K$34*$J$32/$D$36))*'input asumptions'!H18))*'input asumptions'!H22</f>
        <v>0.20930232558139533</v>
      </c>
      <c r="I12" s="100">
        <f>(I6+((($K$34*$J$32/$D$36))*'input asumptions'!I18))*'input asumptions'!I22</f>
        <v>0.6802325581395349</v>
      </c>
      <c r="J12" s="100">
        <f>(J6+((($K$34*$J$32/$D$36))*'input asumptions'!J18))*'input asumptions'!J22</f>
        <v>1.4127906976744187</v>
      </c>
      <c r="K12" s="100">
        <f>(K6+((($K$34*$J$32/$D$36))*'input asumptions'!K18))*'input asumptions'!K22</f>
        <v>2.4069767441860463</v>
      </c>
      <c r="L12" s="100">
        <f>(L6+((($K$34*$J$32/$D$36))*'input asumptions'!L18))*'input asumptions'!L22</f>
        <v>3.6627906976744184</v>
      </c>
      <c r="M12" s="100">
        <f>(M6+((($K$34*$J$32/$D$36))*'input asumptions'!M18))*'input asumptions'!M22</f>
        <v>5.180232558139535</v>
      </c>
      <c r="N12" s="100">
        <f>(N6+((($K$34*$J$32/$D$36))*'input asumptions'!N18))*'input asumptions'!N22</f>
        <v>6.959302325581395</v>
      </c>
      <c r="O12" s="100">
        <f>(O6+((($K$34*$J$32/$D$36))*'input asumptions'!O18))*'input asumptions'!O22</f>
        <v>9</v>
      </c>
      <c r="P12" s="100">
        <f>(P6+((($K$34*$J$32/$D$36))*'input asumptions'!P18))*'input asumptions'!P22</f>
        <v>10.125</v>
      </c>
      <c r="Q12" s="100">
        <f>(Q6+((($K$34*$J$32/$D$36))*'input asumptions'!Q18))*'input asumptions'!Q22</f>
        <v>11.25</v>
      </c>
      <c r="R12" s="100">
        <f>(R6+((($K$34*$J$32/$D$36))*'input asumptions'!R18))*'input asumptions'!R22</f>
        <v>12.375</v>
      </c>
      <c r="S12" s="100">
        <f>(S6+((($K$34*$J$32/$D$36))*'input asumptions'!S18))*'input asumptions'!S22</f>
        <v>13.5</v>
      </c>
      <c r="T12" s="100">
        <f>(T6+((($K$34*$J$32/$D$36))*'input asumptions'!T18))*'input asumptions'!T22</f>
        <v>13.5</v>
      </c>
      <c r="U12" s="100">
        <f>(U6+((($K$34*$J$32/$D$36))*'input asumptions'!U18))*'input asumptions'!U22</f>
        <v>13.5</v>
      </c>
      <c r="V12" s="24" t="s">
        <v>77</v>
      </c>
    </row>
    <row r="13" spans="2:22" ht="12">
      <c r="B13" s="4" t="s">
        <v>84</v>
      </c>
      <c r="C13" s="27" t="s">
        <v>76</v>
      </c>
      <c r="D13" s="9">
        <f>D10+D7</f>
        <v>0.07666666666666666</v>
      </c>
      <c r="E13" s="9">
        <f aca="true" t="shared" si="1" ref="E13:T13">E10+E7</f>
        <v>0.3833333333333333</v>
      </c>
      <c r="F13" s="9">
        <f t="shared" si="1"/>
        <v>0.7666666666666666</v>
      </c>
      <c r="G13" s="9">
        <f t="shared" si="1"/>
        <v>1.4857881136950903</v>
      </c>
      <c r="H13" s="9">
        <f t="shared" si="1"/>
        <v>3.729328165374677</v>
      </c>
      <c r="I13" s="9">
        <f t="shared" si="1"/>
        <v>7.488372093023256</v>
      </c>
      <c r="J13" s="9">
        <f t="shared" si="1"/>
        <v>11.277131782945737</v>
      </c>
      <c r="K13" s="9">
        <f t="shared" si="1"/>
        <v>15.095607235142117</v>
      </c>
      <c r="L13" s="9">
        <f t="shared" si="1"/>
        <v>18.9437984496124</v>
      </c>
      <c r="M13" s="9">
        <f t="shared" si="1"/>
        <v>22.821705426356587</v>
      </c>
      <c r="N13" s="9">
        <f t="shared" si="1"/>
        <v>26.729328165374675</v>
      </c>
      <c r="O13" s="9">
        <f t="shared" si="1"/>
        <v>30.666666666666664</v>
      </c>
      <c r="P13" s="9">
        <f t="shared" si="1"/>
        <v>34.5</v>
      </c>
      <c r="Q13" s="9">
        <f t="shared" si="1"/>
        <v>38.33333333333333</v>
      </c>
      <c r="R13" s="9">
        <f t="shared" si="1"/>
        <v>42.166666666666664</v>
      </c>
      <c r="S13" s="9">
        <f t="shared" si="1"/>
        <v>46</v>
      </c>
      <c r="T13" s="9">
        <f t="shared" si="1"/>
        <v>46</v>
      </c>
      <c r="U13" s="9">
        <f>U10+U7</f>
        <v>46</v>
      </c>
      <c r="V13" s="27" t="s">
        <v>77</v>
      </c>
    </row>
    <row r="14" spans="2:22" ht="12">
      <c r="B14" s="5" t="s">
        <v>85</v>
      </c>
      <c r="C14" s="48" t="s">
        <v>86</v>
      </c>
      <c r="D14" s="11">
        <f>SUM($D6:D6)</f>
        <v>0</v>
      </c>
      <c r="E14" s="11">
        <f>SUM($D6:E6)</f>
        <v>0</v>
      </c>
      <c r="F14" s="11">
        <f>SUM($D6:F6)</f>
        <v>0</v>
      </c>
      <c r="G14" s="11">
        <f>SUM($D6:G6)</f>
        <v>0</v>
      </c>
      <c r="H14" s="11">
        <f>SUM($D6:H6)</f>
        <v>0</v>
      </c>
      <c r="I14" s="11">
        <f>SUM($D6:I6)</f>
        <v>0</v>
      </c>
      <c r="J14" s="11">
        <f>SUM($D6:J6)</f>
        <v>0</v>
      </c>
      <c r="K14" s="11">
        <f>SUM($D6:K6)</f>
        <v>0</v>
      </c>
      <c r="L14" s="11">
        <f>SUM($D6:L6)</f>
        <v>0</v>
      </c>
      <c r="M14" s="11">
        <f>SUM($D6:M6)</f>
        <v>0</v>
      </c>
      <c r="N14" s="11">
        <f>SUM($D6:N6)</f>
        <v>0</v>
      </c>
      <c r="O14" s="11">
        <f>SUM($D6:O6)</f>
        <v>0</v>
      </c>
      <c r="P14" s="11">
        <f>SUM($D6:P6)</f>
        <v>0</v>
      </c>
      <c r="Q14" s="11">
        <f>SUM($D6:Q6)</f>
        <v>0</v>
      </c>
      <c r="R14" s="11">
        <f>SUM($D6:R6)</f>
        <v>0</v>
      </c>
      <c r="S14" s="11">
        <f>SUM($D6:S6)</f>
        <v>0</v>
      </c>
      <c r="T14" s="11">
        <f>SUM($D6:T6)</f>
        <v>0</v>
      </c>
      <c r="U14" s="11">
        <f>SUM($D6:U6)</f>
        <v>0</v>
      </c>
      <c r="V14" s="48" t="s">
        <v>77</v>
      </c>
    </row>
    <row r="15" spans="2:22" ht="12">
      <c r="B15" s="45" t="s">
        <v>87</v>
      </c>
      <c r="C15" s="24" t="s">
        <v>86</v>
      </c>
      <c r="D15" s="3">
        <f>SUM($D7:D7)</f>
        <v>0.07666666666666666</v>
      </c>
      <c r="E15" s="3">
        <f>SUM($D7:E7)</f>
        <v>0.45999999999999996</v>
      </c>
      <c r="F15" s="3">
        <f>SUM($D7:F7)</f>
        <v>1.2266666666666666</v>
      </c>
      <c r="G15" s="3">
        <f>SUM($D7:G7)</f>
        <v>2.632222222222222</v>
      </c>
      <c r="H15" s="3">
        <f>SUM($D7:H7)</f>
        <v>5.826666666666666</v>
      </c>
      <c r="I15" s="3">
        <f>SUM($D7:I7)</f>
        <v>11.576666666666666</v>
      </c>
      <c r="J15" s="3">
        <f>SUM($D7:J7)</f>
        <v>19.243333333333332</v>
      </c>
      <c r="K15" s="3">
        <f>SUM($D7:K7)</f>
        <v>28.187777777777775</v>
      </c>
      <c r="L15" s="3">
        <f>SUM($D7:L7)</f>
        <v>37.77111111111111</v>
      </c>
      <c r="M15" s="3">
        <f>SUM($D7:M7)</f>
        <v>47.35444444444444</v>
      </c>
      <c r="N15" s="3">
        <f>SUM($D7:N7)</f>
        <v>56.29888888888888</v>
      </c>
      <c r="O15" s="3">
        <f>SUM($D7:O7)</f>
        <v>63.96555555555555</v>
      </c>
      <c r="P15" s="3">
        <f>SUM($D7:P7)</f>
        <v>72.59055555555554</v>
      </c>
      <c r="Q15" s="3">
        <f>SUM($D7:Q7)</f>
        <v>82.17388888888887</v>
      </c>
      <c r="R15" s="3">
        <f>SUM($D7:R7)</f>
        <v>92.71555555555554</v>
      </c>
      <c r="S15" s="3">
        <f>SUM($D7:S7)</f>
        <v>104.21555555555554</v>
      </c>
      <c r="T15" s="3">
        <f>SUM($D7:T7)</f>
        <v>115.71555555555554</v>
      </c>
      <c r="U15" s="3">
        <f>SUM($D7:U7)</f>
        <v>127.21555555555554</v>
      </c>
      <c r="V15" s="24" t="s">
        <v>77</v>
      </c>
    </row>
    <row r="16" spans="2:22" ht="12">
      <c r="B16" s="45" t="s">
        <v>88</v>
      </c>
      <c r="C16" s="24" t="s">
        <v>86</v>
      </c>
      <c r="D16" s="3">
        <f>SUM($D10:D10)</f>
        <v>0</v>
      </c>
      <c r="E16" s="3">
        <f>SUM($D10:E10)</f>
        <v>0</v>
      </c>
      <c r="F16" s="3">
        <f>SUM($D10:F10)</f>
        <v>0</v>
      </c>
      <c r="G16" s="3">
        <f>SUM($D10:G10)</f>
        <v>0.08023255813953488</v>
      </c>
      <c r="H16" s="3">
        <f>SUM($D10:H10)</f>
        <v>0.6151162790697674</v>
      </c>
      <c r="I16" s="3">
        <f>SUM($D10:I10)</f>
        <v>2.353488372093023</v>
      </c>
      <c r="J16" s="3">
        <f>SUM($D10:J10)</f>
        <v>5.963953488372093</v>
      </c>
      <c r="K16" s="3">
        <f>SUM($D10:K10)</f>
        <v>12.115116279069767</v>
      </c>
      <c r="L16" s="3">
        <f>SUM($D10:L10)</f>
        <v>21.475581395348833</v>
      </c>
      <c r="M16" s="3">
        <f>SUM($D10:M10)</f>
        <v>34.71395348837209</v>
      </c>
      <c r="N16" s="3">
        <f>SUM($D10:N10)</f>
        <v>52.49883720930232</v>
      </c>
      <c r="O16" s="3">
        <f>SUM($D10:O10)</f>
        <v>75.49883720930232</v>
      </c>
      <c r="P16" s="3">
        <f>SUM($D10:P10)</f>
        <v>101.37383720930232</v>
      </c>
      <c r="Q16" s="3">
        <f>SUM($D10:Q10)</f>
        <v>130.1238372093023</v>
      </c>
      <c r="R16" s="3">
        <f>SUM($D10:R10)</f>
        <v>161.7488372093023</v>
      </c>
      <c r="S16" s="3">
        <f>SUM($D10:S10)</f>
        <v>196.2488372093023</v>
      </c>
      <c r="T16" s="3">
        <f>SUM($D10:T10)</f>
        <v>230.7488372093023</v>
      </c>
      <c r="U16" s="3">
        <f>SUM($D10:U10)</f>
        <v>265.24883720930234</v>
      </c>
      <c r="V16" s="24" t="s">
        <v>77</v>
      </c>
    </row>
    <row r="17" spans="2:22" ht="12">
      <c r="B17" s="4" t="s">
        <v>89</v>
      </c>
      <c r="C17" s="27" t="s">
        <v>86</v>
      </c>
      <c r="D17" s="9">
        <f>SUM($D13:D13)</f>
        <v>0.07666666666666666</v>
      </c>
      <c r="E17" s="9">
        <f>SUM($D13:E13)</f>
        <v>0.45999999999999996</v>
      </c>
      <c r="F17" s="9">
        <f>SUM($D13:F13)</f>
        <v>1.2266666666666666</v>
      </c>
      <c r="G17" s="9">
        <f>SUM($D13:G13)</f>
        <v>2.7124547803617567</v>
      </c>
      <c r="H17" s="9">
        <f>SUM($D13:H13)</f>
        <v>6.441782945736433</v>
      </c>
      <c r="I17" s="9">
        <f>SUM($D13:I13)</f>
        <v>13.93015503875969</v>
      </c>
      <c r="J17" s="9">
        <f>SUM($D13:J13)</f>
        <v>25.207286821705427</v>
      </c>
      <c r="K17" s="9">
        <f>SUM($D13:K13)</f>
        <v>40.30289405684754</v>
      </c>
      <c r="L17" s="9">
        <f>SUM($D13:L13)</f>
        <v>59.246692506459944</v>
      </c>
      <c r="M17" s="9">
        <f>SUM($D13:M13)</f>
        <v>82.06839793281654</v>
      </c>
      <c r="N17" s="9">
        <f>SUM($D13:N13)</f>
        <v>108.79772609819122</v>
      </c>
      <c r="O17" s="9">
        <f>SUM($D13:O13)</f>
        <v>139.46439276485788</v>
      </c>
      <c r="P17" s="9">
        <f>SUM($D13:P13)</f>
        <v>173.96439276485788</v>
      </c>
      <c r="Q17" s="9">
        <f>SUM($D13:Q13)</f>
        <v>212.29772609819122</v>
      </c>
      <c r="R17" s="9">
        <f>SUM($D13:R13)</f>
        <v>254.46439276485788</v>
      </c>
      <c r="S17" s="9">
        <f>SUM($D13:S13)</f>
        <v>300.46439276485785</v>
      </c>
      <c r="T17" s="9">
        <f>SUM($D13:T13)</f>
        <v>346.46439276485785</v>
      </c>
      <c r="U17" s="9">
        <f>SUM($D13:U13)</f>
        <v>392.46439276485785</v>
      </c>
      <c r="V17" s="27" t="s">
        <v>77</v>
      </c>
    </row>
    <row r="18" spans="2:22" ht="12">
      <c r="B18" s="5" t="s">
        <v>90</v>
      </c>
      <c r="C18" s="48" t="s">
        <v>91</v>
      </c>
      <c r="D18" s="11">
        <v>9000</v>
      </c>
      <c r="E18" s="11">
        <f aca="true" t="shared" si="2" ref="E18:U18">D18</f>
        <v>9000</v>
      </c>
      <c r="F18" s="11">
        <f t="shared" si="2"/>
        <v>9000</v>
      </c>
      <c r="G18" s="11">
        <f t="shared" si="2"/>
        <v>9000</v>
      </c>
      <c r="H18" s="11">
        <f t="shared" si="2"/>
        <v>9000</v>
      </c>
      <c r="I18" s="11">
        <f t="shared" si="2"/>
        <v>9000</v>
      </c>
      <c r="J18" s="11">
        <f t="shared" si="2"/>
        <v>9000</v>
      </c>
      <c r="K18" s="11">
        <f t="shared" si="2"/>
        <v>9000</v>
      </c>
      <c r="L18" s="11">
        <f t="shared" si="2"/>
        <v>9000</v>
      </c>
      <c r="M18" s="11">
        <f t="shared" si="2"/>
        <v>9000</v>
      </c>
      <c r="N18" s="11">
        <f t="shared" si="2"/>
        <v>9000</v>
      </c>
      <c r="O18" s="11">
        <f t="shared" si="2"/>
        <v>9000</v>
      </c>
      <c r="P18" s="11">
        <f t="shared" si="2"/>
        <v>9000</v>
      </c>
      <c r="Q18" s="11">
        <f t="shared" si="2"/>
        <v>9000</v>
      </c>
      <c r="R18" s="11">
        <f t="shared" si="2"/>
        <v>9000</v>
      </c>
      <c r="S18" s="11">
        <f t="shared" si="2"/>
        <v>9000</v>
      </c>
      <c r="T18" s="11">
        <f t="shared" si="2"/>
        <v>9000</v>
      </c>
      <c r="U18" s="11">
        <f t="shared" si="2"/>
        <v>9000</v>
      </c>
      <c r="V18" s="48" t="s">
        <v>77</v>
      </c>
    </row>
    <row r="19" spans="2:22" ht="12">
      <c r="B19" s="45" t="s">
        <v>92</v>
      </c>
      <c r="C19" s="24" t="s">
        <v>91</v>
      </c>
      <c r="D19" s="3">
        <f>IF(AND(D5&gt;=$E$32,D5&lt;=$G$32),D18*(1-$C$32),D18)</f>
        <v>9000</v>
      </c>
      <c r="E19" s="3">
        <f aca="true" t="shared" si="3" ref="E19:N19">IF(AND(E5&gt;=$E$32,E5&lt;=$G$32),MIN($D19*$P$38^(LN(E15/1)/LN(2)),$D$19)*(1-$C$32),MIN($D19*$P$38^(LN(E15/1)/LN(2)),$D$19))</f>
        <v>7200</v>
      </c>
      <c r="F19" s="3">
        <f t="shared" si="3"/>
        <v>7146.47174460176</v>
      </c>
      <c r="G19" s="3">
        <f t="shared" si="3"/>
        <v>6949.920664825389</v>
      </c>
      <c r="H19" s="3">
        <f t="shared" si="3"/>
        <v>6751.104866880028</v>
      </c>
      <c r="I19" s="3">
        <f t="shared" si="3"/>
        <v>6583.914407762688</v>
      </c>
      <c r="J19" s="3">
        <f t="shared" si="3"/>
        <v>6462.8344797708405</v>
      </c>
      <c r="K19" s="3">
        <f t="shared" si="3"/>
        <v>6373.349780901705</v>
      </c>
      <c r="L19" s="3">
        <f t="shared" si="3"/>
        <v>6305.584566433579</v>
      </c>
      <c r="M19" s="3">
        <f t="shared" si="3"/>
        <v>6253.720648078443</v>
      </c>
      <c r="N19" s="3">
        <f t="shared" si="3"/>
        <v>6214.3249201017325</v>
      </c>
      <c r="O19" s="3">
        <f aca="true" t="shared" si="4" ref="O19:U19">IF(AND(O5&gt;=$E$32,O5&lt;=$G$32),MIN($D19*$P$38^(LN(O15/1)/LN(2)),$D$19)*(1-$C$32),MIN($D19*$P$38^(LN(O15/1)/LN(2)),$D$19))</f>
        <v>7731.766739901596</v>
      </c>
      <c r="P19" s="3">
        <f t="shared" si="4"/>
        <v>7696.127126512516</v>
      </c>
      <c r="Q19" s="3">
        <f t="shared" si="4"/>
        <v>7661.347804083859</v>
      </c>
      <c r="R19" s="3">
        <f t="shared" si="4"/>
        <v>7627.6461420366195</v>
      </c>
      <c r="S19" s="3">
        <f t="shared" si="4"/>
        <v>7595.139507000936</v>
      </c>
      <c r="T19" s="3">
        <f t="shared" si="4"/>
        <v>7566.15647019861</v>
      </c>
      <c r="U19" s="3">
        <f t="shared" si="4"/>
        <v>7540.01716091539</v>
      </c>
      <c r="V19" s="24" t="s">
        <v>77</v>
      </c>
    </row>
    <row r="20" spans="2:22" ht="12">
      <c r="B20" s="45" t="s">
        <v>93</v>
      </c>
      <c r="C20" s="24" t="s">
        <v>91</v>
      </c>
      <c r="D20" s="3">
        <v>5500</v>
      </c>
      <c r="E20" s="3">
        <f aca="true" t="shared" si="5" ref="E20:U20">D20</f>
        <v>5500</v>
      </c>
      <c r="F20" s="3">
        <f t="shared" si="5"/>
        <v>5500</v>
      </c>
      <c r="G20" s="3">
        <f t="shared" si="5"/>
        <v>5500</v>
      </c>
      <c r="H20" s="3">
        <f t="shared" si="5"/>
        <v>5500</v>
      </c>
      <c r="I20" s="3">
        <f t="shared" si="5"/>
        <v>5500</v>
      </c>
      <c r="J20" s="3">
        <f t="shared" si="5"/>
        <v>5500</v>
      </c>
      <c r="K20" s="3">
        <f t="shared" si="5"/>
        <v>5500</v>
      </c>
      <c r="L20" s="3">
        <f t="shared" si="5"/>
        <v>5500</v>
      </c>
      <c r="M20" s="3">
        <f t="shared" si="5"/>
        <v>5500</v>
      </c>
      <c r="N20" s="3">
        <f t="shared" si="5"/>
        <v>5500</v>
      </c>
      <c r="O20" s="3">
        <f t="shared" si="5"/>
        <v>5500</v>
      </c>
      <c r="P20" s="3">
        <f t="shared" si="5"/>
        <v>5500</v>
      </c>
      <c r="Q20" s="3">
        <f t="shared" si="5"/>
        <v>5500</v>
      </c>
      <c r="R20" s="3">
        <f t="shared" si="5"/>
        <v>5500</v>
      </c>
      <c r="S20" s="3">
        <f t="shared" si="5"/>
        <v>5500</v>
      </c>
      <c r="T20" s="3">
        <f t="shared" si="5"/>
        <v>5500</v>
      </c>
      <c r="U20" s="3">
        <f t="shared" si="5"/>
        <v>5500</v>
      </c>
      <c r="V20" s="24" t="s">
        <v>77</v>
      </c>
    </row>
    <row r="21" spans="2:22" ht="12">
      <c r="B21" s="4" t="s">
        <v>94</v>
      </c>
      <c r="C21" s="27" t="s">
        <v>91</v>
      </c>
      <c r="D21" s="9">
        <v>5500</v>
      </c>
      <c r="E21" s="9">
        <f>D21</f>
        <v>5500</v>
      </c>
      <c r="F21" s="9">
        <f>E21</f>
        <v>5500</v>
      </c>
      <c r="G21" s="9">
        <f>F21</f>
        <v>5500</v>
      </c>
      <c r="H21" s="9">
        <f aca="true" t="shared" si="6" ref="H21:U21">IF(AND(H5&gt;=$E$32,H5&lt;=$G$32),MIN($D21*$P$38^(LN(H16/1)/LN(2)),$D$21)*(1-$C$32),MIN($D21*$P$38^(LN(H16/1)/LN(2)),$D$21))</f>
        <v>4400</v>
      </c>
      <c r="I21" s="9">
        <f t="shared" si="6"/>
        <v>4264.5731474214535</v>
      </c>
      <c r="J21" s="9">
        <f t="shared" si="6"/>
        <v>4122.167251219646</v>
      </c>
      <c r="K21" s="9">
        <f t="shared" si="6"/>
        <v>4016.827552847004</v>
      </c>
      <c r="L21" s="9">
        <f t="shared" si="6"/>
        <v>3933.708924726162</v>
      </c>
      <c r="M21" s="9">
        <f t="shared" si="6"/>
        <v>3865.3107586178808</v>
      </c>
      <c r="N21" s="9">
        <f t="shared" si="6"/>
        <v>3807.3491244971665</v>
      </c>
      <c r="O21" s="9">
        <f t="shared" si="6"/>
        <v>4696.445384785642</v>
      </c>
      <c r="P21" s="9">
        <f t="shared" si="6"/>
        <v>4646.163506194534</v>
      </c>
      <c r="Q21" s="9">
        <f t="shared" si="6"/>
        <v>4603.985560626593</v>
      </c>
      <c r="R21" s="9">
        <f t="shared" si="6"/>
        <v>4567.544958905333</v>
      </c>
      <c r="S21" s="9">
        <f t="shared" si="6"/>
        <v>4535.403197380252</v>
      </c>
      <c r="T21" s="9">
        <f t="shared" si="6"/>
        <v>4508.6544158171355</v>
      </c>
      <c r="U21" s="9">
        <f t="shared" si="6"/>
        <v>4485.766080281244</v>
      </c>
      <c r="V21" s="27" t="s">
        <v>77</v>
      </c>
    </row>
    <row r="22" spans="2:22" ht="12">
      <c r="B22" s="45" t="s">
        <v>95</v>
      </c>
      <c r="C22" s="24" t="s">
        <v>96</v>
      </c>
      <c r="D22" s="28">
        <f>((D15*'input asumptions'!$C$12)+(D16*'input asumptions'!$C$9))/1000000</f>
        <v>0.00020447440406408754</v>
      </c>
      <c r="E22" s="28">
        <f>((E15*'input asumptions'!$C$12)+(E16*'input asumptions'!$C$9))/1000000</f>
        <v>0.001226846424384525</v>
      </c>
      <c r="F22" s="28">
        <f>((F15*'input asumptions'!$C$12)+(F16*'input asumptions'!$C$9))/1000000</f>
        <v>0.0032715904650254006</v>
      </c>
      <c r="G22" s="28">
        <f>((G15*'input asumptions'!$C$12)+(G16*'input asumptions'!$C$9))/1000000</f>
        <v>0.007164198557454917</v>
      </c>
      <c r="H22" s="28">
        <f>((H15*'input asumptions'!$C$12)+(H16*'input asumptions'!$C$9))/1000000</f>
        <v>0.016643369957377974</v>
      </c>
      <c r="I22" s="28">
        <f>((I15*'input asumptions'!$C$12)+(I16*'input asumptions'!$C$9))/1000000</f>
        <v>0.03509701509492262</v>
      </c>
      <c r="J22" s="28">
        <f>((J15*'input asumptions'!$C$12)+(J16*'input asumptions'!$C$9))/1000000</f>
        <v>0.062020436307787384</v>
      </c>
      <c r="K22" s="28">
        <f>((K15*'input asumptions'!$C$12)+(K16*'input asumptions'!$C$9))/1000000</f>
        <v>0.0969089359336708</v>
      </c>
      <c r="L22" s="28">
        <f>((L15*'input asumptions'!$C$12)+(L16*'input asumptions'!$C$9))/1000000</f>
        <v>0.1392578163102714</v>
      </c>
      <c r="M22" s="28">
        <f>((M15*'input asumptions'!$C$12)+(M16*'input asumptions'!$C$9))/1000000</f>
        <v>0.1885623797752877</v>
      </c>
      <c r="N22" s="28">
        <f>((N15*'input asumptions'!$C$12)+(N16*'input asumptions'!$C$9))/1000000</f>
        <v>0.24431792866641827</v>
      </c>
      <c r="O22" s="28">
        <f>((O15*'input asumptions'!$C$12)+(O16*'input asumptions'!$C$9))/1000000</f>
        <v>0.3060197653213616</v>
      </c>
      <c r="P22" s="28">
        <f>((P15*'input asumptions'!$C$12)+(P16*'input asumptions'!$C$9))/1000000</f>
        <v>0.37543433155817285</v>
      </c>
      <c r="Q22" s="28">
        <f>((Q15*'input asumptions'!$C$12)+(Q16*'input asumptions'!$C$9))/1000000</f>
        <v>0.45256162737685196</v>
      </c>
      <c r="R22" s="28">
        <f>((R15*'input asumptions'!$C$12)+(R16*'input asumptions'!$C$9))/1000000</f>
        <v>0.5374016527773992</v>
      </c>
      <c r="S22" s="28">
        <f>((S15*'input asumptions'!$C$12)+(S16*'input asumptions'!$C$9))/1000000</f>
        <v>0.629954407759814</v>
      </c>
      <c r="T22" s="28">
        <f>((T15*'input asumptions'!$C$12)+(T16*'input asumptions'!$C$9))/1000000</f>
        <v>0.7225071627422291</v>
      </c>
      <c r="U22" s="28">
        <f>((U15*'input asumptions'!$C$12)+(U16*'input asumptions'!$C$9))/1000000</f>
        <v>0.8150599177246443</v>
      </c>
      <c r="V22" s="24">
        <f>SUM(D22:U22)</f>
        <v>4.633613857157139</v>
      </c>
    </row>
    <row r="23" spans="2:22" ht="12">
      <c r="B23" s="45" t="s">
        <v>97</v>
      </c>
      <c r="C23" s="24" t="s">
        <v>98</v>
      </c>
      <c r="D23" s="28">
        <f>((D15*'input asumptions'!$C$11)+(D16*'input asumptions'!$C$8))/1000</f>
        <v>0.0005216816430931329</v>
      </c>
      <c r="E23" s="28">
        <f>((E15*'input asumptions'!$C$11)+(E16*'input asumptions'!$C$8))/1000</f>
        <v>0.003130089858558797</v>
      </c>
      <c r="F23" s="28">
        <f>((F15*'input asumptions'!$C$11)+(F16*'input asumptions'!$C$8))/1000</f>
        <v>0.008346906289490126</v>
      </c>
      <c r="G23" s="28">
        <f>((G15*'input asumptions'!$C$11)+(G16*'input asumptions'!$C$8))/1000</f>
        <v>0.020040808698666108</v>
      </c>
      <c r="H23" s="28">
        <f>((H15*'input asumptions'!$C$11)+(H16*'input asumptions'!$C$8))/1000</f>
        <v>0.055975803510670316</v>
      </c>
      <c r="I23" s="28">
        <f>((I15*'input asumptions'!$C$11)+(I16*'input asumptions'!$C$8))/1000</f>
        <v>0.1412462707128072</v>
      </c>
      <c r="J23" s="28">
        <f>((J15*'input asumptions'!$C$11)+(J16*'input asumptions'!$C$8))/1000</f>
        <v>0.2892526878832053</v>
      </c>
      <c r="K23" s="28">
        <f>((K15*'input asumptions'!$C$11)+(K16*'input asumptions'!$C$8))/1000</f>
        <v>0.5133955325999929</v>
      </c>
      <c r="L23" s="28">
        <f>((L15*'input asumptions'!$C$11)+(L16*'input asumptions'!$C$8))/1000</f>
        <v>0.8270752824412987</v>
      </c>
      <c r="M23" s="28">
        <f>((M15*'input asumptions'!$C$11)+(M16*'input asumptions'!$C$8))/1000</f>
        <v>1.243692414985251</v>
      </c>
      <c r="N23" s="28">
        <f>((N15*'input asumptions'!$C$11)+(N16*'input asumptions'!$C$8))/1000</f>
        <v>1.7766474078099788</v>
      </c>
      <c r="O23" s="28">
        <f>((O15*'input asumptions'!$C$11)+(O16*'input asumptions'!$C$8))/1000</f>
        <v>2.43934073849361</v>
      </c>
      <c r="P23" s="28">
        <f>((P15*'input asumptions'!$C$11)+(P16*'input asumptions'!$C$8))/1000</f>
        <v>3.1848707355126953</v>
      </c>
      <c r="Q23" s="28">
        <f>((Q15*'input asumptions'!$C$11)+(Q16*'input asumptions'!$C$8))/1000</f>
        <v>4.013237398867234</v>
      </c>
      <c r="R23" s="28">
        <f>((R15*'input asumptions'!$C$11)+(R16*'input asumptions'!$C$8))/1000</f>
        <v>4.924440728557226</v>
      </c>
      <c r="S23" s="28">
        <f>((S15*'input asumptions'!$C$11)+(S16*'input asumptions'!$C$8))/1000</f>
        <v>5.918480724582674</v>
      </c>
      <c r="T23" s="28">
        <f>((T15*'input asumptions'!$C$11)+(T16*'input asumptions'!$C$8))/1000</f>
        <v>6.91252072060812</v>
      </c>
      <c r="U23" s="28">
        <f>((U15*'input asumptions'!$C$11)+(U16*'input asumptions'!$C$8))/1000</f>
        <v>7.906560716633567</v>
      </c>
      <c r="V23" s="24">
        <f>SUM(D23:U23)</f>
        <v>40.178776649688146</v>
      </c>
    </row>
    <row r="24" spans="2:22" ht="12">
      <c r="B24" s="45" t="s">
        <v>99</v>
      </c>
      <c r="C24" s="24" t="s">
        <v>100</v>
      </c>
      <c r="D24" s="28">
        <f>(D22*'input asumptions'!$K$10/1000)+(D23*'input asumptions'!$Q$10/1000)</f>
        <v>4.537649812741383E-05</v>
      </c>
      <c r="E24" s="28">
        <f>(E22*'input asumptions'!$K$10/1000)+(E23*'input asumptions'!$Q$10/1000)</f>
        <v>0.000272258988764483</v>
      </c>
      <c r="F24" s="28">
        <f>(F22*'input asumptions'!$K$10/1000)+(F23*'input asumptions'!$Q$10/1000)</f>
        <v>0.0007260239700386213</v>
      </c>
      <c r="G24" s="28">
        <f>(G22*'input asumptions'!$K$10/1000)+(G23*'input asumptions'!$Q$10/1000)</f>
        <v>0.0016153672349988582</v>
      </c>
      <c r="H24" s="28">
        <f>(H22*'input asumptions'!$K$10/1000)+(H23*'input asumptions'!$Q$10/1000)</f>
        <v>0.0038889933189143245</v>
      </c>
      <c r="I24" s="28">
        <f>(I22*'input asumptions'!$K$10/1000)+(I23*'input asumptions'!$Q$10/1000)</f>
        <v>0.008536781329775004</v>
      </c>
      <c r="J24" s="28">
        <f>(J22*'input asumptions'!$K$10/1000)+(J23*'input asumptions'!$Q$10/1000)</f>
        <v>0.015659267110610647</v>
      </c>
      <c r="K24" s="28">
        <f>(K22*'input asumptions'!$K$10/1000)+(K23*'input asumptions'!$Q$10/1000)</f>
        <v>0.025356986504450996</v>
      </c>
      <c r="L24" s="28">
        <f>(L22*'input asumptions'!$K$10/1000)+(L23*'input asumptions'!$Q$10/1000)</f>
        <v>0.037730475354325804</v>
      </c>
      <c r="M24" s="28">
        <f>(M22*'input asumptions'!$K$10/1000)+(M23*'input asumptions'!$Q$10/1000)</f>
        <v>0.052880269503264805</v>
      </c>
      <c r="N24" s="28">
        <f>(N22*'input asumptions'!$K$10/1000)+(N23*'input asumptions'!$Q$10/1000)</f>
        <v>0.07090690479429777</v>
      </c>
      <c r="O24" s="28">
        <f>(O22*'input asumptions'!$K$10/1000)+(O23*'input asumptions'!$Q$10/1000)</f>
        <v>0.09191091707045443</v>
      </c>
      <c r="P24" s="28">
        <f>(P22*'input asumptions'!$K$10/1000)+(P23*'input asumptions'!$Q$10/1000)</f>
        <v>0.11554043088113067</v>
      </c>
      <c r="Q24" s="28">
        <f>(Q22*'input asumptions'!$K$10/1000)+(Q23*'input asumptions'!$Q$10/1000)</f>
        <v>0.14179544622632648</v>
      </c>
      <c r="R24" s="28">
        <f>(R22*'input asumptions'!$K$10/1000)+(R23*'input asumptions'!$Q$10/1000)</f>
        <v>0.1706759631060419</v>
      </c>
      <c r="S24" s="28">
        <f>(S22*'input asumptions'!$K$10/1000)+(S23*'input asumptions'!$Q$10/1000)</f>
        <v>0.2021819815202769</v>
      </c>
      <c r="T24" s="28">
        <f>(T22*'input asumptions'!$K$10/1000)+(T23*'input asumptions'!$Q$10/1000)</f>
        <v>0.2336879999345119</v>
      </c>
      <c r="U24" s="28">
        <f>(U22*'input asumptions'!$K$10/1000)+(U23*'input asumptions'!$Q$10/1000)</f>
        <v>0.2651940183487469</v>
      </c>
      <c r="V24" s="109">
        <f>SUM(D24:U24)</f>
        <v>1.4386054616950579</v>
      </c>
    </row>
    <row r="25" spans="2:22" ht="12" hidden="1">
      <c r="B25" s="45" t="s">
        <v>101</v>
      </c>
      <c r="C25" s="24" t="s">
        <v>76</v>
      </c>
      <c r="D25" s="28">
        <f>IF(AND(D5&gt;=$E$32,D5&lt;=$G$32),D13,0)</f>
        <v>0</v>
      </c>
      <c r="E25" s="28">
        <f aca="true" t="shared" si="7" ref="E25:T25">IF(AND(E5&gt;=$E$32,E5&lt;=$G$32),E13,0)</f>
        <v>0.3833333333333333</v>
      </c>
      <c r="F25" s="28">
        <f t="shared" si="7"/>
        <v>0.7666666666666666</v>
      </c>
      <c r="G25" s="28">
        <f t="shared" si="7"/>
        <v>1.4857881136950903</v>
      </c>
      <c r="H25" s="28">
        <f t="shared" si="7"/>
        <v>3.729328165374677</v>
      </c>
      <c r="I25" s="28">
        <f t="shared" si="7"/>
        <v>7.488372093023256</v>
      </c>
      <c r="J25" s="28">
        <f t="shared" si="7"/>
        <v>11.277131782945737</v>
      </c>
      <c r="K25" s="28">
        <f t="shared" si="7"/>
        <v>15.095607235142117</v>
      </c>
      <c r="L25" s="28">
        <f t="shared" si="7"/>
        <v>18.9437984496124</v>
      </c>
      <c r="M25" s="28">
        <f t="shared" si="7"/>
        <v>22.821705426356587</v>
      </c>
      <c r="N25" s="28">
        <f t="shared" si="7"/>
        <v>26.729328165374675</v>
      </c>
      <c r="O25" s="28">
        <f t="shared" si="7"/>
        <v>0</v>
      </c>
      <c r="P25" s="28">
        <f t="shared" si="7"/>
        <v>0</v>
      </c>
      <c r="Q25" s="28">
        <f t="shared" si="7"/>
        <v>0</v>
      </c>
      <c r="R25" s="28">
        <f t="shared" si="7"/>
        <v>0</v>
      </c>
      <c r="S25" s="28">
        <f t="shared" si="7"/>
        <v>0</v>
      </c>
      <c r="T25" s="28">
        <f t="shared" si="7"/>
        <v>0</v>
      </c>
      <c r="U25" s="28">
        <f>IF(AND(U5&gt;=$E$32,U5&lt;=$G$32),U13,0)</f>
        <v>0</v>
      </c>
      <c r="V25" s="54"/>
    </row>
    <row r="26" spans="2:22" ht="12" hidden="1">
      <c r="B26" s="45" t="s">
        <v>102</v>
      </c>
      <c r="C26" s="24"/>
      <c r="D26" s="28">
        <f>(D25*('input asumptions'!D21*'input asumptions'!$C$13+'input asumptions'!D22*'input asumptions'!$C$10))/1000000</f>
        <v>0</v>
      </c>
      <c r="E26" s="28">
        <f>(E25*('input asumptions'!E21*'input asumptions'!$C$13+'input asumptions'!E22*'input asumptions'!$C$10))/1000000</f>
        <v>0.0002268824906370691</v>
      </c>
      <c r="F26" s="28">
        <f>(F25*('input asumptions'!F21*'input asumptions'!$C$13+'input asumptions'!F22*'input asumptions'!$C$10))/1000000</f>
        <v>0.0004537649812741382</v>
      </c>
      <c r="G26" s="28">
        <f>(G25*('input asumptions'!G21*'input asumptions'!$C$13+'input asumptions'!G22*'input asumptions'!$C$10))/1000000</f>
        <v>0.0008617667296126326</v>
      </c>
      <c r="H26" s="28">
        <f>(H25*('input asumptions'!H21*'input asumptions'!$C$13+'input asumptions'!H22*'input asumptions'!$C$10))/1000000</f>
        <v>0.002211938554506907</v>
      </c>
      <c r="I26" s="28">
        <f>(I25*('input asumptions'!I21*'input asumptions'!$C$13+'input asumptions'!I22*'input asumptions'!$C$10))/1000000</f>
        <v>0.0045396999175848505</v>
      </c>
      <c r="J26" s="28">
        <f>(J25*('input asumptions'!J21*'input asumptions'!$C$13+'input asumptions'!J22*'input asumptions'!$C$10))/1000000</f>
        <v>0.00698445311066441</v>
      </c>
      <c r="K26" s="28">
        <f>(K25*('input asumptions'!K21*'input asumptions'!$C$13+'input asumptions'!K22*'input asumptions'!$C$10))/1000000</f>
        <v>0.009547367155176158</v>
      </c>
      <c r="L26" s="28">
        <f>(L25*('input asumptions'!L21*'input asumptions'!$C$13+'input asumptions'!L22*'input asumptions'!$C$10))/1000000</f>
        <v>0.01222961107255068</v>
      </c>
      <c r="M26" s="28">
        <f>(M25*('input asumptions'!M21*'input asumptions'!$C$13+'input asumptions'!M22*'input asumptions'!$C$10))/1000000</f>
        <v>0.01503235388421855</v>
      </c>
      <c r="N26" s="28">
        <f>(N25*('input asumptions'!N21*'input asumptions'!$C$13+'input asumptions'!N22*'input asumptions'!$C$10))/1000000</f>
        <v>0.017956764611610353</v>
      </c>
      <c r="O26" s="28">
        <f>(O25*('input asumptions'!O21*'input asumptions'!$C$13+'input asumptions'!O22*'input asumptions'!$C$10))/1000000</f>
        <v>0</v>
      </c>
      <c r="P26" s="28">
        <f>(P25*('input asumptions'!P21*'input asumptions'!$C$13+'input asumptions'!P22*'input asumptions'!$C$10))/1000000</f>
        <v>0</v>
      </c>
      <c r="Q26" s="28">
        <f>(Q25*('input asumptions'!Q21*'input asumptions'!$C$13+'input asumptions'!Q22*'input asumptions'!$C$10))/1000000</f>
        <v>0</v>
      </c>
      <c r="R26" s="28">
        <f>(R25*('input asumptions'!R21*'input asumptions'!$C$13+'input asumptions'!R22*'input asumptions'!$C$10))/1000000</f>
        <v>0</v>
      </c>
      <c r="S26" s="28">
        <f>(S25*('input asumptions'!S21*'input asumptions'!$C$13+'input asumptions'!S22*'input asumptions'!$C$10))/1000000</f>
        <v>0</v>
      </c>
      <c r="T26" s="28">
        <f>(T25*('input asumptions'!T21*'input asumptions'!$C$13+'input asumptions'!T22*'input asumptions'!$C$10))/1000000</f>
        <v>0</v>
      </c>
      <c r="U26" s="28">
        <f>(U25*('input asumptions'!U21*'input asumptions'!$C$13+'input asumptions'!U22*'input asumptions'!$C$10))/1000000</f>
        <v>0</v>
      </c>
      <c r="V26" s="54">
        <f>SUM(D26:U26)</f>
        <v>0.07004460250783576</v>
      </c>
    </row>
    <row r="27" spans="2:22" ht="12">
      <c r="B27" s="35" t="s">
        <v>103</v>
      </c>
      <c r="C27" s="24" t="s">
        <v>100</v>
      </c>
      <c r="D27" s="28">
        <f>SUM($D$26:D26)</f>
        <v>0</v>
      </c>
      <c r="E27" s="28">
        <f>SUM($D$26:E26)</f>
        <v>0.0002268824906370691</v>
      </c>
      <c r="F27" s="28">
        <f>SUM($D$26:F26)</f>
        <v>0.0006806474719112073</v>
      </c>
      <c r="G27" s="28">
        <f>SUM($D$26:G26)</f>
        <v>0.00154241420152384</v>
      </c>
      <c r="H27" s="28">
        <f>SUM($D$26:H26)</f>
        <v>0.003754352756030747</v>
      </c>
      <c r="I27" s="28">
        <f>SUM($D$26:I26)</f>
        <v>0.008294052673615597</v>
      </c>
      <c r="J27" s="28">
        <f>SUM($D$26:J26)</f>
        <v>0.015278505784280007</v>
      </c>
      <c r="K27" s="28">
        <f>SUM($D$26:K26)</f>
        <v>0.024825872939456164</v>
      </c>
      <c r="L27" s="28">
        <f>SUM($D$26:L26)</f>
        <v>0.03705548401200685</v>
      </c>
      <c r="M27" s="28">
        <f>SUM($D$26:M26)</f>
        <v>0.0520878378962254</v>
      </c>
      <c r="N27" s="28">
        <f>SUM($D$26:N26)</f>
        <v>0.07004460250783576</v>
      </c>
      <c r="O27" s="28">
        <f>SUM($D$26:O26)</f>
        <v>0.07004460250783576</v>
      </c>
      <c r="P27" s="28">
        <f>SUM($D$26:P26)</f>
        <v>0.07004460250783576</v>
      </c>
      <c r="Q27" s="28">
        <f>SUM($D$26:Q26)</f>
        <v>0.07004460250783576</v>
      </c>
      <c r="R27" s="28">
        <f>SUM($D$26:R26)</f>
        <v>0.07004460250783576</v>
      </c>
      <c r="S27" s="28">
        <f>SUM($D$26:S26)</f>
        <v>0.07004460250783576</v>
      </c>
      <c r="T27" s="28">
        <f>SUM($D$26:T26)</f>
        <v>0.07004460250783576</v>
      </c>
      <c r="U27" s="28">
        <f>SUM($D$26:U26)</f>
        <v>0.07004460250783576</v>
      </c>
      <c r="V27" s="54">
        <f>SUM(D27:U27)</f>
        <v>0.7041028702883728</v>
      </c>
    </row>
    <row r="28" spans="2:22" ht="12">
      <c r="B28" s="45" t="s">
        <v>104</v>
      </c>
      <c r="C28" s="24" t="s">
        <v>105</v>
      </c>
      <c r="D28" s="3">
        <f>(D22*'elec prices'!C$10*10)+(D23*'elec prices'!C$8)</f>
        <v>0.01970545461680953</v>
      </c>
      <c r="E28" s="3">
        <f>(E22*'elec prices'!D$10*10)+(E23*'elec prices'!D$8)</f>
        <v>0.1188606277008572</v>
      </c>
      <c r="F28" s="3">
        <f>(F22*'elec prices'!E$10*10)+(F23*'elec prices'!E$8)</f>
        <v>0.31590172240982944</v>
      </c>
      <c r="G28" s="3">
        <f>(G22*'elec prices'!F$10*10)+(G23*'elec prices'!F$8)</f>
        <v>0.7020681720975431</v>
      </c>
      <c r="H28" s="3">
        <f>(H22*'elec prices'!G$10*10)+(H23*'elec prices'!G$8)</f>
        <v>1.6718138044659554</v>
      </c>
      <c r="I28" s="3">
        <f>(I22*'elec prices'!H$10*10)+(I23*'elec prices'!H$8)</f>
        <v>3.639425869724751</v>
      </c>
      <c r="J28" s="3">
        <f>(J22*'elec prices'!I$10*10)+(J23*'elec prices'!I$8)</f>
        <v>6.592311613198538</v>
      </c>
      <c r="K28" s="3">
        <f>(K22*'elec prices'!J$10*10)+(K23*'elec prices'!J$8)</f>
        <v>10.577495065863268</v>
      </c>
      <c r="L28" s="3">
        <f>(L22*'elec prices'!K$10*10)+(L23*'elec prices'!K$8)</f>
        <v>15.624783549209592</v>
      </c>
      <c r="M28" s="3">
        <f>(M22*'elec prices'!L$10*10)+(M23*'elec prices'!L$8)</f>
        <v>21.692844166015924</v>
      </c>
      <c r="N28" s="3">
        <f>(N22*'elec prices'!M$10*10)+(N23*'elec prices'!M$8)</f>
        <v>28.79705162722641</v>
      </c>
      <c r="O28" s="3">
        <f>(O22*'elec prices'!N$10*10)+(O23*'elec prices'!N$8)</f>
        <v>37.08305222448611</v>
      </c>
      <c r="P28" s="3">
        <f>(P22*'elec prices'!O$10*10)+(P23*'elec prices'!O$8)</f>
        <v>46.15060389293856</v>
      </c>
      <c r="Q28" s="3">
        <f>(Q22*'elec prices'!P$10*10)+(Q23*'elec prices'!P$8)</f>
        <v>55.902243159783644</v>
      </c>
      <c r="R28" s="3">
        <f>(R22*'elec prices'!Q$10*10)+(R23*'elec prices'!Q$8)</f>
        <v>66.5517022175415</v>
      </c>
      <c r="S28" s="3">
        <f>(S22*'elec prices'!R$10*10)+(S23*'elec prices'!R$8)</f>
        <v>77.99821055807139</v>
      </c>
      <c r="T28" s="3">
        <f>(T22*'elec prices'!S$10*10)+(T23*'elec prices'!S$8)</f>
        <v>90.12475208195548</v>
      </c>
      <c r="U28" s="3">
        <f>(U22*'elec prices'!T$10*10)+(U23*'elec prices'!T$8)</f>
        <v>102.88850797484922</v>
      </c>
      <c r="V28" s="24">
        <f>SUM(D28:U28)</f>
        <v>566.4513337821554</v>
      </c>
    </row>
    <row r="29" spans="2:22" ht="12">
      <c r="B29" s="45" t="s">
        <v>106</v>
      </c>
      <c r="C29" s="24" t="s">
        <v>105</v>
      </c>
      <c r="D29" s="3">
        <f>IF(AND(D5&gt;=$E$32,D5&lt;=$G$32),((((D19/(1-$C$32))*$C$32*'input asumptions'!D21)+(D21/(1-$C$32))*$C$32*'input asumptions'!D22))*D13/1000,0)</f>
        <v>0</v>
      </c>
      <c r="E29" s="3">
        <f>IF(AND(E5&gt;=$E$32,E5&lt;=$G$32),((((E19/(1-$C$32))*$C$32*'input asumptions'!E21)+(E21/(1-$C$32))*$C$32*'input asumptions'!E22))*E13/1000,0)</f>
        <v>0.69</v>
      </c>
      <c r="F29" s="3">
        <f>IF(AND(F5&gt;=$E$32,F5&lt;=$G$32),((((F19/(1-$C$32))*$C$32*'input asumptions'!F21)+(F21/(1-$C$32))*$C$32*'input asumptions'!F22))*F13/1000,0)</f>
        <v>1.3697404177153374</v>
      </c>
      <c r="G29" s="3">
        <f>IF(AND(G5&gt;=$E$32,G5&lt;=$G$32),((((G19/(1-$C$32))*$C$32*'input asumptions'!G21)+(G21/(1-$C$32))*$C$32*'input asumptions'!G22))*G13/1000,0)</f>
        <v>2.4732990966286645</v>
      </c>
      <c r="H29" s="3">
        <f>IF(AND(H5&gt;=$E$32,H5&lt;=$G$32),((((H19/(1-$C$32))*$C$32*'input asumptions'!H21)+(H21/(1-$C$32))*$C$32*'input asumptions'!H22))*H13/1000,0)</f>
        <v>5.817634660656883</v>
      </c>
      <c r="I29" s="3">
        <f>IF(AND(I5&gt;=$E$32,I5&lt;=$G$32),((((I19/(1-$C$32))*$C$32*'input asumptions'!I21)+(I21/(1-$C$32))*$C$32*'input asumptions'!I22))*I13/1000,0)</f>
        <v>11.05452765869947</v>
      </c>
      <c r="J29" s="3">
        <f>IF(AND(J5&gt;=$E$32,J5&lt;=$G$32),((((J19/(1-$C$32))*$C$32*'input asumptions'!J21)+(J21/(1-$C$32))*$C$32*'input asumptions'!J22))*J13/1000,0)</f>
        <v>15.795667346692468</v>
      </c>
      <c r="K29" s="3">
        <f>IF(AND(K5&gt;=$E$32,K5&lt;=$G$32),((((K19/(1-$C$32))*$C$32*'input asumptions'!K21)+(K21/(1-$C$32))*$C$32*'input asumptions'!K22))*K13/1000,0)</f>
        <v>20.111836470816204</v>
      </c>
      <c r="L29" s="3">
        <f>IF(AND(L5&gt;=$E$32,L5&lt;=$G$32),((((L19/(1-$C$32))*$C$32*'input asumptions'!L21)+(L21/(1-$C$32))*$C$32*'input asumptions'!L22))*L13/1000,0)</f>
        <v>24.02976288947021</v>
      </c>
      <c r="M29" s="3">
        <f>IF(AND(M5&gt;=$E$32,M5&lt;=$G$32),((((M19/(1-$C$32))*$C$32*'input asumptions'!M21)+(M21/(1-$C$32))*$C$32*'input asumptions'!M22))*M13/1000,0)</f>
        <v>27.560164123245787</v>
      </c>
      <c r="N29" s="3">
        <f>IF(AND(N5&gt;=$E$32,N5&lt;=$G$32),((((N19/(1-$C$32))*$C$32*'input asumptions'!N21)+(N21/(1-$C$32))*$C$32*'input asumptions'!N22))*N13/1000,0)</f>
        <v>30.704762583564214</v>
      </c>
      <c r="O29" s="3">
        <f>IF(AND(O5&gt;=$E$32,O5&lt;=$G$32),((((O19/(1-$C$32))*$C$32*'input asumptions'!O21)+(O21/(1-$C$32))*$C$32*'input asumptions'!O22))*O13/1000,0)</f>
        <v>0</v>
      </c>
      <c r="P29" s="3">
        <f>IF(AND(P5&gt;=$E$32,P5&lt;=$G$32),((((P19/(1-$C$32))*$C$32*'input asumptions'!P21)+(P21/(1-$C$32))*$C$32*'input asumptions'!P22))*P13/1000,0)</f>
        <v>0</v>
      </c>
      <c r="Q29" s="3">
        <f>IF(AND(Q5&gt;=$E$32,Q5&lt;=$G$32),((((Q19/(1-$C$32))*$C$32*'input asumptions'!Q21)+(Q21/(1-$C$32))*$C$32*'input asumptions'!Q22))*Q13/1000,0)</f>
        <v>0</v>
      </c>
      <c r="R29" s="3">
        <f>IF(AND(R5&gt;=$E$32,R5&lt;=$G$32),((((R19/(1-$C$32))*$C$32*'input asumptions'!R21)+(R21/(1-$C$32))*$C$32*'input asumptions'!R22))*R13/1000,0)</f>
        <v>0</v>
      </c>
      <c r="S29" s="3">
        <f>IF(AND(S5&gt;=$E$32,S5&lt;=$G$32),((((S19/(1-$C$32))*$C$32*'input asumptions'!S21)+(S21/(1-$C$32))*$C$32*'input asumptions'!S22))*S13/1000,0)</f>
        <v>0</v>
      </c>
      <c r="T29" s="3">
        <f>IF(AND(T5&gt;=$E$32,T5&lt;=$G$32),((((T19/(1-$C$32))*$C$32*'input asumptions'!T21)+(T21/(1-$C$32))*$C$32*'input asumptions'!T22))*T13/1000,0)</f>
        <v>0</v>
      </c>
      <c r="U29" s="3">
        <f>IF(AND(U5&gt;=$E$32,U5&lt;=$G$32),((((U19/(1-$C$32))*$C$32*'input asumptions'!U21)+(U21/(1-$C$32))*$C$32*'input asumptions'!U22))*U13/1000,0)</f>
        <v>0</v>
      </c>
      <c r="V29" s="24">
        <f>SUM(D29:U29)</f>
        <v>139.60739524748922</v>
      </c>
    </row>
    <row r="30" spans="2:22" ht="12">
      <c r="B30" s="4" t="s">
        <v>107</v>
      </c>
      <c r="C30" s="27" t="s">
        <v>108</v>
      </c>
      <c r="D30" s="9" t="s">
        <v>77</v>
      </c>
      <c r="E30" s="9" t="s">
        <v>77</v>
      </c>
      <c r="F30" s="9">
        <f>SUM($D29:F29)/SUM($D24:F24)</f>
        <v>1973.5751964277608</v>
      </c>
      <c r="G30" s="9">
        <f>SUM($D29:G29)/SUM($D24:G24)</f>
        <v>1704.7739791791455</v>
      </c>
      <c r="H30" s="9">
        <f>SUM($D29:H29)/SUM($D24:H24)</f>
        <v>1580.7334366510618</v>
      </c>
      <c r="I30" s="9">
        <f>SUM($D29:I29)/SUM($D24:I24)</f>
        <v>1418.9912979538396</v>
      </c>
      <c r="J30" s="9">
        <f>SUM($D29:J29)/SUM($D24:J24)</f>
        <v>1210.0177710508997</v>
      </c>
      <c r="K30" s="9">
        <f>SUM($D29:K29)/SUM($D24:K24)</f>
        <v>1021.5976454718343</v>
      </c>
      <c r="L30" s="9">
        <f>SUM($D29:L29)/SUM($D24:L24)</f>
        <v>866.8990932145642</v>
      </c>
      <c r="M30" s="9">
        <f>SUM($D29:M29)/SUM($D24:M24)</f>
        <v>742.2895281942696</v>
      </c>
      <c r="N30" s="9">
        <f>SUM($D29:N29)/SUM($D24:N24)</f>
        <v>641.5229586962339</v>
      </c>
      <c r="O30" s="9">
        <f>SUM($D29:O29)/SUM($D24:O24)</f>
        <v>451.03080761915163</v>
      </c>
      <c r="P30" s="9">
        <f>SUM($D29:P29)/SUM($D24:P24)</f>
        <v>328.43385321307983</v>
      </c>
      <c r="Q30" s="9">
        <f>SUM($D29:Q29)/SUM($D24:Q24)</f>
        <v>246.2795769836066</v>
      </c>
      <c r="R30" s="9">
        <f>SUM($D29:R29)/SUM($D24:R24)</f>
        <v>189.2875213949975</v>
      </c>
      <c r="S30" s="9">
        <f>SUM($D29:S29)/SUM($D24:S24)</f>
        <v>148.56221394309884</v>
      </c>
      <c r="T30" s="9">
        <f>SUM($D29:T29)/SUM($D24:T24)</f>
        <v>118.97565516265946</v>
      </c>
      <c r="U30" s="10">
        <f>SUM($D29:U29)/SUM($D24:U24)</f>
        <v>97.04355986734178</v>
      </c>
      <c r="V30" s="27">
        <f>V29/V24</f>
        <v>97.04355986734178</v>
      </c>
    </row>
    <row r="31" spans="2:22" ht="12">
      <c r="B31" s="1"/>
      <c r="C31" s="3"/>
      <c r="D31" s="3"/>
      <c r="E31" s="3"/>
      <c r="F31" s="3"/>
      <c r="G31" s="3"/>
      <c r="H31" s="3"/>
      <c r="I31" s="3"/>
      <c r="J31" s="3"/>
      <c r="K31" s="3"/>
      <c r="L31" s="3"/>
      <c r="M31" s="3"/>
      <c r="N31" s="3"/>
      <c r="O31" s="3"/>
      <c r="P31" s="3"/>
      <c r="Q31" s="3"/>
      <c r="R31" s="3"/>
      <c r="S31" s="3"/>
      <c r="T31" s="3"/>
      <c r="U31" s="3"/>
      <c r="V31" s="3"/>
    </row>
    <row r="32" spans="2:15" ht="12">
      <c r="B32" s="1" t="s">
        <v>109</v>
      </c>
      <c r="C32" s="66">
        <v>0.2</v>
      </c>
      <c r="D32" s="2" t="s">
        <v>110</v>
      </c>
      <c r="E32" s="67">
        <v>1999</v>
      </c>
      <c r="F32" s="3" t="s">
        <v>111</v>
      </c>
      <c r="G32" s="9">
        <v>2008</v>
      </c>
      <c r="H32" s="2" t="s">
        <v>112</v>
      </c>
      <c r="I32" s="104"/>
      <c r="J32" s="9">
        <f>G32-E32+1</f>
        <v>10</v>
      </c>
      <c r="K32" s="12" t="s">
        <v>113</v>
      </c>
      <c r="L32" s="2"/>
      <c r="O32" s="78"/>
    </row>
    <row r="33" spans="2:15" ht="12">
      <c r="B33" s="13" t="s">
        <v>114</v>
      </c>
      <c r="O33" s="78"/>
    </row>
    <row r="34" spans="2:21" ht="12">
      <c r="B34" s="13" t="s">
        <v>115</v>
      </c>
      <c r="E34" s="66">
        <f>1-K34</f>
        <v>0.7</v>
      </c>
      <c r="F34" s="1" t="s">
        <v>116</v>
      </c>
      <c r="G34" s="3"/>
      <c r="H34" s="3"/>
      <c r="I34" s="3"/>
      <c r="J34" s="3"/>
      <c r="K34" s="66">
        <v>0.3</v>
      </c>
      <c r="L34" s="1" t="s">
        <v>117</v>
      </c>
      <c r="M34" s="3"/>
      <c r="N34" s="3"/>
      <c r="O34" s="3"/>
      <c r="P34" s="3"/>
      <c r="Q34" s="3"/>
      <c r="R34" s="3"/>
      <c r="S34" s="3"/>
      <c r="T34" s="3"/>
      <c r="U34" s="3"/>
    </row>
    <row r="35" spans="2:19" ht="12">
      <c r="B35" s="13" t="s">
        <v>118</v>
      </c>
      <c r="G35" s="13"/>
      <c r="H35" s="13"/>
      <c r="I35" s="13"/>
      <c r="J35" s="13"/>
      <c r="K35" s="13"/>
      <c r="L35" s="13"/>
      <c r="M35" s="13"/>
      <c r="N35" s="13"/>
      <c r="O35" s="13"/>
      <c r="P35" s="2"/>
      <c r="Q35" s="2"/>
      <c r="R35" s="2"/>
      <c r="S35" s="2"/>
    </row>
    <row r="36" spans="2:19" ht="12">
      <c r="B36" s="2" t="s">
        <v>119</v>
      </c>
      <c r="C36" s="66">
        <v>0.3</v>
      </c>
      <c r="D36" s="20">
        <v>10</v>
      </c>
      <c r="E36" s="2" t="s">
        <v>120</v>
      </c>
      <c r="F36" s="13"/>
      <c r="G36" s="13"/>
      <c r="H36" s="13"/>
      <c r="I36" s="13"/>
      <c r="J36" s="13"/>
      <c r="K36" s="13"/>
      <c r="L36" s="13"/>
      <c r="M36" s="13"/>
      <c r="N36" s="13"/>
      <c r="O36" s="13"/>
      <c r="P36" s="2"/>
      <c r="Q36" s="2"/>
      <c r="R36" s="2"/>
      <c r="S36" s="2"/>
    </row>
    <row r="37" spans="2:19" ht="12">
      <c r="B37" s="2" t="s">
        <v>121</v>
      </c>
      <c r="G37" s="13"/>
      <c r="H37" s="13"/>
      <c r="I37" s="13"/>
      <c r="J37" s="13"/>
      <c r="K37" s="13"/>
      <c r="L37" s="13"/>
      <c r="M37" s="13"/>
      <c r="N37" s="13"/>
      <c r="O37" s="13"/>
      <c r="P37" s="2"/>
      <c r="Q37" s="2"/>
      <c r="R37" s="2"/>
      <c r="S37" s="2"/>
    </row>
    <row r="38" spans="2:17" ht="12">
      <c r="B38" s="2" t="s">
        <v>122</v>
      </c>
      <c r="P38" s="69">
        <v>0.975</v>
      </c>
      <c r="Q38" s="2" t="s">
        <v>123</v>
      </c>
    </row>
    <row r="39" spans="2:17" ht="12">
      <c r="B39" s="2" t="s">
        <v>124</v>
      </c>
      <c r="P39" s="93"/>
      <c r="Q39" s="2"/>
    </row>
    <row r="40" ht="12">
      <c r="B40" s="2" t="s">
        <v>125</v>
      </c>
    </row>
    <row r="41" ht="12">
      <c r="B41" s="2" t="s">
        <v>126</v>
      </c>
    </row>
    <row r="42" ht="12">
      <c r="B42" s="2" t="s">
        <v>127</v>
      </c>
    </row>
    <row r="43" ht="12">
      <c r="B43" s="2" t="s">
        <v>128</v>
      </c>
    </row>
    <row r="44" ht="12">
      <c r="B44" s="2" t="s">
        <v>129</v>
      </c>
    </row>
    <row r="45" ht="12">
      <c r="B45" s="108" t="s">
        <v>0</v>
      </c>
    </row>
    <row r="46" ht="12">
      <c r="B46" s="108" t="s">
        <v>1</v>
      </c>
    </row>
    <row r="47" ht="12">
      <c r="B47" s="2" t="s">
        <v>2</v>
      </c>
    </row>
    <row r="48" spans="2:21" ht="12">
      <c r="B48" s="13" t="s">
        <v>3</v>
      </c>
      <c r="C48" s="13"/>
      <c r="D48" s="13"/>
      <c r="E48" s="13"/>
      <c r="F48" s="13"/>
      <c r="G48" s="13"/>
      <c r="H48" s="13"/>
      <c r="I48" s="13"/>
      <c r="J48" s="13"/>
      <c r="K48" s="13"/>
      <c r="L48" s="13"/>
      <c r="M48" s="13"/>
      <c r="N48" s="13"/>
      <c r="O48" s="13"/>
      <c r="P48" s="13"/>
      <c r="Q48" s="13"/>
      <c r="R48" s="13"/>
      <c r="S48" s="13"/>
      <c r="T48" s="13"/>
      <c r="U48" s="13"/>
    </row>
    <row r="49" spans="2:22" ht="12">
      <c r="B49" s="13" t="s">
        <v>4</v>
      </c>
      <c r="C49" s="13"/>
      <c r="D49" s="13"/>
      <c r="E49" s="13"/>
      <c r="F49" s="13"/>
      <c r="G49" s="13"/>
      <c r="H49" s="13"/>
      <c r="I49" s="13"/>
      <c r="J49" s="13"/>
      <c r="K49" s="13"/>
      <c r="L49" s="13"/>
      <c r="M49" s="13"/>
      <c r="N49" s="13"/>
      <c r="O49" s="13"/>
      <c r="P49" s="13"/>
      <c r="Q49" s="13"/>
      <c r="R49" s="13"/>
      <c r="S49" s="13"/>
      <c r="T49" s="13"/>
      <c r="U49" s="13"/>
      <c r="V49" s="13"/>
    </row>
    <row r="50" spans="2:22" ht="12">
      <c r="B50" s="13"/>
      <c r="C50" s="13"/>
      <c r="D50" s="13"/>
      <c r="E50" s="13"/>
      <c r="F50" s="13"/>
      <c r="G50" s="13"/>
      <c r="H50" s="13"/>
      <c r="I50" s="13"/>
      <c r="J50" s="13"/>
      <c r="K50" s="13"/>
      <c r="L50" s="13"/>
      <c r="M50" s="13"/>
      <c r="N50" s="13"/>
      <c r="O50" s="13"/>
      <c r="P50" s="13"/>
      <c r="Q50" s="13"/>
      <c r="R50" s="13"/>
      <c r="S50" s="13"/>
      <c r="T50" s="13"/>
      <c r="U50" s="13"/>
      <c r="V50" s="13"/>
    </row>
    <row r="51" spans="2:22" ht="12">
      <c r="B51" s="13"/>
      <c r="C51" s="13"/>
      <c r="D51" s="13"/>
      <c r="E51" s="13"/>
      <c r="F51" s="13"/>
      <c r="G51" s="13"/>
      <c r="H51" s="13"/>
      <c r="I51" s="13"/>
      <c r="J51" s="13"/>
      <c r="K51" s="13"/>
      <c r="L51" s="13"/>
      <c r="M51" s="13"/>
      <c r="N51" s="13"/>
      <c r="O51" s="13"/>
      <c r="P51" s="13"/>
      <c r="Q51" s="13"/>
      <c r="R51" s="13"/>
      <c r="S51" s="13"/>
      <c r="T51" s="13"/>
      <c r="U51" s="13"/>
      <c r="V51" s="13"/>
    </row>
    <row r="52" spans="2:23" ht="12">
      <c r="B52" s="13"/>
      <c r="C52" s="13"/>
      <c r="D52" s="13"/>
      <c r="E52" s="13"/>
      <c r="F52" s="13"/>
      <c r="G52" s="13"/>
      <c r="H52" s="13"/>
      <c r="I52" s="13"/>
      <c r="J52" s="13"/>
      <c r="K52" s="13"/>
      <c r="L52" s="13"/>
      <c r="M52" s="13"/>
      <c r="N52" s="13"/>
      <c r="O52" s="13"/>
      <c r="P52" s="13"/>
      <c r="Q52" s="13"/>
      <c r="R52" s="13"/>
      <c r="S52" s="13"/>
      <c r="T52" s="13"/>
      <c r="U52" s="13"/>
      <c r="V52" s="13"/>
      <c r="W52" s="12"/>
    </row>
    <row r="53" spans="2:22" ht="12">
      <c r="B53" s="13"/>
      <c r="C53" s="13"/>
      <c r="D53" s="13"/>
      <c r="E53" s="13"/>
      <c r="F53" s="13"/>
      <c r="G53" s="13"/>
      <c r="H53" s="13"/>
      <c r="I53" s="13"/>
      <c r="J53" s="13"/>
      <c r="K53" s="13"/>
      <c r="L53" s="13"/>
      <c r="M53" s="13"/>
      <c r="N53" s="13"/>
      <c r="O53" s="13"/>
      <c r="P53" s="13"/>
      <c r="Q53" s="13"/>
      <c r="R53" s="13"/>
      <c r="S53" s="13"/>
      <c r="T53" s="13"/>
      <c r="U53" s="13"/>
      <c r="V53" s="13"/>
    </row>
    <row r="54" spans="2:22" ht="12">
      <c r="B54" s="13"/>
      <c r="C54" s="13"/>
      <c r="D54" s="13"/>
      <c r="E54" s="13"/>
      <c r="F54" s="13"/>
      <c r="G54" s="13"/>
      <c r="H54" s="13"/>
      <c r="I54" s="13"/>
      <c r="J54" s="13"/>
      <c r="K54" s="13"/>
      <c r="L54" s="13"/>
      <c r="M54" s="13"/>
      <c r="N54" s="13"/>
      <c r="O54" s="13"/>
      <c r="P54" s="13"/>
      <c r="Q54" s="13"/>
      <c r="R54" s="13"/>
      <c r="S54" s="13"/>
      <c r="T54" s="13"/>
      <c r="U54" s="13"/>
      <c r="V54" s="13"/>
    </row>
    <row r="55" spans="2:22" ht="12">
      <c r="B55" s="13"/>
      <c r="C55" s="13"/>
      <c r="D55" s="13"/>
      <c r="E55" s="13"/>
      <c r="F55" s="13"/>
      <c r="G55" s="13"/>
      <c r="H55" s="13"/>
      <c r="I55" s="13"/>
      <c r="J55" s="13"/>
      <c r="K55" s="13"/>
      <c r="L55" s="13"/>
      <c r="M55" s="13"/>
      <c r="N55" s="13"/>
      <c r="O55" s="13"/>
      <c r="P55" s="13"/>
      <c r="Q55" s="13"/>
      <c r="R55" s="13"/>
      <c r="S55" s="13"/>
      <c r="T55" s="13"/>
      <c r="U55" s="13"/>
      <c r="V55" s="13"/>
    </row>
    <row r="56" spans="2:22" ht="12">
      <c r="B56" s="13"/>
      <c r="C56" s="13"/>
      <c r="D56" s="13"/>
      <c r="E56" s="13"/>
      <c r="F56" s="13"/>
      <c r="G56" s="13"/>
      <c r="H56" s="13"/>
      <c r="I56" s="13"/>
      <c r="J56" s="13"/>
      <c r="K56" s="13"/>
      <c r="L56" s="13"/>
      <c r="M56" s="13"/>
      <c r="N56" s="13"/>
      <c r="O56" s="13"/>
      <c r="P56" s="13"/>
      <c r="Q56" s="13"/>
      <c r="R56" s="13"/>
      <c r="S56" s="13"/>
      <c r="T56" s="13"/>
      <c r="U56" s="13"/>
      <c r="V56" s="13"/>
    </row>
    <row r="57" spans="2:22" ht="12">
      <c r="B57" s="13"/>
      <c r="C57" s="13"/>
      <c r="D57" s="13"/>
      <c r="E57" s="13"/>
      <c r="F57" s="13"/>
      <c r="G57" s="13"/>
      <c r="H57" s="13"/>
      <c r="I57" s="13"/>
      <c r="J57" s="13"/>
      <c r="K57" s="13"/>
      <c r="L57" s="13"/>
      <c r="M57" s="13"/>
      <c r="N57" s="13"/>
      <c r="O57" s="13"/>
      <c r="P57" s="13"/>
      <c r="Q57" s="13"/>
      <c r="R57" s="13"/>
      <c r="S57" s="13"/>
      <c r="T57" s="13"/>
      <c r="U57" s="13"/>
      <c r="V57" s="13"/>
    </row>
    <row r="58" spans="2:22" ht="12">
      <c r="B58" s="13"/>
      <c r="C58" s="13"/>
      <c r="D58" s="13"/>
      <c r="E58" s="13"/>
      <c r="F58" s="13"/>
      <c r="G58" s="13"/>
      <c r="H58" s="13"/>
      <c r="I58" s="13"/>
      <c r="J58" s="13"/>
      <c r="K58" s="13"/>
      <c r="L58" s="13"/>
      <c r="M58" s="13"/>
      <c r="N58" s="13"/>
      <c r="O58" s="13"/>
      <c r="P58" s="13"/>
      <c r="Q58" s="13"/>
      <c r="R58" s="13"/>
      <c r="S58" s="13"/>
      <c r="T58" s="13"/>
      <c r="U58" s="13"/>
      <c r="V58" s="13"/>
    </row>
    <row r="59" spans="2:22" ht="12">
      <c r="B59" s="13"/>
      <c r="C59" s="13"/>
      <c r="D59" s="13"/>
      <c r="E59" s="13"/>
      <c r="F59" s="13"/>
      <c r="G59" s="13"/>
      <c r="H59" s="13"/>
      <c r="I59" s="13"/>
      <c r="J59" s="13"/>
      <c r="K59" s="13"/>
      <c r="L59" s="13"/>
      <c r="M59" s="13"/>
      <c r="N59" s="13"/>
      <c r="O59" s="13"/>
      <c r="P59" s="13"/>
      <c r="Q59" s="13"/>
      <c r="R59" s="13"/>
      <c r="S59" s="13"/>
      <c r="T59" s="13"/>
      <c r="U59" s="13"/>
      <c r="V59" s="13"/>
    </row>
    <row r="60" s="13" customFormat="1" ht="12"/>
    <row r="61" s="13" customFormat="1" ht="12"/>
    <row r="62" spans="2:22" ht="12">
      <c r="B62" s="13"/>
      <c r="C62" s="13"/>
      <c r="D62" s="13"/>
      <c r="E62" s="13"/>
      <c r="F62" s="13"/>
      <c r="G62" s="13"/>
      <c r="H62" s="13"/>
      <c r="I62" s="13"/>
      <c r="J62" s="13"/>
      <c r="K62" s="13"/>
      <c r="L62" s="13"/>
      <c r="M62" s="13"/>
      <c r="N62" s="13"/>
      <c r="O62" s="13"/>
      <c r="P62" s="13"/>
      <c r="Q62" s="13"/>
      <c r="R62" s="13"/>
      <c r="S62" s="13"/>
      <c r="T62" s="13"/>
      <c r="U62" s="13"/>
      <c r="V62" s="13"/>
    </row>
    <row r="63" spans="2:22" ht="12">
      <c r="B63" s="13"/>
      <c r="C63" s="13"/>
      <c r="D63" s="13"/>
      <c r="E63" s="13"/>
      <c r="F63" s="13"/>
      <c r="G63" s="13"/>
      <c r="H63" s="13"/>
      <c r="I63" s="13"/>
      <c r="J63" s="13"/>
      <c r="K63" s="13"/>
      <c r="L63" s="13"/>
      <c r="M63" s="13"/>
      <c r="N63" s="13"/>
      <c r="O63" s="13"/>
      <c r="P63" s="13"/>
      <c r="Q63" s="13"/>
      <c r="R63" s="13"/>
      <c r="S63" s="13"/>
      <c r="T63" s="13"/>
      <c r="U63" s="13"/>
      <c r="V63" s="13"/>
    </row>
    <row r="64" spans="2:22" ht="12">
      <c r="B64" s="13"/>
      <c r="C64" s="13"/>
      <c r="D64" s="13"/>
      <c r="E64" s="13"/>
      <c r="F64" s="13"/>
      <c r="G64" s="13"/>
      <c r="H64" s="13"/>
      <c r="I64" s="13"/>
      <c r="J64" s="13"/>
      <c r="K64" s="13"/>
      <c r="L64" s="13"/>
      <c r="M64" s="13"/>
      <c r="N64" s="13"/>
      <c r="O64" s="13"/>
      <c r="P64" s="13"/>
      <c r="Q64" s="13"/>
      <c r="R64" s="13"/>
      <c r="S64" s="13"/>
      <c r="T64" s="13"/>
      <c r="U64" s="13"/>
      <c r="V64" s="13"/>
    </row>
    <row r="65" spans="2:7" ht="12">
      <c r="B65" s="13"/>
      <c r="C65" s="72"/>
      <c r="D65" s="13"/>
      <c r="E65" s="13"/>
      <c r="F65" s="13"/>
      <c r="G65" s="13"/>
    </row>
    <row r="66" spans="2:7" ht="12">
      <c r="B66" s="13"/>
      <c r="C66" s="13"/>
      <c r="D66" s="13"/>
      <c r="E66" s="13"/>
      <c r="F66" s="13"/>
      <c r="G66" s="13"/>
    </row>
    <row r="67" spans="2:7" ht="12">
      <c r="B67" s="13"/>
      <c r="C67" s="13"/>
      <c r="D67" s="13"/>
      <c r="E67" s="13"/>
      <c r="F67" s="13"/>
      <c r="G67" s="13"/>
    </row>
    <row r="68" spans="2:7" ht="12">
      <c r="B68" s="13"/>
      <c r="C68" s="13"/>
      <c r="D68" s="13"/>
      <c r="E68" s="13"/>
      <c r="F68" s="13"/>
      <c r="G68" s="13"/>
    </row>
    <row r="69" spans="2:7" ht="12">
      <c r="B69" s="13"/>
      <c r="C69" s="13"/>
      <c r="D69" s="13"/>
      <c r="E69" s="13"/>
      <c r="F69" s="13"/>
      <c r="G69" s="13"/>
    </row>
    <row r="70" spans="2:7" ht="12">
      <c r="B70" s="13"/>
      <c r="C70" s="13"/>
      <c r="D70" s="13"/>
      <c r="E70" s="13"/>
      <c r="F70" s="13"/>
      <c r="G70" s="13"/>
    </row>
    <row r="71" spans="2:7" ht="12">
      <c r="B71" s="13"/>
      <c r="C71" s="13"/>
      <c r="D71" s="13"/>
      <c r="E71" s="13"/>
      <c r="F71" s="13"/>
      <c r="G71" s="13"/>
    </row>
    <row r="72" spans="2:7" ht="12">
      <c r="B72" s="13"/>
      <c r="C72" s="13"/>
      <c r="D72" s="13"/>
      <c r="E72" s="13"/>
      <c r="F72" s="13"/>
      <c r="G72" s="13"/>
    </row>
    <row r="73" spans="2:7" ht="12">
      <c r="B73" s="13"/>
      <c r="C73" s="13"/>
      <c r="D73" s="13"/>
      <c r="E73" s="13"/>
      <c r="F73" s="13"/>
      <c r="G73" s="13"/>
    </row>
    <row r="74" spans="2:7" ht="12">
      <c r="B74" s="13"/>
      <c r="C74" s="13"/>
      <c r="D74" s="13"/>
      <c r="E74" s="13"/>
      <c r="F74" s="13"/>
      <c r="G74" s="13"/>
    </row>
    <row r="75" spans="2:7" ht="12">
      <c r="B75" s="13"/>
      <c r="C75" s="13"/>
      <c r="D75" s="13"/>
      <c r="E75" s="13"/>
      <c r="F75" s="13"/>
      <c r="G75" s="13"/>
    </row>
    <row r="76" spans="2:7" ht="12">
      <c r="B76" s="13"/>
      <c r="C76" s="13"/>
      <c r="D76" s="13"/>
      <c r="E76" s="13"/>
      <c r="F76" s="13"/>
      <c r="G76" s="13"/>
    </row>
    <row r="77" spans="2:7" ht="12">
      <c r="B77" s="13"/>
      <c r="C77" s="13"/>
      <c r="D77" s="13"/>
      <c r="E77" s="13"/>
      <c r="F77" s="13"/>
      <c r="G77" s="13"/>
    </row>
    <row r="78" spans="2:7" ht="12">
      <c r="B78" s="13"/>
      <c r="C78" s="13"/>
      <c r="D78" s="13"/>
      <c r="E78" s="13"/>
      <c r="F78" s="13"/>
      <c r="G78" s="13"/>
    </row>
    <row r="79" spans="2:7" ht="12">
      <c r="B79" s="13"/>
      <c r="C79" s="13"/>
      <c r="D79" s="13"/>
      <c r="E79" s="13"/>
      <c r="F79" s="13"/>
      <c r="G79" s="13"/>
    </row>
    <row r="80" spans="2:7" ht="12">
      <c r="B80" s="13"/>
      <c r="C80" s="13"/>
      <c r="D80" s="13"/>
      <c r="E80" s="13"/>
      <c r="F80" s="13"/>
      <c r="G80" s="13"/>
    </row>
    <row r="81" spans="2:7" ht="12">
      <c r="B81" s="13"/>
      <c r="C81" s="13"/>
      <c r="D81" s="13"/>
      <c r="E81" s="13"/>
      <c r="F81" s="13"/>
      <c r="G81" s="13"/>
    </row>
    <row r="82" spans="2:7" ht="12">
      <c r="B82" s="13"/>
      <c r="C82" s="13"/>
      <c r="D82" s="13"/>
      <c r="E82" s="13"/>
      <c r="F82" s="13"/>
      <c r="G82" s="13"/>
    </row>
    <row r="83" spans="2:7" ht="12">
      <c r="B83" s="13"/>
      <c r="C83" s="13"/>
      <c r="D83" s="13"/>
      <c r="E83" s="13"/>
      <c r="F83" s="13"/>
      <c r="G83" s="13"/>
    </row>
    <row r="84" spans="2:7" ht="12">
      <c r="B84" s="13"/>
      <c r="C84" s="13"/>
      <c r="D84" s="13"/>
      <c r="E84" s="13"/>
      <c r="F84" s="13"/>
      <c r="G84" s="13"/>
    </row>
    <row r="85" spans="2:7" ht="12">
      <c r="B85" s="13"/>
      <c r="C85" s="13"/>
      <c r="D85" s="13"/>
      <c r="E85" s="13"/>
      <c r="F85" s="13"/>
      <c r="G85" s="13"/>
    </row>
    <row r="86" spans="2:7" ht="12">
      <c r="B86" s="13"/>
      <c r="C86" s="13"/>
      <c r="D86" s="13"/>
      <c r="E86" s="13"/>
      <c r="F86" s="13"/>
      <c r="G86" s="13"/>
    </row>
    <row r="87" spans="2:7" ht="12">
      <c r="B87" s="13"/>
      <c r="C87" s="13"/>
      <c r="D87" s="13"/>
      <c r="E87" s="13"/>
      <c r="F87" s="13"/>
      <c r="G87" s="13"/>
    </row>
    <row r="88" spans="2:7" ht="12">
      <c r="B88" s="13"/>
      <c r="C88" s="13"/>
      <c r="D88" s="13"/>
      <c r="E88" s="13"/>
      <c r="F88" s="13"/>
      <c r="G88" s="13"/>
    </row>
    <row r="89" spans="2:7" ht="12">
      <c r="B89" s="13"/>
      <c r="C89" s="13"/>
      <c r="D89" s="13"/>
      <c r="E89" s="13"/>
      <c r="F89" s="13"/>
      <c r="G89" s="13"/>
    </row>
    <row r="90" spans="2:7" ht="12">
      <c r="B90" s="13"/>
      <c r="C90" s="13"/>
      <c r="D90" s="13"/>
      <c r="E90" s="13"/>
      <c r="F90" s="13"/>
      <c r="G90" s="13"/>
    </row>
    <row r="91" spans="2:7" ht="12">
      <c r="B91" s="13"/>
      <c r="C91" s="13"/>
      <c r="D91" s="13"/>
      <c r="E91" s="13"/>
      <c r="F91" s="13"/>
      <c r="G91" s="13"/>
    </row>
    <row r="92" spans="2:7" ht="12">
      <c r="B92" s="13"/>
      <c r="C92" s="13"/>
      <c r="D92" s="13"/>
      <c r="E92" s="13"/>
      <c r="F92" s="13"/>
      <c r="G92" s="13"/>
    </row>
    <row r="93" spans="2:7" ht="12">
      <c r="B93" s="13"/>
      <c r="C93" s="13"/>
      <c r="D93" s="13"/>
      <c r="E93" s="13"/>
      <c r="F93" s="13"/>
      <c r="G93" s="13"/>
    </row>
  </sheetData>
  <printOptions horizontalCentered="1"/>
  <pageMargins left="0.5" right="0.5" top="0.75" bottom="0.75" header="0.25" footer="0.25"/>
  <pageSetup orientation="landscape" paperSize="9" scale="70"/>
  <headerFooter alignWithMargins="0">
    <oddHeader>&amp;L&amp;"Times,Regular"&amp;9Cooper Richey&amp;C&amp;"Times,Regular"&amp;9Ph: (510) 486-5417   |   Fax: (510) 486-7976&amp;R&amp;"Times,Regular"&amp;9&amp;D     &amp;T</oddHeader>
    <oddFooter>&amp;L&amp;"Times,Regular"&amp;9&amp;F&amp;C&amp;"Times,Regular"&amp;9&amp;A&amp;R&amp;"Times,Regular"&amp;9&amp;P of &amp;N</oddFooter>
  </headerFooter>
</worksheet>
</file>

<file path=xl/worksheets/sheet5.xml><?xml version="1.0" encoding="utf-8"?>
<worksheet xmlns="http://schemas.openxmlformats.org/spreadsheetml/2006/main" xmlns:r="http://schemas.openxmlformats.org/officeDocument/2006/relationships">
  <dimension ref="B3:X85"/>
  <sheetViews>
    <sheetView showGridLines="0" tabSelected="1" defaultGridColor="0" colorId="23" workbookViewId="0" topLeftCell="A1">
      <selection activeCell="J47" sqref="J47"/>
    </sheetView>
  </sheetViews>
  <sheetFormatPr defaultColWidth="11.421875" defaultRowHeight="12.75"/>
  <cols>
    <col min="1" max="1" width="0.85546875" style="1" customWidth="1"/>
    <col min="2" max="2" width="36.28125" style="1" customWidth="1"/>
    <col min="3" max="3" width="10.00390625" style="3" customWidth="1"/>
    <col min="4" max="4" width="10.7109375" style="3" customWidth="1"/>
    <col min="5" max="5" width="5.28125" style="3" customWidth="1"/>
    <col min="6" max="7" width="5.00390625" style="3" customWidth="1"/>
    <col min="8" max="8" width="8.421875" style="3" customWidth="1"/>
    <col min="9" max="20" width="5.00390625" style="3" customWidth="1"/>
    <col min="21" max="21" width="6.7109375" style="3" customWidth="1"/>
    <col min="22" max="22" width="8.421875" style="1" customWidth="1"/>
    <col min="23" max="23" width="5.140625" style="1" customWidth="1"/>
    <col min="24" max="16384" width="10.8515625" style="1" customWidth="1"/>
  </cols>
  <sheetData>
    <row r="1" ht="4.5" customHeight="1"/>
    <row r="3" spans="2:22" ht="12.75">
      <c r="B3" s="99" t="s">
        <v>6</v>
      </c>
      <c r="M3" s="92"/>
      <c r="N3" s="1"/>
      <c r="Q3" s="1"/>
      <c r="U3" s="53"/>
      <c r="V3" s="100"/>
    </row>
    <row r="4" spans="2:24" ht="12">
      <c r="B4" s="75" t="s">
        <v>7</v>
      </c>
      <c r="C4" s="11">
        <f>88.5*P4</f>
        <v>69.03</v>
      </c>
      <c r="D4" s="64" t="s">
        <v>8</v>
      </c>
      <c r="E4" s="55" t="s">
        <v>9</v>
      </c>
      <c r="F4" s="11"/>
      <c r="G4" s="65"/>
      <c r="H4" s="65"/>
      <c r="I4" s="65"/>
      <c r="J4" s="65"/>
      <c r="K4" s="65"/>
      <c r="L4" s="65"/>
      <c r="M4" s="65"/>
      <c r="N4" s="65"/>
      <c r="O4" s="65"/>
      <c r="P4" s="73">
        <v>0.78</v>
      </c>
      <c r="Q4" s="65" t="s">
        <v>10</v>
      </c>
      <c r="R4" s="65"/>
      <c r="S4" s="65"/>
      <c r="T4" s="11"/>
      <c r="U4" s="11"/>
      <c r="V4" s="65"/>
      <c r="W4" s="65"/>
      <c r="X4" s="6"/>
    </row>
    <row r="5" spans="2:24" ht="12">
      <c r="B5" s="76" t="s">
        <v>11</v>
      </c>
      <c r="C5" s="9">
        <f>70.9*P5</f>
        <v>55.30200000000001</v>
      </c>
      <c r="D5" s="51" t="s">
        <v>8</v>
      </c>
      <c r="E5" s="56" t="s">
        <v>9</v>
      </c>
      <c r="F5" s="9"/>
      <c r="G5" s="62"/>
      <c r="H5" s="62"/>
      <c r="I5" s="62"/>
      <c r="J5" s="62"/>
      <c r="K5" s="62"/>
      <c r="L5" s="62"/>
      <c r="M5" s="62"/>
      <c r="N5" s="62"/>
      <c r="O5" s="62"/>
      <c r="P5" s="70">
        <v>0.78</v>
      </c>
      <c r="Q5" s="62" t="s">
        <v>10</v>
      </c>
      <c r="R5" s="62"/>
      <c r="S5" s="62"/>
      <c r="T5" s="9"/>
      <c r="U5" s="9"/>
      <c r="V5" s="62"/>
      <c r="W5" s="62"/>
      <c r="X5" s="63"/>
    </row>
    <row r="6" spans="2:24" ht="12">
      <c r="B6" s="75" t="s">
        <v>12</v>
      </c>
      <c r="C6" s="11">
        <f>6.12*O6/3.412</f>
        <v>17.936694021101996</v>
      </c>
      <c r="D6" s="64" t="s">
        <v>8</v>
      </c>
      <c r="E6" s="55" t="s">
        <v>13</v>
      </c>
      <c r="F6" s="11"/>
      <c r="G6" s="65"/>
      <c r="H6" s="65"/>
      <c r="I6" s="65"/>
      <c r="J6" s="65"/>
      <c r="K6" s="65"/>
      <c r="L6" s="65"/>
      <c r="M6" s="65"/>
      <c r="N6" s="65"/>
      <c r="O6" s="80">
        <v>10</v>
      </c>
      <c r="P6" s="110" t="s">
        <v>14</v>
      </c>
      <c r="Q6" s="65"/>
      <c r="R6" s="65"/>
      <c r="S6" s="65"/>
      <c r="T6" s="11"/>
      <c r="U6" s="11"/>
      <c r="V6" s="65"/>
      <c r="W6" s="65"/>
      <c r="X6" s="6"/>
    </row>
    <row r="7" spans="2:24" ht="12">
      <c r="B7" s="76" t="s">
        <v>15</v>
      </c>
      <c r="C7" s="9">
        <f>9.1*O7/3.412</f>
        <v>26.670574443141852</v>
      </c>
      <c r="D7" s="51" t="s">
        <v>8</v>
      </c>
      <c r="E7" s="56" t="s">
        <v>16</v>
      </c>
      <c r="F7" s="9"/>
      <c r="G7" s="62"/>
      <c r="H7" s="62"/>
      <c r="I7" s="62"/>
      <c r="J7" s="62"/>
      <c r="K7" s="62"/>
      <c r="L7" s="62"/>
      <c r="M7" s="62"/>
      <c r="N7" s="62"/>
      <c r="O7" s="9">
        <v>10</v>
      </c>
      <c r="P7" s="70" t="s">
        <v>14</v>
      </c>
      <c r="Q7" s="62"/>
      <c r="R7" s="62"/>
      <c r="S7" s="62"/>
      <c r="T7" s="9"/>
      <c r="U7" s="56"/>
      <c r="V7" s="111"/>
      <c r="W7" s="62"/>
      <c r="X7" s="63"/>
    </row>
    <row r="8" spans="2:24" ht="12">
      <c r="B8" s="77" t="s">
        <v>17</v>
      </c>
      <c r="C8" s="11">
        <f>(C4/V8)-((C4/J8)+(C6/P8))</f>
        <v>26.5445724510573</v>
      </c>
      <c r="D8" s="65" t="s">
        <v>18</v>
      </c>
      <c r="E8" s="65" t="s">
        <v>19</v>
      </c>
      <c r="F8" s="11"/>
      <c r="G8" s="65"/>
      <c r="H8" s="65"/>
      <c r="I8" s="65"/>
      <c r="J8" s="74">
        <v>1.9</v>
      </c>
      <c r="K8" s="65" t="s">
        <v>20</v>
      </c>
      <c r="L8" s="55" t="s">
        <v>21</v>
      </c>
      <c r="M8" s="65"/>
      <c r="N8" s="65"/>
      <c r="O8" s="112"/>
      <c r="P8" s="74">
        <v>0.7</v>
      </c>
      <c r="Q8" s="65" t="s">
        <v>22</v>
      </c>
      <c r="R8" s="65"/>
      <c r="S8" s="55"/>
      <c r="T8" s="55"/>
      <c r="U8" s="55"/>
      <c r="V8" s="113">
        <f>P4</f>
        <v>0.78</v>
      </c>
      <c r="W8" s="6" t="s">
        <v>10</v>
      </c>
      <c r="X8" s="6"/>
    </row>
    <row r="9" spans="2:24" ht="12">
      <c r="B9" s="59" t="s">
        <v>23</v>
      </c>
      <c r="C9" s="3">
        <f>C6/(J12/3.412)/3412*1000000</f>
        <v>1793.6694021101996</v>
      </c>
      <c r="D9" s="1" t="s">
        <v>24</v>
      </c>
      <c r="E9" s="1" t="s">
        <v>25</v>
      </c>
      <c r="G9" s="1"/>
      <c r="H9" s="1"/>
      <c r="I9" s="1"/>
      <c r="J9" s="9">
        <f>J12</f>
        <v>10</v>
      </c>
      <c r="K9" s="1" t="s">
        <v>14</v>
      </c>
      <c r="L9" s="1"/>
      <c r="M9" s="1"/>
      <c r="N9" s="1"/>
      <c r="O9" s="1"/>
      <c r="P9" s="1"/>
      <c r="Q9" s="44"/>
      <c r="R9" s="44"/>
      <c r="S9" s="44"/>
      <c r="X9" s="61"/>
    </row>
    <row r="10" spans="2:24" ht="12">
      <c r="B10" s="60" t="s">
        <v>26</v>
      </c>
      <c r="C10" s="9">
        <f>(C9*K10/1000+C8*Q10)</f>
        <v>715.9288027571861</v>
      </c>
      <c r="D10" s="62" t="s">
        <v>27</v>
      </c>
      <c r="E10" s="62" t="s">
        <v>28</v>
      </c>
      <c r="F10" s="9"/>
      <c r="G10" s="62"/>
      <c r="H10" s="62"/>
      <c r="I10" s="62"/>
      <c r="J10" s="71"/>
      <c r="K10" s="9">
        <v>185</v>
      </c>
      <c r="L10" s="56" t="s">
        <v>29</v>
      </c>
      <c r="M10" s="62" t="s">
        <v>30</v>
      </c>
      <c r="N10" s="62"/>
      <c r="O10" s="62"/>
      <c r="P10" s="62"/>
      <c r="Q10" s="26">
        <f>14.47</f>
        <v>14.47</v>
      </c>
      <c r="R10" s="62" t="s">
        <v>31</v>
      </c>
      <c r="S10" s="70"/>
      <c r="T10" s="9"/>
      <c r="U10" s="9"/>
      <c r="V10" s="62"/>
      <c r="W10" s="62"/>
      <c r="X10" s="63"/>
    </row>
    <row r="11" spans="2:24" ht="12">
      <c r="B11" s="77" t="s">
        <v>32</v>
      </c>
      <c r="C11" s="11">
        <f>(C5/V11)-((C5/J11)+(C7/P11))</f>
        <v>6.8045431707799935</v>
      </c>
      <c r="D11" s="65" t="s">
        <v>18</v>
      </c>
      <c r="E11" s="65" t="s">
        <v>19</v>
      </c>
      <c r="F11" s="11"/>
      <c r="G11" s="65"/>
      <c r="H11" s="65"/>
      <c r="I11" s="65"/>
      <c r="J11" s="68">
        <v>1.26</v>
      </c>
      <c r="K11" s="65" t="s">
        <v>20</v>
      </c>
      <c r="L11" s="55" t="s">
        <v>33</v>
      </c>
      <c r="M11" s="65"/>
      <c r="N11" s="65"/>
      <c r="O11" s="44"/>
      <c r="P11" s="68">
        <v>1.32</v>
      </c>
      <c r="Q11" s="65" t="s">
        <v>34</v>
      </c>
      <c r="R11" s="65"/>
      <c r="S11" s="55"/>
      <c r="T11" s="55"/>
      <c r="U11" s="55"/>
      <c r="V11" s="68">
        <f>P5</f>
        <v>0.78</v>
      </c>
      <c r="W11" s="1" t="s">
        <v>10</v>
      </c>
      <c r="X11" s="114"/>
    </row>
    <row r="12" spans="2:24" ht="12">
      <c r="B12" s="59" t="s">
        <v>35</v>
      </c>
      <c r="C12" s="3">
        <f>C7/(J12/3.412)/3412*1000000</f>
        <v>2667.0574443141854</v>
      </c>
      <c r="D12" s="1" t="s">
        <v>24</v>
      </c>
      <c r="E12" s="1" t="s">
        <v>25</v>
      </c>
      <c r="G12" s="1"/>
      <c r="H12" s="1"/>
      <c r="I12" s="1"/>
      <c r="J12" s="9">
        <f>O6</f>
        <v>10</v>
      </c>
      <c r="K12" s="1" t="s">
        <v>14</v>
      </c>
      <c r="L12" s="1"/>
      <c r="M12" s="1"/>
      <c r="N12" s="1"/>
      <c r="O12" s="1"/>
      <c r="P12" s="1"/>
      <c r="R12" s="1"/>
      <c r="S12" s="1"/>
      <c r="X12" s="61"/>
    </row>
    <row r="13" spans="2:24" ht="12">
      <c r="B13" s="60" t="s">
        <v>36</v>
      </c>
      <c r="C13" s="9">
        <f>((C11*Q13)+(C12*K13/1000))</f>
        <v>591.8673668793108</v>
      </c>
      <c r="D13" s="62" t="s">
        <v>37</v>
      </c>
      <c r="E13" s="62" t="s">
        <v>28</v>
      </c>
      <c r="F13" s="9"/>
      <c r="G13" s="62"/>
      <c r="H13" s="62"/>
      <c r="I13" s="62"/>
      <c r="J13" s="71"/>
      <c r="K13" s="9">
        <f>K10</f>
        <v>185</v>
      </c>
      <c r="L13" s="56" t="s">
        <v>38</v>
      </c>
      <c r="M13" s="62" t="s">
        <v>30</v>
      </c>
      <c r="N13" s="62"/>
      <c r="O13" s="62"/>
      <c r="P13" s="62"/>
      <c r="Q13" s="26">
        <f>Q10</f>
        <v>14.47</v>
      </c>
      <c r="R13" s="62" t="s">
        <v>39</v>
      </c>
      <c r="S13" s="70"/>
      <c r="T13" s="9"/>
      <c r="U13" s="9"/>
      <c r="V13" s="62"/>
      <c r="W13" s="62"/>
      <c r="X13" s="63"/>
    </row>
    <row r="14" spans="2:22" ht="12">
      <c r="B14" s="2" t="s">
        <v>40</v>
      </c>
      <c r="C14" s="12"/>
      <c r="D14" s="12"/>
      <c r="E14" s="12"/>
      <c r="F14" s="12"/>
      <c r="G14" s="12"/>
      <c r="H14" s="12"/>
      <c r="I14" s="12"/>
      <c r="J14" s="12"/>
      <c r="K14" s="12"/>
      <c r="L14" s="12"/>
      <c r="M14" s="12"/>
      <c r="N14" s="12"/>
      <c r="O14" s="12"/>
      <c r="P14" s="12"/>
      <c r="Q14" s="12"/>
      <c r="R14" s="12"/>
      <c r="S14" s="12"/>
      <c r="T14" s="12"/>
      <c r="U14" s="12"/>
      <c r="V14" s="2"/>
    </row>
    <row r="15" spans="2:22" ht="12">
      <c r="B15" s="13" t="s">
        <v>41</v>
      </c>
      <c r="C15" s="13"/>
      <c r="D15" s="13"/>
      <c r="E15" s="13"/>
      <c r="F15" s="13"/>
      <c r="G15" s="13"/>
      <c r="H15" s="13"/>
      <c r="I15" s="13"/>
      <c r="J15" s="13"/>
      <c r="K15" s="13"/>
      <c r="L15" s="13"/>
      <c r="M15" s="13"/>
      <c r="N15" s="13"/>
      <c r="O15" s="13"/>
      <c r="P15" s="13"/>
      <c r="Q15" s="13"/>
      <c r="R15" s="13"/>
      <c r="S15" s="13"/>
      <c r="T15" s="13"/>
      <c r="U15" s="13"/>
      <c r="V15" s="13"/>
    </row>
    <row r="16" spans="2:22" ht="12">
      <c r="B16" s="13"/>
      <c r="C16" s="13"/>
      <c r="D16" s="13"/>
      <c r="E16" s="13"/>
      <c r="F16" s="13"/>
      <c r="G16" s="13"/>
      <c r="H16" s="13"/>
      <c r="I16" s="13"/>
      <c r="J16" s="13"/>
      <c r="K16" s="13"/>
      <c r="L16" s="13"/>
      <c r="M16" s="13"/>
      <c r="N16" s="13"/>
      <c r="O16" s="13"/>
      <c r="P16" s="13"/>
      <c r="Q16" s="13"/>
      <c r="R16" s="13"/>
      <c r="S16" s="13"/>
      <c r="T16" s="13"/>
      <c r="U16" s="13"/>
      <c r="V16" s="13"/>
    </row>
    <row r="17" spans="2:22" ht="12">
      <c r="B17" s="106"/>
      <c r="C17" s="79"/>
      <c r="D17" s="80">
        <v>1998</v>
      </c>
      <c r="E17" s="80">
        <v>1999</v>
      </c>
      <c r="F17" s="80">
        <v>2000</v>
      </c>
      <c r="G17" s="80">
        <v>2001</v>
      </c>
      <c r="H17" s="80">
        <v>2002</v>
      </c>
      <c r="I17" s="80">
        <v>2003</v>
      </c>
      <c r="J17" s="80">
        <v>2004</v>
      </c>
      <c r="K17" s="80">
        <v>2005</v>
      </c>
      <c r="L17" s="80">
        <v>2006</v>
      </c>
      <c r="M17" s="80">
        <v>2007</v>
      </c>
      <c r="N17" s="80">
        <v>2008</v>
      </c>
      <c r="O17" s="80">
        <v>2009</v>
      </c>
      <c r="P17" s="80">
        <v>2010</v>
      </c>
      <c r="Q17" s="80">
        <v>2011</v>
      </c>
      <c r="R17" s="80">
        <v>2012</v>
      </c>
      <c r="S17" s="80">
        <v>2013</v>
      </c>
      <c r="T17" s="80">
        <v>2014</v>
      </c>
      <c r="U17" s="81">
        <v>2015</v>
      </c>
      <c r="V17" s="2"/>
    </row>
    <row r="18" spans="2:22" ht="12">
      <c r="B18" s="4" t="s">
        <v>42</v>
      </c>
      <c r="C18" s="27" t="s">
        <v>76</v>
      </c>
      <c r="D18" s="26">
        <v>0.1</v>
      </c>
      <c r="E18" s="26">
        <v>0.5</v>
      </c>
      <c r="F18" s="9">
        <v>1</v>
      </c>
      <c r="G18" s="9">
        <v>2</v>
      </c>
      <c r="H18" s="9">
        <v>5</v>
      </c>
      <c r="I18" s="9">
        <v>10</v>
      </c>
      <c r="J18" s="9">
        <v>15</v>
      </c>
      <c r="K18" s="9">
        <v>20</v>
      </c>
      <c r="L18" s="9">
        <v>25</v>
      </c>
      <c r="M18" s="9">
        <v>30</v>
      </c>
      <c r="N18" s="9">
        <v>35</v>
      </c>
      <c r="O18" s="9">
        <v>40</v>
      </c>
      <c r="P18" s="9">
        <v>45</v>
      </c>
      <c r="Q18" s="9">
        <v>50</v>
      </c>
      <c r="R18" s="9">
        <v>55</v>
      </c>
      <c r="S18" s="9">
        <v>60</v>
      </c>
      <c r="T18" s="9">
        <v>60</v>
      </c>
      <c r="U18" s="10">
        <v>60</v>
      </c>
      <c r="V18" s="2"/>
    </row>
    <row r="19" spans="2:22" ht="12">
      <c r="B19"/>
      <c r="D19" s="28"/>
      <c r="E19" s="28"/>
      <c r="V19" s="2"/>
    </row>
    <row r="20" spans="2:22" ht="12">
      <c r="B20" s="1" t="s">
        <v>43</v>
      </c>
      <c r="D20" s="28"/>
      <c r="E20" s="28"/>
      <c r="F20" s="28"/>
      <c r="G20" s="28"/>
      <c r="H20" s="28"/>
      <c r="I20" s="28"/>
      <c r="J20" s="28"/>
      <c r="K20" s="28"/>
      <c r="L20" s="28"/>
      <c r="M20" s="28"/>
      <c r="N20" s="28"/>
      <c r="O20" s="28"/>
      <c r="P20" s="28"/>
      <c r="Q20" s="28"/>
      <c r="R20" s="28"/>
      <c r="S20" s="28"/>
      <c r="T20" s="28"/>
      <c r="U20" s="28"/>
      <c r="V20" s="28"/>
    </row>
    <row r="21" spans="2:22" ht="12">
      <c r="B21" s="5" t="s">
        <v>44</v>
      </c>
      <c r="C21" s="105"/>
      <c r="D21" s="102">
        <v>1</v>
      </c>
      <c r="E21" s="82">
        <v>1</v>
      </c>
      <c r="F21" s="82">
        <v>1</v>
      </c>
      <c r="G21" s="84">
        <f aca="true" t="shared" si="0" ref="G21:N22">$F21+($O21-$F21)*(H17-$G17)/($P17-$G17)</f>
        <v>0.9166666666666666</v>
      </c>
      <c r="H21" s="84">
        <f t="shared" si="0"/>
        <v>0.8333333333333334</v>
      </c>
      <c r="I21" s="84">
        <f t="shared" si="0"/>
        <v>0.75</v>
      </c>
      <c r="J21" s="84">
        <f t="shared" si="0"/>
        <v>0.6666666666666667</v>
      </c>
      <c r="K21" s="84">
        <f t="shared" si="0"/>
        <v>0.5833333333333333</v>
      </c>
      <c r="L21" s="84">
        <f t="shared" si="0"/>
        <v>0.5</v>
      </c>
      <c r="M21" s="84">
        <f t="shared" si="0"/>
        <v>0.41666666666666663</v>
      </c>
      <c r="N21" s="84">
        <f t="shared" si="0"/>
        <v>0.33333333333333337</v>
      </c>
      <c r="O21" s="83">
        <v>0.25</v>
      </c>
      <c r="P21" s="84">
        <f aca="true" t="shared" si="1" ref="P21:U22">O21</f>
        <v>0.25</v>
      </c>
      <c r="Q21" s="84">
        <f t="shared" si="1"/>
        <v>0.25</v>
      </c>
      <c r="R21" s="84">
        <f t="shared" si="1"/>
        <v>0.25</v>
      </c>
      <c r="S21" s="84">
        <f t="shared" si="1"/>
        <v>0.25</v>
      </c>
      <c r="T21" s="84">
        <f t="shared" si="1"/>
        <v>0.25</v>
      </c>
      <c r="U21" s="85">
        <f t="shared" si="1"/>
        <v>0.25</v>
      </c>
      <c r="V21" s="3"/>
    </row>
    <row r="22" spans="2:22" ht="12">
      <c r="B22" s="4" t="s">
        <v>45</v>
      </c>
      <c r="C22" s="10"/>
      <c r="D22" s="103">
        <v>0</v>
      </c>
      <c r="E22" s="66">
        <v>0</v>
      </c>
      <c r="F22" s="66">
        <v>0</v>
      </c>
      <c r="G22" s="87">
        <f t="shared" si="0"/>
        <v>0.05232558139534884</v>
      </c>
      <c r="H22" s="87">
        <f t="shared" si="0"/>
        <v>0.13953488372093023</v>
      </c>
      <c r="I22" s="87">
        <f t="shared" si="0"/>
        <v>0.22674418604651161</v>
      </c>
      <c r="J22" s="87">
        <f t="shared" si="0"/>
        <v>0.313953488372093</v>
      </c>
      <c r="K22" s="87">
        <f t="shared" si="0"/>
        <v>0.4011627906976744</v>
      </c>
      <c r="L22" s="87">
        <f t="shared" si="0"/>
        <v>0.4883720930232558</v>
      </c>
      <c r="M22" s="87">
        <f t="shared" si="0"/>
        <v>0.5755813953488372</v>
      </c>
      <c r="N22" s="87">
        <f t="shared" si="0"/>
        <v>0.6627906976744186</v>
      </c>
      <c r="O22" s="86">
        <v>0.75</v>
      </c>
      <c r="P22" s="87">
        <f t="shared" si="1"/>
        <v>0.75</v>
      </c>
      <c r="Q22" s="87">
        <f t="shared" si="1"/>
        <v>0.75</v>
      </c>
      <c r="R22" s="87">
        <f t="shared" si="1"/>
        <v>0.75</v>
      </c>
      <c r="S22" s="87">
        <f t="shared" si="1"/>
        <v>0.75</v>
      </c>
      <c r="T22" s="87">
        <f t="shared" si="1"/>
        <v>0.75</v>
      </c>
      <c r="U22" s="88">
        <f t="shared" si="1"/>
        <v>0.75</v>
      </c>
      <c r="V22" s="3"/>
    </row>
    <row r="23" spans="3:22" ht="12">
      <c r="C23" s="3">
        <f>(C5/V11)</f>
        <v>70.9</v>
      </c>
      <c r="D23" s="3">
        <f>(C5/J11)</f>
        <v>43.89047619047619</v>
      </c>
      <c r="E23" s="3">
        <f>(C7/P11)</f>
        <v>20.204980638743827</v>
      </c>
      <c r="V23" s="3"/>
    </row>
    <row r="24" spans="2:21" ht="15" hidden="1">
      <c r="B24" s="14" t="s">
        <v>46</v>
      </c>
      <c r="C24" s="107"/>
      <c r="D24" s="15"/>
      <c r="E24" s="15"/>
      <c r="F24" s="15"/>
      <c r="G24" s="15"/>
      <c r="H24" s="15"/>
      <c r="I24" s="15"/>
      <c r="J24" s="15"/>
      <c r="K24" s="15"/>
      <c r="L24" s="15"/>
      <c r="M24" s="15"/>
      <c r="N24" s="15"/>
      <c r="O24" s="15"/>
      <c r="P24" s="15"/>
      <c r="Q24" s="15"/>
      <c r="R24" s="15"/>
      <c r="S24" s="15"/>
      <c r="T24" s="15"/>
      <c r="U24" s="16"/>
    </row>
    <row r="25" spans="2:21" ht="12" hidden="1">
      <c r="B25" s="33"/>
      <c r="C25" s="34" t="s">
        <v>47</v>
      </c>
      <c r="D25" s="30">
        <v>1998</v>
      </c>
      <c r="E25" s="30">
        <v>1999</v>
      </c>
      <c r="F25" s="30">
        <v>2000</v>
      </c>
      <c r="G25" s="30">
        <v>2001</v>
      </c>
      <c r="H25" s="30">
        <v>2002</v>
      </c>
      <c r="I25" s="30">
        <v>2003</v>
      </c>
      <c r="J25" s="30">
        <v>2004</v>
      </c>
      <c r="K25" s="30">
        <v>2005</v>
      </c>
      <c r="L25" s="30">
        <v>2006</v>
      </c>
      <c r="M25" s="30">
        <v>2007</v>
      </c>
      <c r="N25" s="30">
        <v>2008</v>
      </c>
      <c r="O25" s="30">
        <v>2009</v>
      </c>
      <c r="P25" s="30">
        <v>2010</v>
      </c>
      <c r="Q25" s="30">
        <v>2011</v>
      </c>
      <c r="R25" s="30">
        <v>2012</v>
      </c>
      <c r="S25" s="30">
        <v>2013</v>
      </c>
      <c r="T25" s="30">
        <v>2014</v>
      </c>
      <c r="U25" s="31">
        <v>2015</v>
      </c>
    </row>
    <row r="26" spans="2:21" ht="12" hidden="1">
      <c r="B26" s="35" t="s">
        <v>48</v>
      </c>
      <c r="C26" s="29" t="s">
        <v>49</v>
      </c>
      <c r="D26" s="28">
        <v>6.93</v>
      </c>
      <c r="E26" s="28">
        <v>7.01</v>
      </c>
      <c r="F26" s="28">
        <v>7.03</v>
      </c>
      <c r="G26" s="28">
        <v>7.09</v>
      </c>
      <c r="H26" s="28">
        <v>7.14</v>
      </c>
      <c r="I26" s="28">
        <v>7.19</v>
      </c>
      <c r="J26" s="28">
        <v>7.29</v>
      </c>
      <c r="K26" s="28">
        <v>7.28</v>
      </c>
      <c r="L26" s="28">
        <v>7.36</v>
      </c>
      <c r="M26" s="28">
        <v>7.36</v>
      </c>
      <c r="N26" s="28">
        <v>7.35</v>
      </c>
      <c r="O26" s="28">
        <v>7.45</v>
      </c>
      <c r="P26" s="28">
        <v>7.44</v>
      </c>
      <c r="Q26" s="28">
        <v>7.38</v>
      </c>
      <c r="R26" s="28">
        <v>7.38</v>
      </c>
      <c r="S26" s="28">
        <v>7.36</v>
      </c>
      <c r="T26" s="28">
        <v>7.36</v>
      </c>
      <c r="U26" s="36">
        <v>7.33</v>
      </c>
    </row>
    <row r="27" spans="2:21" ht="12" hidden="1">
      <c r="B27" s="35" t="s">
        <v>50</v>
      </c>
      <c r="C27" s="29" t="s">
        <v>49</v>
      </c>
      <c r="D27" s="28">
        <v>11.08</v>
      </c>
      <c r="E27" s="28">
        <v>11.26</v>
      </c>
      <c r="F27" s="28">
        <v>11.29</v>
      </c>
      <c r="G27" s="28">
        <v>11.36</v>
      </c>
      <c r="H27" s="28">
        <v>11.41</v>
      </c>
      <c r="I27" s="28">
        <v>11.36</v>
      </c>
      <c r="J27" s="28">
        <v>11.43</v>
      </c>
      <c r="K27" s="28">
        <v>11.4</v>
      </c>
      <c r="L27" s="28">
        <v>11.73</v>
      </c>
      <c r="M27" s="28">
        <v>11.69</v>
      </c>
      <c r="N27" s="28">
        <v>11.57</v>
      </c>
      <c r="O27" s="28">
        <v>11.83</v>
      </c>
      <c r="P27" s="28">
        <v>11.8</v>
      </c>
      <c r="Q27" s="28">
        <v>11.62</v>
      </c>
      <c r="R27" s="28">
        <v>11.56</v>
      </c>
      <c r="S27" s="28">
        <v>11.55</v>
      </c>
      <c r="T27" s="28">
        <v>11.57</v>
      </c>
      <c r="U27" s="36">
        <v>11.58</v>
      </c>
    </row>
    <row r="28" spans="2:21" ht="12" hidden="1">
      <c r="B28" s="35" t="s">
        <v>51</v>
      </c>
      <c r="C28" s="29" t="s">
        <v>49</v>
      </c>
      <c r="D28" s="28">
        <v>5.65</v>
      </c>
      <c r="E28" s="28">
        <v>5.65</v>
      </c>
      <c r="F28" s="28">
        <v>5.63</v>
      </c>
      <c r="G28" s="28">
        <v>5.6</v>
      </c>
      <c r="H28" s="28">
        <v>5.6</v>
      </c>
      <c r="I28" s="28">
        <v>5.58</v>
      </c>
      <c r="J28" s="28">
        <v>5.54</v>
      </c>
      <c r="K28" s="28">
        <v>5.5</v>
      </c>
      <c r="L28" s="28">
        <v>5.46</v>
      </c>
      <c r="M28" s="28">
        <v>5.42</v>
      </c>
      <c r="N28" s="28">
        <v>5.37</v>
      </c>
      <c r="O28" s="28">
        <v>5.34</v>
      </c>
      <c r="P28" s="28">
        <v>5.28</v>
      </c>
      <c r="Q28" s="28">
        <v>5.23</v>
      </c>
      <c r="R28" s="28">
        <v>5.2</v>
      </c>
      <c r="S28" s="28">
        <v>5.16</v>
      </c>
      <c r="T28" s="28">
        <v>5.16</v>
      </c>
      <c r="U28" s="36">
        <v>5.18</v>
      </c>
    </row>
    <row r="29" spans="2:21" ht="12" hidden="1">
      <c r="B29" s="35" t="s">
        <v>52</v>
      </c>
      <c r="C29" s="29" t="s">
        <v>49</v>
      </c>
      <c r="D29" s="28">
        <v>24.02</v>
      </c>
      <c r="E29" s="28">
        <v>24.17</v>
      </c>
      <c r="F29" s="28">
        <v>24.09</v>
      </c>
      <c r="G29" s="28">
        <v>24.13</v>
      </c>
      <c r="H29" s="28">
        <v>23.92</v>
      </c>
      <c r="I29" s="28">
        <v>23.81</v>
      </c>
      <c r="J29" s="28">
        <v>23.58</v>
      </c>
      <c r="K29" s="28">
        <v>23.45</v>
      </c>
      <c r="L29" s="28">
        <v>23.38</v>
      </c>
      <c r="M29" s="28">
        <v>23.24</v>
      </c>
      <c r="N29" s="28">
        <v>23.1</v>
      </c>
      <c r="O29" s="28">
        <v>23.04</v>
      </c>
      <c r="P29" s="28">
        <v>22.9</v>
      </c>
      <c r="Q29" s="28">
        <v>22.61</v>
      </c>
      <c r="R29" s="28">
        <v>22.33</v>
      </c>
      <c r="S29" s="28">
        <v>22.08</v>
      </c>
      <c r="T29" s="28">
        <v>22.09</v>
      </c>
      <c r="U29" s="36">
        <v>22.27</v>
      </c>
    </row>
    <row r="30" spans="2:21" ht="12" hidden="1">
      <c r="B30" s="19" t="s">
        <v>52</v>
      </c>
      <c r="C30" s="25" t="s">
        <v>53</v>
      </c>
      <c r="D30" s="26">
        <v>8.195623999999999</v>
      </c>
      <c r="E30" s="26">
        <v>8.246804000000001</v>
      </c>
      <c r="F30" s="26">
        <v>8.219508000000001</v>
      </c>
      <c r="G30" s="26">
        <v>8.233156</v>
      </c>
      <c r="H30" s="26">
        <v>8.161504</v>
      </c>
      <c r="I30" s="26">
        <v>8.123971999999998</v>
      </c>
      <c r="J30" s="26">
        <v>8.045495999999998</v>
      </c>
      <c r="K30" s="26">
        <v>8.00114</v>
      </c>
      <c r="L30" s="26">
        <v>7.977256</v>
      </c>
      <c r="M30" s="26">
        <v>7.929487999999999</v>
      </c>
      <c r="N30" s="26">
        <v>7.88172</v>
      </c>
      <c r="O30" s="26">
        <v>7.861247999999999</v>
      </c>
      <c r="P30" s="26">
        <v>7.81348</v>
      </c>
      <c r="Q30" s="26">
        <v>7.714532</v>
      </c>
      <c r="R30" s="26">
        <v>7.618996</v>
      </c>
      <c r="S30" s="26">
        <v>7.533695999999999</v>
      </c>
      <c r="T30" s="26">
        <v>7.537107999999999</v>
      </c>
      <c r="U30" s="37">
        <v>7.598523999999999</v>
      </c>
    </row>
    <row r="31" spans="4:21" ht="12" hidden="1">
      <c r="D31" s="92"/>
      <c r="E31" s="92"/>
      <c r="F31" s="92"/>
      <c r="G31" s="94"/>
      <c r="H31" s="94"/>
      <c r="I31" s="94"/>
      <c r="J31" s="94"/>
      <c r="K31" s="94"/>
      <c r="L31" s="94"/>
      <c r="M31" s="94"/>
      <c r="N31" s="94"/>
      <c r="O31" s="94"/>
      <c r="P31" s="95"/>
      <c r="Q31" s="95"/>
      <c r="R31" s="95"/>
      <c r="S31" s="95"/>
      <c r="T31" s="95"/>
      <c r="U31" s="95"/>
    </row>
    <row r="32" spans="4:21" ht="12">
      <c r="D32" s="117">
        <f>1.32*3.412</f>
        <v>4.50384</v>
      </c>
      <c r="E32" s="92"/>
      <c r="F32" s="92"/>
      <c r="G32" s="94"/>
      <c r="H32" s="94"/>
      <c r="I32" s="94"/>
      <c r="J32" s="94"/>
      <c r="K32" s="94"/>
      <c r="L32" s="94"/>
      <c r="M32" s="94"/>
      <c r="N32" s="94"/>
      <c r="O32" s="94"/>
      <c r="P32" s="95"/>
      <c r="Q32" s="95"/>
      <c r="R32" s="95"/>
      <c r="S32" s="95"/>
      <c r="T32" s="95"/>
      <c r="U32" s="95"/>
    </row>
    <row r="33" spans="6:17" ht="12">
      <c r="F33" s="3">
        <v>77</v>
      </c>
      <c r="G33" s="3" t="s">
        <v>54</v>
      </c>
      <c r="P33" s="93"/>
      <c r="Q33" s="1"/>
    </row>
    <row r="34" ht="12">
      <c r="F34" s="93">
        <f>3232/3412</f>
        <v>0.9472450175849941</v>
      </c>
    </row>
    <row r="35" spans="3:9" ht="12">
      <c r="C35" s="3">
        <v>27</v>
      </c>
      <c r="D35" s="3" t="s">
        <v>55</v>
      </c>
      <c r="E35" s="28">
        <f>10/3.412</f>
        <v>2.9308323563892147</v>
      </c>
      <c r="F35" s="3">
        <f>E35*C35</f>
        <v>79.1324736225088</v>
      </c>
      <c r="G35" s="3" t="s">
        <v>56</v>
      </c>
      <c r="H35" s="3">
        <f>F35/3412*1000000</f>
        <v>23192.40141339648</v>
      </c>
      <c r="I35" s="3" t="s">
        <v>57</v>
      </c>
    </row>
    <row r="37" spans="3:5" ht="12">
      <c r="C37" s="3">
        <f>C5/V11</f>
        <v>70.9</v>
      </c>
      <c r="D37" s="3">
        <v>77</v>
      </c>
      <c r="E37" s="118" t="s">
        <v>58</v>
      </c>
    </row>
    <row r="38" spans="4:5" ht="12">
      <c r="D38" s="3">
        <f>C5/J11</f>
        <v>43.89047619047619</v>
      </c>
      <c r="E38" s="118" t="s">
        <v>59</v>
      </c>
    </row>
    <row r="39" ht="12">
      <c r="E39" s="118"/>
    </row>
    <row r="40" spans="2:21" ht="12">
      <c r="B40" s="101">
        <f>C40*C41</f>
        <v>79.1324736225088</v>
      </c>
      <c r="C40" s="101">
        <v>27</v>
      </c>
      <c r="D40" s="101"/>
      <c r="E40" s="119"/>
      <c r="F40" s="101"/>
      <c r="G40" s="101"/>
      <c r="H40" s="101"/>
      <c r="I40" s="101"/>
      <c r="J40" s="101"/>
      <c r="K40" s="101"/>
      <c r="L40" s="101"/>
      <c r="M40" s="101"/>
      <c r="N40" s="101"/>
      <c r="O40" s="101"/>
      <c r="P40" s="101"/>
      <c r="Q40" s="101"/>
      <c r="R40" s="101"/>
      <c r="S40" s="101"/>
      <c r="T40" s="101"/>
      <c r="U40" s="101"/>
    </row>
    <row r="41" spans="2:19" ht="12">
      <c r="B41" s="53">
        <f>B40*3.412</f>
        <v>270</v>
      </c>
      <c r="C41" s="3">
        <f>10/3.412</f>
        <v>2.9308323563892147</v>
      </c>
      <c r="D41" s="57"/>
      <c r="E41" s="108"/>
      <c r="G41" s="1"/>
      <c r="H41" s="1"/>
      <c r="I41" s="1"/>
      <c r="J41" s="1"/>
      <c r="K41" s="1"/>
      <c r="L41" s="1"/>
      <c r="M41" s="1"/>
      <c r="N41" s="1"/>
      <c r="O41" s="1"/>
      <c r="P41" s="58"/>
      <c r="Q41" s="1"/>
      <c r="R41" s="1"/>
      <c r="S41" s="1"/>
    </row>
    <row r="42" spans="2:19" ht="12">
      <c r="B42" s="53"/>
      <c r="D42" s="57"/>
      <c r="E42" s="108"/>
      <c r="G42" s="1"/>
      <c r="H42" s="1"/>
      <c r="I42" s="1"/>
      <c r="J42" s="1"/>
      <c r="K42" s="1"/>
      <c r="L42" s="1"/>
      <c r="M42" s="1"/>
      <c r="N42" s="1"/>
      <c r="O42" s="1"/>
      <c r="P42" s="58"/>
      <c r="Q42" s="1"/>
      <c r="R42" s="1"/>
      <c r="S42" s="1"/>
    </row>
    <row r="43" spans="2:19" ht="12">
      <c r="B43" s="53"/>
      <c r="C43" s="22" t="s">
        <v>60</v>
      </c>
      <c r="D43" s="22" t="s">
        <v>61</v>
      </c>
      <c r="G43" s="1"/>
      <c r="H43" s="1"/>
      <c r="I43" s="1"/>
      <c r="J43" s="1"/>
      <c r="K43" s="1"/>
      <c r="L43" s="1"/>
      <c r="M43" s="1"/>
      <c r="N43" s="1"/>
      <c r="P43" s="58"/>
      <c r="Q43" s="1"/>
      <c r="R43" s="1"/>
      <c r="S43" s="1"/>
    </row>
    <row r="44" spans="7:23" ht="12">
      <c r="G44" s="1"/>
      <c r="H44" s="1"/>
      <c r="I44" s="1"/>
      <c r="J44" s="1"/>
      <c r="K44" s="1"/>
      <c r="L44" s="1"/>
      <c r="M44" s="1"/>
      <c r="N44" s="1"/>
      <c r="P44" s="58"/>
      <c r="Q44" s="1"/>
      <c r="R44" s="1"/>
      <c r="S44" s="1"/>
      <c r="U44" s="53"/>
      <c r="V44" s="101"/>
      <c r="W44" s="3"/>
    </row>
    <row r="45" spans="2:21" ht="12">
      <c r="B45" s="1" t="s">
        <v>62</v>
      </c>
      <c r="C45" s="3">
        <v>27</v>
      </c>
      <c r="D45" s="3">
        <v>55</v>
      </c>
      <c r="G45" s="1">
        <f>G47*10/3.412</f>
        <v>32.32000000000001</v>
      </c>
      <c r="H45" s="1"/>
      <c r="I45" s="1"/>
      <c r="J45" s="28"/>
      <c r="K45" s="1"/>
      <c r="L45" s="53"/>
      <c r="M45" s="1"/>
      <c r="N45" s="1"/>
      <c r="O45" s="28"/>
      <c r="P45" s="1"/>
      <c r="Q45" s="1"/>
      <c r="R45" s="53"/>
      <c r="S45" s="53"/>
      <c r="T45" s="53"/>
      <c r="U45" s="93"/>
    </row>
    <row r="46" spans="5:19" ht="12">
      <c r="E46" s="1"/>
      <c r="G46" s="1"/>
      <c r="H46" s="1"/>
      <c r="I46" s="1"/>
      <c r="K46" s="1"/>
      <c r="L46" s="1"/>
      <c r="M46" s="1"/>
      <c r="N46" s="1"/>
      <c r="O46" s="1"/>
      <c r="P46" s="1"/>
      <c r="Q46" s="101"/>
      <c r="R46" s="101"/>
      <c r="S46" s="101"/>
    </row>
    <row r="47" spans="2:19" ht="12">
      <c r="B47" s="53" t="s">
        <v>63</v>
      </c>
      <c r="C47" s="28">
        <f>C45/(10/3.412)</f>
        <v>9.212399999999999</v>
      </c>
      <c r="D47" s="28">
        <f>D45/0.78</f>
        <v>70.51282051282051</v>
      </c>
      <c r="E47" s="1"/>
      <c r="F47" s="3">
        <f>C47*1000000/3412</f>
        <v>2699.9999999999995</v>
      </c>
      <c r="G47" s="1">
        <f>3232/1000000*3412</f>
        <v>11.027584000000001</v>
      </c>
      <c r="H47" s="1"/>
      <c r="I47" s="1"/>
      <c r="J47" s="96"/>
      <c r="L47" s="53"/>
      <c r="M47" s="1"/>
      <c r="N47" s="1"/>
      <c r="O47" s="1"/>
      <c r="P47" s="1"/>
      <c r="Q47" s="28"/>
      <c r="R47" s="1"/>
      <c r="S47" s="58"/>
    </row>
    <row r="48" spans="5:21" ht="12">
      <c r="E48" s="1"/>
      <c r="G48" s="1"/>
      <c r="H48" s="1"/>
      <c r="I48" s="1"/>
      <c r="J48" s="93"/>
      <c r="K48" s="1"/>
      <c r="L48" s="53"/>
      <c r="M48" s="1"/>
      <c r="N48" s="1"/>
      <c r="O48" s="93"/>
      <c r="P48" s="1"/>
      <c r="Q48" s="1"/>
      <c r="R48" s="53"/>
      <c r="S48" s="53"/>
      <c r="T48" s="53"/>
      <c r="U48" s="93"/>
    </row>
    <row r="49" spans="2:19" ht="12">
      <c r="B49" s="1" t="s">
        <v>64</v>
      </c>
      <c r="C49" s="3">
        <f>C45/P11</f>
        <v>20.454545454545453</v>
      </c>
      <c r="D49" s="3">
        <f>D45/J11</f>
        <v>43.65079365079365</v>
      </c>
      <c r="E49" s="1">
        <f>D49+C49</f>
        <v>64.10533910533911</v>
      </c>
      <c r="G49" s="1"/>
      <c r="H49" s="1"/>
      <c r="I49" s="1"/>
      <c r="K49" s="1"/>
      <c r="L49" s="1"/>
      <c r="M49" s="1"/>
      <c r="N49" s="1"/>
      <c r="O49" s="1"/>
      <c r="P49" s="1"/>
      <c r="R49" s="1"/>
      <c r="S49" s="1"/>
    </row>
    <row r="50" spans="5:19" ht="12">
      <c r="E50" s="1"/>
      <c r="G50" s="1"/>
      <c r="H50" s="1"/>
      <c r="I50" s="1"/>
      <c r="J50" s="96"/>
      <c r="L50" s="53"/>
      <c r="M50" s="1"/>
      <c r="N50" s="1"/>
      <c r="O50" s="1"/>
      <c r="P50" s="1"/>
      <c r="Q50" s="28"/>
      <c r="R50" s="1"/>
      <c r="S50" s="58"/>
    </row>
    <row r="52" s="53" customFormat="1" ht="12"/>
    <row r="53" s="53" customFormat="1" ht="12"/>
    <row r="54" ht="12">
      <c r="C54" s="53"/>
    </row>
    <row r="55" spans="2:7" ht="12">
      <c r="B55" s="53"/>
      <c r="C55" s="97"/>
      <c r="D55" s="98"/>
      <c r="E55" s="98"/>
      <c r="F55" s="98"/>
      <c r="G55" s="53"/>
    </row>
    <row r="56" spans="2:8" ht="12">
      <c r="B56" s="53"/>
      <c r="C56" s="101"/>
      <c r="D56" s="98"/>
      <c r="E56" s="101"/>
      <c r="F56" s="53"/>
      <c r="G56" s="53"/>
      <c r="H56" s="28"/>
    </row>
    <row r="57" spans="2:7" ht="12">
      <c r="B57" s="53"/>
      <c r="C57" s="98"/>
      <c r="D57" s="53"/>
      <c r="E57" s="53"/>
      <c r="F57" s="53"/>
      <c r="G57" s="53"/>
    </row>
    <row r="58" spans="2:7" ht="12">
      <c r="B58" s="53"/>
      <c r="C58" s="53"/>
      <c r="D58" s="53"/>
      <c r="E58" s="53"/>
      <c r="F58" s="53"/>
      <c r="G58" s="53"/>
    </row>
    <row r="59" spans="2:7" ht="12">
      <c r="B59" s="53"/>
      <c r="C59" s="53"/>
      <c r="D59" s="53"/>
      <c r="E59" s="53"/>
      <c r="F59" s="53"/>
      <c r="G59" s="53"/>
    </row>
    <row r="60" spans="2:7" ht="12">
      <c r="B60" s="53"/>
      <c r="C60" s="53"/>
      <c r="D60" s="53"/>
      <c r="E60" s="53"/>
      <c r="F60" s="53"/>
      <c r="G60" s="53"/>
    </row>
    <row r="61" spans="2:7" ht="12">
      <c r="B61" s="53"/>
      <c r="C61" s="53"/>
      <c r="D61" s="53"/>
      <c r="E61" s="53"/>
      <c r="F61" s="53"/>
      <c r="G61" s="53"/>
    </row>
    <row r="62" spans="2:7" ht="12">
      <c r="B62" s="53"/>
      <c r="C62" s="53"/>
      <c r="D62" s="53"/>
      <c r="E62" s="53"/>
      <c r="F62" s="53"/>
      <c r="G62" s="53"/>
    </row>
    <row r="63" spans="2:7" ht="12">
      <c r="B63" s="53"/>
      <c r="C63" s="53"/>
      <c r="D63" s="53"/>
      <c r="E63" s="53"/>
      <c r="F63" s="53"/>
      <c r="G63" s="53"/>
    </row>
    <row r="64" spans="2:7" ht="12">
      <c r="B64" s="53"/>
      <c r="C64" s="53"/>
      <c r="D64" s="53"/>
      <c r="E64" s="53"/>
      <c r="F64" s="53"/>
      <c r="G64" s="53"/>
    </row>
    <row r="65" spans="2:7" ht="12">
      <c r="B65" s="53"/>
      <c r="C65" s="53"/>
      <c r="D65" s="53"/>
      <c r="E65" s="53"/>
      <c r="F65" s="53"/>
      <c r="G65" s="53"/>
    </row>
    <row r="66" spans="2:7" ht="12">
      <c r="B66" s="53"/>
      <c r="C66" s="53"/>
      <c r="D66" s="53"/>
      <c r="E66" s="53"/>
      <c r="F66" s="53"/>
      <c r="G66" s="53"/>
    </row>
    <row r="67" spans="2:7" ht="12">
      <c r="B67" s="53"/>
      <c r="C67" s="53"/>
      <c r="D67" s="53"/>
      <c r="E67" s="53"/>
      <c r="F67" s="53"/>
      <c r="G67" s="53"/>
    </row>
    <row r="68" spans="2:7" ht="12">
      <c r="B68" s="53"/>
      <c r="C68" s="53"/>
      <c r="D68" s="53"/>
      <c r="E68" s="53"/>
      <c r="F68" s="53"/>
      <c r="G68" s="53"/>
    </row>
    <row r="69" spans="2:7" ht="12">
      <c r="B69" s="53"/>
      <c r="C69" s="53"/>
      <c r="D69" s="53"/>
      <c r="E69" s="53"/>
      <c r="F69" s="53"/>
      <c r="G69" s="53"/>
    </row>
    <row r="70" spans="2:7" ht="12">
      <c r="B70" s="53"/>
      <c r="C70" s="53"/>
      <c r="D70" s="53"/>
      <c r="E70" s="53"/>
      <c r="F70" s="53"/>
      <c r="G70" s="53"/>
    </row>
    <row r="71" spans="2:7" ht="12">
      <c r="B71" s="53"/>
      <c r="C71" s="53"/>
      <c r="D71" s="53"/>
      <c r="E71" s="53"/>
      <c r="F71" s="53"/>
      <c r="G71" s="53"/>
    </row>
    <row r="72" spans="2:7" ht="12">
      <c r="B72" s="53"/>
      <c r="C72" s="53"/>
      <c r="D72" s="53"/>
      <c r="E72" s="53"/>
      <c r="F72" s="53"/>
      <c r="G72" s="53"/>
    </row>
    <row r="73" spans="2:7" ht="12">
      <c r="B73" s="53"/>
      <c r="C73" s="53"/>
      <c r="D73" s="53"/>
      <c r="E73" s="53"/>
      <c r="F73" s="53"/>
      <c r="G73" s="53"/>
    </row>
    <row r="74" spans="2:7" ht="12">
      <c r="B74" s="53"/>
      <c r="C74" s="53"/>
      <c r="D74" s="53"/>
      <c r="E74" s="53"/>
      <c r="F74" s="53"/>
      <c r="G74" s="53"/>
    </row>
    <row r="75" spans="2:7" ht="12">
      <c r="B75" s="53"/>
      <c r="C75" s="53"/>
      <c r="D75" s="53"/>
      <c r="E75" s="53"/>
      <c r="F75" s="53"/>
      <c r="G75" s="53"/>
    </row>
    <row r="76" spans="2:7" ht="12">
      <c r="B76" s="53"/>
      <c r="C76" s="53"/>
      <c r="D76" s="53"/>
      <c r="E76" s="53"/>
      <c r="F76" s="53"/>
      <c r="G76" s="53"/>
    </row>
    <row r="77" spans="2:7" ht="12">
      <c r="B77" s="53"/>
      <c r="C77" s="53"/>
      <c r="D77" s="53"/>
      <c r="E77" s="53"/>
      <c r="F77" s="53"/>
      <c r="G77" s="53"/>
    </row>
    <row r="78" spans="2:7" ht="12">
      <c r="B78" s="53"/>
      <c r="C78" s="53"/>
      <c r="D78" s="53"/>
      <c r="E78" s="53"/>
      <c r="F78" s="53"/>
      <c r="G78" s="53"/>
    </row>
    <row r="79" spans="2:7" ht="12">
      <c r="B79" s="53"/>
      <c r="C79" s="53"/>
      <c r="D79" s="53"/>
      <c r="E79" s="53"/>
      <c r="F79" s="53"/>
      <c r="G79" s="53"/>
    </row>
    <row r="80" spans="2:7" ht="12">
      <c r="B80" s="53"/>
      <c r="C80" s="53"/>
      <c r="D80" s="53"/>
      <c r="E80" s="53"/>
      <c r="F80" s="53"/>
      <c r="G80" s="53"/>
    </row>
    <row r="81" spans="2:7" ht="12">
      <c r="B81" s="53"/>
      <c r="C81" s="53"/>
      <c r="D81" s="53"/>
      <c r="E81" s="53"/>
      <c r="F81" s="53"/>
      <c r="G81" s="53"/>
    </row>
    <row r="82" spans="2:7" ht="12">
      <c r="B82" s="53"/>
      <c r="C82" s="53"/>
      <c r="D82" s="53"/>
      <c r="E82" s="53"/>
      <c r="F82" s="53"/>
      <c r="G82" s="53"/>
    </row>
    <row r="83" spans="2:7" ht="12">
      <c r="B83" s="53"/>
      <c r="C83" s="53"/>
      <c r="D83" s="53"/>
      <c r="E83" s="53"/>
      <c r="F83" s="53"/>
      <c r="G83" s="53"/>
    </row>
    <row r="84" spans="2:7" ht="12">
      <c r="B84" s="53"/>
      <c r="C84" s="53"/>
      <c r="D84" s="53"/>
      <c r="E84" s="53"/>
      <c r="F84" s="53"/>
      <c r="G84" s="53"/>
    </row>
    <row r="85" spans="2:7" ht="12">
      <c r="B85" s="53"/>
      <c r="C85" s="53"/>
      <c r="D85" s="53"/>
      <c r="E85" s="53"/>
      <c r="F85" s="53"/>
      <c r="G85" s="53"/>
    </row>
  </sheetData>
  <printOptions horizontalCentered="1"/>
  <pageMargins left="0.5" right="0.5" top="0.75" bottom="0.75" header="0.25" footer="0.25"/>
  <pageSetup orientation="landscape" paperSize="9" scale="70"/>
  <headerFooter alignWithMargins="0">
    <oddHeader>&amp;L&amp;"Times,Regular"&amp;9Cooper Richey&amp;C&amp;"Times,Regular"&amp;9Ph: (510) 486-5417   |   Fax: (510) 486-7976&amp;R&amp;"Times,Regular"&amp;9&amp;D     &amp;T</oddHeader>
    <oddFooter>&amp;L&amp;"Times,Regular"&amp;9&amp;F&amp;C&amp;"Times,Regular"&amp;9&amp;A&amp;R&amp;"Times,Regular"&amp;9&amp;P of &amp;N</oddFooter>
  </headerFooter>
</worksheet>
</file>

<file path=xl/worksheets/sheet6.xml><?xml version="1.0" encoding="utf-8"?>
<worksheet xmlns="http://schemas.openxmlformats.org/spreadsheetml/2006/main" xmlns:r="http://schemas.openxmlformats.org/officeDocument/2006/relationships">
  <dimension ref="A2:V40"/>
  <sheetViews>
    <sheetView showGridLines="0" defaultGridColor="0" colorId="23" workbookViewId="0" topLeftCell="A1">
      <selection activeCell="A2" sqref="A2:T10"/>
    </sheetView>
  </sheetViews>
  <sheetFormatPr defaultColWidth="11.421875" defaultRowHeight="12.75"/>
  <cols>
    <col min="1" max="1" width="10.8515625" style="13" customWidth="1"/>
    <col min="2" max="2" width="10.8515625" style="32" customWidth="1"/>
    <col min="3" max="20" width="5.140625" style="32" customWidth="1"/>
    <col min="21" max="24" width="5.140625" style="13" customWidth="1"/>
    <col min="25" max="16384" width="10.8515625" style="13" customWidth="1"/>
  </cols>
  <sheetData>
    <row r="2" spans="1:20" ht="12">
      <c r="A2" s="14"/>
      <c r="B2" s="15"/>
      <c r="C2" s="15"/>
      <c r="D2" s="15"/>
      <c r="E2" s="15"/>
      <c r="F2" s="15"/>
      <c r="G2" s="15"/>
      <c r="H2" s="15"/>
      <c r="I2" s="15"/>
      <c r="J2" s="15"/>
      <c r="K2" s="15"/>
      <c r="L2" s="15"/>
      <c r="M2" s="15"/>
      <c r="N2" s="15"/>
      <c r="O2" s="15"/>
      <c r="P2" s="15"/>
      <c r="Q2" s="15"/>
      <c r="R2" s="15"/>
      <c r="S2" s="15"/>
      <c r="T2" s="16"/>
    </row>
    <row r="3" spans="1:20" ht="15">
      <c r="A3" s="17" t="s">
        <v>46</v>
      </c>
      <c r="B3" s="18"/>
      <c r="C3" s="22"/>
      <c r="D3" s="22"/>
      <c r="E3" s="22"/>
      <c r="F3" s="22"/>
      <c r="G3" s="22"/>
      <c r="H3" s="22"/>
      <c r="I3" s="22"/>
      <c r="J3" s="22"/>
      <c r="K3" s="22"/>
      <c r="L3" s="22"/>
      <c r="M3" s="22"/>
      <c r="N3" s="22"/>
      <c r="O3" s="22"/>
      <c r="P3" s="22"/>
      <c r="Q3" s="22"/>
      <c r="R3" s="22"/>
      <c r="S3" s="22"/>
      <c r="T3" s="23"/>
    </row>
    <row r="4" spans="1:20" ht="12">
      <c r="A4" s="19"/>
      <c r="B4" s="20"/>
      <c r="C4" s="20"/>
      <c r="D4" s="20"/>
      <c r="E4" s="20"/>
      <c r="F4" s="20"/>
      <c r="G4" s="20"/>
      <c r="H4" s="20"/>
      <c r="I4" s="20"/>
      <c r="J4" s="20"/>
      <c r="K4" s="20"/>
      <c r="L4" s="20"/>
      <c r="M4" s="20"/>
      <c r="N4" s="20"/>
      <c r="O4" s="20"/>
      <c r="P4" s="20"/>
      <c r="Q4" s="20"/>
      <c r="R4" s="20"/>
      <c r="S4" s="20"/>
      <c r="T4" s="21"/>
    </row>
    <row r="5" spans="1:20" ht="12">
      <c r="A5" s="33"/>
      <c r="B5" s="34" t="s">
        <v>47</v>
      </c>
      <c r="C5" s="30">
        <v>1998</v>
      </c>
      <c r="D5" s="30">
        <v>1999</v>
      </c>
      <c r="E5" s="30">
        <v>2000</v>
      </c>
      <c r="F5" s="30">
        <v>2001</v>
      </c>
      <c r="G5" s="30">
        <v>2002</v>
      </c>
      <c r="H5" s="30">
        <v>2003</v>
      </c>
      <c r="I5" s="30">
        <v>2004</v>
      </c>
      <c r="J5" s="30">
        <v>2005</v>
      </c>
      <c r="K5" s="30">
        <v>2006</v>
      </c>
      <c r="L5" s="30">
        <v>2007</v>
      </c>
      <c r="M5" s="30">
        <v>2008</v>
      </c>
      <c r="N5" s="30">
        <v>2009</v>
      </c>
      <c r="O5" s="30">
        <v>2010</v>
      </c>
      <c r="P5" s="30">
        <v>2011</v>
      </c>
      <c r="Q5" s="30">
        <v>2012</v>
      </c>
      <c r="R5" s="30">
        <v>2013</v>
      </c>
      <c r="S5" s="30">
        <v>2014</v>
      </c>
      <c r="T5" s="31">
        <v>2015</v>
      </c>
    </row>
    <row r="6" spans="1:20" ht="12">
      <c r="A6" s="35" t="s">
        <v>48</v>
      </c>
      <c r="B6" s="29" t="s">
        <v>49</v>
      </c>
      <c r="C6" s="28">
        <v>6.93</v>
      </c>
      <c r="D6" s="28">
        <v>7.01</v>
      </c>
      <c r="E6" s="28">
        <v>7.03</v>
      </c>
      <c r="F6" s="28">
        <v>7.09</v>
      </c>
      <c r="G6" s="28">
        <v>7.14</v>
      </c>
      <c r="H6" s="28">
        <v>7.19</v>
      </c>
      <c r="I6" s="28">
        <v>7.29</v>
      </c>
      <c r="J6" s="28">
        <v>7.28</v>
      </c>
      <c r="K6" s="28">
        <v>7.36</v>
      </c>
      <c r="L6" s="28">
        <v>7.36</v>
      </c>
      <c r="M6" s="28">
        <v>7.35</v>
      </c>
      <c r="N6" s="28">
        <v>7.45</v>
      </c>
      <c r="O6" s="28">
        <v>7.44</v>
      </c>
      <c r="P6" s="28">
        <v>7.38</v>
      </c>
      <c r="Q6" s="28">
        <v>7.38</v>
      </c>
      <c r="R6" s="28">
        <v>7.36</v>
      </c>
      <c r="S6" s="28">
        <v>7.36</v>
      </c>
      <c r="T6" s="36">
        <v>7.33</v>
      </c>
    </row>
    <row r="7" spans="1:20" ht="12">
      <c r="A7" s="35" t="s">
        <v>50</v>
      </c>
      <c r="B7" s="29" t="s">
        <v>49</v>
      </c>
      <c r="C7" s="28">
        <v>11.08</v>
      </c>
      <c r="D7" s="28">
        <v>11.26</v>
      </c>
      <c r="E7" s="28">
        <v>11.29</v>
      </c>
      <c r="F7" s="28">
        <v>11.36</v>
      </c>
      <c r="G7" s="28">
        <v>11.41</v>
      </c>
      <c r="H7" s="28">
        <v>11.36</v>
      </c>
      <c r="I7" s="28">
        <v>11.43</v>
      </c>
      <c r="J7" s="28">
        <v>11.4</v>
      </c>
      <c r="K7" s="28">
        <v>11.73</v>
      </c>
      <c r="L7" s="28">
        <v>11.69</v>
      </c>
      <c r="M7" s="28">
        <v>11.57</v>
      </c>
      <c r="N7" s="28">
        <v>11.83</v>
      </c>
      <c r="O7" s="28">
        <v>11.8</v>
      </c>
      <c r="P7" s="28">
        <v>11.62</v>
      </c>
      <c r="Q7" s="28">
        <v>11.56</v>
      </c>
      <c r="R7" s="28">
        <v>11.55</v>
      </c>
      <c r="S7" s="28">
        <v>11.57</v>
      </c>
      <c r="T7" s="36">
        <v>11.58</v>
      </c>
    </row>
    <row r="8" spans="1:20" ht="12">
      <c r="A8" s="35" t="s">
        <v>51</v>
      </c>
      <c r="B8" s="29" t="s">
        <v>49</v>
      </c>
      <c r="C8" s="28">
        <v>5.65</v>
      </c>
      <c r="D8" s="28">
        <v>5.65</v>
      </c>
      <c r="E8" s="28">
        <v>5.63</v>
      </c>
      <c r="F8" s="28">
        <v>5.6</v>
      </c>
      <c r="G8" s="28">
        <v>5.6</v>
      </c>
      <c r="H8" s="28">
        <v>5.58</v>
      </c>
      <c r="I8" s="28">
        <v>5.54</v>
      </c>
      <c r="J8" s="28">
        <v>5.5</v>
      </c>
      <c r="K8" s="28">
        <v>5.46</v>
      </c>
      <c r="L8" s="28">
        <v>5.42</v>
      </c>
      <c r="M8" s="28">
        <v>5.37</v>
      </c>
      <c r="N8" s="28">
        <v>5.34</v>
      </c>
      <c r="O8" s="28">
        <v>5.28</v>
      </c>
      <c r="P8" s="28">
        <v>5.23</v>
      </c>
      <c r="Q8" s="28">
        <v>5.2</v>
      </c>
      <c r="R8" s="28">
        <v>5.16</v>
      </c>
      <c r="S8" s="28">
        <v>5.16</v>
      </c>
      <c r="T8" s="36">
        <v>5.18</v>
      </c>
    </row>
    <row r="9" spans="1:20" ht="12">
      <c r="A9" s="35" t="s">
        <v>52</v>
      </c>
      <c r="B9" s="29" t="s">
        <v>49</v>
      </c>
      <c r="C9" s="28">
        <v>24.02</v>
      </c>
      <c r="D9" s="28">
        <v>24.17</v>
      </c>
      <c r="E9" s="28">
        <v>24.09</v>
      </c>
      <c r="F9" s="28">
        <v>24.13</v>
      </c>
      <c r="G9" s="28">
        <v>23.92</v>
      </c>
      <c r="H9" s="28">
        <v>23.81</v>
      </c>
      <c r="I9" s="28">
        <v>23.58</v>
      </c>
      <c r="J9" s="28">
        <v>23.45</v>
      </c>
      <c r="K9" s="28">
        <v>23.38</v>
      </c>
      <c r="L9" s="28">
        <v>23.24</v>
      </c>
      <c r="M9" s="28">
        <v>23.1</v>
      </c>
      <c r="N9" s="28">
        <v>23.04</v>
      </c>
      <c r="O9" s="28">
        <v>22.9</v>
      </c>
      <c r="P9" s="28">
        <v>22.61</v>
      </c>
      <c r="Q9" s="28">
        <v>22.33</v>
      </c>
      <c r="R9" s="28">
        <v>22.08</v>
      </c>
      <c r="S9" s="28">
        <v>22.09</v>
      </c>
      <c r="T9" s="36">
        <v>22.27</v>
      </c>
    </row>
    <row r="10" spans="1:20" ht="12">
      <c r="A10" s="19" t="s">
        <v>52</v>
      </c>
      <c r="B10" s="25" t="s">
        <v>53</v>
      </c>
      <c r="C10" s="26">
        <v>8.195623999999999</v>
      </c>
      <c r="D10" s="26">
        <v>8.246804000000001</v>
      </c>
      <c r="E10" s="26">
        <v>8.219508000000001</v>
      </c>
      <c r="F10" s="26">
        <v>8.233156</v>
      </c>
      <c r="G10" s="26">
        <v>8.161504</v>
      </c>
      <c r="H10" s="26">
        <v>8.123971999999998</v>
      </c>
      <c r="I10" s="26">
        <v>8.045495999999998</v>
      </c>
      <c r="J10" s="26">
        <v>8.00114</v>
      </c>
      <c r="K10" s="26">
        <v>7.977256</v>
      </c>
      <c r="L10" s="26">
        <v>7.929487999999999</v>
      </c>
      <c r="M10" s="26">
        <v>7.88172</v>
      </c>
      <c r="N10" s="26">
        <v>7.861247999999999</v>
      </c>
      <c r="O10" s="26">
        <v>7.81348</v>
      </c>
      <c r="P10" s="26">
        <v>7.714532</v>
      </c>
      <c r="Q10" s="26">
        <v>7.618996</v>
      </c>
      <c r="R10" s="26">
        <v>7.533695999999999</v>
      </c>
      <c r="S10" s="26">
        <v>7.537107999999999</v>
      </c>
      <c r="T10" s="37">
        <v>7.598523999999999</v>
      </c>
    </row>
    <row r="13" spans="5:22" ht="12">
      <c r="E13" s="22"/>
      <c r="F13" s="22"/>
      <c r="G13" s="22"/>
      <c r="H13" s="22"/>
      <c r="I13" s="22"/>
      <c r="J13" s="22"/>
      <c r="K13" s="22"/>
      <c r="L13" s="22"/>
      <c r="M13" s="22"/>
      <c r="N13" s="22"/>
      <c r="O13" s="22"/>
      <c r="P13" s="22"/>
      <c r="Q13" s="22"/>
      <c r="R13" s="22"/>
      <c r="S13" s="22"/>
      <c r="T13" s="22"/>
      <c r="U13" s="22"/>
      <c r="V13" s="22"/>
    </row>
    <row r="22" spans="21:22" ht="12">
      <c r="U22" s="32"/>
      <c r="V22" s="32"/>
    </row>
    <row r="26" ht="12">
      <c r="E26" s="22"/>
    </row>
    <row r="27" ht="12">
      <c r="E27" s="22"/>
    </row>
    <row r="28" ht="12">
      <c r="E28" s="22"/>
    </row>
    <row r="29" ht="12">
      <c r="E29" s="22"/>
    </row>
    <row r="30" ht="12">
      <c r="E30" s="22"/>
    </row>
    <row r="31" spans="5:22" ht="12">
      <c r="E31" s="22"/>
      <c r="F31" s="22"/>
      <c r="G31" s="22"/>
      <c r="H31" s="22"/>
      <c r="I31" s="22"/>
      <c r="J31" s="22"/>
      <c r="K31" s="22"/>
      <c r="L31" s="22"/>
      <c r="M31" s="22"/>
      <c r="N31" s="22"/>
      <c r="O31" s="22"/>
      <c r="P31" s="22"/>
      <c r="Q31" s="22"/>
      <c r="R31" s="22"/>
      <c r="S31" s="22"/>
      <c r="T31" s="22"/>
      <c r="U31" s="22"/>
      <c r="V31" s="22"/>
    </row>
    <row r="32" ht="12">
      <c r="E32" s="22"/>
    </row>
    <row r="40" spans="21:22" ht="12">
      <c r="U40" s="32"/>
      <c r="V40" s="32"/>
    </row>
  </sheetData>
  <printOptions horizontalCentered="1"/>
  <pageMargins left="0.5" right="0.5" top="0.75" bottom="0.75" header="0.25" footer="0.25"/>
  <pageSetup orientation="landscape" paperSize="9"/>
  <headerFooter alignWithMargins="0">
    <oddHeader>&amp;L&amp;"Times,Regular"&amp;9Cooper Richey&amp;C&amp;"Times,Regular"&amp;9Ph: (510) 486-5417   |   Fax: (510) 486-7976&amp;R&amp;"Times,Regular"&amp;9&amp;D     &amp;T</oddHeader>
    <oddFooter>&amp;L&amp;"Times,Regular"&amp;9&amp;F&amp;C&amp;"Times,Regular"&amp;9&amp;A&amp;R&amp;"Times,Regular"&amp;9&amp;P of &amp;N</oddFooter>
  </headerFooter>
</worksheet>
</file>

<file path=xl/worksheets/sheet7.xml><?xml version="1.0" encoding="utf-8"?>
<worksheet xmlns="http://schemas.openxmlformats.org/spreadsheetml/2006/main" xmlns:r="http://schemas.openxmlformats.org/officeDocument/2006/relationships">
  <dimension ref="A4:G10"/>
  <sheetViews>
    <sheetView showGridLines="0" defaultGridColor="0" colorId="23" workbookViewId="0" topLeftCell="A1">
      <selection activeCell="C10" sqref="C10"/>
    </sheetView>
  </sheetViews>
  <sheetFormatPr defaultColWidth="11.421875" defaultRowHeight="12.75"/>
  <sheetData>
    <row r="4" spans="1:2" ht="12">
      <c r="A4" s="38" t="s">
        <v>65</v>
      </c>
      <c r="B4" s="39"/>
    </row>
    <row r="5" spans="1:2" ht="12">
      <c r="A5" s="40">
        <v>1990</v>
      </c>
      <c r="B5" s="41">
        <v>93.6</v>
      </c>
    </row>
    <row r="6" spans="1:2" ht="12">
      <c r="A6" s="42">
        <v>1995</v>
      </c>
      <c r="B6" s="43">
        <v>107.6</v>
      </c>
    </row>
    <row r="7" spans="3:7" ht="12">
      <c r="C7" s="44"/>
      <c r="D7" s="44"/>
      <c r="E7" s="44"/>
      <c r="F7" s="44"/>
      <c r="G7" s="44"/>
    </row>
    <row r="9" spans="1:2" ht="12">
      <c r="A9" t="s">
        <v>66</v>
      </c>
      <c r="B9">
        <f>1055/3600</f>
        <v>0.29305555555555557</v>
      </c>
    </row>
    <row r="10" spans="1:2" ht="12">
      <c r="A10" t="s">
        <v>67</v>
      </c>
      <c r="B10">
        <f>B9*1000</f>
        <v>293.05555555555554</v>
      </c>
    </row>
  </sheetData>
  <printOptions horizontalCentered="1"/>
  <pageMargins left="0.5" right="0.5" top="0.75" bottom="0.75" header="0.25" footer="0.25"/>
  <pageSetup orientation="landscape" paperSize="9"/>
  <headerFooter alignWithMargins="0">
    <oddHeader>&amp;L&amp;"Times,Regular"&amp;9Cooper Richey&amp;C&amp;"Times,Regular"&amp;9Ph: (510) 486-5417   |   Fax: (510) 486-7976&amp;R&amp;"Times,Regular"&amp;9&amp;D     &amp;T</oddHeader>
    <oddFooter>&amp;L&amp;"Times,Regular"&amp;9&amp;F&amp;C&amp;"Times,Regular"&amp;9&amp;A&amp;R&amp;"Times,Regular"&amp;9&amp;P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rcr</dc:creator>
  <cp:keywords/>
  <dc:description/>
  <cp:lastModifiedBy>Jonathan Koomey</cp:lastModifiedBy>
  <cp:category/>
  <cp:version/>
  <cp:contentType/>
  <cp:contentStatus/>
</cp:coreProperties>
</file>