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300" windowWidth="11700" windowHeight="7515" activeTab="0"/>
  </bookViews>
  <sheets>
    <sheet name="!TABLE32" sheetId="1" r:id="rId1"/>
  </sheets>
  <definedNames>
    <definedName name="_xlnm.Print_Titles" localSheetId="0">'!TABLE32'!$A:$A,'!TABLE32'!$1:$8</definedName>
  </definedNames>
  <calcPr fullCalcOnLoad="1"/>
</workbook>
</file>

<file path=xl/sharedStrings.xml><?xml version="1.0" encoding="utf-8"?>
<sst xmlns="http://schemas.openxmlformats.org/spreadsheetml/2006/main" count="152" uniqueCount="88">
  <si>
    <t>TABLE 32. REFUGEES AND ASYLEES GRANTED LAWFUL PERMANENT</t>
  </si>
  <si>
    <t xml:space="preserve">RESIDENT STATUS BY REGION AND SELECTED COUNTRY OF BIRTH:  </t>
  </si>
  <si>
    <t xml:space="preserve">Region and country </t>
  </si>
  <si>
    <t>Total</t>
  </si>
  <si>
    <t>of birth</t>
  </si>
  <si>
    <t>1946-50</t>
  </si>
  <si>
    <t>1951-60</t>
  </si>
  <si>
    <t>1961-70</t>
  </si>
  <si>
    <t>1971-80 /1</t>
  </si>
  <si>
    <t>1981-90 /1</t>
  </si>
  <si>
    <t>1991</t>
  </si>
  <si>
    <t>1992</t>
  </si>
  <si>
    <t>1993</t>
  </si>
  <si>
    <t>1994</t>
  </si>
  <si>
    <t>1946-94</t>
  </si>
  <si>
    <t>1991-95</t>
  </si>
  <si>
    <t>1946-95</t>
  </si>
  <si>
    <t>1946-96</t>
  </si>
  <si>
    <t>1946-97</t>
  </si>
  <si>
    <t>ALL countries</t>
  </si>
  <si>
    <t xml:space="preserve">Europe </t>
  </si>
  <si>
    <t xml:space="preserve">Albania </t>
  </si>
  <si>
    <t>Austria</t>
  </si>
  <si>
    <t xml:space="preserve">Bulgaria </t>
  </si>
  <si>
    <t xml:space="preserve">Estonia </t>
  </si>
  <si>
    <t xml:space="preserve">Germany </t>
  </si>
  <si>
    <t xml:space="preserve">Greece </t>
  </si>
  <si>
    <t xml:space="preserve">Hungary </t>
  </si>
  <si>
    <t xml:space="preserve">Italy </t>
  </si>
  <si>
    <t xml:space="preserve">Latvia </t>
  </si>
  <si>
    <t xml:space="preserve">Lithuania </t>
  </si>
  <si>
    <t xml:space="preserve">Netherlands </t>
  </si>
  <si>
    <t xml:space="preserve">Poland </t>
  </si>
  <si>
    <t xml:space="preserve">Portugal </t>
  </si>
  <si>
    <t>-</t>
  </si>
  <si>
    <t xml:space="preserve">Romania </t>
  </si>
  <si>
    <t xml:space="preserve">Soviet Union, former </t>
  </si>
  <si>
    <t xml:space="preserve">    Russia</t>
  </si>
  <si>
    <t>X</t>
  </si>
  <si>
    <t xml:space="preserve">    Ukraine</t>
  </si>
  <si>
    <t xml:space="preserve">    Uzbekistan</t>
  </si>
  <si>
    <t xml:space="preserve">    Other republics</t>
  </si>
  <si>
    <t xml:space="preserve">    Unknown republic</t>
  </si>
  <si>
    <t xml:space="preserve">Spain </t>
  </si>
  <si>
    <t xml:space="preserve">Other Europe </t>
  </si>
  <si>
    <t>Asia</t>
  </si>
  <si>
    <t xml:space="preserve">Afghanistan </t>
  </si>
  <si>
    <t xml:space="preserve">Cambodia </t>
  </si>
  <si>
    <t>China 2/</t>
  </si>
  <si>
    <t xml:space="preserve">Hong Kong </t>
  </si>
  <si>
    <t xml:space="preserve">Indonesia </t>
  </si>
  <si>
    <t xml:space="preserve">Iran </t>
  </si>
  <si>
    <t xml:space="preserve">Iraq </t>
  </si>
  <si>
    <t xml:space="preserve">Japan </t>
  </si>
  <si>
    <t xml:space="preserve">Korea </t>
  </si>
  <si>
    <t xml:space="preserve">Laos </t>
  </si>
  <si>
    <t xml:space="preserve">Syria </t>
  </si>
  <si>
    <t xml:space="preserve">Thailand </t>
  </si>
  <si>
    <t xml:space="preserve">Turkey </t>
  </si>
  <si>
    <t xml:space="preserve">Vietnam </t>
  </si>
  <si>
    <t xml:space="preserve">Other Asia </t>
  </si>
  <si>
    <t xml:space="preserve">Africa </t>
  </si>
  <si>
    <t xml:space="preserve">Egypt </t>
  </si>
  <si>
    <t xml:space="preserve">Other Africa </t>
  </si>
  <si>
    <t xml:space="preserve">Oceania </t>
  </si>
  <si>
    <t xml:space="preserve">North America </t>
  </si>
  <si>
    <t xml:space="preserve">Cuba </t>
  </si>
  <si>
    <t xml:space="preserve">El Salvador </t>
  </si>
  <si>
    <t xml:space="preserve">Nicaragua </t>
  </si>
  <si>
    <t xml:space="preserve">Other North America </t>
  </si>
  <si>
    <t xml:space="preserve">South America </t>
  </si>
  <si>
    <t xml:space="preserve">Chile </t>
  </si>
  <si>
    <t>Colombia</t>
  </si>
  <si>
    <t>NA</t>
  </si>
  <si>
    <t>Peru</t>
  </si>
  <si>
    <t>Venezuela</t>
  </si>
  <si>
    <t xml:space="preserve">Other South America </t>
  </si>
  <si>
    <t>Unknown or not reported</t>
  </si>
  <si>
    <t xml:space="preserve">  1/  Data for fiscal years 1971-90 have been adjusted.  2/  Includes People’s Republic of China and Taiwan.         </t>
  </si>
  <si>
    <t xml:space="preserve"> NOTE:  See Glossary for fiscal year definitions.  The data no longer include Cuban/Haitian entrants granted immigrant status. </t>
  </si>
  <si>
    <t xml:space="preserve">   - Represents zero.        NA  Not available.       X  Not applicable.</t>
  </si>
  <si>
    <t>FISCAL YEARS 1946-98</t>
  </si>
  <si>
    <t>1991-96</t>
  </si>
  <si>
    <t>1946-98</t>
  </si>
  <si>
    <t xml:space="preserve">Czechoslovakia, former </t>
  </si>
  <si>
    <t>Yugoslavia, former</t>
  </si>
  <si>
    <t>Ethiopia /3</t>
  </si>
  <si>
    <t>3/ Includes Eritrea.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</si>
</sst>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Alignment="1" quotePrefix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15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65" fontId="1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15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15" applyNumberFormat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65" fontId="0" fillId="0" borderId="0" xfId="15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0" borderId="0" xfId="15" applyNumberFormat="1" applyFont="1" applyAlignment="1">
      <alignment/>
    </xf>
    <xf numFmtId="3" fontId="6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1" fillId="0" borderId="0" xfId="0" applyNumberFormat="1" applyFont="1" applyAlignment="1">
      <alignment/>
    </xf>
    <xf numFmtId="165" fontId="0" fillId="0" borderId="2" xfId="15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 quotePrefix="1">
      <alignment horizontal="center"/>
    </xf>
    <xf numFmtId="165" fontId="0" fillId="0" borderId="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1">
      <pane xSplit="1" ySplit="7" topLeftCell="B6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4" sqref="A74"/>
    </sheetView>
  </sheetViews>
  <sheetFormatPr defaultColWidth="9.00390625" defaultRowHeight="12.75"/>
  <cols>
    <col min="1" max="1" width="25.00390625" style="0" customWidth="1"/>
    <col min="2" max="4" width="11.375" style="0" customWidth="1"/>
    <col min="5" max="5" width="11.75390625" style="0" customWidth="1"/>
    <col min="6" max="6" width="12.00390625" style="0" customWidth="1"/>
    <col min="7" max="10" width="11.375" style="0" customWidth="1"/>
    <col min="11" max="11" width="12.75390625" style="0" customWidth="1"/>
    <col min="12" max="12" width="10.375" style="0" customWidth="1"/>
    <col min="13" max="14" width="11.375" style="0" customWidth="1"/>
    <col min="15" max="15" width="12.25390625" style="0" customWidth="1"/>
    <col min="16" max="16" width="11.375" style="0" customWidth="1"/>
    <col min="17" max="17" width="12.25390625" style="0" customWidth="1"/>
    <col min="18" max="18" width="11.375" style="0" customWidth="1"/>
    <col min="19" max="19" width="13.00390625" style="0" customWidth="1"/>
    <col min="20" max="16384" width="11.375" style="0" customWidth="1"/>
  </cols>
  <sheetData>
    <row r="1" spans="1:19" ht="12.75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6"/>
    </row>
    <row r="2" spans="1:19" ht="12.75">
      <c r="A2" s="6" t="s">
        <v>1</v>
      </c>
      <c r="B2" s="4"/>
      <c r="C2" s="4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7"/>
      <c r="Q2" s="5"/>
      <c r="R2" s="6"/>
      <c r="S2" s="6"/>
    </row>
    <row r="3" spans="1:19" ht="12.75">
      <c r="A3" s="9" t="s">
        <v>81</v>
      </c>
      <c r="B3" s="4"/>
      <c r="C3" s="4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7"/>
      <c r="Q3" s="5"/>
      <c r="R3" s="6"/>
      <c r="S3" s="6"/>
    </row>
    <row r="4" spans="1:19" ht="12.75">
      <c r="A4" s="6"/>
      <c r="B4" s="4"/>
      <c r="C4" s="4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7"/>
      <c r="Q4" s="5"/>
      <c r="R4" s="6"/>
      <c r="S4" s="6"/>
    </row>
    <row r="5" spans="1:21" s="4" customFormat="1" ht="12.75">
      <c r="A5" s="41" t="s">
        <v>2</v>
      </c>
      <c r="B5" s="42" t="s">
        <v>3</v>
      </c>
      <c r="C5" s="42" t="s">
        <v>3</v>
      </c>
      <c r="D5" s="42" t="s">
        <v>3</v>
      </c>
      <c r="E5" s="42" t="s">
        <v>3</v>
      </c>
      <c r="F5" s="42" t="s">
        <v>3</v>
      </c>
      <c r="G5" s="43"/>
      <c r="H5" s="43"/>
      <c r="I5" s="43"/>
      <c r="J5" s="43"/>
      <c r="K5" s="42" t="s">
        <v>3</v>
      </c>
      <c r="L5" s="14"/>
      <c r="M5" s="42" t="s">
        <v>3</v>
      </c>
      <c r="N5" s="42" t="s">
        <v>3</v>
      </c>
      <c r="O5" s="42" t="s">
        <v>3</v>
      </c>
      <c r="P5" s="14"/>
      <c r="Q5" s="42" t="s">
        <v>3</v>
      </c>
      <c r="R5" s="14"/>
      <c r="S5" s="42" t="s">
        <v>3</v>
      </c>
      <c r="T5" s="44"/>
      <c r="U5" s="42" t="s">
        <v>3</v>
      </c>
    </row>
    <row r="6" spans="1:21" s="4" customFormat="1" ht="12.75">
      <c r="A6" s="20" t="s">
        <v>4</v>
      </c>
      <c r="B6" s="45" t="s">
        <v>5</v>
      </c>
      <c r="C6" s="46" t="s">
        <v>6</v>
      </c>
      <c r="D6" s="46" t="s">
        <v>7</v>
      </c>
      <c r="E6" s="47" t="s">
        <v>8</v>
      </c>
      <c r="F6" s="47" t="s">
        <v>9</v>
      </c>
      <c r="G6" s="46" t="s">
        <v>10</v>
      </c>
      <c r="H6" s="46" t="s">
        <v>11</v>
      </c>
      <c r="I6" s="46" t="s">
        <v>12</v>
      </c>
      <c r="J6" s="46" t="s">
        <v>13</v>
      </c>
      <c r="K6" s="48" t="s">
        <v>14</v>
      </c>
      <c r="L6" s="46">
        <v>1995</v>
      </c>
      <c r="M6" s="48" t="s">
        <v>15</v>
      </c>
      <c r="N6" s="48" t="s">
        <v>82</v>
      </c>
      <c r="O6" s="48" t="s">
        <v>16</v>
      </c>
      <c r="P6" s="47">
        <v>1996</v>
      </c>
      <c r="Q6" s="48" t="s">
        <v>17</v>
      </c>
      <c r="R6" s="47">
        <v>1997</v>
      </c>
      <c r="S6" s="48" t="s">
        <v>18</v>
      </c>
      <c r="T6" s="46">
        <v>1998</v>
      </c>
      <c r="U6" s="48" t="s">
        <v>83</v>
      </c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/>
      <c r="R7" s="4"/>
      <c r="S7" s="4"/>
    </row>
    <row r="8" spans="1:21" ht="12.75">
      <c r="A8" s="5" t="s">
        <v>19</v>
      </c>
      <c r="B8" s="10">
        <f aca="true" t="shared" si="0" ref="B8:L8">SUM(B9,B34,B50,B54,B55,B60,B66)</f>
        <v>213347</v>
      </c>
      <c r="C8" s="10">
        <f t="shared" si="0"/>
        <v>492371</v>
      </c>
      <c r="D8" s="10">
        <f t="shared" si="0"/>
        <v>212843</v>
      </c>
      <c r="E8" s="10">
        <f t="shared" si="0"/>
        <v>539447</v>
      </c>
      <c r="F8" s="10">
        <f t="shared" si="0"/>
        <v>1013620</v>
      </c>
      <c r="G8" s="10">
        <f t="shared" si="0"/>
        <v>139079</v>
      </c>
      <c r="H8" s="10">
        <f t="shared" si="0"/>
        <v>117037</v>
      </c>
      <c r="I8" s="10">
        <f t="shared" si="0"/>
        <v>127343</v>
      </c>
      <c r="J8" s="10">
        <f t="shared" si="0"/>
        <v>121434</v>
      </c>
      <c r="K8" s="10">
        <f t="shared" si="0"/>
        <v>2976521</v>
      </c>
      <c r="L8" s="10">
        <f t="shared" si="0"/>
        <v>114664</v>
      </c>
      <c r="M8" s="10">
        <f aca="true" t="shared" si="1" ref="M8:M39">SUM(G8:J8,L8)</f>
        <v>619557</v>
      </c>
      <c r="N8" s="10">
        <f>M8+P8</f>
        <v>748122</v>
      </c>
      <c r="O8" s="10">
        <f>SUM(O9,O34,O50,O54,O55,O60,O66)</f>
        <v>3091185</v>
      </c>
      <c r="P8" s="10">
        <f>SUM(P9,P34,P50,P54,P55,P60)</f>
        <v>128565</v>
      </c>
      <c r="Q8" s="10">
        <f>SUM(Q9,Q34,Q50,Q54,Q55,Q60,Q66)</f>
        <v>3219750</v>
      </c>
      <c r="R8" s="22">
        <f>SUM(R9,R34,R50,R54,R55,R60,R66)</f>
        <v>112158</v>
      </c>
      <c r="S8" s="21">
        <f aca="true" t="shared" si="2" ref="S8:S41">R8+Q8</f>
        <v>3331908</v>
      </c>
      <c r="T8" s="29">
        <v>54645</v>
      </c>
      <c r="U8" s="39">
        <f>S8+T8</f>
        <v>3386553</v>
      </c>
    </row>
    <row r="9" spans="1:21" ht="12.75">
      <c r="A9" s="5" t="s">
        <v>20</v>
      </c>
      <c r="B9" s="10">
        <f aca="true" t="shared" si="3" ref="B9:L9">SUM(B10:B25,B31:B33)</f>
        <v>211983</v>
      </c>
      <c r="C9" s="10">
        <f t="shared" si="3"/>
        <v>456146</v>
      </c>
      <c r="D9" s="10">
        <f t="shared" si="3"/>
        <v>55235</v>
      </c>
      <c r="E9" s="10">
        <f t="shared" si="3"/>
        <v>71858</v>
      </c>
      <c r="F9" s="10">
        <f t="shared" si="3"/>
        <v>155512</v>
      </c>
      <c r="G9" s="10">
        <f t="shared" si="3"/>
        <v>62946</v>
      </c>
      <c r="H9" s="10">
        <f t="shared" si="3"/>
        <v>42721</v>
      </c>
      <c r="I9" s="10">
        <f t="shared" si="3"/>
        <v>53195</v>
      </c>
      <c r="J9" s="10">
        <f t="shared" si="3"/>
        <v>54978</v>
      </c>
      <c r="K9" s="10">
        <f t="shared" si="3"/>
        <v>1164574</v>
      </c>
      <c r="L9" s="10">
        <f t="shared" si="3"/>
        <v>46998</v>
      </c>
      <c r="M9" s="10">
        <f t="shared" si="1"/>
        <v>260838</v>
      </c>
      <c r="N9" s="10">
        <f aca="true" t="shared" si="4" ref="N9:N66">M9+P9</f>
        <v>312815</v>
      </c>
      <c r="O9" s="10">
        <f>SUM(O10:O25,O31:O33)</f>
        <v>1211572</v>
      </c>
      <c r="P9" s="10">
        <f>SUM(P10:P25,P31:P33)</f>
        <v>51977</v>
      </c>
      <c r="Q9" s="10">
        <f>SUM(Q10:Q25,Q31:Q33)</f>
        <v>1263549</v>
      </c>
      <c r="R9" s="23">
        <v>39795</v>
      </c>
      <c r="S9" s="21">
        <f t="shared" si="2"/>
        <v>1303344</v>
      </c>
      <c r="T9" s="29">
        <v>19048</v>
      </c>
      <c r="U9" s="39">
        <f aca="true" t="shared" si="5" ref="U9:U66">S9+T9</f>
        <v>1322392</v>
      </c>
    </row>
    <row r="10" spans="1:21" ht="12.75">
      <c r="A10" s="4" t="s">
        <v>21</v>
      </c>
      <c r="B10" s="12">
        <v>29</v>
      </c>
      <c r="C10" s="12">
        <v>1409</v>
      </c>
      <c r="D10" s="12">
        <v>1952</v>
      </c>
      <c r="E10" s="12">
        <v>395</v>
      </c>
      <c r="F10" s="12">
        <v>353</v>
      </c>
      <c r="G10" s="12">
        <v>75</v>
      </c>
      <c r="H10" s="12">
        <v>539</v>
      </c>
      <c r="I10" s="12">
        <v>1198</v>
      </c>
      <c r="J10" s="12">
        <v>733</v>
      </c>
      <c r="K10" s="12">
        <v>6683</v>
      </c>
      <c r="L10" s="12">
        <v>314</v>
      </c>
      <c r="M10" s="12">
        <f t="shared" si="1"/>
        <v>2859</v>
      </c>
      <c r="N10" s="12">
        <f t="shared" si="4"/>
        <v>3013</v>
      </c>
      <c r="O10" s="12">
        <f aca="true" t="shared" si="6" ref="O10:O24">+L10+K10</f>
        <v>6997</v>
      </c>
      <c r="P10" s="12">
        <v>154</v>
      </c>
      <c r="Q10" s="12">
        <f aca="true" t="shared" si="7" ref="Q10:Q24">+P10+O10</f>
        <v>7151</v>
      </c>
      <c r="R10" s="15">
        <v>76</v>
      </c>
      <c r="S10" s="16">
        <f t="shared" si="2"/>
        <v>7227</v>
      </c>
      <c r="T10">
        <v>56</v>
      </c>
      <c r="U10" s="37">
        <f t="shared" si="5"/>
        <v>7283</v>
      </c>
    </row>
    <row r="11" spans="1:21" ht="12.75">
      <c r="A11" s="4" t="s">
        <v>22</v>
      </c>
      <c r="B11" s="12">
        <v>4801</v>
      </c>
      <c r="C11" s="12">
        <v>11487</v>
      </c>
      <c r="D11" s="12">
        <v>233</v>
      </c>
      <c r="E11" s="12">
        <v>185</v>
      </c>
      <c r="F11" s="12">
        <v>424</v>
      </c>
      <c r="G11" s="12">
        <v>131</v>
      </c>
      <c r="H11" s="12">
        <v>90</v>
      </c>
      <c r="I11" s="12">
        <v>54</v>
      </c>
      <c r="J11" s="12">
        <v>25</v>
      </c>
      <c r="K11" s="12">
        <v>17430</v>
      </c>
      <c r="L11" s="12">
        <v>15</v>
      </c>
      <c r="M11" s="12">
        <f t="shared" si="1"/>
        <v>315</v>
      </c>
      <c r="N11" s="12">
        <f t="shared" si="4"/>
        <v>330</v>
      </c>
      <c r="O11" s="12">
        <f t="shared" si="6"/>
        <v>17445</v>
      </c>
      <c r="P11" s="12">
        <v>15</v>
      </c>
      <c r="Q11" s="12">
        <f t="shared" si="7"/>
        <v>17460</v>
      </c>
      <c r="R11" s="15">
        <v>20</v>
      </c>
      <c r="S11" s="16">
        <f t="shared" si="2"/>
        <v>17480</v>
      </c>
      <c r="T11">
        <v>6</v>
      </c>
      <c r="U11" s="37">
        <f t="shared" si="5"/>
        <v>17486</v>
      </c>
    </row>
    <row r="12" spans="1:21" ht="12.75">
      <c r="A12" s="4" t="s">
        <v>23</v>
      </c>
      <c r="B12" s="12">
        <v>139</v>
      </c>
      <c r="C12" s="12">
        <v>1138</v>
      </c>
      <c r="D12" s="12">
        <v>1799</v>
      </c>
      <c r="E12" s="12">
        <v>1238</v>
      </c>
      <c r="F12" s="12">
        <v>1197</v>
      </c>
      <c r="G12" s="12">
        <v>311</v>
      </c>
      <c r="H12" s="12">
        <v>562</v>
      </c>
      <c r="I12" s="12">
        <v>303</v>
      </c>
      <c r="J12" s="12">
        <v>138</v>
      </c>
      <c r="K12" s="12">
        <v>6825</v>
      </c>
      <c r="L12" s="12">
        <v>105</v>
      </c>
      <c r="M12" s="12">
        <f t="shared" si="1"/>
        <v>1419</v>
      </c>
      <c r="N12" s="12">
        <f t="shared" si="4"/>
        <v>1519</v>
      </c>
      <c r="O12" s="12">
        <f t="shared" si="6"/>
        <v>6930</v>
      </c>
      <c r="P12" s="12">
        <v>100</v>
      </c>
      <c r="Q12" s="12">
        <f t="shared" si="7"/>
        <v>7030</v>
      </c>
      <c r="R12" s="15">
        <v>69</v>
      </c>
      <c r="S12" s="16">
        <f t="shared" si="2"/>
        <v>7099</v>
      </c>
      <c r="T12">
        <v>33</v>
      </c>
      <c r="U12" s="37">
        <f t="shared" si="5"/>
        <v>7132</v>
      </c>
    </row>
    <row r="13" spans="1:21" ht="12.75">
      <c r="A13" s="4" t="s">
        <v>84</v>
      </c>
      <c r="B13" s="12">
        <v>8449</v>
      </c>
      <c r="C13" s="12">
        <v>10719</v>
      </c>
      <c r="D13" s="12">
        <v>5709</v>
      </c>
      <c r="E13" s="12">
        <v>3646</v>
      </c>
      <c r="F13" s="12">
        <v>8204</v>
      </c>
      <c r="G13" s="12">
        <v>659</v>
      </c>
      <c r="H13" s="12">
        <v>319</v>
      </c>
      <c r="I13" s="12">
        <v>119</v>
      </c>
      <c r="J13" s="12">
        <v>41</v>
      </c>
      <c r="K13" s="12">
        <v>37865</v>
      </c>
      <c r="L13" s="12">
        <v>38</v>
      </c>
      <c r="M13" s="12">
        <f t="shared" si="1"/>
        <v>1176</v>
      </c>
      <c r="N13" s="12">
        <f t="shared" si="4"/>
        <v>1201</v>
      </c>
      <c r="O13" s="12">
        <f t="shared" si="6"/>
        <v>37903</v>
      </c>
      <c r="P13" s="12">
        <v>25</v>
      </c>
      <c r="Q13" s="12">
        <f t="shared" si="7"/>
        <v>37928</v>
      </c>
      <c r="R13" s="24">
        <v>40</v>
      </c>
      <c r="S13" s="16">
        <f t="shared" si="2"/>
        <v>37968</v>
      </c>
      <c r="T13">
        <v>15</v>
      </c>
      <c r="U13" s="37">
        <f t="shared" si="5"/>
        <v>37983</v>
      </c>
    </row>
    <row r="14" spans="1:21" ht="12.75">
      <c r="A14" s="4" t="s">
        <v>24</v>
      </c>
      <c r="B14" s="12">
        <v>7143</v>
      </c>
      <c r="C14" s="12">
        <v>4103</v>
      </c>
      <c r="D14" s="12">
        <v>16</v>
      </c>
      <c r="E14" s="12">
        <v>2</v>
      </c>
      <c r="F14" s="12">
        <v>25</v>
      </c>
      <c r="G14" s="12">
        <v>9</v>
      </c>
      <c r="H14" s="12">
        <v>155</v>
      </c>
      <c r="I14" s="12">
        <v>125</v>
      </c>
      <c r="J14" s="12">
        <v>176</v>
      </c>
      <c r="K14" s="12">
        <v>11754</v>
      </c>
      <c r="L14" s="12">
        <v>83</v>
      </c>
      <c r="M14" s="12">
        <f t="shared" si="1"/>
        <v>548</v>
      </c>
      <c r="N14" s="12">
        <f t="shared" si="4"/>
        <v>646</v>
      </c>
      <c r="O14" s="12">
        <f t="shared" si="6"/>
        <v>11837</v>
      </c>
      <c r="P14" s="12">
        <v>98</v>
      </c>
      <c r="Q14" s="12">
        <f t="shared" si="7"/>
        <v>11935</v>
      </c>
      <c r="R14" s="15">
        <v>89</v>
      </c>
      <c r="S14" s="16">
        <f t="shared" si="2"/>
        <v>12024</v>
      </c>
      <c r="T14">
        <v>18</v>
      </c>
      <c r="U14" s="37">
        <f t="shared" si="5"/>
        <v>12042</v>
      </c>
    </row>
    <row r="15" spans="1:21" ht="12.75">
      <c r="A15" s="4" t="s">
        <v>25</v>
      </c>
      <c r="B15" s="12">
        <v>36633</v>
      </c>
      <c r="C15" s="12">
        <v>62860</v>
      </c>
      <c r="D15" s="12">
        <v>665</v>
      </c>
      <c r="E15" s="12">
        <v>143</v>
      </c>
      <c r="F15" s="12">
        <v>851</v>
      </c>
      <c r="G15" s="12">
        <v>214</v>
      </c>
      <c r="H15" s="12">
        <v>94</v>
      </c>
      <c r="I15" s="12">
        <v>82</v>
      </c>
      <c r="J15" s="12">
        <v>84</v>
      </c>
      <c r="K15" s="12">
        <v>101626</v>
      </c>
      <c r="L15" s="12">
        <v>61</v>
      </c>
      <c r="M15" s="12">
        <f t="shared" si="1"/>
        <v>535</v>
      </c>
      <c r="N15" s="12">
        <f t="shared" si="4"/>
        <v>625</v>
      </c>
      <c r="O15" s="12">
        <f t="shared" si="6"/>
        <v>101687</v>
      </c>
      <c r="P15" s="12">
        <v>90</v>
      </c>
      <c r="Q15" s="12">
        <f t="shared" si="7"/>
        <v>101777</v>
      </c>
      <c r="R15" s="15">
        <v>79</v>
      </c>
      <c r="S15" s="16">
        <f t="shared" si="2"/>
        <v>101856</v>
      </c>
      <c r="T15">
        <v>55</v>
      </c>
      <c r="U15" s="37">
        <f t="shared" si="5"/>
        <v>101911</v>
      </c>
    </row>
    <row r="16" spans="1:21" ht="12.75">
      <c r="A16" s="4" t="s">
        <v>26</v>
      </c>
      <c r="B16" s="12">
        <v>124</v>
      </c>
      <c r="C16" s="12">
        <v>28568</v>
      </c>
      <c r="D16" s="12">
        <v>586</v>
      </c>
      <c r="E16" s="12">
        <v>478</v>
      </c>
      <c r="F16" s="12">
        <v>1408</v>
      </c>
      <c r="G16" s="12">
        <v>127</v>
      </c>
      <c r="H16" s="12">
        <v>28</v>
      </c>
      <c r="I16" s="12">
        <v>39</v>
      </c>
      <c r="J16" s="12">
        <v>65</v>
      </c>
      <c r="K16" s="12">
        <v>31423</v>
      </c>
      <c r="L16" s="12">
        <v>50</v>
      </c>
      <c r="M16" s="12">
        <f t="shared" si="1"/>
        <v>309</v>
      </c>
      <c r="N16" s="12">
        <f t="shared" si="4"/>
        <v>342</v>
      </c>
      <c r="O16" s="12">
        <f t="shared" si="6"/>
        <v>31473</v>
      </c>
      <c r="P16" s="12">
        <v>33</v>
      </c>
      <c r="Q16" s="12">
        <f t="shared" si="7"/>
        <v>31506</v>
      </c>
      <c r="R16" s="15">
        <v>11</v>
      </c>
      <c r="S16" s="16">
        <f t="shared" si="2"/>
        <v>31517</v>
      </c>
      <c r="T16">
        <v>8</v>
      </c>
      <c r="U16" s="37">
        <f t="shared" si="5"/>
        <v>31525</v>
      </c>
    </row>
    <row r="17" spans="1:21" ht="12.75">
      <c r="A17" s="4" t="s">
        <v>27</v>
      </c>
      <c r="B17" s="12">
        <v>6086</v>
      </c>
      <c r="C17" s="12">
        <v>55740</v>
      </c>
      <c r="D17" s="12">
        <v>4044</v>
      </c>
      <c r="E17" s="12">
        <v>4358</v>
      </c>
      <c r="F17" s="12">
        <v>4942</v>
      </c>
      <c r="G17" s="12">
        <v>817</v>
      </c>
      <c r="H17" s="12">
        <v>229</v>
      </c>
      <c r="I17" s="12">
        <v>80</v>
      </c>
      <c r="J17" s="12">
        <v>37</v>
      </c>
      <c r="K17" s="12">
        <v>76333</v>
      </c>
      <c r="L17" s="12">
        <v>28</v>
      </c>
      <c r="M17" s="12">
        <f t="shared" si="1"/>
        <v>1191</v>
      </c>
      <c r="N17" s="12">
        <f t="shared" si="4"/>
        <v>1231</v>
      </c>
      <c r="O17" s="12">
        <f t="shared" si="6"/>
        <v>76361</v>
      </c>
      <c r="P17" s="12">
        <v>40</v>
      </c>
      <c r="Q17" s="12">
        <f t="shared" si="7"/>
        <v>76401</v>
      </c>
      <c r="R17" s="15">
        <v>24</v>
      </c>
      <c r="S17" s="16">
        <f t="shared" si="2"/>
        <v>76425</v>
      </c>
      <c r="T17">
        <v>14</v>
      </c>
      <c r="U17" s="37">
        <f t="shared" si="5"/>
        <v>76439</v>
      </c>
    </row>
    <row r="18" spans="1:21" ht="12.75">
      <c r="A18" s="4" t="s">
        <v>28</v>
      </c>
      <c r="B18" s="12">
        <v>642</v>
      </c>
      <c r="C18" s="12">
        <v>60657</v>
      </c>
      <c r="D18" s="12">
        <v>1198</v>
      </c>
      <c r="E18" s="12">
        <v>346</v>
      </c>
      <c r="F18" s="12">
        <v>394</v>
      </c>
      <c r="G18" s="12">
        <v>206</v>
      </c>
      <c r="H18" s="12">
        <v>105</v>
      </c>
      <c r="I18" s="12">
        <v>32</v>
      </c>
      <c r="J18" s="12">
        <v>11</v>
      </c>
      <c r="K18" s="12">
        <v>63591</v>
      </c>
      <c r="L18" s="12">
        <v>7</v>
      </c>
      <c r="M18" s="12">
        <f t="shared" si="1"/>
        <v>361</v>
      </c>
      <c r="N18" s="12">
        <f t="shared" si="4"/>
        <v>378</v>
      </c>
      <c r="O18" s="12">
        <f t="shared" si="6"/>
        <v>63598</v>
      </c>
      <c r="P18" s="12">
        <v>17</v>
      </c>
      <c r="Q18" s="12">
        <f t="shared" si="7"/>
        <v>63615</v>
      </c>
      <c r="R18" s="15">
        <v>14</v>
      </c>
      <c r="S18" s="16">
        <f t="shared" si="2"/>
        <v>63629</v>
      </c>
      <c r="T18">
        <v>7</v>
      </c>
      <c r="U18" s="37">
        <f t="shared" si="5"/>
        <v>63636</v>
      </c>
    </row>
    <row r="19" spans="1:21" ht="12.75">
      <c r="A19" s="4" t="s">
        <v>29</v>
      </c>
      <c r="B19" s="12">
        <v>21422</v>
      </c>
      <c r="C19" s="12">
        <v>16783</v>
      </c>
      <c r="D19" s="12">
        <v>49</v>
      </c>
      <c r="E19" s="12">
        <v>16</v>
      </c>
      <c r="F19" s="12">
        <v>48</v>
      </c>
      <c r="G19" s="12">
        <v>34</v>
      </c>
      <c r="H19" s="12">
        <v>315</v>
      </c>
      <c r="I19" s="12">
        <v>493</v>
      </c>
      <c r="J19" s="12">
        <v>568</v>
      </c>
      <c r="K19" s="12">
        <v>39728</v>
      </c>
      <c r="L19" s="12">
        <v>387</v>
      </c>
      <c r="M19" s="12">
        <f t="shared" si="1"/>
        <v>1797</v>
      </c>
      <c r="N19" s="12">
        <f t="shared" si="4"/>
        <v>2156</v>
      </c>
      <c r="O19" s="12">
        <f t="shared" si="6"/>
        <v>40115</v>
      </c>
      <c r="P19" s="12">
        <v>359</v>
      </c>
      <c r="Q19" s="12">
        <f t="shared" si="7"/>
        <v>40474</v>
      </c>
      <c r="R19" s="15">
        <v>272</v>
      </c>
      <c r="S19" s="16">
        <f t="shared" si="2"/>
        <v>40746</v>
      </c>
      <c r="T19">
        <v>69</v>
      </c>
      <c r="U19" s="37">
        <f t="shared" si="5"/>
        <v>40815</v>
      </c>
    </row>
    <row r="20" spans="1:21" ht="12.75">
      <c r="A20" s="4" t="s">
        <v>30</v>
      </c>
      <c r="B20" s="12">
        <v>18694</v>
      </c>
      <c r="C20" s="12">
        <v>8569</v>
      </c>
      <c r="D20" s="12">
        <v>72</v>
      </c>
      <c r="E20" s="12">
        <v>23</v>
      </c>
      <c r="F20" s="12">
        <v>37</v>
      </c>
      <c r="G20" s="12">
        <v>75</v>
      </c>
      <c r="H20" s="12">
        <v>157</v>
      </c>
      <c r="I20" s="12">
        <v>228</v>
      </c>
      <c r="J20" s="12">
        <v>214</v>
      </c>
      <c r="K20" s="12">
        <v>28069</v>
      </c>
      <c r="L20" s="12">
        <v>151</v>
      </c>
      <c r="M20" s="12">
        <f t="shared" si="1"/>
        <v>825</v>
      </c>
      <c r="N20" s="12">
        <f t="shared" si="4"/>
        <v>961</v>
      </c>
      <c r="O20" s="12">
        <f t="shared" si="6"/>
        <v>28220</v>
      </c>
      <c r="P20" s="12">
        <v>136</v>
      </c>
      <c r="Q20" s="12">
        <f t="shared" si="7"/>
        <v>28356</v>
      </c>
      <c r="R20" s="15">
        <v>85</v>
      </c>
      <c r="S20" s="16">
        <f t="shared" si="2"/>
        <v>28441</v>
      </c>
      <c r="T20">
        <v>27</v>
      </c>
      <c r="U20" s="37">
        <f t="shared" si="5"/>
        <v>28468</v>
      </c>
    </row>
    <row r="21" spans="1:21" ht="12.75">
      <c r="A21" s="4" t="s">
        <v>31</v>
      </c>
      <c r="B21" s="12">
        <v>129</v>
      </c>
      <c r="C21" s="12">
        <v>14336</v>
      </c>
      <c r="D21" s="12">
        <v>3134</v>
      </c>
      <c r="E21" s="12">
        <v>8</v>
      </c>
      <c r="F21" s="12">
        <v>14</v>
      </c>
      <c r="G21" s="12">
        <v>5</v>
      </c>
      <c r="H21" s="12">
        <v>2</v>
      </c>
      <c r="I21" s="12">
        <v>7</v>
      </c>
      <c r="J21" s="12">
        <v>3</v>
      </c>
      <c r="K21" s="12">
        <v>17638</v>
      </c>
      <c r="L21" s="12">
        <v>0</v>
      </c>
      <c r="M21" s="12">
        <f t="shared" si="1"/>
        <v>17</v>
      </c>
      <c r="N21" s="12">
        <f t="shared" si="4"/>
        <v>17</v>
      </c>
      <c r="O21" s="12">
        <f t="shared" si="6"/>
        <v>17638</v>
      </c>
      <c r="P21" s="12">
        <v>0</v>
      </c>
      <c r="Q21" s="12">
        <f t="shared" si="7"/>
        <v>17638</v>
      </c>
      <c r="R21" s="15">
        <v>3</v>
      </c>
      <c r="S21" s="16">
        <f t="shared" si="2"/>
        <v>17641</v>
      </c>
      <c r="T21">
        <v>5</v>
      </c>
      <c r="U21" s="37">
        <f t="shared" si="5"/>
        <v>17646</v>
      </c>
    </row>
    <row r="22" spans="1:21" ht="12.75">
      <c r="A22" s="4" t="s">
        <v>32</v>
      </c>
      <c r="B22" s="12">
        <v>78529</v>
      </c>
      <c r="C22" s="12">
        <v>81323</v>
      </c>
      <c r="D22" s="12">
        <v>3197</v>
      </c>
      <c r="E22" s="12">
        <v>5882</v>
      </c>
      <c r="F22" s="12">
        <v>33889</v>
      </c>
      <c r="G22" s="12">
        <v>4205</v>
      </c>
      <c r="H22" s="12">
        <v>1512</v>
      </c>
      <c r="I22" s="12">
        <v>731</v>
      </c>
      <c r="J22" s="12">
        <v>334</v>
      </c>
      <c r="K22" s="12">
        <v>209602</v>
      </c>
      <c r="L22" s="12">
        <v>245</v>
      </c>
      <c r="M22" s="12">
        <f t="shared" si="1"/>
        <v>7027</v>
      </c>
      <c r="N22" s="12">
        <f t="shared" si="4"/>
        <v>7210</v>
      </c>
      <c r="O22" s="12">
        <f t="shared" si="6"/>
        <v>209847</v>
      </c>
      <c r="P22" s="12">
        <v>183</v>
      </c>
      <c r="Q22" s="12">
        <f t="shared" si="7"/>
        <v>210030</v>
      </c>
      <c r="R22" s="15">
        <v>143</v>
      </c>
      <c r="S22" s="16">
        <f t="shared" si="2"/>
        <v>210173</v>
      </c>
      <c r="T22">
        <v>54</v>
      </c>
      <c r="U22" s="37">
        <f t="shared" si="5"/>
        <v>210227</v>
      </c>
    </row>
    <row r="23" spans="1:21" ht="12.75">
      <c r="A23" s="4" t="s">
        <v>33</v>
      </c>
      <c r="B23" s="12">
        <v>12</v>
      </c>
      <c r="C23" s="12">
        <v>3650</v>
      </c>
      <c r="D23" s="12">
        <v>1361</v>
      </c>
      <c r="E23" s="12">
        <v>21</v>
      </c>
      <c r="F23" s="12">
        <v>21</v>
      </c>
      <c r="G23" s="12">
        <v>2</v>
      </c>
      <c r="H23" s="12" t="s">
        <v>34</v>
      </c>
      <c r="I23" s="12">
        <v>4</v>
      </c>
      <c r="J23" s="12">
        <v>2</v>
      </c>
      <c r="K23" s="12">
        <v>5073</v>
      </c>
      <c r="L23" s="12">
        <v>3</v>
      </c>
      <c r="M23" s="12">
        <f t="shared" si="1"/>
        <v>11</v>
      </c>
      <c r="N23" s="12">
        <f t="shared" si="4"/>
        <v>12</v>
      </c>
      <c r="O23" s="12">
        <f t="shared" si="6"/>
        <v>5076</v>
      </c>
      <c r="P23" s="12">
        <v>1</v>
      </c>
      <c r="Q23" s="12">
        <f t="shared" si="7"/>
        <v>5077</v>
      </c>
      <c r="R23" s="15">
        <v>1</v>
      </c>
      <c r="S23" s="16">
        <f t="shared" si="2"/>
        <v>5078</v>
      </c>
      <c r="T23" s="30" t="s">
        <v>34</v>
      </c>
      <c r="U23" s="37">
        <v>5078</v>
      </c>
    </row>
    <row r="24" spans="1:21" ht="12.75">
      <c r="A24" s="4" t="s">
        <v>35</v>
      </c>
      <c r="B24" s="12">
        <v>4180</v>
      </c>
      <c r="C24" s="12">
        <v>12057</v>
      </c>
      <c r="D24" s="12">
        <v>7158</v>
      </c>
      <c r="E24" s="12">
        <v>6812</v>
      </c>
      <c r="F24" s="12">
        <v>29798</v>
      </c>
      <c r="G24" s="12">
        <v>4276</v>
      </c>
      <c r="H24" s="12">
        <v>4971</v>
      </c>
      <c r="I24" s="12">
        <v>3654</v>
      </c>
      <c r="J24" s="12">
        <v>1199</v>
      </c>
      <c r="K24" s="12">
        <v>74105</v>
      </c>
      <c r="L24" s="12">
        <v>592</v>
      </c>
      <c r="M24" s="12">
        <f t="shared" si="1"/>
        <v>14692</v>
      </c>
      <c r="N24" s="12">
        <f t="shared" si="4"/>
        <v>15139</v>
      </c>
      <c r="O24" s="12">
        <f t="shared" si="6"/>
        <v>74697</v>
      </c>
      <c r="P24" s="12">
        <v>447</v>
      </c>
      <c r="Q24" s="12">
        <f t="shared" si="7"/>
        <v>75144</v>
      </c>
      <c r="R24" s="15">
        <v>322</v>
      </c>
      <c r="S24" s="16">
        <f t="shared" si="2"/>
        <v>75466</v>
      </c>
      <c r="T24">
        <v>116</v>
      </c>
      <c r="U24" s="37">
        <f t="shared" si="5"/>
        <v>75582</v>
      </c>
    </row>
    <row r="25" spans="1:21" ht="12.75">
      <c r="A25" s="8" t="s">
        <v>36</v>
      </c>
      <c r="B25" s="12">
        <v>14072</v>
      </c>
      <c r="C25" s="12">
        <v>30059</v>
      </c>
      <c r="D25" s="12">
        <v>871</v>
      </c>
      <c r="E25" s="12">
        <v>31309</v>
      </c>
      <c r="F25" s="12">
        <v>72306</v>
      </c>
      <c r="G25" s="12">
        <v>51551</v>
      </c>
      <c r="H25" s="12">
        <v>33504</v>
      </c>
      <c r="I25" s="12">
        <f>SUM(I26:I30)</f>
        <v>45900</v>
      </c>
      <c r="J25" s="12">
        <f>SUM(J26:J30)</f>
        <v>50756</v>
      </c>
      <c r="K25" s="12">
        <v>330328</v>
      </c>
      <c r="L25" s="12">
        <f>SUM(L26:L30)</f>
        <v>40120</v>
      </c>
      <c r="M25" s="12">
        <f t="shared" si="1"/>
        <v>221831</v>
      </c>
      <c r="N25" s="12">
        <f t="shared" si="4"/>
        <v>264187</v>
      </c>
      <c r="O25" s="12">
        <f>SUM(O26:O30)</f>
        <v>370448</v>
      </c>
      <c r="P25" s="12">
        <f>SUM(P26:P30)</f>
        <v>42356</v>
      </c>
      <c r="Q25" s="12">
        <f>SUM(Q26:Q30)</f>
        <v>412804</v>
      </c>
      <c r="R25" s="25">
        <f>SUM(R26:R30)</f>
        <v>30880</v>
      </c>
      <c r="S25" s="16">
        <f t="shared" si="2"/>
        <v>443684</v>
      </c>
      <c r="T25" s="31">
        <v>13200</v>
      </c>
      <c r="U25" s="37">
        <f t="shared" si="5"/>
        <v>456884</v>
      </c>
    </row>
    <row r="26" spans="1:21" ht="12.75">
      <c r="A26" s="4" t="s">
        <v>37</v>
      </c>
      <c r="B26" s="13" t="s">
        <v>38</v>
      </c>
      <c r="C26" s="13" t="s">
        <v>38</v>
      </c>
      <c r="D26" s="13" t="s">
        <v>38</v>
      </c>
      <c r="E26" s="13" t="s">
        <v>38</v>
      </c>
      <c r="F26" s="13" t="s">
        <v>38</v>
      </c>
      <c r="G26" s="13" t="s">
        <v>38</v>
      </c>
      <c r="H26" s="13">
        <v>7122</v>
      </c>
      <c r="I26" s="12">
        <v>8965</v>
      </c>
      <c r="J26" s="12">
        <v>10359</v>
      </c>
      <c r="K26" s="12">
        <f>+I26+J26</f>
        <v>19324</v>
      </c>
      <c r="L26" s="12">
        <v>8176</v>
      </c>
      <c r="M26" s="12">
        <f t="shared" si="1"/>
        <v>34622</v>
      </c>
      <c r="N26" s="12">
        <f t="shared" si="4"/>
        <v>44367</v>
      </c>
      <c r="O26" s="12">
        <f>SUM(L26,I26,J26)</f>
        <v>27500</v>
      </c>
      <c r="P26" s="12">
        <v>9745</v>
      </c>
      <c r="Q26" s="12">
        <f>+P26+O26</f>
        <v>37245</v>
      </c>
      <c r="R26" s="26">
        <v>6985</v>
      </c>
      <c r="S26" s="16">
        <f t="shared" si="2"/>
        <v>44230</v>
      </c>
      <c r="T26" s="32">
        <v>2225</v>
      </c>
      <c r="U26" s="37">
        <f t="shared" si="5"/>
        <v>46455</v>
      </c>
    </row>
    <row r="27" spans="1:21" ht="12.75">
      <c r="A27" s="4" t="s">
        <v>39</v>
      </c>
      <c r="B27" s="13" t="s">
        <v>38</v>
      </c>
      <c r="C27" s="13" t="s">
        <v>38</v>
      </c>
      <c r="D27" s="13" t="s">
        <v>38</v>
      </c>
      <c r="E27" s="13" t="s">
        <v>38</v>
      </c>
      <c r="F27" s="13" t="s">
        <v>38</v>
      </c>
      <c r="G27" s="13" t="s">
        <v>38</v>
      </c>
      <c r="H27" s="13">
        <v>13347</v>
      </c>
      <c r="I27" s="12">
        <v>16977</v>
      </c>
      <c r="J27" s="12">
        <v>19366</v>
      </c>
      <c r="K27" s="12">
        <f>+I27+J27</f>
        <v>36343</v>
      </c>
      <c r="L27" s="12">
        <v>14937</v>
      </c>
      <c r="M27" s="12">
        <f t="shared" si="1"/>
        <v>64627</v>
      </c>
      <c r="N27" s="12">
        <f t="shared" si="4"/>
        <v>81263</v>
      </c>
      <c r="O27" s="12">
        <f>SUM(L27,I27,J27)</f>
        <v>51280</v>
      </c>
      <c r="P27" s="12">
        <v>16636</v>
      </c>
      <c r="Q27" s="12">
        <f>+P27+O27</f>
        <v>67916</v>
      </c>
      <c r="R27" s="26">
        <v>12137</v>
      </c>
      <c r="S27" s="16">
        <f t="shared" si="2"/>
        <v>80053</v>
      </c>
      <c r="T27" s="32">
        <v>3641</v>
      </c>
      <c r="U27" s="37">
        <f t="shared" si="5"/>
        <v>83694</v>
      </c>
    </row>
    <row r="28" spans="1:21" ht="12.75">
      <c r="A28" s="4" t="s">
        <v>40</v>
      </c>
      <c r="B28" s="13" t="s">
        <v>38</v>
      </c>
      <c r="C28" s="13" t="s">
        <v>38</v>
      </c>
      <c r="D28" s="13" t="s">
        <v>38</v>
      </c>
      <c r="E28" s="13" t="s">
        <v>38</v>
      </c>
      <c r="F28" s="13" t="s">
        <v>38</v>
      </c>
      <c r="G28" s="13" t="s">
        <v>38</v>
      </c>
      <c r="H28" s="13">
        <v>1550</v>
      </c>
      <c r="I28" s="12">
        <v>2475</v>
      </c>
      <c r="J28" s="12">
        <v>3211</v>
      </c>
      <c r="K28" s="12">
        <f>+I28+J28</f>
        <v>5686</v>
      </c>
      <c r="L28" s="12">
        <v>3258</v>
      </c>
      <c r="M28" s="12">
        <f t="shared" si="1"/>
        <v>10494</v>
      </c>
      <c r="N28" s="12">
        <f t="shared" si="4"/>
        <v>14638</v>
      </c>
      <c r="O28" s="12">
        <f>SUM(L28,I28,J28)</f>
        <v>8944</v>
      </c>
      <c r="P28" s="12">
        <v>4144</v>
      </c>
      <c r="Q28" s="12">
        <f>+P28+O28</f>
        <v>13088</v>
      </c>
      <c r="R28" s="26">
        <v>2885</v>
      </c>
      <c r="S28" s="16">
        <f t="shared" si="2"/>
        <v>15973</v>
      </c>
      <c r="T28" s="32">
        <v>292</v>
      </c>
      <c r="U28" s="37">
        <f t="shared" si="5"/>
        <v>16265</v>
      </c>
    </row>
    <row r="29" spans="1:21" ht="12.75">
      <c r="A29" s="4" t="s">
        <v>41</v>
      </c>
      <c r="B29" s="13" t="s">
        <v>38</v>
      </c>
      <c r="C29" s="13" t="s">
        <v>38</v>
      </c>
      <c r="D29" s="13" t="s">
        <v>38</v>
      </c>
      <c r="E29" s="13" t="s">
        <v>38</v>
      </c>
      <c r="F29" s="13" t="s">
        <v>38</v>
      </c>
      <c r="G29" s="13" t="s">
        <v>38</v>
      </c>
      <c r="H29" s="13">
        <v>7661</v>
      </c>
      <c r="I29" s="12">
        <v>11357</v>
      </c>
      <c r="J29" s="12">
        <v>12101</v>
      </c>
      <c r="K29" s="12">
        <f>+I29+J29</f>
        <v>23458</v>
      </c>
      <c r="L29" s="12">
        <v>8689</v>
      </c>
      <c r="M29" s="12">
        <f t="shared" si="1"/>
        <v>39808</v>
      </c>
      <c r="N29" s="12">
        <f t="shared" si="4"/>
        <v>48336</v>
      </c>
      <c r="O29" s="12">
        <v>32147</v>
      </c>
      <c r="P29" s="12">
        <f>42356-SUM(P26:P28)-P30</f>
        <v>8528</v>
      </c>
      <c r="Q29" s="12">
        <v>40675</v>
      </c>
      <c r="R29" s="27">
        <v>6284</v>
      </c>
      <c r="S29" s="16">
        <f t="shared" si="2"/>
        <v>46959</v>
      </c>
      <c r="T29" s="33">
        <v>1518</v>
      </c>
      <c r="U29" s="37">
        <f t="shared" si="5"/>
        <v>48477</v>
      </c>
    </row>
    <row r="30" spans="1:21" ht="12.75">
      <c r="A30" s="4" t="s">
        <v>42</v>
      </c>
      <c r="B30" s="12">
        <v>14072</v>
      </c>
      <c r="C30" s="12">
        <v>30059</v>
      </c>
      <c r="D30" s="12">
        <v>871</v>
      </c>
      <c r="E30" s="12">
        <v>31309</v>
      </c>
      <c r="F30" s="12">
        <v>72306</v>
      </c>
      <c r="G30" s="12">
        <v>51551</v>
      </c>
      <c r="H30" s="12">
        <v>3824</v>
      </c>
      <c r="I30" s="12">
        <v>6126</v>
      </c>
      <c r="J30" s="12">
        <v>5719</v>
      </c>
      <c r="K30" s="12">
        <f>330328-SUM(K26:K29)</f>
        <v>245517</v>
      </c>
      <c r="L30" s="12">
        <v>5060</v>
      </c>
      <c r="M30" s="12">
        <f t="shared" si="1"/>
        <v>72280</v>
      </c>
      <c r="N30" s="12">
        <f t="shared" si="4"/>
        <v>75583</v>
      </c>
      <c r="O30" s="12">
        <v>250577</v>
      </c>
      <c r="P30" s="12">
        <v>3303</v>
      </c>
      <c r="Q30" s="12">
        <f>+P30+O30</f>
        <v>253880</v>
      </c>
      <c r="R30" s="26">
        <v>2589</v>
      </c>
      <c r="S30" s="16">
        <f t="shared" si="2"/>
        <v>256469</v>
      </c>
      <c r="T30" s="33">
        <v>5524</v>
      </c>
      <c r="U30" s="37">
        <f t="shared" si="5"/>
        <v>261993</v>
      </c>
    </row>
    <row r="31" spans="1:21" ht="12.75">
      <c r="A31" s="4" t="s">
        <v>43</v>
      </c>
      <c r="B31" s="12">
        <v>1</v>
      </c>
      <c r="C31" s="12">
        <v>246</v>
      </c>
      <c r="D31" s="12">
        <v>4114</v>
      </c>
      <c r="E31" s="12">
        <v>5317</v>
      </c>
      <c r="F31" s="12">
        <v>736</v>
      </c>
      <c r="G31" s="12">
        <v>96</v>
      </c>
      <c r="H31" s="12">
        <v>50</v>
      </c>
      <c r="I31" s="12">
        <v>37</v>
      </c>
      <c r="J31" s="12">
        <v>55</v>
      </c>
      <c r="K31" s="12">
        <v>10652</v>
      </c>
      <c r="L31" s="12">
        <v>33</v>
      </c>
      <c r="M31" s="12">
        <f t="shared" si="1"/>
        <v>271</v>
      </c>
      <c r="N31" s="12">
        <f t="shared" si="4"/>
        <v>317</v>
      </c>
      <c r="O31" s="12">
        <v>10685</v>
      </c>
      <c r="P31" s="12">
        <v>46</v>
      </c>
      <c r="Q31" s="12">
        <f>P31+O31</f>
        <v>10731</v>
      </c>
      <c r="R31" s="15">
        <v>29</v>
      </c>
      <c r="S31" s="16">
        <f t="shared" si="2"/>
        <v>10760</v>
      </c>
      <c r="T31">
        <v>31</v>
      </c>
      <c r="U31" s="37">
        <f t="shared" si="5"/>
        <v>10791</v>
      </c>
    </row>
    <row r="32" spans="1:21" ht="12.75">
      <c r="A32" s="4" t="s">
        <v>85</v>
      </c>
      <c r="B32" s="12">
        <v>9816</v>
      </c>
      <c r="C32" s="12">
        <v>44755</v>
      </c>
      <c r="D32" s="12">
        <v>18299</v>
      </c>
      <c r="E32" s="12">
        <v>11297</v>
      </c>
      <c r="F32" s="12">
        <v>324</v>
      </c>
      <c r="G32" s="12">
        <v>66</v>
      </c>
      <c r="H32" s="12">
        <v>58</v>
      </c>
      <c r="I32" s="12">
        <v>77</v>
      </c>
      <c r="J32" s="12">
        <v>506</v>
      </c>
      <c r="K32" s="12">
        <v>85198</v>
      </c>
      <c r="L32" s="12">
        <v>4744</v>
      </c>
      <c r="M32" s="12">
        <f t="shared" si="1"/>
        <v>5451</v>
      </c>
      <c r="N32" s="12">
        <f t="shared" si="4"/>
        <v>13271</v>
      </c>
      <c r="O32" s="12">
        <v>89942</v>
      </c>
      <c r="P32" s="12">
        <v>7820</v>
      </c>
      <c r="Q32" s="12">
        <f>P32+O32</f>
        <v>97762</v>
      </c>
      <c r="R32" s="25">
        <v>7597</v>
      </c>
      <c r="S32" s="16">
        <f t="shared" si="2"/>
        <v>105359</v>
      </c>
      <c r="T32" s="35">
        <v>5312</v>
      </c>
      <c r="U32" s="37">
        <f t="shared" si="5"/>
        <v>110671</v>
      </c>
    </row>
    <row r="33" spans="1:21" ht="12.75">
      <c r="A33" s="4" t="s">
        <v>44</v>
      </c>
      <c r="B33" s="12">
        <v>1082</v>
      </c>
      <c r="C33" s="12">
        <v>7687</v>
      </c>
      <c r="D33" s="12">
        <v>778</v>
      </c>
      <c r="E33" s="12">
        <v>382</v>
      </c>
      <c r="F33" s="12">
        <v>541</v>
      </c>
      <c r="G33" s="12">
        <f>62946-SUM(G10:G25,G31:G32)</f>
        <v>87</v>
      </c>
      <c r="H33" s="12">
        <v>31</v>
      </c>
      <c r="I33" s="12">
        <v>32</v>
      </c>
      <c r="J33" s="12">
        <v>31</v>
      </c>
      <c r="K33" s="12">
        <v>10651</v>
      </c>
      <c r="L33" s="12">
        <v>22</v>
      </c>
      <c r="M33" s="12">
        <f t="shared" si="1"/>
        <v>203</v>
      </c>
      <c r="N33" s="12">
        <f t="shared" si="4"/>
        <v>260</v>
      </c>
      <c r="O33" s="12">
        <f>1211572-SUM(O10:O25,O31:O32)</f>
        <v>10673</v>
      </c>
      <c r="P33" s="12">
        <f>51977-SUM(P10:P25,P31:P32)</f>
        <v>57</v>
      </c>
      <c r="Q33" s="12">
        <f>57+10673</f>
        <v>10730</v>
      </c>
      <c r="R33" s="15">
        <v>41</v>
      </c>
      <c r="S33" s="16">
        <f t="shared" si="2"/>
        <v>10771</v>
      </c>
      <c r="T33">
        <v>22</v>
      </c>
      <c r="U33" s="37">
        <f t="shared" si="5"/>
        <v>10793</v>
      </c>
    </row>
    <row r="34" spans="1:21" s="5" customFormat="1" ht="12.75">
      <c r="A34" s="5" t="s">
        <v>45</v>
      </c>
      <c r="B34" s="10">
        <v>1106</v>
      </c>
      <c r="C34" s="10">
        <v>33422</v>
      </c>
      <c r="D34" s="10">
        <v>19895</v>
      </c>
      <c r="E34" s="10">
        <v>210683</v>
      </c>
      <c r="F34" s="10">
        <v>712092</v>
      </c>
      <c r="G34" s="10">
        <f aca="true" t="shared" si="8" ref="G34:L34">SUM(G35:G49)</f>
        <v>49762</v>
      </c>
      <c r="H34" s="10">
        <f t="shared" si="8"/>
        <v>53422</v>
      </c>
      <c r="I34" s="10">
        <f t="shared" si="8"/>
        <v>51783</v>
      </c>
      <c r="J34" s="10">
        <f t="shared" si="8"/>
        <v>45768</v>
      </c>
      <c r="K34" s="10">
        <f t="shared" si="8"/>
        <v>1177933</v>
      </c>
      <c r="L34" s="10">
        <f t="shared" si="8"/>
        <v>43314</v>
      </c>
      <c r="M34" s="10">
        <f t="shared" si="1"/>
        <v>244049</v>
      </c>
      <c r="N34" s="10">
        <f t="shared" si="4"/>
        <v>286125</v>
      </c>
      <c r="O34" s="10">
        <f>SUM(O35:O49)</f>
        <v>1221247</v>
      </c>
      <c r="P34" s="10">
        <f>SUM(P35:P49)</f>
        <v>42076</v>
      </c>
      <c r="Q34" s="10">
        <f>SUM(Q35:Q49)</f>
        <v>1263323</v>
      </c>
      <c r="R34" s="23">
        <v>30835</v>
      </c>
      <c r="S34" s="21">
        <f t="shared" si="2"/>
        <v>1294158</v>
      </c>
      <c r="T34" s="29">
        <v>11743</v>
      </c>
      <c r="U34" s="39">
        <f t="shared" si="5"/>
        <v>1305901</v>
      </c>
    </row>
    <row r="35" spans="1:21" ht="12.75">
      <c r="A35" s="4" t="s">
        <v>46</v>
      </c>
      <c r="B35" s="12" t="s">
        <v>34</v>
      </c>
      <c r="C35" s="12">
        <v>1</v>
      </c>
      <c r="D35" s="12" t="s">
        <v>34</v>
      </c>
      <c r="E35" s="12">
        <v>542</v>
      </c>
      <c r="F35" s="12">
        <v>22946</v>
      </c>
      <c r="G35" s="12">
        <v>2100</v>
      </c>
      <c r="H35" s="12">
        <v>2082</v>
      </c>
      <c r="I35" s="12">
        <v>2233</v>
      </c>
      <c r="J35" s="12">
        <v>1665</v>
      </c>
      <c r="K35" s="12">
        <v>31569</v>
      </c>
      <c r="L35" s="12">
        <v>616</v>
      </c>
      <c r="M35" s="12">
        <f t="shared" si="1"/>
        <v>8696</v>
      </c>
      <c r="N35" s="12">
        <f t="shared" si="4"/>
        <v>9065</v>
      </c>
      <c r="O35" s="12">
        <v>32185</v>
      </c>
      <c r="P35" s="12">
        <v>369</v>
      </c>
      <c r="Q35" s="12">
        <f aca="true" t="shared" si="9" ref="Q35:Q49">+P35+O35</f>
        <v>32554</v>
      </c>
      <c r="R35" s="15">
        <v>356</v>
      </c>
      <c r="S35" s="16">
        <f t="shared" si="2"/>
        <v>32910</v>
      </c>
      <c r="T35">
        <v>137</v>
      </c>
      <c r="U35" s="37">
        <f t="shared" si="5"/>
        <v>33047</v>
      </c>
    </row>
    <row r="36" spans="1:21" ht="12.75">
      <c r="A36" s="4" t="s">
        <v>47</v>
      </c>
      <c r="B36" s="12" t="s">
        <v>34</v>
      </c>
      <c r="C36" s="12" t="s">
        <v>34</v>
      </c>
      <c r="D36" s="12" t="s">
        <v>34</v>
      </c>
      <c r="E36" s="12">
        <v>7739</v>
      </c>
      <c r="F36" s="12">
        <v>114064</v>
      </c>
      <c r="G36" s="12">
        <v>2550</v>
      </c>
      <c r="H36" s="12">
        <v>1695</v>
      </c>
      <c r="I36" s="12">
        <v>808</v>
      </c>
      <c r="J36" s="12">
        <v>557</v>
      </c>
      <c r="K36" s="12">
        <v>127413</v>
      </c>
      <c r="L36" s="12">
        <v>268</v>
      </c>
      <c r="M36" s="12">
        <f t="shared" si="1"/>
        <v>5878</v>
      </c>
      <c r="N36" s="12">
        <f t="shared" si="4"/>
        <v>6088</v>
      </c>
      <c r="O36" s="12">
        <v>127681</v>
      </c>
      <c r="P36" s="12">
        <v>210</v>
      </c>
      <c r="Q36" s="12">
        <f t="shared" si="9"/>
        <v>127891</v>
      </c>
      <c r="R36" s="15">
        <v>163</v>
      </c>
      <c r="S36" s="16">
        <f t="shared" si="2"/>
        <v>128054</v>
      </c>
      <c r="T36">
        <v>62</v>
      </c>
      <c r="U36" s="37">
        <f t="shared" si="5"/>
        <v>128116</v>
      </c>
    </row>
    <row r="37" spans="1:21" ht="12.75">
      <c r="A37" s="8" t="s">
        <v>48</v>
      </c>
      <c r="B37" s="12">
        <v>319</v>
      </c>
      <c r="C37" s="12">
        <v>12008</v>
      </c>
      <c r="D37" s="12">
        <v>5308</v>
      </c>
      <c r="E37" s="12">
        <v>13760</v>
      </c>
      <c r="F37" s="12">
        <v>7928</v>
      </c>
      <c r="G37" s="12">
        <v>625</v>
      </c>
      <c r="H37" s="12">
        <v>894</v>
      </c>
      <c r="I37" s="12">
        <v>1154</v>
      </c>
      <c r="J37" s="12">
        <v>774</v>
      </c>
      <c r="K37" s="12">
        <v>42770</v>
      </c>
      <c r="L37" s="12">
        <v>805</v>
      </c>
      <c r="M37" s="12">
        <f t="shared" si="1"/>
        <v>4252</v>
      </c>
      <c r="N37" s="12">
        <f t="shared" si="4"/>
        <v>5097</v>
      </c>
      <c r="O37" s="12">
        <v>43575</v>
      </c>
      <c r="P37" s="12">
        <v>845</v>
      </c>
      <c r="Q37" s="12">
        <f t="shared" si="9"/>
        <v>44420</v>
      </c>
      <c r="R37" s="15">
        <v>693</v>
      </c>
      <c r="S37" s="16">
        <f t="shared" si="2"/>
        <v>45113</v>
      </c>
      <c r="T37">
        <v>898</v>
      </c>
      <c r="U37" s="37">
        <f t="shared" si="5"/>
        <v>46011</v>
      </c>
    </row>
    <row r="38" spans="1:21" ht="12.75">
      <c r="A38" s="4" t="s">
        <v>49</v>
      </c>
      <c r="B38" s="12" t="s">
        <v>34</v>
      </c>
      <c r="C38" s="12">
        <v>1076</v>
      </c>
      <c r="D38" s="12">
        <v>2128</v>
      </c>
      <c r="E38" s="12">
        <v>3468</v>
      </c>
      <c r="F38" s="12">
        <v>1916</v>
      </c>
      <c r="G38" s="12">
        <v>75</v>
      </c>
      <c r="H38" s="12">
        <v>193</v>
      </c>
      <c r="I38" s="12">
        <v>90</v>
      </c>
      <c r="J38" s="12">
        <v>82</v>
      </c>
      <c r="K38" s="12">
        <v>9028</v>
      </c>
      <c r="L38" s="12">
        <v>48</v>
      </c>
      <c r="M38" s="12">
        <f t="shared" si="1"/>
        <v>488</v>
      </c>
      <c r="N38" s="12">
        <f t="shared" si="4"/>
        <v>535</v>
      </c>
      <c r="O38" s="12">
        <v>9076</v>
      </c>
      <c r="P38" s="12">
        <v>47</v>
      </c>
      <c r="Q38" s="12">
        <f t="shared" si="9"/>
        <v>9123</v>
      </c>
      <c r="R38" s="15">
        <v>19</v>
      </c>
      <c r="S38" s="16">
        <f t="shared" si="2"/>
        <v>9142</v>
      </c>
      <c r="T38">
        <v>5</v>
      </c>
      <c r="U38" s="37">
        <f t="shared" si="5"/>
        <v>9147</v>
      </c>
    </row>
    <row r="39" spans="1:21" ht="12.75">
      <c r="A39" s="4" t="s">
        <v>50</v>
      </c>
      <c r="B39" s="12" t="s">
        <v>34</v>
      </c>
      <c r="C39" s="12">
        <v>8253</v>
      </c>
      <c r="D39" s="12">
        <v>7658</v>
      </c>
      <c r="E39" s="12">
        <v>222</v>
      </c>
      <c r="F39" s="12">
        <v>1385</v>
      </c>
      <c r="G39" s="12">
        <v>12</v>
      </c>
      <c r="H39" s="12">
        <v>13</v>
      </c>
      <c r="I39" s="12">
        <v>16</v>
      </c>
      <c r="J39" s="12">
        <v>41</v>
      </c>
      <c r="K39" s="12">
        <v>17600</v>
      </c>
      <c r="L39" s="12">
        <v>62</v>
      </c>
      <c r="M39" s="12">
        <f t="shared" si="1"/>
        <v>144</v>
      </c>
      <c r="N39" s="12">
        <f t="shared" si="4"/>
        <v>174</v>
      </c>
      <c r="O39" s="12">
        <v>17662</v>
      </c>
      <c r="P39" s="12">
        <v>30</v>
      </c>
      <c r="Q39" s="12">
        <f t="shared" si="9"/>
        <v>17692</v>
      </c>
      <c r="R39" s="15">
        <v>8</v>
      </c>
      <c r="S39" s="16">
        <f t="shared" si="2"/>
        <v>17700</v>
      </c>
      <c r="T39">
        <v>4</v>
      </c>
      <c r="U39" s="37">
        <f t="shared" si="5"/>
        <v>17704</v>
      </c>
    </row>
    <row r="40" spans="1:21" ht="12.75">
      <c r="A40" s="4" t="s">
        <v>51</v>
      </c>
      <c r="B40" s="12">
        <v>118</v>
      </c>
      <c r="C40" s="12">
        <v>192</v>
      </c>
      <c r="D40" s="12">
        <v>58</v>
      </c>
      <c r="E40" s="12">
        <v>364</v>
      </c>
      <c r="F40" s="12">
        <v>46773</v>
      </c>
      <c r="G40" s="12">
        <v>8515</v>
      </c>
      <c r="H40" s="12">
        <v>3093</v>
      </c>
      <c r="I40" s="12">
        <v>3875</v>
      </c>
      <c r="J40" s="12">
        <v>2186</v>
      </c>
      <c r="K40" s="12">
        <v>65174</v>
      </c>
      <c r="L40" s="12">
        <v>1245</v>
      </c>
      <c r="M40" s="12">
        <f aca="true" t="shared" si="10" ref="M40:M66">SUM(G40:J40,L40)</f>
        <v>18914</v>
      </c>
      <c r="N40" s="12">
        <f t="shared" si="4"/>
        <v>20126</v>
      </c>
      <c r="O40" s="12">
        <v>66419</v>
      </c>
      <c r="P40" s="12">
        <v>1212</v>
      </c>
      <c r="Q40" s="12">
        <f t="shared" si="9"/>
        <v>67631</v>
      </c>
      <c r="R40" s="26">
        <v>1447</v>
      </c>
      <c r="S40" s="16">
        <f t="shared" si="2"/>
        <v>69078</v>
      </c>
      <c r="T40">
        <v>754</v>
      </c>
      <c r="U40" s="37">
        <f t="shared" si="5"/>
        <v>69832</v>
      </c>
    </row>
    <row r="41" spans="1:21" ht="12.75">
      <c r="A41" s="4" t="s">
        <v>52</v>
      </c>
      <c r="B41" s="12" t="s">
        <v>34</v>
      </c>
      <c r="C41" s="12">
        <v>130</v>
      </c>
      <c r="D41" s="12">
        <v>119</v>
      </c>
      <c r="E41" s="12">
        <v>6851</v>
      </c>
      <c r="F41" s="12">
        <v>7540</v>
      </c>
      <c r="G41" s="12">
        <v>193</v>
      </c>
      <c r="H41" s="12">
        <v>365</v>
      </c>
      <c r="I41" s="12">
        <v>1856</v>
      </c>
      <c r="J41" s="12">
        <v>4400</v>
      </c>
      <c r="K41" s="12">
        <v>21454</v>
      </c>
      <c r="L41" s="12">
        <v>3848</v>
      </c>
      <c r="M41" s="12">
        <f t="shared" si="10"/>
        <v>10662</v>
      </c>
      <c r="N41" s="12">
        <f t="shared" si="4"/>
        <v>14464</v>
      </c>
      <c r="O41" s="12">
        <v>25302</v>
      </c>
      <c r="P41" s="12">
        <v>3802</v>
      </c>
      <c r="Q41" s="12">
        <f t="shared" si="9"/>
        <v>29104</v>
      </c>
      <c r="R41" s="26">
        <v>1774</v>
      </c>
      <c r="S41" s="16">
        <f t="shared" si="2"/>
        <v>30878</v>
      </c>
      <c r="T41">
        <v>999</v>
      </c>
      <c r="U41" s="37">
        <f t="shared" si="5"/>
        <v>31877</v>
      </c>
    </row>
    <row r="42" spans="1:21" ht="12.75">
      <c r="A42" s="4" t="s">
        <v>53</v>
      </c>
      <c r="B42" s="12">
        <v>3</v>
      </c>
      <c r="C42" s="12">
        <v>3803</v>
      </c>
      <c r="D42" s="12">
        <v>554</v>
      </c>
      <c r="E42" s="12">
        <v>56</v>
      </c>
      <c r="F42" s="12">
        <v>110</v>
      </c>
      <c r="G42" s="12">
        <v>4</v>
      </c>
      <c r="H42" s="12">
        <v>5</v>
      </c>
      <c r="I42" s="12">
        <v>3</v>
      </c>
      <c r="J42" s="12">
        <v>4</v>
      </c>
      <c r="K42" s="12">
        <v>4542</v>
      </c>
      <c r="L42" s="12">
        <v>2</v>
      </c>
      <c r="M42" s="12">
        <f t="shared" si="10"/>
        <v>18</v>
      </c>
      <c r="N42" s="12">
        <f t="shared" si="4"/>
        <v>18</v>
      </c>
      <c r="O42" s="12">
        <v>4544</v>
      </c>
      <c r="P42" s="12">
        <v>0</v>
      </c>
      <c r="Q42" s="12">
        <f t="shared" si="9"/>
        <v>4544</v>
      </c>
      <c r="R42" s="15" t="s">
        <v>34</v>
      </c>
      <c r="S42" s="26">
        <v>4544</v>
      </c>
      <c r="T42">
        <v>1</v>
      </c>
      <c r="U42" s="37">
        <f t="shared" si="5"/>
        <v>4545</v>
      </c>
    </row>
    <row r="43" spans="1:21" ht="12.75">
      <c r="A43" s="4" t="s">
        <v>54</v>
      </c>
      <c r="B43" s="12" t="s">
        <v>34</v>
      </c>
      <c r="C43" s="12">
        <v>3116</v>
      </c>
      <c r="D43" s="12">
        <v>1316</v>
      </c>
      <c r="E43" s="12">
        <v>65</v>
      </c>
      <c r="F43" s="12">
        <v>120</v>
      </c>
      <c r="G43" s="12">
        <v>1</v>
      </c>
      <c r="H43" s="12" t="s">
        <v>34</v>
      </c>
      <c r="I43" s="12">
        <v>1</v>
      </c>
      <c r="J43" s="12">
        <v>3</v>
      </c>
      <c r="K43" s="12">
        <v>4622</v>
      </c>
      <c r="L43" s="12">
        <v>5</v>
      </c>
      <c r="M43" s="12">
        <f t="shared" si="10"/>
        <v>10</v>
      </c>
      <c r="N43" s="12">
        <f t="shared" si="4"/>
        <v>14</v>
      </c>
      <c r="O43" s="12">
        <v>4627</v>
      </c>
      <c r="P43" s="12">
        <v>4</v>
      </c>
      <c r="Q43" s="12">
        <f t="shared" si="9"/>
        <v>4631</v>
      </c>
      <c r="R43" s="15">
        <v>3</v>
      </c>
      <c r="S43" s="16">
        <f aca="true" t="shared" si="11" ref="S43:S66">R43+Q43</f>
        <v>4634</v>
      </c>
      <c r="T43">
        <v>2</v>
      </c>
      <c r="U43" s="37">
        <f t="shared" si="5"/>
        <v>4636</v>
      </c>
    </row>
    <row r="44" spans="1:21" ht="12.75">
      <c r="A44" s="4" t="s">
        <v>55</v>
      </c>
      <c r="B44" s="12" t="s">
        <v>34</v>
      </c>
      <c r="C44" s="12" t="s">
        <v>34</v>
      </c>
      <c r="D44" s="12" t="s">
        <v>34</v>
      </c>
      <c r="E44" s="12">
        <v>21690</v>
      </c>
      <c r="F44" s="12">
        <v>142964</v>
      </c>
      <c r="G44" s="12">
        <v>9127</v>
      </c>
      <c r="H44" s="12">
        <v>8026</v>
      </c>
      <c r="I44" s="12">
        <v>6547</v>
      </c>
      <c r="J44" s="12">
        <v>4482</v>
      </c>
      <c r="K44" s="12">
        <v>192836</v>
      </c>
      <c r="L44" s="12">
        <v>3364</v>
      </c>
      <c r="M44" s="12">
        <f t="shared" si="10"/>
        <v>31546</v>
      </c>
      <c r="N44" s="12">
        <f t="shared" si="4"/>
        <v>33701</v>
      </c>
      <c r="O44" s="12">
        <v>196200</v>
      </c>
      <c r="P44" s="12">
        <v>2155</v>
      </c>
      <c r="Q44" s="12">
        <f t="shared" si="9"/>
        <v>198355</v>
      </c>
      <c r="R44" s="26">
        <v>1363</v>
      </c>
      <c r="S44" s="16">
        <f t="shared" si="11"/>
        <v>199718</v>
      </c>
      <c r="T44" s="32">
        <v>1110</v>
      </c>
      <c r="U44" s="37">
        <f t="shared" si="5"/>
        <v>200828</v>
      </c>
    </row>
    <row r="45" spans="1:21" ht="12.75">
      <c r="A45" s="4" t="s">
        <v>56</v>
      </c>
      <c r="B45" s="12">
        <v>4</v>
      </c>
      <c r="C45" s="12">
        <v>119</v>
      </c>
      <c r="D45" s="12">
        <v>383</v>
      </c>
      <c r="E45" s="12">
        <v>1336</v>
      </c>
      <c r="F45" s="12">
        <v>2145</v>
      </c>
      <c r="G45" s="12">
        <v>252</v>
      </c>
      <c r="H45" s="12">
        <v>96</v>
      </c>
      <c r="I45" s="12">
        <v>115</v>
      </c>
      <c r="J45" s="12">
        <v>34</v>
      </c>
      <c r="K45" s="12">
        <v>4484</v>
      </c>
      <c r="L45" s="12">
        <v>258</v>
      </c>
      <c r="M45" s="12">
        <f t="shared" si="10"/>
        <v>755</v>
      </c>
      <c r="N45" s="12">
        <f t="shared" si="4"/>
        <v>963</v>
      </c>
      <c r="O45" s="12">
        <v>4742</v>
      </c>
      <c r="P45" s="12">
        <v>208</v>
      </c>
      <c r="Q45" s="12">
        <f t="shared" si="9"/>
        <v>4950</v>
      </c>
      <c r="R45" s="15">
        <v>146</v>
      </c>
      <c r="S45" s="16">
        <f t="shared" si="11"/>
        <v>5096</v>
      </c>
      <c r="T45">
        <v>707</v>
      </c>
      <c r="U45" s="37">
        <f t="shared" si="5"/>
        <v>5803</v>
      </c>
    </row>
    <row r="46" spans="1:21" ht="12.75">
      <c r="A46" s="4" t="s">
        <v>57</v>
      </c>
      <c r="B46" s="12" t="s">
        <v>34</v>
      </c>
      <c r="C46" s="12">
        <v>15</v>
      </c>
      <c r="D46" s="12">
        <v>13</v>
      </c>
      <c r="E46" s="12">
        <v>1241</v>
      </c>
      <c r="F46" s="12">
        <v>30259</v>
      </c>
      <c r="G46" s="12">
        <v>3603</v>
      </c>
      <c r="H46" s="12">
        <v>4048</v>
      </c>
      <c r="I46" s="12">
        <v>3724</v>
      </c>
      <c r="J46" s="12">
        <v>3076</v>
      </c>
      <c r="K46" s="12">
        <v>45979</v>
      </c>
      <c r="L46" s="12">
        <v>2932</v>
      </c>
      <c r="M46" s="12">
        <f t="shared" si="10"/>
        <v>17383</v>
      </c>
      <c r="N46" s="12">
        <f t="shared" si="4"/>
        <v>19323</v>
      </c>
      <c r="O46" s="12">
        <v>48911</v>
      </c>
      <c r="P46" s="12">
        <v>1940</v>
      </c>
      <c r="Q46" s="12">
        <f t="shared" si="9"/>
        <v>50851</v>
      </c>
      <c r="R46" s="26">
        <v>1112</v>
      </c>
      <c r="S46" s="16">
        <f t="shared" si="11"/>
        <v>51963</v>
      </c>
      <c r="T46" s="32">
        <v>1134</v>
      </c>
      <c r="U46" s="37">
        <f t="shared" si="5"/>
        <v>53097</v>
      </c>
    </row>
    <row r="47" spans="1:21" ht="12.75">
      <c r="A47" s="4" t="s">
        <v>58</v>
      </c>
      <c r="B47" s="12">
        <v>603</v>
      </c>
      <c r="C47" s="12">
        <v>1427</v>
      </c>
      <c r="D47" s="12">
        <v>1489</v>
      </c>
      <c r="E47" s="12">
        <v>1193</v>
      </c>
      <c r="F47" s="12">
        <v>1896</v>
      </c>
      <c r="G47" s="12">
        <v>109</v>
      </c>
      <c r="H47" s="12">
        <v>16</v>
      </c>
      <c r="I47" s="12">
        <v>79</v>
      </c>
      <c r="J47" s="12">
        <v>156</v>
      </c>
      <c r="K47" s="12">
        <v>6968</v>
      </c>
      <c r="L47" s="12">
        <v>58</v>
      </c>
      <c r="M47" s="12">
        <f t="shared" si="10"/>
        <v>418</v>
      </c>
      <c r="N47" s="12">
        <f t="shared" si="4"/>
        <v>460</v>
      </c>
      <c r="O47" s="12">
        <v>7026</v>
      </c>
      <c r="P47" s="12">
        <v>42</v>
      </c>
      <c r="Q47" s="12">
        <f t="shared" si="9"/>
        <v>7068</v>
      </c>
      <c r="R47" s="15">
        <v>35</v>
      </c>
      <c r="S47" s="16">
        <f t="shared" si="11"/>
        <v>7103</v>
      </c>
      <c r="T47">
        <v>21</v>
      </c>
      <c r="U47" s="37">
        <f t="shared" si="5"/>
        <v>7124</v>
      </c>
    </row>
    <row r="48" spans="1:21" ht="12.75">
      <c r="A48" s="4" t="s">
        <v>59</v>
      </c>
      <c r="B48" s="12" t="s">
        <v>34</v>
      </c>
      <c r="C48" s="12">
        <v>2</v>
      </c>
      <c r="D48" s="12">
        <v>7</v>
      </c>
      <c r="E48" s="12">
        <v>150266</v>
      </c>
      <c r="F48" s="12">
        <v>324453</v>
      </c>
      <c r="G48" s="12">
        <v>21543</v>
      </c>
      <c r="H48" s="12">
        <v>32155</v>
      </c>
      <c r="I48" s="12">
        <v>30249</v>
      </c>
      <c r="J48" s="12">
        <v>27318</v>
      </c>
      <c r="K48" s="12">
        <v>585993</v>
      </c>
      <c r="L48" s="12">
        <v>28595</v>
      </c>
      <c r="M48" s="12">
        <f t="shared" si="10"/>
        <v>139860</v>
      </c>
      <c r="N48" s="12">
        <f t="shared" si="4"/>
        <v>169560</v>
      </c>
      <c r="O48" s="12">
        <v>614588</v>
      </c>
      <c r="P48" s="12">
        <v>29700</v>
      </c>
      <c r="Q48" s="12">
        <f t="shared" si="9"/>
        <v>644288</v>
      </c>
      <c r="R48" s="26">
        <v>22297</v>
      </c>
      <c r="S48" s="16">
        <f t="shared" si="11"/>
        <v>666585</v>
      </c>
      <c r="T48" s="32">
        <v>4921</v>
      </c>
      <c r="U48" s="37">
        <f t="shared" si="5"/>
        <v>671506</v>
      </c>
    </row>
    <row r="49" spans="1:21" ht="12.75">
      <c r="A49" s="4" t="s">
        <v>60</v>
      </c>
      <c r="B49" s="12">
        <v>59</v>
      </c>
      <c r="C49" s="12">
        <v>3280</v>
      </c>
      <c r="D49" s="12">
        <v>862</v>
      </c>
      <c r="E49" s="12">
        <v>1890</v>
      </c>
      <c r="F49" s="12">
        <v>7593</v>
      </c>
      <c r="G49" s="12">
        <f>49762-SUM(G35:G48)</f>
        <v>1053</v>
      </c>
      <c r="H49" s="12">
        <f>53422-SUM(H35:H48)</f>
        <v>741</v>
      </c>
      <c r="I49" s="12">
        <f>51783-SUM(I35:I48)</f>
        <v>1033</v>
      </c>
      <c r="J49" s="12">
        <f>45768-SUM(J35:J48)</f>
        <v>990</v>
      </c>
      <c r="K49" s="12">
        <v>17501</v>
      </c>
      <c r="L49" s="12">
        <v>1208</v>
      </c>
      <c r="M49" s="12">
        <f t="shared" si="10"/>
        <v>5025</v>
      </c>
      <c r="N49" s="12">
        <f t="shared" si="4"/>
        <v>6537</v>
      </c>
      <c r="O49" s="12">
        <v>18709</v>
      </c>
      <c r="P49" s="12">
        <f>42076-SUM(P35:P48)</f>
        <v>1512</v>
      </c>
      <c r="Q49" s="12">
        <f t="shared" si="9"/>
        <v>20221</v>
      </c>
      <c r="R49" s="16">
        <v>1419</v>
      </c>
      <c r="S49" s="16">
        <f t="shared" si="11"/>
        <v>21640</v>
      </c>
      <c r="T49">
        <v>988</v>
      </c>
      <c r="U49" s="37">
        <f t="shared" si="5"/>
        <v>22628</v>
      </c>
    </row>
    <row r="50" spans="1:21" s="5" customFormat="1" ht="12.75">
      <c r="A50" s="5" t="s">
        <v>61</v>
      </c>
      <c r="B50" s="10">
        <f aca="true" t="shared" si="12" ref="B50:L50">SUM(B51:B53)</f>
        <v>20</v>
      </c>
      <c r="C50" s="10">
        <f t="shared" si="12"/>
        <v>1768</v>
      </c>
      <c r="D50" s="10">
        <f t="shared" si="12"/>
        <v>5486</v>
      </c>
      <c r="E50" s="10">
        <f t="shared" si="12"/>
        <v>2991</v>
      </c>
      <c r="F50" s="10">
        <f t="shared" si="12"/>
        <v>22149</v>
      </c>
      <c r="G50" s="10">
        <f t="shared" si="12"/>
        <v>4731</v>
      </c>
      <c r="H50" s="10">
        <f t="shared" si="12"/>
        <v>4480</v>
      </c>
      <c r="I50" s="10">
        <f t="shared" si="12"/>
        <v>5944</v>
      </c>
      <c r="J50" s="10">
        <f t="shared" si="12"/>
        <v>6078</v>
      </c>
      <c r="K50" s="10">
        <f t="shared" si="12"/>
        <v>53647</v>
      </c>
      <c r="L50" s="10">
        <f t="shared" si="12"/>
        <v>7527</v>
      </c>
      <c r="M50" s="10">
        <f t="shared" si="10"/>
        <v>28760</v>
      </c>
      <c r="N50" s="10">
        <f t="shared" si="4"/>
        <v>34224</v>
      </c>
      <c r="O50" s="10">
        <f>SUM(O51:O53)</f>
        <v>61174</v>
      </c>
      <c r="P50" s="10">
        <f>SUM(P51:P53)</f>
        <v>5464</v>
      </c>
      <c r="Q50" s="10">
        <f>SUM(Q51:Q53)</f>
        <v>66638</v>
      </c>
      <c r="R50" s="23">
        <v>7651</v>
      </c>
      <c r="S50" s="21">
        <f t="shared" si="11"/>
        <v>74289</v>
      </c>
      <c r="T50" s="29">
        <v>4225</v>
      </c>
      <c r="U50" s="39">
        <f t="shared" si="5"/>
        <v>78514</v>
      </c>
    </row>
    <row r="51" spans="1:21" ht="12.75">
      <c r="A51" s="4" t="s">
        <v>62</v>
      </c>
      <c r="B51" s="12">
        <v>8</v>
      </c>
      <c r="C51" s="12">
        <v>1354</v>
      </c>
      <c r="D51" s="12">
        <v>5396</v>
      </c>
      <c r="E51" s="12">
        <v>1473</v>
      </c>
      <c r="F51" s="12">
        <v>426</v>
      </c>
      <c r="G51" s="12">
        <v>52</v>
      </c>
      <c r="H51" s="12">
        <v>18</v>
      </c>
      <c r="I51" s="12">
        <v>35</v>
      </c>
      <c r="J51" s="12">
        <v>37</v>
      </c>
      <c r="K51" s="12">
        <v>8799</v>
      </c>
      <c r="L51" s="12">
        <v>29</v>
      </c>
      <c r="M51" s="12">
        <f t="shared" si="10"/>
        <v>171</v>
      </c>
      <c r="N51" s="12">
        <f t="shared" si="4"/>
        <v>237</v>
      </c>
      <c r="O51" s="12">
        <v>8828</v>
      </c>
      <c r="P51" s="12">
        <v>66</v>
      </c>
      <c r="Q51" s="12">
        <f>+P51+O51</f>
        <v>8894</v>
      </c>
      <c r="R51" s="15">
        <v>71</v>
      </c>
      <c r="S51" s="16">
        <f t="shared" si="11"/>
        <v>8965</v>
      </c>
      <c r="T51">
        <v>54</v>
      </c>
      <c r="U51" s="37">
        <f t="shared" si="5"/>
        <v>9019</v>
      </c>
    </row>
    <row r="52" spans="1:21" ht="12.75">
      <c r="A52" s="4" t="s">
        <v>86</v>
      </c>
      <c r="B52" s="12" t="s">
        <v>34</v>
      </c>
      <c r="C52" s="12">
        <v>61</v>
      </c>
      <c r="D52" s="12">
        <v>2</v>
      </c>
      <c r="E52" s="12">
        <v>1307</v>
      </c>
      <c r="F52" s="12">
        <v>18542</v>
      </c>
      <c r="G52" s="12">
        <v>3582</v>
      </c>
      <c r="H52" s="12">
        <v>3268</v>
      </c>
      <c r="I52" s="12">
        <f>3682+43</f>
        <v>3725</v>
      </c>
      <c r="J52" s="12">
        <f>2530+200</f>
        <v>2730</v>
      </c>
      <c r="K52" s="12">
        <v>33174</v>
      </c>
      <c r="L52" s="12">
        <v>2006</v>
      </c>
      <c r="M52" s="12">
        <f t="shared" si="10"/>
        <v>15311</v>
      </c>
      <c r="N52" s="12">
        <f t="shared" si="4"/>
        <v>16364</v>
      </c>
      <c r="O52" s="12">
        <v>35180</v>
      </c>
      <c r="P52" s="12">
        <v>1053</v>
      </c>
      <c r="Q52" s="12">
        <f>+P52+O52</f>
        <v>36233</v>
      </c>
      <c r="R52" s="26">
        <v>1056</v>
      </c>
      <c r="S52" s="16">
        <f t="shared" si="11"/>
        <v>37289</v>
      </c>
      <c r="T52">
        <v>534</v>
      </c>
      <c r="U52" s="37">
        <f t="shared" si="5"/>
        <v>37823</v>
      </c>
    </row>
    <row r="53" spans="1:21" ht="12.75">
      <c r="A53" s="4" t="s">
        <v>63</v>
      </c>
      <c r="B53" s="12">
        <f>20-SUM(B51:B52)</f>
        <v>12</v>
      </c>
      <c r="C53" s="12">
        <f>1768-SUM(C51:C52)</f>
        <v>353</v>
      </c>
      <c r="D53" s="12">
        <f>5486-SUM(D51:D52)</f>
        <v>88</v>
      </c>
      <c r="E53" s="12">
        <f>2991-SUM(E51:E52)</f>
        <v>211</v>
      </c>
      <c r="F53" s="12">
        <f>22149-SUM(F51:F52)</f>
        <v>3181</v>
      </c>
      <c r="G53" s="12">
        <f>4731-SUM(G51:G52)</f>
        <v>1097</v>
      </c>
      <c r="H53" s="12">
        <f>4480-SUM(H51:H52)</f>
        <v>1194</v>
      </c>
      <c r="I53" s="12">
        <f>5944-SUM(I51:I52)</f>
        <v>2184</v>
      </c>
      <c r="J53" s="12">
        <f>6078-SUM(J51:J52)</f>
        <v>3311</v>
      </c>
      <c r="K53" s="12">
        <f>53647-SUM(K51:K52)</f>
        <v>11674</v>
      </c>
      <c r="L53" s="12">
        <f>7527-SUM(L51:L52)</f>
        <v>5492</v>
      </c>
      <c r="M53" s="12">
        <f t="shared" si="10"/>
        <v>13278</v>
      </c>
      <c r="N53" s="12">
        <f t="shared" si="4"/>
        <v>17623</v>
      </c>
      <c r="O53" s="12">
        <f>61174-SUM(O51:O52)</f>
        <v>17166</v>
      </c>
      <c r="P53" s="12">
        <f>5464-SUM(P51:P52)</f>
        <v>4345</v>
      </c>
      <c r="Q53" s="12">
        <f>+P53+O53</f>
        <v>21511</v>
      </c>
      <c r="R53" s="27">
        <v>6524</v>
      </c>
      <c r="S53" s="16">
        <f t="shared" si="11"/>
        <v>28035</v>
      </c>
      <c r="T53" s="31">
        <v>3637</v>
      </c>
      <c r="U53" s="37">
        <f t="shared" si="5"/>
        <v>31672</v>
      </c>
    </row>
    <row r="54" spans="1:21" s="5" customFormat="1" ht="12.75">
      <c r="A54" s="5" t="s">
        <v>64</v>
      </c>
      <c r="B54" s="10">
        <v>7</v>
      </c>
      <c r="C54" s="10">
        <v>75</v>
      </c>
      <c r="D54" s="10">
        <v>21</v>
      </c>
      <c r="E54" s="10">
        <v>37</v>
      </c>
      <c r="F54" s="10">
        <v>22</v>
      </c>
      <c r="G54" s="10">
        <v>1</v>
      </c>
      <c r="H54" s="10">
        <v>9</v>
      </c>
      <c r="I54" s="10">
        <v>34</v>
      </c>
      <c r="J54" s="10">
        <v>23</v>
      </c>
      <c r="K54" s="10">
        <v>229</v>
      </c>
      <c r="L54" s="10">
        <v>63</v>
      </c>
      <c r="M54" s="10">
        <f t="shared" si="10"/>
        <v>130</v>
      </c>
      <c r="N54" s="10">
        <f t="shared" si="4"/>
        <v>186</v>
      </c>
      <c r="O54" s="10">
        <v>292</v>
      </c>
      <c r="P54" s="10">
        <v>56</v>
      </c>
      <c r="Q54" s="10">
        <v>348</v>
      </c>
      <c r="R54" s="28">
        <v>59</v>
      </c>
      <c r="S54" s="21">
        <f t="shared" si="11"/>
        <v>407</v>
      </c>
      <c r="T54" s="34">
        <v>20</v>
      </c>
      <c r="U54" s="39">
        <f t="shared" si="5"/>
        <v>427</v>
      </c>
    </row>
    <row r="55" spans="1:21" s="5" customFormat="1" ht="12.75">
      <c r="A55" s="5" t="s">
        <v>65</v>
      </c>
      <c r="B55" s="10">
        <f aca="true" t="shared" si="13" ref="B55:L55">SUM(B56:B59)</f>
        <v>163</v>
      </c>
      <c r="C55" s="10">
        <f t="shared" si="13"/>
        <v>831</v>
      </c>
      <c r="D55" s="10">
        <f t="shared" si="13"/>
        <v>132068</v>
      </c>
      <c r="E55" s="10">
        <f t="shared" si="13"/>
        <v>252633</v>
      </c>
      <c r="F55" s="10">
        <f t="shared" si="13"/>
        <v>121840</v>
      </c>
      <c r="G55" s="10">
        <f t="shared" si="13"/>
        <v>21317</v>
      </c>
      <c r="H55" s="10">
        <f t="shared" si="13"/>
        <v>15962</v>
      </c>
      <c r="I55" s="10">
        <f t="shared" si="13"/>
        <v>15926</v>
      </c>
      <c r="J55" s="10">
        <f t="shared" si="13"/>
        <v>14204</v>
      </c>
      <c r="K55" s="10">
        <f t="shared" si="13"/>
        <v>574944</v>
      </c>
      <c r="L55" s="10">
        <f t="shared" si="13"/>
        <v>16265</v>
      </c>
      <c r="M55" s="10">
        <f t="shared" si="10"/>
        <v>83674</v>
      </c>
      <c r="N55" s="10">
        <f t="shared" si="4"/>
        <v>111744</v>
      </c>
      <c r="O55" s="10">
        <f>SUM(O56:O59)</f>
        <v>591209</v>
      </c>
      <c r="P55" s="10">
        <f>SUM(P56:P59)</f>
        <v>28070</v>
      </c>
      <c r="Q55" s="10">
        <f>SUM(Q56:Q59)</f>
        <v>619279</v>
      </c>
      <c r="R55" s="23">
        <v>32898</v>
      </c>
      <c r="S55" s="21">
        <f t="shared" si="11"/>
        <v>652177</v>
      </c>
      <c r="T55" s="29">
        <v>16372</v>
      </c>
      <c r="U55" s="39">
        <f t="shared" si="5"/>
        <v>668549</v>
      </c>
    </row>
    <row r="56" spans="1:21" ht="12.75">
      <c r="A56" s="4" t="s">
        <v>66</v>
      </c>
      <c r="B56" s="12">
        <v>3</v>
      </c>
      <c r="C56" s="12">
        <v>6</v>
      </c>
      <c r="D56" s="12">
        <v>131557</v>
      </c>
      <c r="E56" s="12">
        <v>251514</v>
      </c>
      <c r="F56" s="12">
        <v>113367</v>
      </c>
      <c r="G56" s="12">
        <v>7953</v>
      </c>
      <c r="H56" s="12">
        <v>9919</v>
      </c>
      <c r="I56" s="12">
        <v>11603</v>
      </c>
      <c r="J56" s="12">
        <v>11998</v>
      </c>
      <c r="K56" s="12">
        <v>537920</v>
      </c>
      <c r="L56" s="12">
        <v>12355</v>
      </c>
      <c r="M56" s="12">
        <f t="shared" si="10"/>
        <v>53828</v>
      </c>
      <c r="N56" s="12">
        <f t="shared" si="4"/>
        <v>76370</v>
      </c>
      <c r="O56" s="12">
        <v>550275</v>
      </c>
      <c r="P56" s="12">
        <v>22542</v>
      </c>
      <c r="Q56" s="12">
        <f>+P56+O56</f>
        <v>572817</v>
      </c>
      <c r="R56" s="27">
        <v>30377</v>
      </c>
      <c r="S56" s="16">
        <f t="shared" si="11"/>
        <v>603194</v>
      </c>
      <c r="T56" s="32">
        <v>14915</v>
      </c>
      <c r="U56" s="37">
        <f t="shared" si="5"/>
        <v>618109</v>
      </c>
    </row>
    <row r="57" spans="1:21" ht="12.75">
      <c r="A57" s="4" t="s">
        <v>67</v>
      </c>
      <c r="B57" s="12" t="s">
        <v>34</v>
      </c>
      <c r="C57" s="12" t="s">
        <v>34</v>
      </c>
      <c r="D57" s="12">
        <v>1</v>
      </c>
      <c r="E57" s="12">
        <v>45</v>
      </c>
      <c r="F57" s="12">
        <v>1383</v>
      </c>
      <c r="G57" s="12">
        <v>1249</v>
      </c>
      <c r="H57" s="12">
        <v>743</v>
      </c>
      <c r="I57" s="12">
        <v>811</v>
      </c>
      <c r="J57" s="12">
        <v>275</v>
      </c>
      <c r="K57" s="12">
        <v>4507</v>
      </c>
      <c r="L57" s="12">
        <v>283</v>
      </c>
      <c r="M57" s="12">
        <f t="shared" si="10"/>
        <v>3361</v>
      </c>
      <c r="N57" s="12">
        <f t="shared" si="4"/>
        <v>3623</v>
      </c>
      <c r="O57" s="12">
        <v>4790</v>
      </c>
      <c r="P57" s="12">
        <v>262</v>
      </c>
      <c r="Q57" s="12">
        <f>+P57+O57</f>
        <v>5052</v>
      </c>
      <c r="R57" s="27">
        <v>198</v>
      </c>
      <c r="S57" s="16">
        <f t="shared" si="11"/>
        <v>5250</v>
      </c>
      <c r="T57" s="31">
        <v>129</v>
      </c>
      <c r="U57" s="37">
        <f t="shared" si="5"/>
        <v>5379</v>
      </c>
    </row>
    <row r="58" spans="1:21" ht="12.75">
      <c r="A58" s="4" t="s">
        <v>68</v>
      </c>
      <c r="B58" s="12">
        <v>1</v>
      </c>
      <c r="C58" s="12">
        <v>1</v>
      </c>
      <c r="D58" s="12">
        <v>3</v>
      </c>
      <c r="E58" s="12">
        <v>36</v>
      </c>
      <c r="F58" s="12">
        <v>5590</v>
      </c>
      <c r="G58" s="12">
        <v>11233</v>
      </c>
      <c r="H58" s="12">
        <v>4668</v>
      </c>
      <c r="I58" s="12">
        <v>2892</v>
      </c>
      <c r="J58" s="12">
        <v>966</v>
      </c>
      <c r="K58" s="12">
        <v>25390</v>
      </c>
      <c r="L58" s="12">
        <v>727</v>
      </c>
      <c r="M58" s="12">
        <f t="shared" si="10"/>
        <v>20486</v>
      </c>
      <c r="N58" s="12">
        <f t="shared" si="4"/>
        <v>21252</v>
      </c>
      <c r="O58" s="12">
        <v>26117</v>
      </c>
      <c r="P58" s="12">
        <v>766</v>
      </c>
      <c r="Q58" s="12">
        <f>+P58+O58</f>
        <v>26883</v>
      </c>
      <c r="R58" s="27">
        <v>666</v>
      </c>
      <c r="S58" s="16">
        <f t="shared" si="11"/>
        <v>27549</v>
      </c>
      <c r="T58" s="31">
        <v>316</v>
      </c>
      <c r="U58" s="37">
        <f t="shared" si="5"/>
        <v>27865</v>
      </c>
    </row>
    <row r="59" spans="1:21" ht="12.75">
      <c r="A59" s="4" t="s">
        <v>69</v>
      </c>
      <c r="B59" s="12">
        <f>163-SUM(B56:B58)</f>
        <v>159</v>
      </c>
      <c r="C59" s="12">
        <f>831-SUM(C56:C58)</f>
        <v>824</v>
      </c>
      <c r="D59" s="12">
        <f>132068-SUM(D56:D58)</f>
        <v>507</v>
      </c>
      <c r="E59" s="12">
        <f>252633-SUM(E56:E58)</f>
        <v>1038</v>
      </c>
      <c r="F59" s="12">
        <f>121840-SUM(F56:F58)</f>
        <v>1500</v>
      </c>
      <c r="G59" s="12">
        <f>21317-SUM(G56:G58)</f>
        <v>882</v>
      </c>
      <c r="H59" s="12">
        <f>15962-SUM(H56:H58)</f>
        <v>632</v>
      </c>
      <c r="I59" s="12">
        <v>620</v>
      </c>
      <c r="J59" s="12">
        <f>14204-SUM(J56:J58)</f>
        <v>965</v>
      </c>
      <c r="K59" s="12">
        <f>574944-SUM(K56:K58)</f>
        <v>7127</v>
      </c>
      <c r="L59" s="12">
        <f>16265-SUM(L56:L58)</f>
        <v>2900</v>
      </c>
      <c r="M59" s="12">
        <f t="shared" si="10"/>
        <v>5999</v>
      </c>
      <c r="N59" s="12">
        <f t="shared" si="4"/>
        <v>10499</v>
      </c>
      <c r="O59" s="12">
        <f>591209-SUM(O56:O58)</f>
        <v>10027</v>
      </c>
      <c r="P59" s="12">
        <f>28070-SUM(P56:P58)</f>
        <v>4500</v>
      </c>
      <c r="Q59" s="12">
        <f>+P59+O59</f>
        <v>14527</v>
      </c>
      <c r="R59" s="27">
        <v>1657</v>
      </c>
      <c r="S59" s="16">
        <f t="shared" si="11"/>
        <v>16184</v>
      </c>
      <c r="T59" s="31">
        <v>1012</v>
      </c>
      <c r="U59" s="37">
        <f t="shared" si="5"/>
        <v>17196</v>
      </c>
    </row>
    <row r="60" spans="1:21" s="5" customFormat="1" ht="12.75">
      <c r="A60" s="5" t="s">
        <v>70</v>
      </c>
      <c r="B60" s="10">
        <f aca="true" t="shared" si="14" ref="B60:L60">SUM(B61:B65)</f>
        <v>32</v>
      </c>
      <c r="C60" s="10">
        <f t="shared" si="14"/>
        <v>74</v>
      </c>
      <c r="D60" s="10">
        <f t="shared" si="14"/>
        <v>123</v>
      </c>
      <c r="E60" s="10">
        <f t="shared" si="14"/>
        <v>1244</v>
      </c>
      <c r="F60" s="10">
        <f t="shared" si="14"/>
        <v>1986</v>
      </c>
      <c r="G60" s="10">
        <f t="shared" si="14"/>
        <v>320</v>
      </c>
      <c r="H60" s="10">
        <f t="shared" si="14"/>
        <v>442</v>
      </c>
      <c r="I60" s="10">
        <f t="shared" si="14"/>
        <v>461</v>
      </c>
      <c r="J60" s="10">
        <f t="shared" si="14"/>
        <v>383</v>
      </c>
      <c r="K60" s="10">
        <f t="shared" si="14"/>
        <v>5065</v>
      </c>
      <c r="L60" s="10">
        <f t="shared" si="14"/>
        <v>497</v>
      </c>
      <c r="M60" s="10">
        <f t="shared" si="10"/>
        <v>2103</v>
      </c>
      <c r="N60" s="10">
        <f t="shared" si="4"/>
        <v>3025</v>
      </c>
      <c r="O60" s="10">
        <f>SUM(O61:O65)</f>
        <v>5562</v>
      </c>
      <c r="P60" s="10">
        <f>SUM(P61:P65)</f>
        <v>922</v>
      </c>
      <c r="Q60" s="10">
        <f>SUM(Q61:Q65)</f>
        <v>6484</v>
      </c>
      <c r="R60" s="28">
        <v>890</v>
      </c>
      <c r="S60" s="21">
        <f t="shared" si="11"/>
        <v>7374</v>
      </c>
      <c r="T60" s="34">
        <v>712</v>
      </c>
      <c r="U60" s="39">
        <f t="shared" si="5"/>
        <v>8086</v>
      </c>
    </row>
    <row r="61" spans="1:21" ht="12.75">
      <c r="A61" s="4" t="s">
        <v>71</v>
      </c>
      <c r="B61" s="12" t="s">
        <v>34</v>
      </c>
      <c r="C61" s="12">
        <v>5</v>
      </c>
      <c r="D61" s="12">
        <v>4</v>
      </c>
      <c r="E61" s="12">
        <v>415</v>
      </c>
      <c r="F61" s="12">
        <v>532</v>
      </c>
      <c r="G61" s="12">
        <v>38</v>
      </c>
      <c r="H61" s="12">
        <v>16</v>
      </c>
      <c r="I61" s="12">
        <v>17</v>
      </c>
      <c r="J61" s="12">
        <v>8</v>
      </c>
      <c r="K61" s="12">
        <f>SUM(B61:J61)</f>
        <v>1035</v>
      </c>
      <c r="L61" s="12">
        <v>10</v>
      </c>
      <c r="M61" s="12">
        <f t="shared" si="10"/>
        <v>89</v>
      </c>
      <c r="N61" s="12">
        <f t="shared" si="4"/>
        <v>110</v>
      </c>
      <c r="O61" s="12">
        <f>+L61+K61</f>
        <v>1045</v>
      </c>
      <c r="P61" s="12">
        <v>21</v>
      </c>
      <c r="Q61" s="12">
        <f>+P61+O61</f>
        <v>1066</v>
      </c>
      <c r="R61" s="15">
        <v>14</v>
      </c>
      <c r="S61" s="16">
        <f t="shared" si="11"/>
        <v>1080</v>
      </c>
      <c r="T61">
        <v>12</v>
      </c>
      <c r="U61" s="37">
        <f t="shared" si="5"/>
        <v>1092</v>
      </c>
    </row>
    <row r="62" spans="1:21" ht="12.75">
      <c r="A62" s="4" t="s">
        <v>72</v>
      </c>
      <c r="B62" s="12" t="s">
        <v>73</v>
      </c>
      <c r="C62" s="12" t="s">
        <v>73</v>
      </c>
      <c r="D62" s="12" t="s">
        <v>73</v>
      </c>
      <c r="E62" s="12">
        <v>217</v>
      </c>
      <c r="F62" s="12">
        <v>350</v>
      </c>
      <c r="G62" s="12">
        <v>46</v>
      </c>
      <c r="H62" s="12">
        <v>74</v>
      </c>
      <c r="I62" s="12">
        <v>63</v>
      </c>
      <c r="J62" s="12">
        <v>70</v>
      </c>
      <c r="K62" s="12">
        <f>SUM(B62:J62)</f>
        <v>820</v>
      </c>
      <c r="L62" s="12">
        <v>102</v>
      </c>
      <c r="M62" s="12">
        <f t="shared" si="10"/>
        <v>355</v>
      </c>
      <c r="N62" s="12">
        <f t="shared" si="4"/>
        <v>471</v>
      </c>
      <c r="O62" s="12">
        <f>+L62+K62</f>
        <v>922</v>
      </c>
      <c r="P62" s="12">
        <v>116</v>
      </c>
      <c r="Q62" s="12">
        <f>+P62+O62</f>
        <v>1038</v>
      </c>
      <c r="R62" s="15">
        <v>154</v>
      </c>
      <c r="S62" s="16">
        <f t="shared" si="11"/>
        <v>1192</v>
      </c>
      <c r="T62">
        <v>171</v>
      </c>
      <c r="U62" s="37">
        <f t="shared" si="5"/>
        <v>1363</v>
      </c>
    </row>
    <row r="63" spans="1:21" ht="12.75">
      <c r="A63" s="4" t="s">
        <v>74</v>
      </c>
      <c r="B63" s="12" t="s">
        <v>73</v>
      </c>
      <c r="C63" s="12" t="s">
        <v>73</v>
      </c>
      <c r="D63" s="12" t="s">
        <v>73</v>
      </c>
      <c r="E63" s="12">
        <v>132</v>
      </c>
      <c r="F63" s="12">
        <v>251</v>
      </c>
      <c r="G63" s="12">
        <v>73</v>
      </c>
      <c r="H63" s="12">
        <v>74</v>
      </c>
      <c r="I63" s="12">
        <v>176</v>
      </c>
      <c r="J63" s="12">
        <v>153</v>
      </c>
      <c r="K63" s="12">
        <f>SUM(B63:J63)</f>
        <v>859</v>
      </c>
      <c r="L63" s="12">
        <v>241</v>
      </c>
      <c r="M63" s="12">
        <f t="shared" si="10"/>
        <v>717</v>
      </c>
      <c r="N63" s="12">
        <f t="shared" si="4"/>
        <v>1285</v>
      </c>
      <c r="O63" s="12">
        <f>+L63+K63</f>
        <v>1100</v>
      </c>
      <c r="P63" s="12">
        <v>568</v>
      </c>
      <c r="Q63" s="12">
        <f>+P63+O63</f>
        <v>1668</v>
      </c>
      <c r="R63" s="15">
        <v>489</v>
      </c>
      <c r="S63" s="16">
        <f t="shared" si="11"/>
        <v>2157</v>
      </c>
      <c r="T63">
        <v>338</v>
      </c>
      <c r="U63" s="37">
        <f t="shared" si="5"/>
        <v>2495</v>
      </c>
    </row>
    <row r="64" spans="1:21" ht="12.75">
      <c r="A64" s="4" t="s">
        <v>75</v>
      </c>
      <c r="B64" s="12" t="s">
        <v>73</v>
      </c>
      <c r="C64" s="12" t="s">
        <v>73</v>
      </c>
      <c r="D64" s="12" t="s">
        <v>73</v>
      </c>
      <c r="E64" s="12">
        <v>83</v>
      </c>
      <c r="F64" s="12">
        <v>407</v>
      </c>
      <c r="G64" s="12">
        <v>120</v>
      </c>
      <c r="H64" s="12">
        <v>220</v>
      </c>
      <c r="I64" s="12">
        <v>135</v>
      </c>
      <c r="J64" s="12">
        <v>91</v>
      </c>
      <c r="K64" s="12">
        <f>SUM(B64:J64)</f>
        <v>1056</v>
      </c>
      <c r="L64" s="12">
        <v>95</v>
      </c>
      <c r="M64" s="12">
        <f t="shared" si="10"/>
        <v>661</v>
      </c>
      <c r="N64" s="12">
        <f t="shared" si="4"/>
        <v>811</v>
      </c>
      <c r="O64" s="12">
        <f>+L64+K64</f>
        <v>1151</v>
      </c>
      <c r="P64" s="12">
        <v>150</v>
      </c>
      <c r="Q64" s="12">
        <f>+P64+O64</f>
        <v>1301</v>
      </c>
      <c r="R64" s="15">
        <v>173</v>
      </c>
      <c r="S64" s="16">
        <f t="shared" si="11"/>
        <v>1474</v>
      </c>
      <c r="T64">
        <v>118</v>
      </c>
      <c r="U64" s="37">
        <f t="shared" si="5"/>
        <v>1592</v>
      </c>
    </row>
    <row r="65" spans="1:21" ht="12.75">
      <c r="A65" s="4" t="s">
        <v>76</v>
      </c>
      <c r="B65" s="12">
        <v>32</v>
      </c>
      <c r="C65" s="12">
        <v>69</v>
      </c>
      <c r="D65" s="12">
        <v>119</v>
      </c>
      <c r="E65" s="12">
        <f>1244-SUM(E61:E64)</f>
        <v>397</v>
      </c>
      <c r="F65" s="12">
        <f>1986-SUM(F61:F64)</f>
        <v>446</v>
      </c>
      <c r="G65" s="12">
        <f>320-SUM(G61:G64)</f>
        <v>43</v>
      </c>
      <c r="H65" s="12">
        <f>442-SUM(H61:H64)</f>
        <v>58</v>
      </c>
      <c r="I65" s="12">
        <f>461-SUM(I61:I64)</f>
        <v>70</v>
      </c>
      <c r="J65" s="12">
        <f>383-SUM(J61:J64)</f>
        <v>61</v>
      </c>
      <c r="K65" s="12">
        <f>5065-SUM(K61:K64)</f>
        <v>1295</v>
      </c>
      <c r="L65" s="12">
        <f>497-SUM(L61:L64)</f>
        <v>49</v>
      </c>
      <c r="M65" s="12">
        <f t="shared" si="10"/>
        <v>281</v>
      </c>
      <c r="N65" s="12">
        <f t="shared" si="4"/>
        <v>348</v>
      </c>
      <c r="O65" s="12">
        <f>5562-SUM(O61:O64)</f>
        <v>1344</v>
      </c>
      <c r="P65" s="12">
        <f>922-SUM(P61:P64)</f>
        <v>67</v>
      </c>
      <c r="Q65" s="12">
        <f>6484-SUM(Q61:Q64)</f>
        <v>1411</v>
      </c>
      <c r="R65" s="15">
        <v>60</v>
      </c>
      <c r="S65" s="16">
        <f t="shared" si="11"/>
        <v>1471</v>
      </c>
      <c r="T65">
        <v>73</v>
      </c>
      <c r="U65" s="37">
        <f t="shared" si="5"/>
        <v>1544</v>
      </c>
    </row>
    <row r="66" spans="1:21" ht="12.75">
      <c r="A66" s="20" t="s">
        <v>77</v>
      </c>
      <c r="B66" s="19">
        <v>36</v>
      </c>
      <c r="C66" s="19">
        <v>55</v>
      </c>
      <c r="D66" s="19">
        <v>15</v>
      </c>
      <c r="E66" s="19">
        <f>539447-SUM(E9,E34,E50,E54,E55,E60)</f>
        <v>1</v>
      </c>
      <c r="F66" s="19">
        <f>1013620-SUM(F9,F34,F50,F54,F55,F60)</f>
        <v>19</v>
      </c>
      <c r="G66" s="19">
        <f>139079-SUM(G9,G34,G50,G54,G55,G60)</f>
        <v>2</v>
      </c>
      <c r="H66" s="19">
        <f>117037-SUM(H9,H34,H50,H54,H55,H60)</f>
        <v>1</v>
      </c>
      <c r="I66" s="19">
        <f>127343-SUM(I9,I34,I50,I54,I55,I60)</f>
        <v>0</v>
      </c>
      <c r="J66" s="19">
        <f>121434-SUM(J9,J34,J50,J54,J55,J60)</f>
        <v>0</v>
      </c>
      <c r="K66" s="19">
        <f>2976521-SUM(K9,K34,K50,K54,K55,K60)</f>
        <v>129</v>
      </c>
      <c r="L66" s="19" t="s">
        <v>34</v>
      </c>
      <c r="M66" s="19">
        <f t="shared" si="10"/>
        <v>3</v>
      </c>
      <c r="N66" s="19">
        <f t="shared" si="4"/>
        <v>3</v>
      </c>
      <c r="O66" s="19">
        <f>3091185-SUM(O9,O34,O50,O54,O55,O60)</f>
        <v>129</v>
      </c>
      <c r="P66" s="40">
        <f>128565-SUM(P9,P34,P50,P54,P55,P60)</f>
        <v>0</v>
      </c>
      <c r="Q66" s="19">
        <f>3219750-SUM(Q9,Q34,Q50,Q54,Q55,Q60)</f>
        <v>129</v>
      </c>
      <c r="R66" s="18">
        <v>30</v>
      </c>
      <c r="S66" s="17">
        <f t="shared" si="11"/>
        <v>159</v>
      </c>
      <c r="T66" s="36">
        <v>2525</v>
      </c>
      <c r="U66" s="38">
        <f t="shared" si="5"/>
        <v>2684</v>
      </c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 t="s">
        <v>78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 t="s">
        <v>87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2" t="s">
        <v>79</v>
      </c>
      <c r="B70" s="1"/>
      <c r="K70" s="1"/>
      <c r="L70" s="1"/>
      <c r="M70" s="1"/>
      <c r="N70" s="1"/>
      <c r="O70" s="1"/>
      <c r="P70" s="1"/>
      <c r="Q70" s="3"/>
      <c r="R70" s="2"/>
      <c r="S70" s="2"/>
    </row>
    <row r="71" ht="12.75">
      <c r="A71" t="s">
        <v>80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Herrenbruck</dc:creator>
  <cp:keywords/>
  <dc:description/>
  <cp:lastModifiedBy>Mark Herrenbruck</cp:lastModifiedBy>
  <cp:lastPrinted>2000-03-16T22:19:57Z</cp:lastPrinted>
  <dcterms:created xsi:type="dcterms:W3CDTF">2000-01-03T15:22:06Z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