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375" tabRatio="464" firstSheet="2" activeTab="2"/>
  </bookViews>
  <sheets>
    <sheet name="prcnt SE, 1940+" sheetId="1" r:id="rId1"/>
    <sheet name="Sheet1" sheetId="2" r:id="rId2"/>
    <sheet name="Tab7" sheetId="3" r:id="rId3"/>
  </sheets>
  <definedNames>
    <definedName name="_xlnm.Print_Area" localSheetId="2">'Tab7'!$A$1:$AO$90</definedName>
    <definedName name="PRINT_AREA_MI">#REF!</definedName>
  </definedNames>
  <calcPr fullCalcOnLoad="1"/>
</workbook>
</file>

<file path=xl/sharedStrings.xml><?xml version="1.0" encoding="utf-8"?>
<sst xmlns="http://schemas.openxmlformats.org/spreadsheetml/2006/main" count="2305" uniqueCount="166">
  <si>
    <t xml:space="preserve">      Table 6.--Percent of the population 3 to 34 years old enrolled in school,\1\ by age group:</t>
  </si>
  <si>
    <t xml:space="preserve">                                         April 1940 to October 2001</t>
  </si>
  <si>
    <t>_</t>
  </si>
  <si>
    <t>|</t>
  </si>
  <si>
    <t xml:space="preserve">      20 to 24 years</t>
  </si>
  <si>
    <t>Total,</t>
  </si>
  <si>
    <t>3 and 4</t>
  </si>
  <si>
    <t>5 and 6</t>
  </si>
  <si>
    <t>7 to 13</t>
  </si>
  <si>
    <t>14 to 17</t>
  </si>
  <si>
    <t>18 and</t>
  </si>
  <si>
    <t>25 to 29</t>
  </si>
  <si>
    <t>30 to 34</t>
  </si>
  <si>
    <t>Year</t>
  </si>
  <si>
    <t>3 to 34</t>
  </si>
  <si>
    <t xml:space="preserve">  years</t>
  </si>
  <si>
    <t>years</t>
  </si>
  <si>
    <t>19 years</t>
  </si>
  <si>
    <t>Total</t>
  </si>
  <si>
    <t>20 and</t>
  </si>
  <si>
    <t>22 to 24</t>
  </si>
  <si>
    <t>21 years</t>
  </si>
  <si>
    <t>1</t>
  </si>
  <si>
    <t>2</t>
  </si>
  <si>
    <t>3</t>
  </si>
  <si>
    <t>4</t>
  </si>
  <si>
    <t>5</t>
  </si>
  <si>
    <t>6</t>
  </si>
  <si>
    <t>7</t>
  </si>
  <si>
    <t>8</t>
  </si>
  <si>
    <t>9</t>
  </si>
  <si>
    <t>10</t>
  </si>
  <si>
    <t>11</t>
  </si>
  <si>
    <t>12</t>
  </si>
  <si>
    <t>---</t>
  </si>
  <si>
    <t>1945 .....</t>
  </si>
  <si>
    <t>1947 .......</t>
  </si>
  <si>
    <t>1970 ......</t>
  </si>
  <si>
    <t>1971 ......</t>
  </si>
  <si>
    <t>1972 .......</t>
  </si>
  <si>
    <t>1973 ......</t>
  </si>
  <si>
    <t>1974 ......</t>
  </si>
  <si>
    <t>1975 .......</t>
  </si>
  <si>
    <t>1976 ......</t>
  </si>
  <si>
    <t>1977 ......</t>
  </si>
  <si>
    <t>1978 ......</t>
  </si>
  <si>
    <t>1979 ......</t>
  </si>
  <si>
    <t>1980 ......</t>
  </si>
  <si>
    <t>1981 ......</t>
  </si>
  <si>
    <t>1982 ......</t>
  </si>
  <si>
    <t>1983 ......</t>
  </si>
  <si>
    <t>1984 ......</t>
  </si>
  <si>
    <t>1985 ......</t>
  </si>
  <si>
    <t>1986 ......</t>
  </si>
  <si>
    <t>1987 .......</t>
  </si>
  <si>
    <t>1988 .......</t>
  </si>
  <si>
    <t>1989 .......</t>
  </si>
  <si>
    <t>1990 ..................</t>
  </si>
  <si>
    <t>1991 .......</t>
  </si>
  <si>
    <t>1992 ...</t>
  </si>
  <si>
    <t>1993 .......</t>
  </si>
  <si>
    <t>1994 .......</t>
  </si>
  <si>
    <t>1995 ......</t>
  </si>
  <si>
    <t>1996 ......</t>
  </si>
  <si>
    <t>1997 ......</t>
  </si>
  <si>
    <t>1998 ......</t>
  </si>
  <si>
    <t>1999 ......</t>
  </si>
  <si>
    <t>2000 ......</t>
  </si>
  <si>
    <t>2001 ......</t>
  </si>
  <si>
    <t>---Not available.</t>
  </si>
  <si>
    <t>\1\Includes enrollment in any type of graded public, parochial, or other private schools. Includes</t>
  </si>
  <si>
    <t>nursery schools, kindergartens, elementary schools, high schools, colleges, universities, and</t>
  </si>
  <si>
    <t>professional schools.  Attendance may be on either a full-time or part-time basis and during the day</t>
  </si>
  <si>
    <t>or night.  Enrollments in "special" schools, such as trade schools, business colleges, or</t>
  </si>
  <si>
    <t>correspondence schools, are not included.</t>
  </si>
  <si>
    <t>\2\Data are as of April 1940.  Data for all other years are as of October.</t>
  </si>
  <si>
    <t>\3\Preprimary enrollment collected using new procedures. May not be comparable to figures for earlier</t>
  </si>
  <si>
    <t>years.</t>
  </si>
  <si>
    <t>NOTE:  Data are based upon sample surveys of the civilian noninstitutional population.</t>
  </si>
  <si>
    <t>SOURCE:  U.S. Department of Commerce, Bureau of the Census, Historical Statistics of the United States,</t>
  </si>
  <si>
    <t>Colonial Times to 1970; Current Population Reports, Series P-20, various years; and Current Population</t>
  </si>
  <si>
    <t>Survey, unpublished data.  (This table was prepared October 2002.)</t>
  </si>
  <si>
    <t>enroll87</t>
  </si>
  <si>
    <t>popula87</t>
  </si>
  <si>
    <t>enroll88</t>
  </si>
  <si>
    <t>popula88</t>
  </si>
  <si>
    <t>enroll90</t>
  </si>
  <si>
    <t>popula90</t>
  </si>
  <si>
    <t>enroll93</t>
  </si>
  <si>
    <t>popula93</t>
  </si>
  <si>
    <t>enroll97</t>
  </si>
  <si>
    <t>popula97</t>
  </si>
  <si>
    <t>enroll98</t>
  </si>
  <si>
    <t>popula98</t>
  </si>
  <si>
    <t>enroll99</t>
  </si>
  <si>
    <t>enroll00</t>
  </si>
  <si>
    <t>enroll01</t>
  </si>
  <si>
    <t>popula99</t>
  </si>
  <si>
    <t>popula00</t>
  </si>
  <si>
    <t>popula01</t>
  </si>
  <si>
    <t>SE</t>
  </si>
  <si>
    <t>18 and 19 years</t>
  </si>
  <si>
    <t>in elementary/</t>
  </si>
  <si>
    <t>secondary</t>
  </si>
  <si>
    <t>total</t>
  </si>
  <si>
    <t>in post-secondary</t>
  </si>
  <si>
    <t>POPULATION: 1970 to 2001</t>
  </si>
  <si>
    <t>#</t>
  </si>
  <si>
    <t>ENROLLMENT, 1940-2001</t>
  </si>
  <si>
    <t>1964*</t>
  </si>
  <si>
    <t>1965*</t>
  </si>
  <si>
    <t>1963^</t>
  </si>
  <si>
    <t>^: data starting age 5</t>
  </si>
  <si>
    <t>*: data starting age 4</t>
  </si>
  <si>
    <t>1962^</t>
  </si>
  <si>
    <t>1961^</t>
  </si>
  <si>
    <t>1948 ......</t>
  </si>
  <si>
    <t>1949 .......</t>
  </si>
  <si>
    <t>1950 .......</t>
  </si>
  <si>
    <t>1951 ....</t>
  </si>
  <si>
    <t>1952 ....</t>
  </si>
  <si>
    <t>1953 ....</t>
  </si>
  <si>
    <t>1954 ....</t>
  </si>
  <si>
    <t>1955 ....</t>
  </si>
  <si>
    <t>1956 .....</t>
  </si>
  <si>
    <t>1957 .....</t>
  </si>
  <si>
    <t>1958 ....</t>
  </si>
  <si>
    <t>1959 .....</t>
  </si>
  <si>
    <t>1960 .....</t>
  </si>
  <si>
    <t>1961 ......</t>
  </si>
  <si>
    <t>1962 .....</t>
  </si>
  <si>
    <t>1963 ....</t>
  </si>
  <si>
    <t>1964 ....</t>
  </si>
  <si>
    <t>1965 ......</t>
  </si>
  <si>
    <t>1966 ......</t>
  </si>
  <si>
    <t>1967 ......</t>
  </si>
  <si>
    <t>1968 ......</t>
  </si>
  <si>
    <t>1969 ......</t>
  </si>
  <si>
    <t>2002 ......</t>
  </si>
  <si>
    <t>In elemen-</t>
  </si>
  <si>
    <t>tary and</t>
  </si>
  <si>
    <t>In higher</t>
  </si>
  <si>
    <t>education</t>
  </si>
  <si>
    <t xml:space="preserve">   8</t>
  </si>
  <si>
    <t xml:space="preserve">   13</t>
  </si>
  <si>
    <t xml:space="preserve">   11</t>
  </si>
  <si>
    <t xml:space="preserve">   12</t>
  </si>
  <si>
    <t xml:space="preserve">   14</t>
  </si>
  <si>
    <t xml:space="preserve">  Total,</t>
  </si>
  <si>
    <t xml:space="preserve"> 3 to 34</t>
  </si>
  <si>
    <t xml:space="preserve"> years</t>
  </si>
  <si>
    <t xml:space="preserve"> 5 and 6</t>
  </si>
  <si>
    <t xml:space="preserve"> 7 to 13</t>
  </si>
  <si>
    <t xml:space="preserve"> 14 to 17</t>
  </si>
  <si>
    <t xml:space="preserve">  Total</t>
  </si>
  <si>
    <t xml:space="preserve">       18 and 19 years old</t>
  </si>
  <si>
    <t xml:space="preserve"> 20 and</t>
  </si>
  <si>
    <t xml:space="preserve">       20 to 24 years old  </t>
  </si>
  <si>
    <t xml:space="preserve">---Not available.  </t>
  </si>
  <si>
    <t xml:space="preserve">SOURCE:  U.S. Department of Commerce, Bureau of the Census, Historical Statistics of the United States, Colonial Times to 1970; Current  </t>
  </si>
  <si>
    <t xml:space="preserve">Population Reports, Series P-20, various years; and Current Population Survey, unpublished data.  (This table was prepared March 2004.)  </t>
  </si>
  <si>
    <t>1940......</t>
  </si>
  <si>
    <t xml:space="preserve">Table 7.  Percent of the population 3 to 34 years old enrolled in school, by age group:  Selected years, April 1940 to October 2002   </t>
  </si>
  <si>
    <t>\1\</t>
  </si>
  <si>
    <t xml:space="preserve">\1\Preprimary enrollment collected using new procedures. May not be comparable to figures for earlier years.  </t>
  </si>
  <si>
    <t>NOTE:  Data for 1940 are for April.  Data for all other years are as of October.  Includes enrollment in any type of graded public, parochial, or other private schools. Includes nursery schools, kindergartens, elementary schools, high schools, colleges, universities, and professional schools.  Attendance may be on either a full-time or part-time basis and during the day or night.  Enrollments in "special" schools, such as trade schools, business colleges, or correspondence schools, are not included.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</si>
</sst>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_)"/>
    <numFmt numFmtId="167" formatCode="0.0"/>
    <numFmt numFmtId="168" formatCode="00000"/>
    <numFmt numFmtId="169" formatCode="0.00_);\(0.00\)"/>
    <numFmt numFmtId="170" formatCode="#,##0.0_);\(#,##0.0\)"/>
    <numFmt numFmtId="171" formatCode="#,##0.0"/>
  </numFmts>
  <fonts count="3">
    <font>
      <sz val="10"/>
      <name val="Courier"/>
      <family val="0"/>
    </font>
    <font>
      <sz val="10"/>
      <name val="Arial"/>
      <family val="0"/>
    </font>
    <font>
      <sz val="10"/>
      <name val="Courier New"/>
      <family val="3"/>
    </font>
  </fonts>
  <fills count="2">
    <fill>
      <patternFill/>
    </fill>
    <fill>
      <patternFill patternType="gray125"/>
    </fill>
  </fills>
  <borders count="6">
    <border>
      <left/>
      <right/>
      <top/>
      <bottom/>
      <diagonal/>
    </border>
    <border>
      <left>
        <color indexed="63"/>
      </left>
      <right style="thick"/>
      <top>
        <color indexed="63"/>
      </top>
      <bottom>
        <color indexed="63"/>
      </bottom>
    </border>
    <border>
      <left style="thin"/>
      <right style="thin"/>
      <top>
        <color indexed="63"/>
      </top>
      <bottom>
        <color indexed="63"/>
      </bottom>
    </border>
    <border>
      <left style="thin"/>
      <right style="thin"/>
      <top style="thin"/>
      <bottom style="thin"/>
    </border>
    <border>
      <left style="thick"/>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8">
    <xf numFmtId="0" fontId="0" fillId="0" borderId="0" xfId="0" applyAlignment="1">
      <alignment/>
    </xf>
    <xf numFmtId="0" fontId="0" fillId="0" borderId="0" xfId="0" applyAlignment="1" applyProtection="1">
      <alignment horizontal="left"/>
      <protection/>
    </xf>
    <xf numFmtId="0" fontId="0" fillId="0" borderId="0" xfId="0" applyBorder="1" applyAlignment="1" applyProtection="1">
      <alignment horizontal="left"/>
      <protection/>
    </xf>
    <xf numFmtId="0" fontId="0" fillId="0" borderId="0" xfId="0" applyBorder="1" applyAlignment="1">
      <alignment/>
    </xf>
    <xf numFmtId="0" fontId="0" fillId="0" borderId="0" xfId="0" applyBorder="1" applyAlignment="1" applyProtection="1">
      <alignment horizontal="fill"/>
      <protection/>
    </xf>
    <xf numFmtId="164" fontId="0" fillId="0" borderId="0" xfId="0" applyNumberFormat="1" applyBorder="1" applyAlignment="1" applyProtection="1">
      <alignment/>
      <protection/>
    </xf>
    <xf numFmtId="0" fontId="0" fillId="0" borderId="0" xfId="0" applyBorder="1" applyAlignment="1" applyProtection="1">
      <alignment horizontal="center"/>
      <protection/>
    </xf>
    <xf numFmtId="164" fontId="0" fillId="0" borderId="0" xfId="0" applyNumberFormat="1" applyBorder="1" applyAlignment="1" applyProtection="1">
      <alignment horizontal="right"/>
      <protection/>
    </xf>
    <xf numFmtId="0" fontId="0" fillId="0" borderId="0" xfId="0" applyBorder="1" applyAlignment="1" applyProtection="1">
      <alignment/>
      <protection/>
    </xf>
    <xf numFmtId="37" fontId="0" fillId="0" borderId="0" xfId="0" applyNumberFormat="1" applyBorder="1" applyAlignment="1" applyProtection="1">
      <alignment/>
      <protection/>
    </xf>
    <xf numFmtId="165" fontId="0" fillId="0" borderId="0" xfId="0" applyNumberFormat="1" applyBorder="1" applyAlignment="1" applyProtection="1">
      <alignment/>
      <protection/>
    </xf>
    <xf numFmtId="166"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pplyProtection="1">
      <alignment horizontal="fill"/>
      <protection/>
    </xf>
    <xf numFmtId="164" fontId="0" fillId="0" borderId="2" xfId="0" applyNumberFormat="1" applyBorder="1" applyAlignment="1" applyProtection="1">
      <alignment/>
      <protection/>
    </xf>
    <xf numFmtId="0" fontId="0" fillId="0" borderId="2" xfId="0" applyBorder="1" applyAlignment="1" applyProtection="1">
      <alignment horizontal="left"/>
      <protection/>
    </xf>
    <xf numFmtId="0" fontId="0" fillId="0" borderId="2" xfId="0" applyBorder="1" applyAlignment="1" applyProtection="1">
      <alignment horizontal="center"/>
      <protection/>
    </xf>
    <xf numFmtId="0" fontId="0" fillId="0" borderId="2" xfId="0" applyBorder="1" applyAlignment="1" applyProtection="1">
      <alignment/>
      <protection/>
    </xf>
    <xf numFmtId="166" fontId="0" fillId="0" borderId="2" xfId="0" applyNumberFormat="1" applyBorder="1" applyAlignment="1" applyProtection="1">
      <alignment/>
      <protection/>
    </xf>
    <xf numFmtId="0" fontId="0" fillId="0" borderId="2" xfId="0" applyBorder="1" applyAlignment="1" applyProtection="1">
      <alignment horizontal="right"/>
      <protection/>
    </xf>
    <xf numFmtId="164" fontId="0" fillId="0" borderId="2" xfId="0" applyNumberFormat="1" applyBorder="1" applyAlignment="1" applyProtection="1">
      <alignment horizontal="right"/>
      <protection/>
    </xf>
    <xf numFmtId="170" fontId="0" fillId="0" borderId="2" xfId="0" applyNumberFormat="1" applyBorder="1" applyAlignment="1" applyProtection="1">
      <alignment horizontal="right"/>
      <protection/>
    </xf>
    <xf numFmtId="0" fontId="0" fillId="0" borderId="2" xfId="0" applyBorder="1" applyAlignment="1">
      <alignment horizontal="right"/>
    </xf>
    <xf numFmtId="37" fontId="0" fillId="0" borderId="2" xfId="0" applyNumberFormat="1" applyBorder="1" applyAlignment="1" applyProtection="1">
      <alignment horizontal="right"/>
      <protection/>
    </xf>
    <xf numFmtId="165" fontId="0" fillId="0" borderId="2" xfId="0" applyNumberFormat="1" applyBorder="1" applyAlignment="1" applyProtection="1">
      <alignment horizontal="righ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0" fillId="0" borderId="0" xfId="0" applyAlignment="1">
      <alignment horizontal="right"/>
    </xf>
    <xf numFmtId="164" fontId="0" fillId="0" borderId="0" xfId="0" applyNumberFormat="1" applyAlignment="1" applyProtection="1">
      <alignment horizontal="right"/>
      <protection/>
    </xf>
    <xf numFmtId="0" fontId="0" fillId="0" borderId="0" xfId="0" applyBorder="1" applyAlignment="1">
      <alignment horizontal="right"/>
    </xf>
    <xf numFmtId="170" fontId="0" fillId="0" borderId="0" xfId="0" applyNumberFormat="1" applyBorder="1" applyAlignment="1" applyProtection="1">
      <alignment horizontal="right"/>
      <protection/>
    </xf>
    <xf numFmtId="3" fontId="0" fillId="0" borderId="0" xfId="0" applyNumberFormat="1" applyAlignment="1">
      <alignment horizontal="right"/>
    </xf>
    <xf numFmtId="3" fontId="0" fillId="0" borderId="0" xfId="0" applyNumberFormat="1" applyBorder="1" applyAlignment="1">
      <alignment horizontal="right"/>
    </xf>
    <xf numFmtId="3" fontId="0" fillId="0" borderId="3" xfId="0" applyNumberFormat="1" applyBorder="1" applyAlignment="1">
      <alignment horizontal="right"/>
    </xf>
    <xf numFmtId="0" fontId="0" fillId="0" borderId="4" xfId="0" applyBorder="1" applyAlignment="1">
      <alignment/>
    </xf>
    <xf numFmtId="16" fontId="0" fillId="0" borderId="1" xfId="0" applyNumberFormat="1" applyBorder="1" applyAlignment="1">
      <alignment/>
    </xf>
    <xf numFmtId="0" fontId="0" fillId="0" borderId="4" xfId="0" applyBorder="1" applyAlignment="1">
      <alignment horizontal="right"/>
    </xf>
    <xf numFmtId="0" fontId="0" fillId="0" borderId="1" xfId="0" applyBorder="1" applyAlignment="1">
      <alignment horizontal="right"/>
    </xf>
    <xf numFmtId="0" fontId="0" fillId="0" borderId="4" xfId="0" applyBorder="1" applyAlignment="1" applyProtection="1">
      <alignment horizontal="right"/>
      <protection/>
    </xf>
    <xf numFmtId="0" fontId="0" fillId="0" borderId="1" xfId="0" applyBorder="1" applyAlignment="1" applyProtection="1">
      <alignment horizontal="right"/>
      <protection/>
    </xf>
    <xf numFmtId="3" fontId="0" fillId="0" borderId="0" xfId="0" applyNumberFormat="1" applyBorder="1" applyAlignment="1" applyProtection="1">
      <alignment horizontal="right"/>
      <protection/>
    </xf>
    <xf numFmtId="1" fontId="0" fillId="0" borderId="4" xfId="0" applyNumberFormat="1" applyBorder="1" applyAlignment="1">
      <alignment horizontal="right"/>
    </xf>
    <xf numFmtId="1" fontId="0" fillId="0" borderId="1" xfId="0" applyNumberFormat="1" applyBorder="1" applyAlignment="1">
      <alignment horizontal="right"/>
    </xf>
    <xf numFmtId="1" fontId="0" fillId="0" borderId="0" xfId="0" applyNumberFormat="1" applyAlignment="1">
      <alignment horizontal="right"/>
    </xf>
    <xf numFmtId="1" fontId="0" fillId="0" borderId="4" xfId="0" applyNumberFormat="1" applyBorder="1" applyAlignment="1" applyProtection="1">
      <alignment horizontal="right"/>
      <protection/>
    </xf>
    <xf numFmtId="1" fontId="0" fillId="0" borderId="1" xfId="0" applyNumberFormat="1" applyBorder="1" applyAlignment="1" applyProtection="1">
      <alignment horizontal="right"/>
      <protection/>
    </xf>
    <xf numFmtId="1" fontId="0" fillId="0" borderId="0" xfId="0" applyNumberFormat="1" applyBorder="1" applyAlignment="1" applyProtection="1">
      <alignment horizontal="right"/>
      <protection/>
    </xf>
    <xf numFmtId="167" fontId="0" fillId="0" borderId="2" xfId="0" applyNumberFormat="1" applyBorder="1" applyAlignment="1" applyProtection="1">
      <alignment horizontal="right"/>
      <protection/>
    </xf>
    <xf numFmtId="167" fontId="0" fillId="0" borderId="2" xfId="0" applyNumberFormat="1" applyBorder="1" applyAlignment="1">
      <alignment/>
    </xf>
    <xf numFmtId="3" fontId="0" fillId="0" borderId="2" xfId="0" applyNumberFormat="1" applyBorder="1" applyAlignment="1" applyProtection="1">
      <alignment horizontal="right"/>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171"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pplyProtection="1">
      <alignment horizontal="left"/>
      <protection/>
    </xf>
    <xf numFmtId="0" fontId="0" fillId="0" borderId="0" xfId="0" applyFont="1" applyAlignment="1">
      <alignment horizontal="left"/>
    </xf>
    <xf numFmtId="0" fontId="0" fillId="0" borderId="0" xfId="0" applyFont="1" applyBorder="1" applyAlignment="1" applyProtection="1">
      <alignment horizontal="fill"/>
      <protection/>
    </xf>
    <xf numFmtId="0" fontId="0" fillId="0" borderId="0" xfId="0" applyFont="1" applyAlignment="1" applyProtection="1">
      <alignment horizontal="fill"/>
      <protection/>
    </xf>
    <xf numFmtId="0" fontId="0" fillId="0" borderId="0" xfId="0" applyFont="1" applyBorder="1" applyAlignment="1" quotePrefix="1">
      <alignment/>
    </xf>
    <xf numFmtId="171" fontId="0"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64" fontId="0" fillId="0" borderId="0" xfId="0" applyNumberFormat="1" applyFont="1" applyAlignment="1" applyProtection="1" quotePrefix="1">
      <alignment horizontal="left"/>
      <protection/>
    </xf>
    <xf numFmtId="171" fontId="0" fillId="0" borderId="0" xfId="0" applyNumberFormat="1" applyFont="1" applyAlignment="1">
      <alignment horizontal="left"/>
    </xf>
    <xf numFmtId="0" fontId="0" fillId="0" borderId="0" xfId="0" applyFont="1" applyAlignment="1" quotePrefix="1">
      <alignment horizontal="left"/>
    </xf>
    <xf numFmtId="0" fontId="0" fillId="0" borderId="0" xfId="0" applyFont="1" applyBorder="1" applyAlignment="1">
      <alignment horizontal="left"/>
    </xf>
    <xf numFmtId="0" fontId="0" fillId="0" borderId="0" xfId="0" applyFont="1" applyBorder="1" applyAlignment="1" applyProtection="1">
      <alignment horizontal="center"/>
      <protection/>
    </xf>
    <xf numFmtId="171" fontId="0" fillId="0" borderId="0" xfId="0" applyNumberFormat="1" applyFont="1" applyAlignment="1" applyProtection="1">
      <alignment horizontal="fill"/>
      <protection/>
    </xf>
    <xf numFmtId="171"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1" fontId="0" fillId="0" borderId="0" xfId="0" applyNumberFormat="1" applyFont="1" applyAlignment="1" applyProtection="1" quotePrefix="1">
      <alignment horizontal="center"/>
      <protection/>
    </xf>
    <xf numFmtId="171" fontId="0" fillId="0" borderId="0" xfId="0" applyNumberFormat="1" applyFont="1" applyAlignment="1" applyProtection="1" quotePrefix="1">
      <alignment horizontal="left"/>
      <protection/>
    </xf>
    <xf numFmtId="171" fontId="0" fillId="0" borderId="0" xfId="0" applyNumberFormat="1" applyFont="1" applyAlignment="1" applyProtection="1">
      <alignment horizontal="right"/>
      <protection/>
    </xf>
    <xf numFmtId="171" fontId="0" fillId="0" borderId="0" xfId="0" applyNumberFormat="1" applyFont="1" applyBorder="1" applyAlignment="1" quotePrefix="1">
      <alignment/>
    </xf>
    <xf numFmtId="171" fontId="0" fillId="0" borderId="0" xfId="0" applyNumberFormat="1" applyFont="1" applyAlignment="1" applyProtection="1">
      <alignment/>
      <protection/>
    </xf>
    <xf numFmtId="171" fontId="0" fillId="0" borderId="0" xfId="0" applyNumberFormat="1" applyFont="1" applyAlignment="1" quotePrefix="1">
      <alignment horizontal="left"/>
    </xf>
    <xf numFmtId="170" fontId="0" fillId="0" borderId="0" xfId="0" applyNumberFormat="1" applyFont="1" applyAlignment="1" applyProtection="1">
      <alignment/>
      <protection/>
    </xf>
    <xf numFmtId="171" fontId="0" fillId="0" borderId="0" xfId="0" applyNumberFormat="1" applyFont="1" applyBorder="1" applyAlignment="1" applyProtection="1">
      <alignment/>
      <protection/>
    </xf>
    <xf numFmtId="170" fontId="0" fillId="0" borderId="0" xfId="0" applyNumberFormat="1" applyFont="1" applyBorder="1" applyAlignment="1" applyProtection="1">
      <alignment/>
      <protection/>
    </xf>
    <xf numFmtId="0" fontId="0" fillId="0" borderId="5" xfId="0" applyFont="1" applyBorder="1" applyAlignment="1" applyProtection="1">
      <alignment horizontal="fill"/>
      <protection/>
    </xf>
    <xf numFmtId="171" fontId="0" fillId="0" borderId="0" xfId="0" applyNumberFormat="1" applyFont="1" applyBorder="1" applyAlignment="1" applyProtection="1">
      <alignment horizontal="fill"/>
      <protection/>
    </xf>
    <xf numFmtId="0" fontId="0" fillId="0" borderId="0" xfId="0" applyFont="1" applyAlignment="1" applyProtection="1" quotePrefix="1">
      <alignment horizontal="left"/>
      <protection/>
    </xf>
    <xf numFmtId="171" fontId="0" fillId="0" borderId="0" xfId="0" applyNumberFormat="1" applyFont="1" applyBorder="1" applyAlignment="1" applyProtection="1">
      <alignment horizontal="right"/>
      <protection/>
    </xf>
    <xf numFmtId="0" fontId="0" fillId="0" borderId="0" xfId="0" applyFont="1" applyAlignment="1" applyProtection="1">
      <alignment horizontal="left" vertical="center" wrapText="1"/>
      <protection/>
    </xf>
    <xf numFmtId="0" fontId="0"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P362"/>
  <sheetViews>
    <sheetView workbookViewId="0" topLeftCell="A45">
      <selection activeCell="B57" sqref="B57"/>
    </sheetView>
  </sheetViews>
  <sheetFormatPr defaultColWidth="9.625" defaultRowHeight="12.75"/>
  <cols>
    <col min="1" max="1" width="11.125" style="0" customWidth="1"/>
    <col min="2" max="3" width="7.625" style="15" customWidth="1"/>
    <col min="4" max="5" width="8.50390625" style="15" customWidth="1"/>
    <col min="6" max="9" width="7.625" style="15" customWidth="1"/>
    <col min="10" max="11" width="8.625" style="15" customWidth="1"/>
    <col min="12" max="12" width="12.75390625" style="15" customWidth="1"/>
    <col min="13" max="13" width="6.75390625" style="15" customWidth="1"/>
    <col min="14" max="14" width="12.375" style="15" customWidth="1"/>
    <col min="15" max="15" width="8.625" style="15" customWidth="1"/>
    <col min="16" max="16" width="12.875" style="15" customWidth="1"/>
    <col min="17" max="17" width="8.625" style="15" customWidth="1"/>
    <col min="18" max="19" width="7.625" style="15" customWidth="1"/>
    <col min="20" max="27" width="8.625" style="15" customWidth="1"/>
    <col min="28" max="28" width="8.625" style="3" customWidth="1"/>
    <col min="29" max="29" width="12.25390625" style="3" customWidth="1"/>
    <col min="30" max="40" width="12.625" style="3" customWidth="1"/>
    <col min="41" max="41" width="9.625" style="37" customWidth="1"/>
    <col min="42" max="42" width="9.625" style="14" customWidth="1"/>
    <col min="44" max="44" width="11.875" style="0" bestFit="1" customWidth="1"/>
    <col min="45" max="45" width="9.875" style="0" bestFit="1" customWidth="1"/>
    <col min="46" max="48" width="10.875" style="0" bestFit="1" customWidth="1"/>
    <col min="49" max="49" width="9.875" style="0" bestFit="1" customWidth="1"/>
    <col min="50" max="54" width="10.875" style="0" bestFit="1" customWidth="1"/>
  </cols>
  <sheetData>
    <row r="1" spans="1:29" ht="12">
      <c r="A1" s="1" t="s">
        <v>0</v>
      </c>
      <c r="AC1" s="2"/>
    </row>
    <row r="2" spans="1:48" ht="12">
      <c r="A2" s="1" t="s">
        <v>1</v>
      </c>
      <c r="AG2" s="3" t="s">
        <v>106</v>
      </c>
      <c r="AP2" s="38"/>
      <c r="AV2" t="s">
        <v>108</v>
      </c>
    </row>
    <row r="3" spans="29:54" ht="12">
      <c r="AC3" s="4" t="s">
        <v>2</v>
      </c>
      <c r="AD3" s="4" t="s">
        <v>2</v>
      </c>
      <c r="AE3" s="4" t="s">
        <v>2</v>
      </c>
      <c r="AF3" s="4" t="s">
        <v>2</v>
      </c>
      <c r="AG3" s="4" t="s">
        <v>2</v>
      </c>
      <c r="AH3" s="4" t="s">
        <v>2</v>
      </c>
      <c r="AI3" s="4" t="s">
        <v>2</v>
      </c>
      <c r="AJ3" s="4" t="s">
        <v>2</v>
      </c>
      <c r="AK3" s="4" t="s">
        <v>2</v>
      </c>
      <c r="AL3" s="4" t="s">
        <v>2</v>
      </c>
      <c r="AM3" s="4" t="s">
        <v>2</v>
      </c>
      <c r="AN3" s="4" t="s">
        <v>2</v>
      </c>
      <c r="AQ3" s="4" t="s">
        <v>2</v>
      </c>
      <c r="AR3" s="4" t="s">
        <v>2</v>
      </c>
      <c r="AS3" s="4" t="s">
        <v>2</v>
      </c>
      <c r="AT3" s="4" t="s">
        <v>2</v>
      </c>
      <c r="AU3" s="4" t="s">
        <v>2</v>
      </c>
      <c r="AV3" s="4" t="s">
        <v>2</v>
      </c>
      <c r="AW3" s="4" t="s">
        <v>2</v>
      </c>
      <c r="AX3" s="4" t="s">
        <v>2</v>
      </c>
      <c r="AY3" s="4" t="s">
        <v>2</v>
      </c>
      <c r="AZ3" s="4" t="s">
        <v>2</v>
      </c>
      <c r="BA3" s="4" t="s">
        <v>2</v>
      </c>
      <c r="BB3" s="4" t="s">
        <v>2</v>
      </c>
    </row>
    <row r="4" spans="1:54" ht="12">
      <c r="A4" s="4" t="s">
        <v>2</v>
      </c>
      <c r="B4" s="16" t="s">
        <v>2</v>
      </c>
      <c r="C4" s="16"/>
      <c r="D4" s="16" t="s">
        <v>2</v>
      </c>
      <c r="E4" s="16"/>
      <c r="F4" s="16" t="s">
        <v>2</v>
      </c>
      <c r="G4" s="16"/>
      <c r="H4" s="16" t="s">
        <v>2</v>
      </c>
      <c r="I4" s="16"/>
      <c r="J4" s="16" t="s">
        <v>2</v>
      </c>
      <c r="K4" s="16"/>
      <c r="L4" s="16" t="s">
        <v>2</v>
      </c>
      <c r="M4" s="16"/>
      <c r="N4" s="16"/>
      <c r="O4" s="16"/>
      <c r="P4" s="16"/>
      <c r="Q4" s="16"/>
      <c r="R4" s="16" t="s">
        <v>2</v>
      </c>
      <c r="S4" s="16"/>
      <c r="T4" s="16" t="s">
        <v>2</v>
      </c>
      <c r="U4" s="16"/>
      <c r="V4" s="16" t="s">
        <v>2</v>
      </c>
      <c r="W4" s="16"/>
      <c r="X4" s="16" t="s">
        <v>2</v>
      </c>
      <c r="Y4" s="16"/>
      <c r="Z4" s="16" t="s">
        <v>2</v>
      </c>
      <c r="AA4" s="16"/>
      <c r="AB4" s="4"/>
      <c r="AD4" s="5"/>
      <c r="AF4" s="5"/>
      <c r="AG4" s="5"/>
      <c r="AH4" s="5"/>
      <c r="AJ4" s="2" t="s">
        <v>4</v>
      </c>
      <c r="AQ4" s="3"/>
      <c r="AR4" s="5"/>
      <c r="AS4" s="3"/>
      <c r="AT4" s="5"/>
      <c r="AU4" s="5"/>
      <c r="AV4" s="5"/>
      <c r="AW4" s="3"/>
      <c r="AX4" s="2" t="s">
        <v>4</v>
      </c>
      <c r="AY4" s="3"/>
      <c r="AZ4" s="3"/>
      <c r="BA4" s="3"/>
      <c r="BB4" s="3"/>
    </row>
    <row r="5" spans="1:54" ht="12">
      <c r="A5" s="3"/>
      <c r="B5" s="17"/>
      <c r="C5" s="17"/>
      <c r="D5" s="17"/>
      <c r="E5" s="17"/>
      <c r="F5" s="17"/>
      <c r="G5" s="17"/>
      <c r="H5" s="17"/>
      <c r="I5" s="17"/>
      <c r="J5" s="17"/>
      <c r="K5" s="17"/>
      <c r="L5" s="15" t="s">
        <v>104</v>
      </c>
      <c r="R5" s="18" t="s">
        <v>4</v>
      </c>
      <c r="S5" s="18"/>
      <c r="AD5" s="6" t="s">
        <v>5</v>
      </c>
      <c r="AE5" s="6" t="s">
        <v>6</v>
      </c>
      <c r="AF5" s="6" t="s">
        <v>7</v>
      </c>
      <c r="AG5" s="6" t="s">
        <v>8</v>
      </c>
      <c r="AH5" s="6" t="s">
        <v>9</v>
      </c>
      <c r="AI5" s="6" t="s">
        <v>10</v>
      </c>
      <c r="AJ5" s="4" t="s">
        <v>2</v>
      </c>
      <c r="AK5" s="4" t="s">
        <v>2</v>
      </c>
      <c r="AL5" s="4" t="s">
        <v>2</v>
      </c>
      <c r="AM5" s="6" t="s">
        <v>11</v>
      </c>
      <c r="AN5" s="6" t="s">
        <v>12</v>
      </c>
      <c r="AQ5" s="3"/>
      <c r="AR5" s="6" t="s">
        <v>5</v>
      </c>
      <c r="AS5" s="6" t="s">
        <v>6</v>
      </c>
      <c r="AT5" s="6" t="s">
        <v>7</v>
      </c>
      <c r="AU5" s="6" t="s">
        <v>8</v>
      </c>
      <c r="AV5" s="6" t="s">
        <v>9</v>
      </c>
      <c r="AW5" s="6" t="s">
        <v>10</v>
      </c>
      <c r="AX5" s="4" t="s">
        <v>2</v>
      </c>
      <c r="AY5" s="4" t="s">
        <v>2</v>
      </c>
      <c r="AZ5" s="4" t="s">
        <v>2</v>
      </c>
      <c r="BA5" s="6" t="s">
        <v>11</v>
      </c>
      <c r="BB5" s="6" t="s">
        <v>12</v>
      </c>
    </row>
    <row r="6" spans="1:54" ht="12">
      <c r="A6" s="3"/>
      <c r="B6" s="19" t="s">
        <v>5</v>
      </c>
      <c r="C6" s="19"/>
      <c r="D6" s="19" t="s">
        <v>6</v>
      </c>
      <c r="E6" s="19"/>
      <c r="F6" s="19" t="s">
        <v>7</v>
      </c>
      <c r="G6" s="19"/>
      <c r="H6" s="19" t="s">
        <v>8</v>
      </c>
      <c r="I6" s="19"/>
      <c r="J6" s="19" t="s">
        <v>9</v>
      </c>
      <c r="K6" s="19"/>
      <c r="L6" s="19" t="s">
        <v>10</v>
      </c>
      <c r="M6" s="19"/>
      <c r="N6" s="19" t="s">
        <v>101</v>
      </c>
      <c r="O6" s="19"/>
      <c r="P6" s="19" t="s">
        <v>101</v>
      </c>
      <c r="Q6" s="19"/>
      <c r="R6" s="16" t="s">
        <v>2</v>
      </c>
      <c r="S6" s="16"/>
      <c r="T6" s="16" t="s">
        <v>2</v>
      </c>
      <c r="U6" s="16"/>
      <c r="V6" s="16" t="s">
        <v>2</v>
      </c>
      <c r="W6" s="16"/>
      <c r="X6" s="19" t="s">
        <v>11</v>
      </c>
      <c r="Y6" s="19"/>
      <c r="Z6" s="19" t="s">
        <v>12</v>
      </c>
      <c r="AA6" s="19"/>
      <c r="AB6" s="6"/>
      <c r="AC6" s="6" t="s">
        <v>13</v>
      </c>
      <c r="AD6" s="6" t="s">
        <v>14</v>
      </c>
      <c r="AE6" s="6" t="s">
        <v>15</v>
      </c>
      <c r="AF6" s="6" t="s">
        <v>16</v>
      </c>
      <c r="AG6" s="6" t="s">
        <v>16</v>
      </c>
      <c r="AH6" s="6" t="s">
        <v>16</v>
      </c>
      <c r="AI6" s="6" t="s">
        <v>17</v>
      </c>
      <c r="AJ6" s="6" t="s">
        <v>18</v>
      </c>
      <c r="AK6" s="6" t="s">
        <v>19</v>
      </c>
      <c r="AL6" s="6" t="s">
        <v>20</v>
      </c>
      <c r="AM6" s="6" t="s">
        <v>16</v>
      </c>
      <c r="AN6" s="6" t="s">
        <v>16</v>
      </c>
      <c r="AQ6" s="6" t="s">
        <v>13</v>
      </c>
      <c r="AR6" s="6" t="s">
        <v>14</v>
      </c>
      <c r="AS6" s="6" t="s">
        <v>15</v>
      </c>
      <c r="AT6" s="6" t="s">
        <v>16</v>
      </c>
      <c r="AU6" s="6" t="s">
        <v>16</v>
      </c>
      <c r="AV6" s="6" t="s">
        <v>16</v>
      </c>
      <c r="AW6" s="6" t="s">
        <v>17</v>
      </c>
      <c r="AX6" s="6" t="s">
        <v>18</v>
      </c>
      <c r="AY6" s="6" t="s">
        <v>19</v>
      </c>
      <c r="AZ6" s="6" t="s">
        <v>20</v>
      </c>
      <c r="BA6" s="6" t="s">
        <v>16</v>
      </c>
      <c r="BB6" s="6" t="s">
        <v>16</v>
      </c>
    </row>
    <row r="7" spans="1:54" ht="12">
      <c r="A7" s="6" t="s">
        <v>13</v>
      </c>
      <c r="B7" s="19" t="s">
        <v>14</v>
      </c>
      <c r="C7" s="19" t="s">
        <v>100</v>
      </c>
      <c r="D7" s="19" t="s">
        <v>15</v>
      </c>
      <c r="E7" s="19" t="s">
        <v>100</v>
      </c>
      <c r="F7" s="19" t="s">
        <v>16</v>
      </c>
      <c r="G7" s="19" t="s">
        <v>100</v>
      </c>
      <c r="H7" s="19" t="s">
        <v>16</v>
      </c>
      <c r="I7" s="19" t="s">
        <v>100</v>
      </c>
      <c r="J7" s="19" t="s">
        <v>16</v>
      </c>
      <c r="K7" s="19" t="s">
        <v>100</v>
      </c>
      <c r="L7" s="19" t="s">
        <v>17</v>
      </c>
      <c r="M7" s="19" t="s">
        <v>100</v>
      </c>
      <c r="N7" s="19" t="s">
        <v>102</v>
      </c>
      <c r="O7" s="19" t="s">
        <v>100</v>
      </c>
      <c r="P7" s="19" t="s">
        <v>105</v>
      </c>
      <c r="Q7" s="19" t="s">
        <v>100</v>
      </c>
      <c r="R7" s="19" t="s">
        <v>18</v>
      </c>
      <c r="S7" s="19" t="s">
        <v>100</v>
      </c>
      <c r="T7" s="19" t="s">
        <v>19</v>
      </c>
      <c r="U7" s="19" t="s">
        <v>100</v>
      </c>
      <c r="V7" s="19" t="s">
        <v>20</v>
      </c>
      <c r="W7" s="19" t="s">
        <v>100</v>
      </c>
      <c r="X7" s="19" t="s">
        <v>16</v>
      </c>
      <c r="Y7" s="19" t="s">
        <v>100</v>
      </c>
      <c r="Z7" s="19" t="s">
        <v>16</v>
      </c>
      <c r="AA7" s="19" t="s">
        <v>100</v>
      </c>
      <c r="AB7" s="6"/>
      <c r="AD7" s="6" t="s">
        <v>16</v>
      </c>
      <c r="AF7" s="5"/>
      <c r="AG7" s="5"/>
      <c r="AH7" s="5"/>
      <c r="AK7" s="6" t="s">
        <v>21</v>
      </c>
      <c r="AL7" s="6" t="s">
        <v>16</v>
      </c>
      <c r="AQ7" s="3"/>
      <c r="AR7" s="6" t="s">
        <v>16</v>
      </c>
      <c r="AS7" s="3"/>
      <c r="AT7" s="5"/>
      <c r="AU7" s="5"/>
      <c r="AV7" s="5"/>
      <c r="AW7" s="3"/>
      <c r="AX7" s="3"/>
      <c r="AY7" s="6" t="s">
        <v>21</v>
      </c>
      <c r="AZ7" s="6" t="s">
        <v>16</v>
      </c>
      <c r="BA7" s="3"/>
      <c r="BB7" s="3"/>
    </row>
    <row r="8" spans="1:54" ht="12">
      <c r="A8" s="3"/>
      <c r="B8" s="19" t="s">
        <v>16</v>
      </c>
      <c r="C8" s="19"/>
      <c r="F8" s="17"/>
      <c r="G8" s="17"/>
      <c r="H8" s="17"/>
      <c r="I8" s="17"/>
      <c r="J8" s="17"/>
      <c r="K8" s="17"/>
      <c r="N8" s="15" t="s">
        <v>103</v>
      </c>
      <c r="T8" s="19" t="s">
        <v>21</v>
      </c>
      <c r="U8" s="19"/>
      <c r="V8" s="19" t="s">
        <v>16</v>
      </c>
      <c r="W8" s="19"/>
      <c r="AC8" s="4" t="s">
        <v>2</v>
      </c>
      <c r="AD8" s="4" t="s">
        <v>2</v>
      </c>
      <c r="AE8" s="4" t="s">
        <v>2</v>
      </c>
      <c r="AF8" s="4" t="s">
        <v>2</v>
      </c>
      <c r="AG8" s="4" t="s">
        <v>2</v>
      </c>
      <c r="AH8" s="4" t="s">
        <v>2</v>
      </c>
      <c r="AI8" s="4" t="s">
        <v>2</v>
      </c>
      <c r="AJ8" s="4" t="s">
        <v>2</v>
      </c>
      <c r="AK8" s="4" t="s">
        <v>2</v>
      </c>
      <c r="AL8" s="4" t="s">
        <v>2</v>
      </c>
      <c r="AM8" s="4" t="s">
        <v>2</v>
      </c>
      <c r="AN8" s="4" t="s">
        <v>2</v>
      </c>
      <c r="AQ8" s="4" t="s">
        <v>2</v>
      </c>
      <c r="AR8" s="4" t="s">
        <v>2</v>
      </c>
      <c r="AS8" s="4" t="s">
        <v>2</v>
      </c>
      <c r="AT8" s="4" t="s">
        <v>2</v>
      </c>
      <c r="AU8" s="4" t="s">
        <v>2</v>
      </c>
      <c r="AV8" s="4" t="s">
        <v>2</v>
      </c>
      <c r="AW8" s="4" t="s">
        <v>2</v>
      </c>
      <c r="AX8" s="4" t="s">
        <v>2</v>
      </c>
      <c r="AY8" s="4" t="s">
        <v>2</v>
      </c>
      <c r="AZ8" s="4" t="s">
        <v>2</v>
      </c>
      <c r="BA8" s="4" t="s">
        <v>2</v>
      </c>
      <c r="BB8" s="4" t="s">
        <v>2</v>
      </c>
    </row>
    <row r="9" spans="1:54" ht="12">
      <c r="A9" s="4" t="s">
        <v>2</v>
      </c>
      <c r="B9" s="16" t="s">
        <v>2</v>
      </c>
      <c r="C9" s="16"/>
      <c r="D9" s="16" t="s">
        <v>2</v>
      </c>
      <c r="E9" s="16"/>
      <c r="F9" s="16" t="s">
        <v>2</v>
      </c>
      <c r="G9" s="16"/>
      <c r="H9" s="16" t="s">
        <v>2</v>
      </c>
      <c r="I9" s="16"/>
      <c r="J9" s="16" t="s">
        <v>2</v>
      </c>
      <c r="K9" s="16"/>
      <c r="L9" s="16" t="s">
        <v>2</v>
      </c>
      <c r="M9" s="16"/>
      <c r="N9" s="16"/>
      <c r="O9" s="16"/>
      <c r="P9" s="16"/>
      <c r="Q9" s="16"/>
      <c r="R9" s="16" t="s">
        <v>2</v>
      </c>
      <c r="S9" s="16"/>
      <c r="T9" s="16" t="s">
        <v>2</v>
      </c>
      <c r="U9" s="16"/>
      <c r="V9" s="16" t="s">
        <v>2</v>
      </c>
      <c r="W9" s="16"/>
      <c r="X9" s="16" t="s">
        <v>2</v>
      </c>
      <c r="Y9" s="16"/>
      <c r="Z9" s="16" t="s">
        <v>2</v>
      </c>
      <c r="AA9" s="16"/>
      <c r="AB9" s="4"/>
      <c r="AC9" s="6" t="s">
        <v>22</v>
      </c>
      <c r="AD9" s="6" t="s">
        <v>23</v>
      </c>
      <c r="AE9" s="3">
        <v>3</v>
      </c>
      <c r="AF9" s="6" t="s">
        <v>25</v>
      </c>
      <c r="AG9" s="6" t="s">
        <v>26</v>
      </c>
      <c r="AH9" s="6" t="s">
        <v>27</v>
      </c>
      <c r="AI9" s="6" t="s">
        <v>28</v>
      </c>
      <c r="AJ9" s="6" t="s">
        <v>29</v>
      </c>
      <c r="AK9" s="6" t="s">
        <v>30</v>
      </c>
      <c r="AL9" s="6" t="s">
        <v>31</v>
      </c>
      <c r="AM9" s="6" t="s">
        <v>32</v>
      </c>
      <c r="AN9" s="6" t="s">
        <v>33</v>
      </c>
      <c r="AQ9" s="6" t="s">
        <v>22</v>
      </c>
      <c r="AR9" s="6" t="s">
        <v>23</v>
      </c>
      <c r="AS9" s="3">
        <v>3</v>
      </c>
      <c r="AT9" s="6" t="s">
        <v>25</v>
      </c>
      <c r="AU9" s="6" t="s">
        <v>26</v>
      </c>
      <c r="AV9" s="6" t="s">
        <v>27</v>
      </c>
      <c r="AW9" s="6" t="s">
        <v>28</v>
      </c>
      <c r="AX9" s="6" t="s">
        <v>29</v>
      </c>
      <c r="AY9" s="6" t="s">
        <v>30</v>
      </c>
      <c r="AZ9" s="6" t="s">
        <v>31</v>
      </c>
      <c r="BA9" s="6" t="s">
        <v>32</v>
      </c>
      <c r="BB9" s="6" t="s">
        <v>33</v>
      </c>
    </row>
    <row r="10" spans="1:54" ht="12">
      <c r="A10" s="6" t="s">
        <v>22</v>
      </c>
      <c r="B10" s="19" t="s">
        <v>23</v>
      </c>
      <c r="C10" s="19"/>
      <c r="D10" s="19" t="s">
        <v>24</v>
      </c>
      <c r="E10" s="19"/>
      <c r="F10" s="19" t="s">
        <v>25</v>
      </c>
      <c r="G10" s="19"/>
      <c r="H10" s="19" t="s">
        <v>26</v>
      </c>
      <c r="I10" s="19"/>
      <c r="J10" s="19" t="s">
        <v>27</v>
      </c>
      <c r="K10" s="19"/>
      <c r="L10" s="19" t="s">
        <v>28</v>
      </c>
      <c r="M10" s="19"/>
      <c r="N10" s="19"/>
      <c r="O10" s="19"/>
      <c r="P10" s="19"/>
      <c r="Q10" s="19"/>
      <c r="R10" s="19" t="s">
        <v>29</v>
      </c>
      <c r="S10" s="19"/>
      <c r="T10" s="19" t="s">
        <v>30</v>
      </c>
      <c r="U10" s="19"/>
      <c r="V10" s="19" t="s">
        <v>31</v>
      </c>
      <c r="W10" s="19"/>
      <c r="X10" s="19" t="s">
        <v>32</v>
      </c>
      <c r="Y10" s="19"/>
      <c r="Z10" s="19" t="s">
        <v>33</v>
      </c>
      <c r="AA10" s="19"/>
      <c r="AB10" s="6"/>
      <c r="AC10" s="4" t="s">
        <v>2</v>
      </c>
      <c r="AD10" s="4" t="s">
        <v>2</v>
      </c>
      <c r="AE10" s="4" t="s">
        <v>2</v>
      </c>
      <c r="AF10" s="4" t="s">
        <v>2</v>
      </c>
      <c r="AG10" s="4" t="s">
        <v>2</v>
      </c>
      <c r="AH10" s="4" t="s">
        <v>2</v>
      </c>
      <c r="AI10" s="4" t="s">
        <v>2</v>
      </c>
      <c r="AJ10" s="4" t="s">
        <v>2</v>
      </c>
      <c r="AK10" s="4" t="s">
        <v>2</v>
      </c>
      <c r="AL10" s="4" t="s">
        <v>2</v>
      </c>
      <c r="AM10" s="4" t="s">
        <v>2</v>
      </c>
      <c r="AN10" s="4" t="s">
        <v>2</v>
      </c>
      <c r="AQ10" s="4" t="s">
        <v>2</v>
      </c>
      <c r="AR10" s="4" t="s">
        <v>2</v>
      </c>
      <c r="AS10" s="4" t="s">
        <v>2</v>
      </c>
      <c r="AT10" s="4" t="s">
        <v>2</v>
      </c>
      <c r="AU10" s="4" t="s">
        <v>2</v>
      </c>
      <c r="AV10" s="4" t="s">
        <v>2</v>
      </c>
      <c r="AW10" s="4" t="s">
        <v>2</v>
      </c>
      <c r="AX10" s="4" t="s">
        <v>2</v>
      </c>
      <c r="AY10" s="4" t="s">
        <v>2</v>
      </c>
      <c r="AZ10" s="4" t="s">
        <v>2</v>
      </c>
      <c r="BA10" s="4" t="s">
        <v>2</v>
      </c>
      <c r="BB10" s="4" t="s">
        <v>2</v>
      </c>
    </row>
    <row r="11" spans="1:54" ht="12">
      <c r="A11" s="4" t="s">
        <v>2</v>
      </c>
      <c r="B11" s="16" t="s">
        <v>2</v>
      </c>
      <c r="C11" s="16"/>
      <c r="D11" s="16" t="s">
        <v>2</v>
      </c>
      <c r="E11" s="16"/>
      <c r="F11" s="16" t="s">
        <v>2</v>
      </c>
      <c r="G11" s="16"/>
      <c r="H11" s="16" t="s">
        <v>2</v>
      </c>
      <c r="I11" s="16"/>
      <c r="J11" s="16" t="s">
        <v>2</v>
      </c>
      <c r="K11" s="16"/>
      <c r="L11" s="16" t="s">
        <v>2</v>
      </c>
      <c r="M11" s="16"/>
      <c r="N11" s="16"/>
      <c r="O11" s="16"/>
      <c r="P11" s="16"/>
      <c r="Q11" s="16"/>
      <c r="R11" s="16" t="s">
        <v>2</v>
      </c>
      <c r="S11" s="16"/>
      <c r="T11" s="16" t="s">
        <v>2</v>
      </c>
      <c r="U11" s="16"/>
      <c r="V11" s="16" t="s">
        <v>2</v>
      </c>
      <c r="W11" s="16"/>
      <c r="X11" s="16" t="s">
        <v>2</v>
      </c>
      <c r="Y11" s="16"/>
      <c r="Z11" s="16" t="s">
        <v>2</v>
      </c>
      <c r="AA11" s="16"/>
      <c r="AB11" s="4"/>
      <c r="AC11" s="2"/>
      <c r="AD11" s="43"/>
      <c r="AF11" s="7"/>
      <c r="AG11" s="5"/>
      <c r="AH11" s="5"/>
      <c r="AI11" s="5"/>
      <c r="AJ11" s="5"/>
      <c r="AK11" s="7"/>
      <c r="AL11" s="7"/>
      <c r="AM11" s="7"/>
      <c r="AN11" s="7"/>
      <c r="AQ11" s="2"/>
      <c r="AR11" s="7"/>
      <c r="AS11" s="3"/>
      <c r="AT11" s="7"/>
      <c r="AU11" s="5"/>
      <c r="AV11" s="5"/>
      <c r="AW11" s="5"/>
      <c r="AX11" s="5"/>
      <c r="AY11" s="7"/>
      <c r="AZ11" s="7"/>
      <c r="BA11" s="7"/>
      <c r="BB11" s="7"/>
    </row>
    <row r="12" spans="1:54" ht="12">
      <c r="A12" s="30">
        <v>1940</v>
      </c>
      <c r="B12" s="22" t="s">
        <v>107</v>
      </c>
      <c r="C12" s="22" t="s">
        <v>107</v>
      </c>
      <c r="D12" s="22" t="s">
        <v>107</v>
      </c>
      <c r="E12" s="22" t="s">
        <v>107</v>
      </c>
      <c r="F12" s="22" t="s">
        <v>107</v>
      </c>
      <c r="G12" s="22" t="s">
        <v>107</v>
      </c>
      <c r="H12" s="22"/>
      <c r="I12" s="22"/>
      <c r="J12" s="22"/>
      <c r="K12" s="22"/>
      <c r="L12" s="22"/>
      <c r="M12" s="22"/>
      <c r="N12" s="52"/>
      <c r="O12" s="52"/>
      <c r="P12" s="52"/>
      <c r="Q12" s="52"/>
      <c r="R12" s="52"/>
      <c r="S12" s="52"/>
      <c r="T12" s="22" t="s">
        <v>107</v>
      </c>
      <c r="U12" s="22" t="s">
        <v>107</v>
      </c>
      <c r="V12" s="22" t="s">
        <v>107</v>
      </c>
      <c r="W12" s="22" t="s">
        <v>107</v>
      </c>
      <c r="X12" s="22" t="s">
        <v>107</v>
      </c>
      <c r="Y12" s="22" t="s">
        <v>107</v>
      </c>
      <c r="Z12" s="22" t="s">
        <v>107</v>
      </c>
      <c r="AA12" s="22" t="s">
        <v>107</v>
      </c>
      <c r="AB12" s="28"/>
      <c r="AC12" s="30">
        <v>1940</v>
      </c>
      <c r="AD12" s="43" t="s">
        <v>107</v>
      </c>
      <c r="AE12" s="7" t="s">
        <v>107</v>
      </c>
      <c r="AF12" s="7" t="s">
        <v>107</v>
      </c>
      <c r="AG12" s="7"/>
      <c r="AH12" s="7"/>
      <c r="AI12" s="7"/>
      <c r="AJ12" s="7"/>
      <c r="AK12" s="7" t="s">
        <v>107</v>
      </c>
      <c r="AL12" s="7" t="s">
        <v>107</v>
      </c>
      <c r="AM12" s="7" t="s">
        <v>107</v>
      </c>
      <c r="AN12" s="7" t="s">
        <v>107</v>
      </c>
      <c r="AO12" s="39">
        <v>1940</v>
      </c>
      <c r="AP12" s="40">
        <v>1940</v>
      </c>
      <c r="AQ12" s="30">
        <v>1940</v>
      </c>
      <c r="AR12" s="43" t="s">
        <v>107</v>
      </c>
      <c r="AS12" s="7" t="s">
        <v>107</v>
      </c>
      <c r="AT12" s="7" t="s">
        <v>107</v>
      </c>
      <c r="AU12" s="7"/>
      <c r="AV12" s="7"/>
      <c r="AW12" s="7"/>
      <c r="AX12" s="7"/>
      <c r="AY12" s="43" t="s">
        <v>107</v>
      </c>
      <c r="AZ12" s="43" t="s">
        <v>107</v>
      </c>
      <c r="BA12" s="43" t="s">
        <v>107</v>
      </c>
      <c r="BB12" s="43" t="s">
        <v>107</v>
      </c>
    </row>
    <row r="13" spans="1:54" ht="12">
      <c r="A13" s="30">
        <v>1945</v>
      </c>
      <c r="B13" s="22" t="s">
        <v>107</v>
      </c>
      <c r="C13" s="22" t="s">
        <v>107</v>
      </c>
      <c r="D13" s="22" t="s">
        <v>107</v>
      </c>
      <c r="E13" s="22" t="s">
        <v>107</v>
      </c>
      <c r="F13" s="22" t="s">
        <v>107</v>
      </c>
      <c r="G13" s="22" t="s">
        <v>107</v>
      </c>
      <c r="H13" s="22"/>
      <c r="I13" s="22"/>
      <c r="J13" s="22"/>
      <c r="K13" s="22"/>
      <c r="L13" s="22"/>
      <c r="M13" s="22"/>
      <c r="N13" s="52"/>
      <c r="O13" s="52"/>
      <c r="P13" s="52"/>
      <c r="Q13" s="52"/>
      <c r="R13" s="52"/>
      <c r="S13" s="52"/>
      <c r="T13" s="22" t="s">
        <v>107</v>
      </c>
      <c r="U13" s="22" t="s">
        <v>107</v>
      </c>
      <c r="V13" s="22" t="s">
        <v>107</v>
      </c>
      <c r="W13" s="22" t="s">
        <v>107</v>
      </c>
      <c r="X13" s="22" t="s">
        <v>107</v>
      </c>
      <c r="Y13" s="22" t="s">
        <v>107</v>
      </c>
      <c r="Z13" s="22" t="s">
        <v>107</v>
      </c>
      <c r="AA13" s="22" t="s">
        <v>107</v>
      </c>
      <c r="AB13" s="28"/>
      <c r="AC13" s="30">
        <v>1945</v>
      </c>
      <c r="AD13" s="43" t="s">
        <v>107</v>
      </c>
      <c r="AE13" s="7" t="s">
        <v>107</v>
      </c>
      <c r="AF13" s="7" t="s">
        <v>107</v>
      </c>
      <c r="AG13" s="7"/>
      <c r="AH13" s="7"/>
      <c r="AI13" s="7"/>
      <c r="AJ13" s="7"/>
      <c r="AK13" s="7" t="s">
        <v>107</v>
      </c>
      <c r="AL13" s="7" t="s">
        <v>107</v>
      </c>
      <c r="AM13" s="7" t="s">
        <v>107</v>
      </c>
      <c r="AN13" s="7" t="s">
        <v>107</v>
      </c>
      <c r="AO13" s="39">
        <v>1945</v>
      </c>
      <c r="AP13" s="40">
        <v>1945</v>
      </c>
      <c r="AQ13" s="30">
        <v>1945</v>
      </c>
      <c r="AR13" s="43" t="s">
        <v>107</v>
      </c>
      <c r="AS13" s="7" t="s">
        <v>107</v>
      </c>
      <c r="AT13" s="7" t="s">
        <v>107</v>
      </c>
      <c r="AU13" s="7"/>
      <c r="AV13" s="7"/>
      <c r="AW13" s="7"/>
      <c r="AX13" s="7"/>
      <c r="AY13" s="43" t="s">
        <v>107</v>
      </c>
      <c r="AZ13" s="43" t="s">
        <v>107</v>
      </c>
      <c r="BA13" s="43" t="s">
        <v>107</v>
      </c>
      <c r="BB13" s="43" t="s">
        <v>107</v>
      </c>
    </row>
    <row r="14" spans="1:54" ht="12">
      <c r="A14" s="30">
        <v>1947</v>
      </c>
      <c r="B14" s="22" t="s">
        <v>107</v>
      </c>
      <c r="C14" s="22" t="s">
        <v>107</v>
      </c>
      <c r="D14" s="22" t="s">
        <v>107</v>
      </c>
      <c r="E14" s="22" t="s">
        <v>107</v>
      </c>
      <c r="F14" s="22"/>
      <c r="G14" s="22"/>
      <c r="H14" s="22"/>
      <c r="I14" s="22"/>
      <c r="J14" s="22"/>
      <c r="K14" s="22"/>
      <c r="L14" s="22"/>
      <c r="M14" s="22"/>
      <c r="N14" s="52"/>
      <c r="O14" s="52"/>
      <c r="P14" s="52"/>
      <c r="Q14" s="52"/>
      <c r="R14" s="52"/>
      <c r="S14" s="52"/>
      <c r="T14" s="22" t="s">
        <v>107</v>
      </c>
      <c r="U14" s="22" t="s">
        <v>107</v>
      </c>
      <c r="V14" s="22" t="s">
        <v>107</v>
      </c>
      <c r="W14" s="22" t="s">
        <v>107</v>
      </c>
      <c r="X14" s="22"/>
      <c r="Y14" s="22"/>
      <c r="Z14" s="22" t="s">
        <v>107</v>
      </c>
      <c r="AA14" s="22" t="s">
        <v>107</v>
      </c>
      <c r="AB14" s="28"/>
      <c r="AC14" s="30">
        <v>1947</v>
      </c>
      <c r="AD14" s="43" t="s">
        <v>107</v>
      </c>
      <c r="AE14" s="7" t="s">
        <v>107</v>
      </c>
      <c r="AF14" s="43"/>
      <c r="AG14" s="43"/>
      <c r="AH14" s="43"/>
      <c r="AI14" s="43"/>
      <c r="AJ14" s="43"/>
      <c r="AK14" s="7" t="s">
        <v>107</v>
      </c>
      <c r="AL14" s="7" t="s">
        <v>107</v>
      </c>
      <c r="AM14" s="7"/>
      <c r="AN14" s="7" t="s">
        <v>107</v>
      </c>
      <c r="AO14" s="39">
        <v>1947</v>
      </c>
      <c r="AP14" s="40">
        <v>1947</v>
      </c>
      <c r="AQ14" s="30">
        <v>1947</v>
      </c>
      <c r="AR14" s="43" t="s">
        <v>107</v>
      </c>
      <c r="AS14" s="7" t="s">
        <v>107</v>
      </c>
      <c r="AT14" s="7"/>
      <c r="AU14" s="7"/>
      <c r="AV14" s="7"/>
      <c r="AW14" s="7"/>
      <c r="AX14" s="7"/>
      <c r="AY14" s="43" t="s">
        <v>107</v>
      </c>
      <c r="AZ14" s="43" t="s">
        <v>107</v>
      </c>
      <c r="BA14" s="43"/>
      <c r="BB14" s="43" t="s">
        <v>107</v>
      </c>
    </row>
    <row r="15" spans="1:54" ht="12">
      <c r="A15" s="30">
        <v>1948</v>
      </c>
      <c r="B15" s="22" t="s">
        <v>107</v>
      </c>
      <c r="C15" s="22" t="s">
        <v>107</v>
      </c>
      <c r="D15" s="22" t="s">
        <v>107</v>
      </c>
      <c r="E15" s="22" t="s">
        <v>107</v>
      </c>
      <c r="F15" s="22"/>
      <c r="G15" s="22"/>
      <c r="H15" s="22"/>
      <c r="I15" s="22"/>
      <c r="J15" s="22"/>
      <c r="K15" s="22"/>
      <c r="L15" s="22"/>
      <c r="M15" s="22"/>
      <c r="N15" s="52"/>
      <c r="O15" s="52"/>
      <c r="P15" s="52"/>
      <c r="Q15" s="52"/>
      <c r="R15" s="52"/>
      <c r="S15" s="52"/>
      <c r="T15" s="22" t="s">
        <v>107</v>
      </c>
      <c r="U15" s="22" t="s">
        <v>107</v>
      </c>
      <c r="V15" s="22" t="s">
        <v>107</v>
      </c>
      <c r="W15" s="22" t="s">
        <v>107</v>
      </c>
      <c r="X15" s="22"/>
      <c r="Y15" s="22"/>
      <c r="Z15" s="22" t="s">
        <v>107</v>
      </c>
      <c r="AA15" s="22" t="s">
        <v>107</v>
      </c>
      <c r="AB15" s="28"/>
      <c r="AC15" s="30">
        <v>1948</v>
      </c>
      <c r="AD15" s="43" t="s">
        <v>107</v>
      </c>
      <c r="AE15" s="7" t="s">
        <v>107</v>
      </c>
      <c r="AF15" s="43"/>
      <c r="AG15" s="43"/>
      <c r="AH15" s="43"/>
      <c r="AI15" s="43"/>
      <c r="AJ15" s="43"/>
      <c r="AK15" s="7" t="s">
        <v>107</v>
      </c>
      <c r="AL15" s="7" t="s">
        <v>107</v>
      </c>
      <c r="AM15" s="7"/>
      <c r="AN15" s="7" t="s">
        <v>107</v>
      </c>
      <c r="AO15" s="39">
        <v>1948</v>
      </c>
      <c r="AP15" s="40">
        <v>1948</v>
      </c>
      <c r="AQ15" s="30">
        <v>1948</v>
      </c>
      <c r="AR15" s="43" t="s">
        <v>107</v>
      </c>
      <c r="AS15" s="7" t="s">
        <v>107</v>
      </c>
      <c r="AT15" s="7"/>
      <c r="AU15" s="7"/>
      <c r="AV15" s="7"/>
      <c r="AW15" s="7"/>
      <c r="AX15" s="7"/>
      <c r="AY15" s="43" t="s">
        <v>107</v>
      </c>
      <c r="AZ15" s="43" t="s">
        <v>107</v>
      </c>
      <c r="BA15" s="43"/>
      <c r="BB15" s="43" t="s">
        <v>107</v>
      </c>
    </row>
    <row r="16" spans="1:54" ht="12">
      <c r="A16" s="30">
        <v>1949</v>
      </c>
      <c r="B16" s="22" t="s">
        <v>107</v>
      </c>
      <c r="C16" s="22" t="s">
        <v>107</v>
      </c>
      <c r="D16" s="22" t="s">
        <v>107</v>
      </c>
      <c r="E16" s="22" t="s">
        <v>107</v>
      </c>
      <c r="F16" s="22"/>
      <c r="G16" s="22"/>
      <c r="H16" s="22"/>
      <c r="I16" s="22"/>
      <c r="J16" s="22"/>
      <c r="K16" s="22"/>
      <c r="L16" s="22"/>
      <c r="M16" s="22"/>
      <c r="N16" s="52"/>
      <c r="O16" s="52"/>
      <c r="P16" s="52"/>
      <c r="Q16" s="52"/>
      <c r="R16" s="52"/>
      <c r="S16" s="52"/>
      <c r="T16" s="22" t="s">
        <v>107</v>
      </c>
      <c r="U16" s="22" t="s">
        <v>107</v>
      </c>
      <c r="V16" s="22" t="s">
        <v>107</v>
      </c>
      <c r="W16" s="22" t="s">
        <v>107</v>
      </c>
      <c r="X16" s="22"/>
      <c r="Y16" s="22"/>
      <c r="Z16" s="22" t="s">
        <v>107</v>
      </c>
      <c r="AA16" s="22" t="s">
        <v>107</v>
      </c>
      <c r="AB16" s="28"/>
      <c r="AC16" s="30">
        <v>1949</v>
      </c>
      <c r="AD16" s="43" t="s">
        <v>107</v>
      </c>
      <c r="AE16" s="7" t="s">
        <v>107</v>
      </c>
      <c r="AF16" s="43"/>
      <c r="AG16" s="43"/>
      <c r="AH16" s="43"/>
      <c r="AI16" s="43"/>
      <c r="AJ16" s="43"/>
      <c r="AK16" s="7" t="s">
        <v>107</v>
      </c>
      <c r="AL16" s="7" t="s">
        <v>107</v>
      </c>
      <c r="AM16" s="7"/>
      <c r="AN16" s="7" t="s">
        <v>107</v>
      </c>
      <c r="AO16" s="39">
        <v>1949</v>
      </c>
      <c r="AP16" s="40">
        <v>1949</v>
      </c>
      <c r="AQ16" s="30">
        <v>1949</v>
      </c>
      <c r="AR16" s="43" t="s">
        <v>107</v>
      </c>
      <c r="AS16" s="7" t="s">
        <v>107</v>
      </c>
      <c r="AT16" s="43"/>
      <c r="AU16" s="43"/>
      <c r="AV16" s="43"/>
      <c r="AW16" s="43"/>
      <c r="AX16" s="43"/>
      <c r="AY16" s="43" t="s">
        <v>107</v>
      </c>
      <c r="AZ16" s="43" t="s">
        <v>107</v>
      </c>
      <c r="BA16" s="43"/>
      <c r="BB16" s="43" t="s">
        <v>107</v>
      </c>
    </row>
    <row r="17" spans="1:54" ht="12">
      <c r="A17" s="30">
        <v>1950</v>
      </c>
      <c r="B17" s="22" t="s">
        <v>107</v>
      </c>
      <c r="C17" s="22" t="s">
        <v>107</v>
      </c>
      <c r="D17" s="22" t="s">
        <v>107</v>
      </c>
      <c r="E17" s="22" t="s">
        <v>107</v>
      </c>
      <c r="F17" s="22"/>
      <c r="G17" s="22"/>
      <c r="H17" s="22"/>
      <c r="I17" s="22"/>
      <c r="J17" s="22"/>
      <c r="K17" s="22"/>
      <c r="L17" s="22"/>
      <c r="M17" s="22"/>
      <c r="N17" s="52"/>
      <c r="O17" s="52"/>
      <c r="P17" s="52"/>
      <c r="Q17" s="52"/>
      <c r="R17" s="52"/>
      <c r="S17" s="52"/>
      <c r="T17" s="22" t="s">
        <v>107</v>
      </c>
      <c r="U17" s="22" t="s">
        <v>107</v>
      </c>
      <c r="V17" s="22" t="s">
        <v>107</v>
      </c>
      <c r="W17" s="22" t="s">
        <v>107</v>
      </c>
      <c r="X17" s="22"/>
      <c r="Y17" s="22"/>
      <c r="Z17" s="22"/>
      <c r="AA17" s="22"/>
      <c r="AB17" s="28"/>
      <c r="AC17" s="30">
        <v>1950</v>
      </c>
      <c r="AD17" s="43" t="s">
        <v>107</v>
      </c>
      <c r="AE17" s="7" t="s">
        <v>107</v>
      </c>
      <c r="AF17" s="43"/>
      <c r="AG17" s="43"/>
      <c r="AH17" s="43"/>
      <c r="AI17" s="43"/>
      <c r="AJ17" s="43"/>
      <c r="AK17" s="7" t="s">
        <v>107</v>
      </c>
      <c r="AL17" s="7" t="s">
        <v>107</v>
      </c>
      <c r="AM17" s="7"/>
      <c r="AN17" s="7"/>
      <c r="AO17" s="39">
        <v>1950</v>
      </c>
      <c r="AP17" s="40">
        <v>1950</v>
      </c>
      <c r="AQ17" s="30">
        <v>1950</v>
      </c>
      <c r="AR17" s="43" t="s">
        <v>107</v>
      </c>
      <c r="AS17" s="7" t="s">
        <v>107</v>
      </c>
      <c r="AT17" s="43"/>
      <c r="AU17" s="43"/>
      <c r="AV17" s="43"/>
      <c r="AW17" s="43"/>
      <c r="AX17" s="43"/>
      <c r="AY17" s="43" t="s">
        <v>107</v>
      </c>
      <c r="AZ17" s="43" t="s">
        <v>107</v>
      </c>
      <c r="BA17" s="43"/>
      <c r="BB17" s="43"/>
    </row>
    <row r="18" spans="1:54" ht="12">
      <c r="A18" s="30">
        <v>1951</v>
      </c>
      <c r="B18" s="22" t="s">
        <v>107</v>
      </c>
      <c r="C18" s="22" t="s">
        <v>107</v>
      </c>
      <c r="D18" s="22" t="s">
        <v>107</v>
      </c>
      <c r="E18" s="22" t="s">
        <v>107</v>
      </c>
      <c r="F18" s="22"/>
      <c r="G18" s="22"/>
      <c r="H18" s="22"/>
      <c r="I18" s="22"/>
      <c r="J18" s="22"/>
      <c r="K18" s="22"/>
      <c r="L18" s="22"/>
      <c r="M18" s="22"/>
      <c r="N18" s="52"/>
      <c r="O18" s="52"/>
      <c r="P18" s="52"/>
      <c r="Q18" s="52"/>
      <c r="R18" s="52"/>
      <c r="S18" s="52"/>
      <c r="T18" s="22" t="s">
        <v>107</v>
      </c>
      <c r="U18" s="22" t="s">
        <v>107</v>
      </c>
      <c r="V18" s="22" t="s">
        <v>107</v>
      </c>
      <c r="W18" s="22" t="s">
        <v>107</v>
      </c>
      <c r="X18" s="22"/>
      <c r="Y18" s="22"/>
      <c r="Z18" s="22" t="s">
        <v>107</v>
      </c>
      <c r="AA18" s="22" t="s">
        <v>107</v>
      </c>
      <c r="AB18" s="28"/>
      <c r="AC18" s="30">
        <v>1951</v>
      </c>
      <c r="AD18" s="43" t="s">
        <v>107</v>
      </c>
      <c r="AE18" s="7" t="s">
        <v>107</v>
      </c>
      <c r="AF18" s="43"/>
      <c r="AG18" s="43"/>
      <c r="AH18" s="43"/>
      <c r="AI18" s="43"/>
      <c r="AJ18" s="43"/>
      <c r="AK18" s="7" t="s">
        <v>107</v>
      </c>
      <c r="AL18" s="7" t="s">
        <v>107</v>
      </c>
      <c r="AM18" s="7"/>
      <c r="AN18" s="7" t="s">
        <v>107</v>
      </c>
      <c r="AO18" s="39">
        <v>1951</v>
      </c>
      <c r="AP18" s="40">
        <v>1951</v>
      </c>
      <c r="AQ18" s="30">
        <v>1951</v>
      </c>
      <c r="AR18" s="43" t="s">
        <v>107</v>
      </c>
      <c r="AS18" s="7" t="s">
        <v>107</v>
      </c>
      <c r="AT18" s="43"/>
      <c r="AU18" s="43"/>
      <c r="AV18" s="43"/>
      <c r="AW18" s="43"/>
      <c r="AX18" s="43"/>
      <c r="AY18" s="43" t="s">
        <v>107</v>
      </c>
      <c r="AZ18" s="43" t="s">
        <v>107</v>
      </c>
      <c r="BA18" s="43"/>
      <c r="BB18" s="43" t="s">
        <v>107</v>
      </c>
    </row>
    <row r="19" spans="1:54" ht="12">
      <c r="A19" s="30">
        <v>1952</v>
      </c>
      <c r="B19" s="22" t="s">
        <v>107</v>
      </c>
      <c r="C19" s="22" t="s">
        <v>107</v>
      </c>
      <c r="D19" s="22" t="s">
        <v>107</v>
      </c>
      <c r="E19" s="22" t="s">
        <v>107</v>
      </c>
      <c r="F19" s="22"/>
      <c r="G19" s="22"/>
      <c r="H19" s="22"/>
      <c r="I19" s="22"/>
      <c r="J19" s="22"/>
      <c r="K19" s="22"/>
      <c r="L19" s="22"/>
      <c r="M19" s="22"/>
      <c r="N19" s="52"/>
      <c r="O19" s="52"/>
      <c r="P19" s="52"/>
      <c r="Q19" s="52"/>
      <c r="R19" s="52"/>
      <c r="S19" s="52"/>
      <c r="T19" s="22" t="s">
        <v>107</v>
      </c>
      <c r="U19" s="22" t="s">
        <v>107</v>
      </c>
      <c r="V19" s="22" t="s">
        <v>107</v>
      </c>
      <c r="W19" s="22" t="s">
        <v>107</v>
      </c>
      <c r="X19" s="22"/>
      <c r="Y19" s="22"/>
      <c r="Z19" s="22"/>
      <c r="AA19" s="22"/>
      <c r="AB19" s="28"/>
      <c r="AC19" s="30">
        <v>1952</v>
      </c>
      <c r="AD19" s="43" t="s">
        <v>107</v>
      </c>
      <c r="AE19" s="7" t="s">
        <v>107</v>
      </c>
      <c r="AF19" s="43"/>
      <c r="AG19" s="43"/>
      <c r="AH19" s="43"/>
      <c r="AI19" s="43"/>
      <c r="AJ19" s="43"/>
      <c r="AK19" s="7" t="s">
        <v>107</v>
      </c>
      <c r="AL19" s="7" t="s">
        <v>107</v>
      </c>
      <c r="AM19" s="43"/>
      <c r="AN19" s="43"/>
      <c r="AO19" s="39">
        <v>1952</v>
      </c>
      <c r="AP19" s="40">
        <v>1952</v>
      </c>
      <c r="AQ19" s="30">
        <v>1952</v>
      </c>
      <c r="AR19" s="43" t="s">
        <v>107</v>
      </c>
      <c r="AS19" s="7" t="s">
        <v>107</v>
      </c>
      <c r="AT19" s="43"/>
      <c r="AU19" s="43"/>
      <c r="AV19" s="43"/>
      <c r="AW19" s="43"/>
      <c r="AX19" s="43"/>
      <c r="AY19" s="43" t="s">
        <v>107</v>
      </c>
      <c r="AZ19" s="43" t="s">
        <v>107</v>
      </c>
      <c r="BA19" s="43"/>
      <c r="BB19" s="43"/>
    </row>
    <row r="20" spans="1:54" ht="12">
      <c r="A20" s="30">
        <v>1953</v>
      </c>
      <c r="B20" s="22" t="s">
        <v>107</v>
      </c>
      <c r="C20" s="22" t="s">
        <v>107</v>
      </c>
      <c r="D20" s="22" t="s">
        <v>107</v>
      </c>
      <c r="E20" s="22" t="s">
        <v>107</v>
      </c>
      <c r="F20" s="22"/>
      <c r="G20" s="22"/>
      <c r="H20" s="22"/>
      <c r="I20" s="22"/>
      <c r="J20" s="22"/>
      <c r="K20" s="22"/>
      <c r="L20" s="22"/>
      <c r="M20" s="22"/>
      <c r="N20" s="52"/>
      <c r="O20" s="52"/>
      <c r="P20" s="52"/>
      <c r="Q20" s="52"/>
      <c r="R20" s="52"/>
      <c r="S20" s="52"/>
      <c r="T20" s="22" t="s">
        <v>107</v>
      </c>
      <c r="U20" s="22" t="s">
        <v>107</v>
      </c>
      <c r="V20" s="22" t="s">
        <v>107</v>
      </c>
      <c r="W20" s="22" t="s">
        <v>107</v>
      </c>
      <c r="X20" s="22"/>
      <c r="Y20" s="22"/>
      <c r="Z20" s="22"/>
      <c r="AA20" s="22"/>
      <c r="AB20" s="28"/>
      <c r="AC20" s="30">
        <v>1953</v>
      </c>
      <c r="AD20" s="43" t="s">
        <v>107</v>
      </c>
      <c r="AE20" s="7" t="s">
        <v>107</v>
      </c>
      <c r="AF20" s="43"/>
      <c r="AG20" s="43"/>
      <c r="AH20" s="43"/>
      <c r="AI20" s="43"/>
      <c r="AJ20" s="43"/>
      <c r="AK20" s="7" t="s">
        <v>107</v>
      </c>
      <c r="AL20" s="7" t="s">
        <v>107</v>
      </c>
      <c r="AM20" s="43"/>
      <c r="AN20" s="43"/>
      <c r="AO20" s="39">
        <v>1953</v>
      </c>
      <c r="AP20" s="40">
        <v>1953</v>
      </c>
      <c r="AQ20" s="30">
        <v>1953</v>
      </c>
      <c r="AR20" s="43" t="s">
        <v>107</v>
      </c>
      <c r="AS20" s="7" t="s">
        <v>107</v>
      </c>
      <c r="AT20" s="43"/>
      <c r="AU20" s="43"/>
      <c r="AV20" s="43"/>
      <c r="AW20" s="43"/>
      <c r="AX20" s="43"/>
      <c r="AY20" s="43" t="s">
        <v>107</v>
      </c>
      <c r="AZ20" s="43" t="s">
        <v>107</v>
      </c>
      <c r="BA20" s="43"/>
      <c r="BB20" s="43"/>
    </row>
    <row r="21" spans="1:54" ht="12">
      <c r="A21" s="30">
        <v>1954</v>
      </c>
      <c r="B21" s="22" t="s">
        <v>107</v>
      </c>
      <c r="C21" s="22" t="s">
        <v>107</v>
      </c>
      <c r="D21" s="22" t="s">
        <v>107</v>
      </c>
      <c r="E21" s="22" t="s">
        <v>107</v>
      </c>
      <c r="F21" s="22"/>
      <c r="G21" s="22"/>
      <c r="H21" s="22"/>
      <c r="I21" s="22"/>
      <c r="J21" s="22"/>
      <c r="K21" s="22"/>
      <c r="L21" s="22"/>
      <c r="M21" s="22"/>
      <c r="N21" s="52"/>
      <c r="O21" s="52"/>
      <c r="P21" s="52"/>
      <c r="Q21" s="52"/>
      <c r="R21" s="52"/>
      <c r="S21" s="52"/>
      <c r="T21" s="22" t="s">
        <v>107</v>
      </c>
      <c r="U21" s="22" t="s">
        <v>107</v>
      </c>
      <c r="V21" s="22" t="s">
        <v>107</v>
      </c>
      <c r="W21" s="22" t="s">
        <v>107</v>
      </c>
      <c r="X21" s="22"/>
      <c r="Y21" s="22"/>
      <c r="Z21" s="22"/>
      <c r="AA21" s="22"/>
      <c r="AB21" s="28"/>
      <c r="AC21" s="30">
        <v>1954</v>
      </c>
      <c r="AD21" s="43" t="s">
        <v>107</v>
      </c>
      <c r="AE21" s="7" t="s">
        <v>107</v>
      </c>
      <c r="AF21" s="43"/>
      <c r="AG21" s="43"/>
      <c r="AH21" s="43"/>
      <c r="AI21" s="43"/>
      <c r="AJ21" s="43"/>
      <c r="AK21" s="7" t="s">
        <v>107</v>
      </c>
      <c r="AL21" s="7" t="s">
        <v>107</v>
      </c>
      <c r="AM21" s="43"/>
      <c r="AN21" s="43"/>
      <c r="AO21" s="39">
        <v>1954</v>
      </c>
      <c r="AP21" s="40">
        <v>1954</v>
      </c>
      <c r="AQ21" s="30">
        <v>1954</v>
      </c>
      <c r="AR21" s="43" t="s">
        <v>107</v>
      </c>
      <c r="AS21" s="7" t="s">
        <v>107</v>
      </c>
      <c r="AT21" s="43"/>
      <c r="AU21" s="43"/>
      <c r="AV21" s="43"/>
      <c r="AW21" s="43"/>
      <c r="AX21" s="43"/>
      <c r="AY21" s="43" t="s">
        <v>107</v>
      </c>
      <c r="AZ21" s="43" t="s">
        <v>107</v>
      </c>
      <c r="BA21" s="43"/>
      <c r="BB21" s="43"/>
    </row>
    <row r="22" spans="1:54" ht="12">
      <c r="A22" s="30">
        <v>1955</v>
      </c>
      <c r="B22" s="22" t="s">
        <v>107</v>
      </c>
      <c r="C22" s="22" t="s">
        <v>107</v>
      </c>
      <c r="D22" s="22" t="s">
        <v>107</v>
      </c>
      <c r="E22" s="22" t="s">
        <v>107</v>
      </c>
      <c r="F22" s="22"/>
      <c r="G22" s="22"/>
      <c r="H22" s="22"/>
      <c r="I22" s="22"/>
      <c r="J22" s="22"/>
      <c r="K22" s="22"/>
      <c r="L22" s="22"/>
      <c r="M22" s="22"/>
      <c r="N22" s="52"/>
      <c r="O22" s="52"/>
      <c r="P22" s="52"/>
      <c r="Q22" s="52"/>
      <c r="R22" s="52"/>
      <c r="S22" s="52"/>
      <c r="T22" s="22" t="s">
        <v>107</v>
      </c>
      <c r="U22" s="22" t="s">
        <v>107</v>
      </c>
      <c r="V22" s="22" t="s">
        <v>107</v>
      </c>
      <c r="W22" s="22" t="s">
        <v>107</v>
      </c>
      <c r="X22" s="22"/>
      <c r="Y22" s="22"/>
      <c r="Z22" s="22"/>
      <c r="AA22" s="22"/>
      <c r="AB22" s="28"/>
      <c r="AC22" s="30">
        <v>1955</v>
      </c>
      <c r="AD22" s="43" t="s">
        <v>107</v>
      </c>
      <c r="AE22" s="7" t="s">
        <v>107</v>
      </c>
      <c r="AF22" s="43"/>
      <c r="AG22" s="43"/>
      <c r="AH22" s="43"/>
      <c r="AI22" s="43"/>
      <c r="AJ22" s="43"/>
      <c r="AK22" s="7" t="s">
        <v>107</v>
      </c>
      <c r="AL22" s="7" t="s">
        <v>107</v>
      </c>
      <c r="AM22" s="43"/>
      <c r="AN22" s="43"/>
      <c r="AO22" s="39">
        <v>1955</v>
      </c>
      <c r="AP22" s="40">
        <v>1955</v>
      </c>
      <c r="AQ22" s="30">
        <v>1955</v>
      </c>
      <c r="AR22" s="43" t="s">
        <v>107</v>
      </c>
      <c r="AS22" s="7" t="s">
        <v>107</v>
      </c>
      <c r="AT22" s="43"/>
      <c r="AU22" s="43"/>
      <c r="AV22" s="43"/>
      <c r="AW22" s="43"/>
      <c r="AX22" s="43"/>
      <c r="AY22" s="43" t="s">
        <v>107</v>
      </c>
      <c r="AZ22" s="43" t="s">
        <v>107</v>
      </c>
      <c r="BA22" s="43"/>
      <c r="BB22" s="43"/>
    </row>
    <row r="23" spans="1:54" ht="12">
      <c r="A23" s="30">
        <v>1956</v>
      </c>
      <c r="B23" s="22" t="s">
        <v>107</v>
      </c>
      <c r="C23" s="22" t="s">
        <v>107</v>
      </c>
      <c r="D23" s="22" t="s">
        <v>107</v>
      </c>
      <c r="E23" s="22" t="s">
        <v>107</v>
      </c>
      <c r="F23" s="22"/>
      <c r="G23" s="22"/>
      <c r="H23" s="22"/>
      <c r="I23" s="22"/>
      <c r="J23" s="22"/>
      <c r="K23" s="22"/>
      <c r="L23" s="22"/>
      <c r="M23" s="22"/>
      <c r="N23" s="52"/>
      <c r="O23" s="52"/>
      <c r="P23" s="52"/>
      <c r="Q23" s="52"/>
      <c r="R23" s="52"/>
      <c r="S23" s="52"/>
      <c r="T23" s="22" t="s">
        <v>107</v>
      </c>
      <c r="U23" s="22" t="s">
        <v>107</v>
      </c>
      <c r="V23" s="22" t="s">
        <v>107</v>
      </c>
      <c r="W23" s="22" t="s">
        <v>107</v>
      </c>
      <c r="X23" s="22"/>
      <c r="Y23" s="22"/>
      <c r="Z23" s="22"/>
      <c r="AA23" s="22"/>
      <c r="AB23" s="28"/>
      <c r="AC23" s="30">
        <v>1956</v>
      </c>
      <c r="AD23" s="43" t="s">
        <v>107</v>
      </c>
      <c r="AE23" s="7" t="s">
        <v>107</v>
      </c>
      <c r="AF23" s="43"/>
      <c r="AG23" s="43"/>
      <c r="AH23" s="43"/>
      <c r="AI23" s="43"/>
      <c r="AJ23" s="43"/>
      <c r="AK23" s="7" t="s">
        <v>107</v>
      </c>
      <c r="AL23" s="7" t="s">
        <v>107</v>
      </c>
      <c r="AM23" s="43"/>
      <c r="AN23" s="43"/>
      <c r="AO23" s="39">
        <v>1956</v>
      </c>
      <c r="AP23" s="40">
        <v>1956</v>
      </c>
      <c r="AQ23" s="30">
        <v>1956</v>
      </c>
      <c r="AR23" s="43" t="s">
        <v>107</v>
      </c>
      <c r="AS23" s="7" t="s">
        <v>107</v>
      </c>
      <c r="AT23" s="43"/>
      <c r="AU23" s="43"/>
      <c r="AV23" s="43"/>
      <c r="AW23" s="43"/>
      <c r="AX23" s="43"/>
      <c r="AY23" s="43" t="s">
        <v>107</v>
      </c>
      <c r="AZ23" s="43" t="s">
        <v>107</v>
      </c>
      <c r="BA23" s="43"/>
      <c r="BB23" s="43"/>
    </row>
    <row r="24" spans="1:54" ht="12">
      <c r="A24" s="30">
        <v>1957</v>
      </c>
      <c r="B24" s="22" t="s">
        <v>107</v>
      </c>
      <c r="C24" s="22" t="s">
        <v>107</v>
      </c>
      <c r="D24" s="22" t="s">
        <v>107</v>
      </c>
      <c r="E24" s="22" t="s">
        <v>107</v>
      </c>
      <c r="F24" s="22"/>
      <c r="G24" s="22"/>
      <c r="H24" s="22"/>
      <c r="I24" s="22"/>
      <c r="J24" s="22"/>
      <c r="K24" s="22"/>
      <c r="L24" s="22"/>
      <c r="M24" s="22"/>
      <c r="N24" s="52"/>
      <c r="O24" s="52"/>
      <c r="P24" s="52"/>
      <c r="Q24" s="52"/>
      <c r="R24" s="52"/>
      <c r="S24" s="52"/>
      <c r="T24" s="22" t="s">
        <v>107</v>
      </c>
      <c r="U24" s="22" t="s">
        <v>107</v>
      </c>
      <c r="V24" s="22" t="s">
        <v>107</v>
      </c>
      <c r="W24" s="22" t="s">
        <v>107</v>
      </c>
      <c r="X24" s="22" t="s">
        <v>107</v>
      </c>
      <c r="Y24" s="22" t="s">
        <v>107</v>
      </c>
      <c r="Z24" s="22" t="s">
        <v>107</v>
      </c>
      <c r="AA24" s="22" t="s">
        <v>107</v>
      </c>
      <c r="AB24" s="28"/>
      <c r="AC24" s="30">
        <v>1957</v>
      </c>
      <c r="AD24" s="43" t="s">
        <v>107</v>
      </c>
      <c r="AE24" s="7" t="s">
        <v>107</v>
      </c>
      <c r="AF24" s="43"/>
      <c r="AG24" s="43"/>
      <c r="AH24" s="43"/>
      <c r="AI24" s="43"/>
      <c r="AJ24" s="43"/>
      <c r="AK24" s="7" t="s">
        <v>107</v>
      </c>
      <c r="AL24" s="7" t="s">
        <v>107</v>
      </c>
      <c r="AM24" s="7" t="s">
        <v>107</v>
      </c>
      <c r="AN24" s="7" t="s">
        <v>107</v>
      </c>
      <c r="AO24" s="39">
        <v>1957</v>
      </c>
      <c r="AP24" s="40">
        <v>1957</v>
      </c>
      <c r="AQ24" s="30">
        <v>1957</v>
      </c>
      <c r="AR24" s="43" t="s">
        <v>107</v>
      </c>
      <c r="AS24" s="7" t="s">
        <v>107</v>
      </c>
      <c r="AT24" s="43"/>
      <c r="AU24" s="43"/>
      <c r="AV24" s="43"/>
      <c r="AW24" s="43"/>
      <c r="AX24" s="43"/>
      <c r="AY24" s="43" t="s">
        <v>107</v>
      </c>
      <c r="AZ24" s="43" t="s">
        <v>107</v>
      </c>
      <c r="BA24" s="43" t="s">
        <v>107</v>
      </c>
      <c r="BB24" s="43" t="s">
        <v>107</v>
      </c>
    </row>
    <row r="25" spans="1:54" ht="12">
      <c r="A25" s="30">
        <v>1958</v>
      </c>
      <c r="B25" s="22" t="s">
        <v>107</v>
      </c>
      <c r="C25" s="22" t="s">
        <v>107</v>
      </c>
      <c r="D25" s="22" t="s">
        <v>107</v>
      </c>
      <c r="E25" s="22" t="s">
        <v>107</v>
      </c>
      <c r="F25" s="22"/>
      <c r="G25" s="22"/>
      <c r="H25" s="22"/>
      <c r="I25" s="22"/>
      <c r="J25" s="22"/>
      <c r="K25" s="22"/>
      <c r="L25" s="22"/>
      <c r="M25" s="22"/>
      <c r="N25" s="52"/>
      <c r="O25" s="52"/>
      <c r="P25" s="52"/>
      <c r="Q25" s="52"/>
      <c r="R25" s="52"/>
      <c r="S25" s="52"/>
      <c r="T25" s="22" t="s">
        <v>107</v>
      </c>
      <c r="U25" s="22" t="s">
        <v>107</v>
      </c>
      <c r="V25" s="22" t="s">
        <v>107</v>
      </c>
      <c r="W25" s="22" t="s">
        <v>107</v>
      </c>
      <c r="X25" s="22" t="s">
        <v>107</v>
      </c>
      <c r="Y25" s="22" t="s">
        <v>107</v>
      </c>
      <c r="Z25" s="22" t="s">
        <v>107</v>
      </c>
      <c r="AA25" s="22" t="s">
        <v>107</v>
      </c>
      <c r="AB25" s="28"/>
      <c r="AC25" s="30">
        <v>1958</v>
      </c>
      <c r="AD25" s="43" t="s">
        <v>107</v>
      </c>
      <c r="AE25" s="7" t="s">
        <v>107</v>
      </c>
      <c r="AF25" s="43"/>
      <c r="AG25" s="43"/>
      <c r="AH25" s="43"/>
      <c r="AI25" s="43"/>
      <c r="AJ25" s="43"/>
      <c r="AK25" s="7" t="s">
        <v>107</v>
      </c>
      <c r="AL25" s="7" t="s">
        <v>107</v>
      </c>
      <c r="AM25" s="7" t="s">
        <v>107</v>
      </c>
      <c r="AN25" s="7" t="s">
        <v>107</v>
      </c>
      <c r="AO25" s="39">
        <v>1958</v>
      </c>
      <c r="AP25" s="40">
        <v>1958</v>
      </c>
      <c r="AQ25" s="30">
        <v>1958</v>
      </c>
      <c r="AR25" s="43" t="s">
        <v>107</v>
      </c>
      <c r="AS25" s="7" t="s">
        <v>107</v>
      </c>
      <c r="AT25" s="43"/>
      <c r="AU25" s="43"/>
      <c r="AV25" s="43"/>
      <c r="AW25" s="43"/>
      <c r="AX25" s="43"/>
      <c r="AY25" s="43" t="s">
        <v>107</v>
      </c>
      <c r="AZ25" s="43" t="s">
        <v>107</v>
      </c>
      <c r="BA25" s="43" t="s">
        <v>107</v>
      </c>
      <c r="BB25" s="43" t="s">
        <v>107</v>
      </c>
    </row>
    <row r="26" spans="1:54" ht="12">
      <c r="A26" s="30">
        <v>1959</v>
      </c>
      <c r="B26" s="23" t="s">
        <v>107</v>
      </c>
      <c r="C26" s="22" t="s">
        <v>107</v>
      </c>
      <c r="D26" s="22" t="s">
        <v>107</v>
      </c>
      <c r="E26" s="22" t="s">
        <v>107</v>
      </c>
      <c r="F26" s="22"/>
      <c r="G26" s="22"/>
      <c r="H26" s="22"/>
      <c r="I26" s="22"/>
      <c r="J26" s="22"/>
      <c r="K26" s="22"/>
      <c r="L26" s="22"/>
      <c r="M26" s="22"/>
      <c r="N26" s="52"/>
      <c r="O26" s="52"/>
      <c r="P26" s="52"/>
      <c r="Q26" s="52"/>
      <c r="R26" s="52"/>
      <c r="S26" s="52"/>
      <c r="T26" s="22" t="s">
        <v>107</v>
      </c>
      <c r="U26" s="22" t="s">
        <v>107</v>
      </c>
      <c r="V26" s="22" t="s">
        <v>107</v>
      </c>
      <c r="W26" s="22" t="s">
        <v>107</v>
      </c>
      <c r="X26" s="22" t="s">
        <v>107</v>
      </c>
      <c r="Y26" s="22" t="s">
        <v>107</v>
      </c>
      <c r="Z26" s="22" t="s">
        <v>107</v>
      </c>
      <c r="AA26" s="22" t="s">
        <v>107</v>
      </c>
      <c r="AB26" s="28"/>
      <c r="AC26" s="30">
        <v>1959</v>
      </c>
      <c r="AD26" s="43" t="s">
        <v>107</v>
      </c>
      <c r="AE26" s="7" t="s">
        <v>107</v>
      </c>
      <c r="AF26" s="43"/>
      <c r="AG26" s="43"/>
      <c r="AH26" s="43"/>
      <c r="AI26" s="43"/>
      <c r="AJ26" s="43"/>
      <c r="AK26" s="7" t="s">
        <v>107</v>
      </c>
      <c r="AL26" s="7" t="s">
        <v>107</v>
      </c>
      <c r="AM26" s="7" t="s">
        <v>107</v>
      </c>
      <c r="AN26" s="7" t="s">
        <v>107</v>
      </c>
      <c r="AO26" s="39">
        <v>1959</v>
      </c>
      <c r="AP26" s="40">
        <v>1959</v>
      </c>
      <c r="AQ26" s="30">
        <v>1959</v>
      </c>
      <c r="AR26" s="43" t="s">
        <v>107</v>
      </c>
      <c r="AS26" s="7" t="s">
        <v>107</v>
      </c>
      <c r="AT26" s="43"/>
      <c r="AU26" s="43"/>
      <c r="AV26" s="43"/>
      <c r="AW26" s="43"/>
      <c r="AX26" s="43"/>
      <c r="AY26" s="43" t="s">
        <v>107</v>
      </c>
      <c r="AZ26" s="43" t="s">
        <v>107</v>
      </c>
      <c r="BA26" s="43" t="s">
        <v>107</v>
      </c>
      <c r="BB26" s="43" t="s">
        <v>107</v>
      </c>
    </row>
    <row r="27" spans="1:54" ht="12">
      <c r="A27" s="30">
        <v>1960</v>
      </c>
      <c r="B27" s="23" t="s">
        <v>107</v>
      </c>
      <c r="C27" s="22" t="s">
        <v>107</v>
      </c>
      <c r="D27" s="22" t="s">
        <v>107</v>
      </c>
      <c r="E27" s="22" t="s">
        <v>107</v>
      </c>
      <c r="F27" s="22"/>
      <c r="G27" s="22"/>
      <c r="H27" s="22"/>
      <c r="I27" s="22"/>
      <c r="J27" s="22"/>
      <c r="K27" s="22"/>
      <c r="L27" s="22"/>
      <c r="M27" s="22"/>
      <c r="N27" s="52"/>
      <c r="O27" s="52"/>
      <c r="P27" s="52"/>
      <c r="Q27" s="52"/>
      <c r="R27" s="52"/>
      <c r="S27" s="52"/>
      <c r="T27" s="22" t="s">
        <v>107</v>
      </c>
      <c r="U27" s="22" t="s">
        <v>107</v>
      </c>
      <c r="V27" s="22" t="s">
        <v>107</v>
      </c>
      <c r="W27" s="22" t="s">
        <v>107</v>
      </c>
      <c r="X27" s="22"/>
      <c r="Y27" s="22"/>
      <c r="Z27" s="22"/>
      <c r="AA27" s="22"/>
      <c r="AB27" s="28"/>
      <c r="AC27" s="30">
        <v>1960</v>
      </c>
      <c r="AD27" s="43" t="s">
        <v>107</v>
      </c>
      <c r="AE27" s="7" t="s">
        <v>107</v>
      </c>
      <c r="AF27" s="43"/>
      <c r="AG27" s="43"/>
      <c r="AH27" s="43"/>
      <c r="AI27" s="43"/>
      <c r="AJ27" s="43"/>
      <c r="AK27" s="7" t="s">
        <v>107</v>
      </c>
      <c r="AL27" s="7" t="s">
        <v>107</v>
      </c>
      <c r="AM27" s="7"/>
      <c r="AN27" s="7"/>
      <c r="AO27" s="39">
        <v>1960</v>
      </c>
      <c r="AP27" s="40">
        <v>1960</v>
      </c>
      <c r="AQ27" s="30">
        <v>1960</v>
      </c>
      <c r="AR27" s="43" t="s">
        <v>107</v>
      </c>
      <c r="AS27" s="7" t="s">
        <v>107</v>
      </c>
      <c r="AT27" s="43"/>
      <c r="AU27" s="43"/>
      <c r="AV27" s="43"/>
      <c r="AW27" s="43"/>
      <c r="AX27" s="43"/>
      <c r="AY27" s="43" t="s">
        <v>107</v>
      </c>
      <c r="AZ27" s="43" t="s">
        <v>107</v>
      </c>
      <c r="BA27" s="43"/>
      <c r="BB27" s="43"/>
    </row>
    <row r="28" spans="1:54" ht="12">
      <c r="A28" s="30" t="s">
        <v>115</v>
      </c>
      <c r="B28" s="23">
        <f aca="true" t="shared" si="0" ref="B28:B36">AR28/AD28*(100)</f>
        <v>56.84870294681903</v>
      </c>
      <c r="C28" s="24">
        <f aca="true" t="shared" si="1" ref="C28:C37">-1*SQRT((2369/(AD28))*B28*(100-B28))</f>
        <v>-0.2631506290945146</v>
      </c>
      <c r="D28" s="22" t="s">
        <v>107</v>
      </c>
      <c r="E28" s="22" t="s">
        <v>107</v>
      </c>
      <c r="F28" s="50">
        <f aca="true" t="shared" si="2" ref="F28:F36">AT28/AF28*(100)</f>
        <v>81.70851797144265</v>
      </c>
      <c r="G28" s="24">
        <f aca="true" t="shared" si="3" ref="G28:G36">-1*SQRT((2727*0.86/(AF28))*F28*(100-F28))</f>
        <v>-0.6568481048903433</v>
      </c>
      <c r="H28" s="50">
        <f aca="true" t="shared" si="4" ref="H28:H36">AU28/AG28*(100)</f>
        <v>99.33777384206675</v>
      </c>
      <c r="I28" s="24">
        <f aca="true" t="shared" si="5" ref="I28:I37">-1*SQRT((2727*0.86/(AG28))*H28*(100-H28))</f>
        <v>-0.0770710213183809</v>
      </c>
      <c r="J28" s="50">
        <f aca="true" t="shared" si="6" ref="J28:J36">AV28/AH28*(100)</f>
        <v>91.37267741671441</v>
      </c>
      <c r="K28" s="24">
        <f aca="true" t="shared" si="7" ref="K28:K37">-1*SQRT((2369*0.86/(AH28))*J28*(100-J28))</f>
        <v>-0.3625731694348289</v>
      </c>
      <c r="L28" s="50">
        <f aca="true" t="shared" si="8" ref="L28:L36">AW28/AI28*(100)</f>
        <v>37.976653696498055</v>
      </c>
      <c r="M28" s="24">
        <f aca="true" t="shared" si="9" ref="M28:M36">-1*SQRT((2369*0.86/(AI28))*L28*(100-L28))</f>
        <v>-0.9662425101976013</v>
      </c>
      <c r="N28" s="52">
        <f>482/5140*(100)</f>
        <v>9.377431906614786</v>
      </c>
      <c r="O28" s="24">
        <f aca="true" t="shared" si="10" ref="O28:O36">-1*SQRT((2369*0.86/(AI28))*N28*(100-N28))</f>
        <v>-0.5803771943583804</v>
      </c>
      <c r="P28" s="52">
        <f>1470/5140*(100)</f>
        <v>28.599221789883266</v>
      </c>
      <c r="Q28" s="24">
        <f aca="true" t="shared" si="11" ref="Q28:Q36">-1*SQRT((2369*0.86/(AI28))*P28*(100-P28))</f>
        <v>-0.8996607568461416</v>
      </c>
      <c r="R28" s="50">
        <f aca="true" t="shared" si="12" ref="R28:R36">AX28/AJ28*(100)</f>
        <v>13.732460243217961</v>
      </c>
      <c r="S28" s="24">
        <f aca="true" t="shared" si="13" ref="S28:S37">-1*SQRT((2369*0.86/(AJ28))*R28*(100-R28))</f>
        <v>-0.4751609969873845</v>
      </c>
      <c r="T28" s="50">
        <f aca="true" t="shared" si="14" ref="T28:T36">AY28/AK28*(100)</f>
        <v>21.54696132596685</v>
      </c>
      <c r="U28" s="24">
        <f aca="true" t="shared" si="15" ref="U28:U36">-1*SQRT((2369*0.86/(AK28))*T28*(100-T28))</f>
        <v>-0.8903991741745665</v>
      </c>
      <c r="V28" s="50">
        <f aca="true" t="shared" si="16" ref="V28:V36">AZ28/AL28*(100)</f>
        <v>8.383233532934131</v>
      </c>
      <c r="W28" s="24">
        <f aca="true" t="shared" si="17" ref="W28:W36">-1*SQRT((2369*0.86/(AL28))*V28*(100-V28))</f>
        <v>-0.49656371805726335</v>
      </c>
      <c r="X28" s="50">
        <f aca="true" t="shared" si="18" ref="X28:X36">BA28/AM28*(100)</f>
        <v>4.372842347525892</v>
      </c>
      <c r="Y28" s="24">
        <f aca="true" t="shared" si="19" ref="Y28:Y36">-1*SQRT((2369*0.86/(AM28))*X28*(100-X28))</f>
        <v>-0.2858273471365267</v>
      </c>
      <c r="Z28" s="50">
        <f aca="true" t="shared" si="20" ref="Z28:Z36">BB28/AN28*(100)</f>
        <v>2.0266102740329544</v>
      </c>
      <c r="AA28" s="24">
        <f aca="true" t="shared" si="21" ref="AA28:AA36">-1*SQRT((2369*0.86/(AN28))*Z28*(100-Z28))</f>
        <v>-0.18879572020576024</v>
      </c>
      <c r="AB28" s="28"/>
      <c r="AC28" s="30">
        <v>1961</v>
      </c>
      <c r="AD28" s="43">
        <f>SUM(AF28:AJ28)+AM28+AN28</f>
        <v>83921000</v>
      </c>
      <c r="AE28" s="7" t="s">
        <v>107</v>
      </c>
      <c r="AF28" s="43">
        <f>4097000+4027000</f>
        <v>8124000</v>
      </c>
      <c r="AG28" s="43">
        <f>11601000+14372000</f>
        <v>25973000</v>
      </c>
      <c r="AH28" s="43">
        <f>6781000+5436000</f>
        <v>12217000</v>
      </c>
      <c r="AI28" s="43">
        <f>5140000</f>
        <v>5140000</v>
      </c>
      <c r="AJ28" s="43">
        <f>SUM(AK28:AL28)</f>
        <v>10690000</v>
      </c>
      <c r="AK28" s="43">
        <v>4344000</v>
      </c>
      <c r="AL28" s="43">
        <v>6346000</v>
      </c>
      <c r="AM28" s="43">
        <v>10428000</v>
      </c>
      <c r="AN28" s="43">
        <v>11349000</v>
      </c>
      <c r="AO28" s="39">
        <v>1961</v>
      </c>
      <c r="AP28" s="40">
        <v>1961</v>
      </c>
      <c r="AQ28" s="30">
        <v>1961</v>
      </c>
      <c r="AR28" s="43">
        <v>47708000</v>
      </c>
      <c r="AS28" s="7" t="s">
        <v>107</v>
      </c>
      <c r="AT28" s="43">
        <f>2715000+3923000</f>
        <v>6638000</v>
      </c>
      <c r="AU28" s="43">
        <f>11530000+14271000</f>
        <v>25801000</v>
      </c>
      <c r="AV28" s="43">
        <f>6621000+4542000</f>
        <v>11163000</v>
      </c>
      <c r="AW28" s="43">
        <v>1952000</v>
      </c>
      <c r="AX28" s="43">
        <f>SUM(AY28:AZ28)</f>
        <v>1468000</v>
      </c>
      <c r="AY28" s="43">
        <v>936000</v>
      </c>
      <c r="AZ28" s="43">
        <v>532000</v>
      </c>
      <c r="BA28" s="43">
        <v>456000</v>
      </c>
      <c r="BB28" s="43">
        <v>230000</v>
      </c>
    </row>
    <row r="29" spans="1:54" ht="12">
      <c r="A29" s="30" t="s">
        <v>114</v>
      </c>
      <c r="B29" s="23">
        <f t="shared" si="0"/>
        <v>57.76707665666402</v>
      </c>
      <c r="C29" s="24">
        <f t="shared" si="1"/>
        <v>-0.2618220249305716</v>
      </c>
      <c r="D29" s="22" t="s">
        <v>107</v>
      </c>
      <c r="E29" s="22" t="s">
        <v>107</v>
      </c>
      <c r="F29" s="50">
        <f t="shared" si="2"/>
        <v>82.15167984189723</v>
      </c>
      <c r="G29" s="24">
        <f t="shared" si="3"/>
        <v>-0.6517235925020343</v>
      </c>
      <c r="H29" s="50">
        <f t="shared" si="4"/>
        <v>99.28347341105388</v>
      </c>
      <c r="I29" s="24">
        <f t="shared" si="5"/>
        <v>-0.08038531584359421</v>
      </c>
      <c r="J29" s="50">
        <f t="shared" si="6"/>
        <v>92.0134806803041</v>
      </c>
      <c r="K29" s="24">
        <f t="shared" si="7"/>
        <v>-0.3425531301204684</v>
      </c>
      <c r="L29" s="50">
        <f t="shared" si="8"/>
        <v>41.79337231968811</v>
      </c>
      <c r="M29" s="24">
        <f t="shared" si="9"/>
        <v>-0.9829082957270965</v>
      </c>
      <c r="N29" s="52">
        <f>532/5130*(100)</f>
        <v>10.37037037037037</v>
      </c>
      <c r="O29" s="24">
        <f t="shared" si="10"/>
        <v>-0.6075695612509657</v>
      </c>
      <c r="P29" s="52">
        <f>1612/5130*(100)</f>
        <v>31.42300194931774</v>
      </c>
      <c r="Q29" s="24">
        <f t="shared" si="11"/>
        <v>-0.9250945972919046</v>
      </c>
      <c r="R29" s="50">
        <f t="shared" si="12"/>
        <v>15.649097341921436</v>
      </c>
      <c r="S29" s="24">
        <f t="shared" si="13"/>
        <v>-0.4939367791674458</v>
      </c>
      <c r="T29" s="50">
        <f t="shared" si="14"/>
        <v>22.99591661293789</v>
      </c>
      <c r="U29" s="24">
        <f t="shared" si="15"/>
        <v>-0.8805367170594804</v>
      </c>
      <c r="V29" s="50">
        <f t="shared" si="16"/>
        <v>10.282574568288853</v>
      </c>
      <c r="W29" s="24">
        <f t="shared" si="17"/>
        <v>-0.5431895106537248</v>
      </c>
      <c r="X29" s="50">
        <f t="shared" si="18"/>
        <v>5.018748197288722</v>
      </c>
      <c r="Y29" s="24">
        <f t="shared" si="19"/>
        <v>-0.30557009952134395</v>
      </c>
      <c r="Z29" s="50">
        <f t="shared" si="20"/>
        <v>2.5985743932148337</v>
      </c>
      <c r="AA29" s="24">
        <f t="shared" si="21"/>
        <v>-0.2157015785361445</v>
      </c>
      <c r="AB29" s="28"/>
      <c r="AC29" s="30">
        <v>1962</v>
      </c>
      <c r="AD29" s="43">
        <f>SUM(AF29:AJ29)+AM29+AN29</f>
        <v>84311000</v>
      </c>
      <c r="AE29" s="7" t="s">
        <v>107</v>
      </c>
      <c r="AF29" s="43">
        <f>4101000+3995000</f>
        <v>8096000</v>
      </c>
      <c r="AG29" s="43">
        <f>11550000+14269000</f>
        <v>25819000</v>
      </c>
      <c r="AH29" s="43">
        <f>7137000+5622000</f>
        <v>12759000</v>
      </c>
      <c r="AI29" s="43">
        <f>5130000</f>
        <v>5130000</v>
      </c>
      <c r="AJ29" s="43">
        <f>SUM(AK29:AL29)</f>
        <v>11023000</v>
      </c>
      <c r="AK29" s="43">
        <v>4653000</v>
      </c>
      <c r="AL29" s="43">
        <v>6370000</v>
      </c>
      <c r="AM29" s="43">
        <v>10401000</v>
      </c>
      <c r="AN29" s="43">
        <v>11083000</v>
      </c>
      <c r="AO29" s="39">
        <v>1962</v>
      </c>
      <c r="AP29" s="40">
        <v>1962</v>
      </c>
      <c r="AQ29" s="30">
        <v>1962</v>
      </c>
      <c r="AR29" s="43">
        <f>SUM(AT29:AX29)+BA29+BB29</f>
        <v>48704000</v>
      </c>
      <c r="AS29" s="7" t="s">
        <v>107</v>
      </c>
      <c r="AT29" s="43">
        <f>2740000+3911000</f>
        <v>6651000</v>
      </c>
      <c r="AU29" s="43">
        <f>11461000+14173000</f>
        <v>25634000</v>
      </c>
      <c r="AV29" s="43">
        <f>6998000+4742000</f>
        <v>11740000</v>
      </c>
      <c r="AW29" s="43">
        <v>2144000</v>
      </c>
      <c r="AX29" s="43">
        <f>SUM(AY29:AZ29)</f>
        <v>1725000</v>
      </c>
      <c r="AY29" s="43">
        <v>1070000</v>
      </c>
      <c r="AZ29" s="43">
        <v>655000</v>
      </c>
      <c r="BA29" s="43">
        <v>522000</v>
      </c>
      <c r="BB29" s="43">
        <v>288000</v>
      </c>
    </row>
    <row r="30" spans="1:54" ht="12">
      <c r="A30" s="30" t="s">
        <v>111</v>
      </c>
      <c r="B30" s="23">
        <f t="shared" si="0"/>
        <v>58.489557925058655</v>
      </c>
      <c r="C30" s="24">
        <f t="shared" si="1"/>
        <v>-0.25847225756468173</v>
      </c>
      <c r="D30" s="22" t="s">
        <v>107</v>
      </c>
      <c r="E30" s="22" t="s">
        <v>107</v>
      </c>
      <c r="F30" s="50">
        <f t="shared" si="2"/>
        <v>82.68784361637141</v>
      </c>
      <c r="G30" s="24">
        <f t="shared" si="3"/>
        <v>-0.640440619742128</v>
      </c>
      <c r="H30" s="50">
        <f t="shared" si="4"/>
        <v>99.33280260813527</v>
      </c>
      <c r="I30" s="24">
        <f t="shared" si="5"/>
        <v>-0.07676020839209406</v>
      </c>
      <c r="J30" s="50">
        <f t="shared" si="6"/>
        <v>92.89053803339517</v>
      </c>
      <c r="K30" s="24">
        <f t="shared" si="7"/>
        <v>-0.31598864445584324</v>
      </c>
      <c r="L30" s="50">
        <f t="shared" si="8"/>
        <v>40.86853063652588</v>
      </c>
      <c r="M30" s="24">
        <f t="shared" si="9"/>
        <v>-0.9880777487156265</v>
      </c>
      <c r="N30" s="50">
        <f>557/5043*(100)</f>
        <v>11.04501288915328</v>
      </c>
      <c r="O30" s="24">
        <f t="shared" si="10"/>
        <v>-0.6300217402225177</v>
      </c>
      <c r="P30" s="50">
        <f>1504/5043*(100)</f>
        <v>29.8235177473726</v>
      </c>
      <c r="Q30" s="24">
        <f t="shared" si="11"/>
        <v>-0.9195228020064083</v>
      </c>
      <c r="R30" s="50">
        <f t="shared" si="12"/>
        <v>17.29349132749442</v>
      </c>
      <c r="S30" s="24">
        <f t="shared" si="13"/>
        <v>-0.5002125081904524</v>
      </c>
      <c r="T30" s="50">
        <f t="shared" si="14"/>
        <v>24.95575221238938</v>
      </c>
      <c r="U30" s="24">
        <f t="shared" si="15"/>
        <v>-0.8662242031164685</v>
      </c>
      <c r="V30" s="50">
        <f t="shared" si="16"/>
        <v>11.354976375552507</v>
      </c>
      <c r="W30" s="24">
        <f t="shared" si="17"/>
        <v>-0.5590710893721741</v>
      </c>
      <c r="X30" s="50">
        <f t="shared" si="18"/>
        <v>4.943219772879091</v>
      </c>
      <c r="Y30" s="24">
        <f t="shared" si="19"/>
        <v>-0.30225141685649615</v>
      </c>
      <c r="Z30" s="50">
        <f t="shared" si="20"/>
        <v>2.5259483788004045</v>
      </c>
      <c r="AA30" s="24">
        <f t="shared" si="21"/>
        <v>-0.21465172808134445</v>
      </c>
      <c r="AB30" s="28"/>
      <c r="AC30" s="30">
        <v>1963</v>
      </c>
      <c r="AD30" s="43">
        <f>SUM(AF30:AJ30)+AM30+AN30</f>
        <v>86094000</v>
      </c>
      <c r="AE30" s="7" t="s">
        <v>107</v>
      </c>
      <c r="AF30" s="43">
        <v>8185000</v>
      </c>
      <c r="AG30" s="43">
        <f>11844000+14535000</f>
        <v>26379000</v>
      </c>
      <c r="AH30" s="43">
        <f>6926000+6549000</f>
        <v>13475000</v>
      </c>
      <c r="AI30" s="43">
        <v>5043000</v>
      </c>
      <c r="AJ30" s="43">
        <f>AK30+AL30</f>
        <v>11646000</v>
      </c>
      <c r="AK30" s="43">
        <v>5085000</v>
      </c>
      <c r="AL30" s="43">
        <v>6561000</v>
      </c>
      <c r="AM30" s="43">
        <v>10479000</v>
      </c>
      <c r="AN30" s="43">
        <v>10887000</v>
      </c>
      <c r="AO30" s="39">
        <v>1963</v>
      </c>
      <c r="AP30" s="40">
        <v>1963</v>
      </c>
      <c r="AQ30" s="30">
        <v>1963</v>
      </c>
      <c r="AR30" s="43">
        <f>SUM(AT30:AX30)+BA30+BB30</f>
        <v>50356000</v>
      </c>
      <c r="AS30" s="7" t="s">
        <v>107</v>
      </c>
      <c r="AT30" s="43">
        <f>2778000+3990000</f>
        <v>6768000</v>
      </c>
      <c r="AU30" s="43">
        <f>11770000+14433000</f>
        <v>26203000</v>
      </c>
      <c r="AV30" s="43">
        <f>6813000+5704000</f>
        <v>12517000</v>
      </c>
      <c r="AW30" s="43">
        <v>2061000</v>
      </c>
      <c r="AX30" s="43">
        <f>SUM(AY30:AZ30)</f>
        <v>2014000</v>
      </c>
      <c r="AY30" s="43">
        <v>1269000</v>
      </c>
      <c r="AZ30" s="43">
        <v>745000</v>
      </c>
      <c r="BA30" s="43">
        <v>518000</v>
      </c>
      <c r="BB30" s="43">
        <v>275000</v>
      </c>
    </row>
    <row r="31" spans="1:54" ht="12">
      <c r="A31" s="30" t="s">
        <v>109</v>
      </c>
      <c r="B31" s="23">
        <f t="shared" si="0"/>
        <v>56.43624525230603</v>
      </c>
      <c r="C31" s="24">
        <f t="shared" si="1"/>
        <v>-0.2514065387023498</v>
      </c>
      <c r="D31" s="50">
        <f aca="true" t="shared" si="22" ref="D31:D36">AS31/AE31*(100)</f>
        <v>8.341369334619094</v>
      </c>
      <c r="E31" s="24">
        <f aca="true" t="shared" si="23" ref="E31:E36">-1*SQRT((2727*0.86/(AE31))*D31*(100-D31))</f>
        <v>-0.6574727820435444</v>
      </c>
      <c r="F31" s="50">
        <f t="shared" si="2"/>
        <v>83.31709693132002</v>
      </c>
      <c r="G31" s="24">
        <f t="shared" si="3"/>
        <v>-0.6300430163695568</v>
      </c>
      <c r="H31" s="50">
        <f t="shared" si="4"/>
        <v>99.00715000185232</v>
      </c>
      <c r="I31" s="24">
        <f t="shared" si="5"/>
        <v>-0.09241475500182943</v>
      </c>
      <c r="J31" s="50">
        <f t="shared" si="6"/>
        <v>93.10344827586206</v>
      </c>
      <c r="K31" s="24">
        <f t="shared" si="7"/>
        <v>-0.3059201756303593</v>
      </c>
      <c r="L31" s="50">
        <f t="shared" si="8"/>
        <v>41.62244124336619</v>
      </c>
      <c r="M31" s="24">
        <f t="shared" si="9"/>
        <v>-0.9686482580792581</v>
      </c>
      <c r="N31" s="50">
        <f>581000/5276000*(100)</f>
        <v>11.01213040181956</v>
      </c>
      <c r="O31" s="24">
        <f t="shared" si="10"/>
        <v>-0.6151491668884091</v>
      </c>
      <c r="P31" s="50">
        <f>1616000/5276000*(100)</f>
        <v>30.62926459438969</v>
      </c>
      <c r="Q31" s="24">
        <f t="shared" si="11"/>
        <v>-0.9058072587040923</v>
      </c>
      <c r="R31" s="50">
        <f t="shared" si="12"/>
        <v>16.832415550258897</v>
      </c>
      <c r="S31" s="24">
        <f t="shared" si="13"/>
        <v>-0.4841615180156993</v>
      </c>
      <c r="T31" s="50">
        <f t="shared" si="14"/>
        <v>26.27708978328173</v>
      </c>
      <c r="U31" s="24">
        <f t="shared" si="15"/>
        <v>-0.8738972472051781</v>
      </c>
      <c r="V31" s="50">
        <f t="shared" si="16"/>
        <v>9.858551221603086</v>
      </c>
      <c r="W31" s="24">
        <f t="shared" si="17"/>
        <v>-0.5086072830261297</v>
      </c>
      <c r="X31" s="50">
        <f t="shared" si="18"/>
        <v>5.238496860650361</v>
      </c>
      <c r="Y31" s="24">
        <f t="shared" si="19"/>
        <v>-0.3078566296765679</v>
      </c>
      <c r="Z31" s="50">
        <f t="shared" si="20"/>
        <v>2.5782344698738906</v>
      </c>
      <c r="AA31" s="24">
        <f t="shared" si="21"/>
        <v>-0.21863899545097903</v>
      </c>
      <c r="AB31" s="28"/>
      <c r="AC31" s="30">
        <v>1964</v>
      </c>
      <c r="AD31" s="43">
        <f>SUM(AE31:AJ31)+AM31+AN31</f>
        <v>92150000</v>
      </c>
      <c r="AE31" s="43">
        <v>4148000</v>
      </c>
      <c r="AF31" s="43">
        <f>4111000+4101000</f>
        <v>8212000</v>
      </c>
      <c r="AG31" s="43">
        <f>12050000+14943000</f>
        <v>26993000</v>
      </c>
      <c r="AH31" s="43">
        <f>6928000+7050000</f>
        <v>13978000</v>
      </c>
      <c r="AI31" s="43">
        <v>5276000</v>
      </c>
      <c r="AJ31" s="43">
        <f>SUM(AK31:AL31)</f>
        <v>12167000</v>
      </c>
      <c r="AK31" s="43">
        <v>5168000</v>
      </c>
      <c r="AL31" s="43">
        <v>6999000</v>
      </c>
      <c r="AM31" s="43">
        <v>10671000</v>
      </c>
      <c r="AN31" s="43">
        <v>10705000</v>
      </c>
      <c r="AO31" s="39">
        <v>1964</v>
      </c>
      <c r="AP31" s="40">
        <v>1964</v>
      </c>
      <c r="AQ31" s="30">
        <v>1964</v>
      </c>
      <c r="AR31" s="43">
        <f>SUM(AS31:AX31)+BA31+BB31</f>
        <v>52006000</v>
      </c>
      <c r="AS31" s="43">
        <v>346000</v>
      </c>
      <c r="AT31" s="43">
        <f>2814000+4028000</f>
        <v>6842000</v>
      </c>
      <c r="AU31" s="43">
        <f>11928000+14797000</f>
        <v>26725000</v>
      </c>
      <c r="AV31" s="43">
        <f>6832000+6182000</f>
        <v>13014000</v>
      </c>
      <c r="AW31" s="43">
        <v>2196000</v>
      </c>
      <c r="AX31" s="43">
        <f>SUM(AY31:AZ31)</f>
        <v>2048000</v>
      </c>
      <c r="AY31" s="43">
        <v>1358000</v>
      </c>
      <c r="AZ31" s="43">
        <v>690000</v>
      </c>
      <c r="BA31" s="43">
        <v>559000</v>
      </c>
      <c r="BB31" s="43">
        <v>276000</v>
      </c>
    </row>
    <row r="32" spans="1:250" ht="12">
      <c r="A32" s="30" t="s">
        <v>110</v>
      </c>
      <c r="B32" s="23">
        <f t="shared" si="0"/>
        <v>57.40662229194048</v>
      </c>
      <c r="C32" s="24">
        <f t="shared" si="1"/>
        <v>-0.2477811242796874</v>
      </c>
      <c r="D32" s="50">
        <f t="shared" si="22"/>
        <v>9.273242095327985</v>
      </c>
      <c r="E32" s="24">
        <f t="shared" si="23"/>
        <v>-0.6823305451227992</v>
      </c>
      <c r="F32" s="50">
        <f t="shared" si="2"/>
        <v>84.3685924496442</v>
      </c>
      <c r="G32" s="24">
        <f t="shared" si="3"/>
        <v>-0.6107701194919948</v>
      </c>
      <c r="H32" s="50">
        <f t="shared" si="4"/>
        <v>99.3521300083246</v>
      </c>
      <c r="I32" s="24">
        <f t="shared" si="5"/>
        <v>-0.0739165579223985</v>
      </c>
      <c r="J32" s="50">
        <f t="shared" si="6"/>
        <v>93.19937070938215</v>
      </c>
      <c r="K32" s="24">
        <f t="shared" si="7"/>
        <v>-0.3038764814702212</v>
      </c>
      <c r="L32" s="50">
        <f t="shared" si="8"/>
        <v>46.29483330699953</v>
      </c>
      <c r="M32" s="24">
        <f t="shared" si="9"/>
        <v>-0.8946197980598519</v>
      </c>
      <c r="N32" s="50">
        <f>715000/6329000*(100)</f>
        <v>11.297203349660293</v>
      </c>
      <c r="O32" s="24">
        <f t="shared" si="10"/>
        <v>-0.5679607676723297</v>
      </c>
      <c r="P32" s="50">
        <f>2215000/6329000*(100)</f>
        <v>34.997629957339235</v>
      </c>
      <c r="Q32" s="24">
        <f t="shared" si="11"/>
        <v>-0.8557523913659755</v>
      </c>
      <c r="R32" s="50">
        <f t="shared" si="12"/>
        <v>18.963439132181602</v>
      </c>
      <c r="S32" s="24">
        <f t="shared" si="13"/>
        <v>-0.5015720844164189</v>
      </c>
      <c r="T32" s="50">
        <f t="shared" si="14"/>
        <v>27.609697455419756</v>
      </c>
      <c r="U32" s="24">
        <f t="shared" si="15"/>
        <v>-0.9032521224771551</v>
      </c>
      <c r="V32" s="50">
        <f t="shared" si="16"/>
        <v>13.174134692782399</v>
      </c>
      <c r="W32" s="24">
        <f t="shared" si="17"/>
        <v>-0.5591427158352542</v>
      </c>
      <c r="X32" s="50">
        <f t="shared" si="18"/>
        <v>6.065075122131073</v>
      </c>
      <c r="Y32" s="24">
        <f t="shared" si="19"/>
        <v>-0.3270909587506666</v>
      </c>
      <c r="Z32" s="50">
        <f t="shared" si="20"/>
        <v>3.2410469621090425</v>
      </c>
      <c r="AA32" s="24">
        <f t="shared" si="21"/>
        <v>-0.24570590851802293</v>
      </c>
      <c r="AB32" s="28"/>
      <c r="AC32" s="30">
        <v>1965</v>
      </c>
      <c r="AD32" s="43">
        <f>SUM(AE32:AJ32)+AM32+AN32</f>
        <v>94348000</v>
      </c>
      <c r="AE32" s="35">
        <v>4238000</v>
      </c>
      <c r="AF32" s="43">
        <f>4162000+4129000</f>
        <v>8291000</v>
      </c>
      <c r="AG32" s="43">
        <f>12248000+15381000</f>
        <v>27629000</v>
      </c>
      <c r="AH32" s="43">
        <f>7059000+6925000</f>
        <v>13984000</v>
      </c>
      <c r="AI32" s="43">
        <v>6329000</v>
      </c>
      <c r="AJ32" s="43">
        <f>AK32+AL32</f>
        <v>12445000</v>
      </c>
      <c r="AK32" s="43">
        <v>4991000</v>
      </c>
      <c r="AL32" s="43">
        <v>7454000</v>
      </c>
      <c r="AM32" s="43">
        <v>10849000</v>
      </c>
      <c r="AN32" s="43">
        <v>10583000</v>
      </c>
      <c r="AO32" s="44">
        <v>1965</v>
      </c>
      <c r="AP32" s="45">
        <v>1965</v>
      </c>
      <c r="AQ32" s="46">
        <v>1965</v>
      </c>
      <c r="AR32" s="43">
        <f>SUM(AS32:AX32)+BA32+BB32</f>
        <v>54162000</v>
      </c>
      <c r="AS32" s="35">
        <f>393000</f>
        <v>393000</v>
      </c>
      <c r="AT32" s="43">
        <f>2918000+4077000</f>
        <v>6995000</v>
      </c>
      <c r="AU32" s="43">
        <f>12164000+15286000</f>
        <v>27450000</v>
      </c>
      <c r="AV32" s="43">
        <f>6980000+6053000</f>
        <v>13033000</v>
      </c>
      <c r="AW32" s="43">
        <v>2930000</v>
      </c>
      <c r="AX32" s="43">
        <f>AY32+AZ32</f>
        <v>2360000</v>
      </c>
      <c r="AY32" s="43">
        <v>1378000</v>
      </c>
      <c r="AZ32" s="43">
        <v>982000</v>
      </c>
      <c r="BA32" s="43">
        <v>658000</v>
      </c>
      <c r="BB32" s="43">
        <v>343000</v>
      </c>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row>
    <row r="33" spans="1:250" ht="12">
      <c r="A33" s="30">
        <v>1966</v>
      </c>
      <c r="B33" s="23">
        <f t="shared" si="0"/>
        <v>56.1286389574568</v>
      </c>
      <c r="C33" s="24">
        <f t="shared" si="1"/>
        <v>-0.2414507619766526</v>
      </c>
      <c r="D33" s="50">
        <f t="shared" si="22"/>
        <v>12.53336568793982</v>
      </c>
      <c r="E33" s="24">
        <f t="shared" si="23"/>
        <v>-0.558509484772926</v>
      </c>
      <c r="F33" s="50">
        <f t="shared" si="2"/>
        <v>85.80430388776603</v>
      </c>
      <c r="G33" s="24">
        <f t="shared" si="3"/>
        <v>-0.5827749303961732</v>
      </c>
      <c r="H33" s="50">
        <f t="shared" si="4"/>
        <v>99.31287382512105</v>
      </c>
      <c r="I33" s="24">
        <f t="shared" si="5"/>
        <v>-0.07548356571067302</v>
      </c>
      <c r="J33" s="50">
        <f t="shared" si="6"/>
        <v>93.672045662744</v>
      </c>
      <c r="K33" s="24">
        <f t="shared" si="7"/>
        <v>-0.29171712625369023</v>
      </c>
      <c r="L33" s="50">
        <f t="shared" si="8"/>
        <v>47.23378941106484</v>
      </c>
      <c r="M33" s="24">
        <f t="shared" si="9"/>
        <v>-0.8690049520378595</v>
      </c>
      <c r="N33" s="50">
        <f>738000/6724000*(100)</f>
        <v>10.975609756097562</v>
      </c>
      <c r="O33" s="24">
        <f t="shared" si="10"/>
        <v>-0.5441100354257074</v>
      </c>
      <c r="P33" s="50">
        <f>2440000/6724000*(100)</f>
        <v>36.2879238548483</v>
      </c>
      <c r="Q33" s="24">
        <f t="shared" si="11"/>
        <v>-0.8369699064876294</v>
      </c>
      <c r="R33" s="50">
        <f t="shared" si="12"/>
        <v>19.9155524278677</v>
      </c>
      <c r="S33" s="24">
        <f t="shared" si="13"/>
        <v>-0.504061738726438</v>
      </c>
      <c r="T33" s="50">
        <f t="shared" si="14"/>
        <v>29.906359734685918</v>
      </c>
      <c r="U33" s="24">
        <f t="shared" si="15"/>
        <v>-0.9127745850352528</v>
      </c>
      <c r="V33" s="50">
        <f t="shared" si="16"/>
        <v>13.232415503066683</v>
      </c>
      <c r="W33" s="24">
        <f t="shared" si="17"/>
        <v>-0.5524979381404447</v>
      </c>
      <c r="X33" s="50">
        <f t="shared" si="18"/>
        <v>6.4655172413793105</v>
      </c>
      <c r="Y33" s="24">
        <f t="shared" si="19"/>
        <v>-0.3326248229641601</v>
      </c>
      <c r="Z33" s="50">
        <f t="shared" si="20"/>
        <v>2.699866437702729</v>
      </c>
      <c r="AA33" s="24">
        <f t="shared" si="21"/>
        <v>-0.2259631064376152</v>
      </c>
      <c r="AB33" s="28"/>
      <c r="AC33" s="30">
        <v>1966</v>
      </c>
      <c r="AD33" s="43">
        <f>SUM(AE33:AJ33)+AM33+AN33</f>
        <v>100063000</v>
      </c>
      <c r="AE33" s="35">
        <v>8242000</v>
      </c>
      <c r="AF33" s="43">
        <v>8411000</v>
      </c>
      <c r="AG33" s="43">
        <f>12367000+15721000</f>
        <v>28088000</v>
      </c>
      <c r="AH33" s="43">
        <f>7269000+6922000</f>
        <v>14191000</v>
      </c>
      <c r="AI33" s="43">
        <v>6724000</v>
      </c>
      <c r="AJ33" s="43">
        <f>AK33+AL33</f>
        <v>12789000</v>
      </c>
      <c r="AK33" s="43">
        <v>5126000</v>
      </c>
      <c r="AL33" s="43">
        <v>7663000</v>
      </c>
      <c r="AM33" s="43">
        <v>11136000</v>
      </c>
      <c r="AN33" s="43">
        <v>10482000</v>
      </c>
      <c r="AO33" s="44">
        <v>1966</v>
      </c>
      <c r="AP33" s="45">
        <v>1966</v>
      </c>
      <c r="AQ33" s="46">
        <v>1966</v>
      </c>
      <c r="AR33" s="43">
        <f>SUM(AS33:AX33)+BA33+BB33</f>
        <v>56164000</v>
      </c>
      <c r="AS33" s="35">
        <v>1033000</v>
      </c>
      <c r="AT33" s="43">
        <v>7217000</v>
      </c>
      <c r="AU33" s="43">
        <f>12283000+15612000</f>
        <v>27895000</v>
      </c>
      <c r="AV33" s="43">
        <f>7166000+6127000</f>
        <v>13293000</v>
      </c>
      <c r="AW33" s="43">
        <v>3176000</v>
      </c>
      <c r="AX33" s="43">
        <f>AY33+AZ33</f>
        <v>2547000</v>
      </c>
      <c r="AY33" s="43">
        <v>1533000</v>
      </c>
      <c r="AZ33" s="43">
        <v>1014000</v>
      </c>
      <c r="BA33" s="43">
        <v>720000</v>
      </c>
      <c r="BB33" s="43">
        <v>283000</v>
      </c>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row>
    <row r="34" spans="1:250" ht="12">
      <c r="A34" s="30">
        <v>1967</v>
      </c>
      <c r="B34" s="23">
        <f t="shared" si="0"/>
        <v>56.58151699231592</v>
      </c>
      <c r="C34" s="24">
        <f t="shared" si="1"/>
        <v>-0.23898584885019655</v>
      </c>
      <c r="D34" s="50">
        <f t="shared" si="22"/>
        <v>14.170792079207919</v>
      </c>
      <c r="E34" s="24">
        <f t="shared" si="23"/>
        <v>-0.5941563315305584</v>
      </c>
      <c r="F34" s="50">
        <f t="shared" si="2"/>
        <v>87.38856531558302</v>
      </c>
      <c r="G34" s="24">
        <f t="shared" si="3"/>
        <v>-0.554275780727329</v>
      </c>
      <c r="H34" s="50">
        <f t="shared" si="4"/>
        <v>99.27002175896679</v>
      </c>
      <c r="I34" s="24">
        <f t="shared" si="5"/>
        <v>-0.07722876691153582</v>
      </c>
      <c r="J34" s="50">
        <f t="shared" si="6"/>
        <v>93.68688603421035</v>
      </c>
      <c r="K34" s="24">
        <f t="shared" si="7"/>
        <v>-0.2877113744457555</v>
      </c>
      <c r="L34" s="50">
        <f t="shared" si="8"/>
        <v>47.593582887700535</v>
      </c>
      <c r="M34" s="24">
        <f t="shared" si="9"/>
        <v>-0.8940008440518513</v>
      </c>
      <c r="N34" s="50">
        <v>11.7</v>
      </c>
      <c r="O34" s="24">
        <f t="shared" si="10"/>
        <v>-0.5753667713546837</v>
      </c>
      <c r="P34" s="22">
        <v>35.9</v>
      </c>
      <c r="Q34" s="24">
        <f t="shared" si="11"/>
        <v>-0.8587123979999164</v>
      </c>
      <c r="R34" s="50">
        <f t="shared" si="12"/>
        <v>21.99106292579298</v>
      </c>
      <c r="S34" s="24">
        <f t="shared" si="13"/>
        <v>-0.5059933550005171</v>
      </c>
      <c r="T34" s="50">
        <f t="shared" si="14"/>
        <v>33.25885183911998</v>
      </c>
      <c r="U34" s="24">
        <f t="shared" si="15"/>
        <v>-0.8816482718375468</v>
      </c>
      <c r="V34" s="50">
        <f t="shared" si="16"/>
        <v>13.621856249202095</v>
      </c>
      <c r="W34" s="24">
        <f t="shared" si="17"/>
        <v>-0.5532071347610081</v>
      </c>
      <c r="X34" s="50">
        <f t="shared" si="18"/>
        <v>6.6405917864127195</v>
      </c>
      <c r="Y34" s="24">
        <f t="shared" si="19"/>
        <v>-0.3277117914026228</v>
      </c>
      <c r="Z34" s="50">
        <f t="shared" si="20"/>
        <v>4.024943310657596</v>
      </c>
      <c r="AA34" s="24">
        <f t="shared" si="21"/>
        <v>-0.27268792864614205</v>
      </c>
      <c r="AB34" s="28"/>
      <c r="AC34" s="30">
        <v>1967</v>
      </c>
      <c r="AD34" s="43">
        <v>101899000</v>
      </c>
      <c r="AE34" s="35">
        <v>8080000</v>
      </c>
      <c r="AF34" s="43">
        <v>8413000</v>
      </c>
      <c r="AG34" s="43">
        <f>12450000+16044000</f>
        <v>28494000</v>
      </c>
      <c r="AH34" s="43">
        <f>7506000+7051000</f>
        <v>14557000</v>
      </c>
      <c r="AI34" s="43">
        <v>6358000</v>
      </c>
      <c r="AJ34" s="43">
        <f>AK34+AL34</f>
        <v>13651000</v>
      </c>
      <c r="AK34" s="43">
        <v>5818000</v>
      </c>
      <c r="AL34" s="43">
        <v>7833000</v>
      </c>
      <c r="AM34" s="43">
        <v>11761000</v>
      </c>
      <c r="AN34" s="43">
        <v>10584000</v>
      </c>
      <c r="AO34" s="44">
        <v>1967</v>
      </c>
      <c r="AP34" s="45">
        <v>1967</v>
      </c>
      <c r="AQ34" s="46">
        <v>1967</v>
      </c>
      <c r="AR34" s="43">
        <v>57656000</v>
      </c>
      <c r="AS34" s="35">
        <v>1145000</v>
      </c>
      <c r="AT34" s="43">
        <v>7352000</v>
      </c>
      <c r="AU34" s="43">
        <f>12381000+15905000</f>
        <v>28286000</v>
      </c>
      <c r="AV34" s="43">
        <f>7374000+6264000</f>
        <v>13638000</v>
      </c>
      <c r="AW34" s="43">
        <v>3026000</v>
      </c>
      <c r="AX34" s="43">
        <f>AY34+AZ34</f>
        <v>3002000</v>
      </c>
      <c r="AY34" s="43">
        <v>1935000</v>
      </c>
      <c r="AZ34" s="43">
        <v>1067000</v>
      </c>
      <c r="BA34" s="43">
        <v>781000</v>
      </c>
      <c r="BB34" s="43">
        <v>426000</v>
      </c>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row>
    <row r="35" spans="1:250" ht="12">
      <c r="A35" s="30">
        <v>1968</v>
      </c>
      <c r="B35" s="23">
        <f t="shared" si="0"/>
        <v>56.74259241385967</v>
      </c>
      <c r="C35" s="24">
        <f t="shared" si="1"/>
        <v>-0.23690079854804907</v>
      </c>
      <c r="D35" s="50">
        <f t="shared" si="22"/>
        <v>15.710627400768246</v>
      </c>
      <c r="E35" s="24">
        <f t="shared" si="23"/>
        <v>-0.6305934460584899</v>
      </c>
      <c r="F35" s="50">
        <f t="shared" si="2"/>
        <v>87.63161079511073</v>
      </c>
      <c r="G35" s="24">
        <f t="shared" si="3"/>
        <v>-0.5546383396459841</v>
      </c>
      <c r="H35" s="50">
        <f t="shared" si="4"/>
        <v>99.11688311688312</v>
      </c>
      <c r="I35" s="24">
        <f t="shared" si="5"/>
        <v>-0.08431672125018468</v>
      </c>
      <c r="J35" s="50">
        <f t="shared" si="6"/>
        <v>94.2205018686599</v>
      </c>
      <c r="K35" s="24">
        <f t="shared" si="7"/>
        <v>-0.272104449953012</v>
      </c>
      <c r="L35" s="50">
        <f t="shared" si="8"/>
        <v>50.356763321694245</v>
      </c>
      <c r="M35" s="24">
        <f t="shared" si="9"/>
        <v>-0.8793198414212303</v>
      </c>
      <c r="N35" s="50">
        <v>12.4</v>
      </c>
      <c r="O35" s="24">
        <f t="shared" si="10"/>
        <v>-0.5796299528865682</v>
      </c>
      <c r="P35" s="50">
        <v>38</v>
      </c>
      <c r="Q35" s="24">
        <f t="shared" si="11"/>
        <v>-0.8536415924863611</v>
      </c>
      <c r="R35" s="50">
        <f t="shared" si="12"/>
        <v>21.38103756708408</v>
      </c>
      <c r="S35" s="24">
        <f t="shared" si="13"/>
        <v>-0.49503270254459686</v>
      </c>
      <c r="T35" s="50">
        <f t="shared" si="14"/>
        <v>31.222167243938642</v>
      </c>
      <c r="U35" s="24">
        <f t="shared" si="15"/>
        <v>-0.8494615741382066</v>
      </c>
      <c r="V35" s="50">
        <f t="shared" si="16"/>
        <v>13.839737108190093</v>
      </c>
      <c r="W35" s="24">
        <f t="shared" si="17"/>
        <v>-0.5541228314243718</v>
      </c>
      <c r="X35" s="50">
        <f t="shared" si="18"/>
        <v>6.965294592413236</v>
      </c>
      <c r="Y35" s="24">
        <f t="shared" si="19"/>
        <v>-0.3264287040649185</v>
      </c>
      <c r="Z35" s="50">
        <f t="shared" si="20"/>
        <v>3.8877493939958976</v>
      </c>
      <c r="AA35" s="24">
        <f t="shared" si="21"/>
        <v>-0.26641051638974156</v>
      </c>
      <c r="AB35" s="28"/>
      <c r="AC35" s="30">
        <v>1968</v>
      </c>
      <c r="AD35" s="43">
        <v>103610000</v>
      </c>
      <c r="AE35" s="35">
        <v>7810000</v>
      </c>
      <c r="AF35" s="43">
        <v>8263000</v>
      </c>
      <c r="AG35" s="43">
        <f>12587000+16288000</f>
        <v>28875000</v>
      </c>
      <c r="AH35" s="43">
        <f>7719000+7265000</f>
        <v>14984000</v>
      </c>
      <c r="AI35" s="43">
        <v>6587000</v>
      </c>
      <c r="AJ35" s="43">
        <f>AK35+AL35</f>
        <v>13975000</v>
      </c>
      <c r="AK35" s="43">
        <v>6063000</v>
      </c>
      <c r="AL35" s="43">
        <v>7912000</v>
      </c>
      <c r="AM35" s="43">
        <v>12390000</v>
      </c>
      <c r="AN35" s="43">
        <v>10726000</v>
      </c>
      <c r="AO35" s="44">
        <v>1968</v>
      </c>
      <c r="AP35" s="45">
        <v>1968</v>
      </c>
      <c r="AQ35" s="46">
        <v>1968</v>
      </c>
      <c r="AR35" s="43">
        <v>58791000</v>
      </c>
      <c r="AS35" s="35">
        <v>1227000</v>
      </c>
      <c r="AT35" s="43">
        <v>7241000</v>
      </c>
      <c r="AU35" s="43">
        <f>12478000+16142000</f>
        <v>28620000</v>
      </c>
      <c r="AV35" s="43">
        <f>7564000+6554000</f>
        <v>14118000</v>
      </c>
      <c r="AW35" s="43">
        <v>3317000</v>
      </c>
      <c r="AX35" s="43">
        <f>AY35+AZ35</f>
        <v>2988000</v>
      </c>
      <c r="AY35" s="43">
        <v>1893000</v>
      </c>
      <c r="AZ35" s="43">
        <v>1095000</v>
      </c>
      <c r="BA35" s="43">
        <v>863000</v>
      </c>
      <c r="BB35" s="43">
        <v>417000</v>
      </c>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row>
    <row r="36" spans="1:250" ht="12">
      <c r="A36" s="30">
        <v>1969</v>
      </c>
      <c r="B36" s="23">
        <f t="shared" si="0"/>
        <v>56.98131152218365</v>
      </c>
      <c r="C36" s="24">
        <f t="shared" si="1"/>
        <v>-0.23500820270660855</v>
      </c>
      <c r="D36" s="50">
        <f t="shared" si="22"/>
        <v>16.098612420854103</v>
      </c>
      <c r="E36" s="24">
        <f t="shared" si="23"/>
        <v>-0.6532521659306376</v>
      </c>
      <c r="F36" s="50">
        <f t="shared" si="2"/>
        <v>88.36606150426084</v>
      </c>
      <c r="G36" s="24">
        <f t="shared" si="3"/>
        <v>-0.5456772603890517</v>
      </c>
      <c r="H36" s="50">
        <f t="shared" si="4"/>
        <v>99.2055030094583</v>
      </c>
      <c r="I36" s="24">
        <f t="shared" si="5"/>
        <v>-0.07973443898919678</v>
      </c>
      <c r="J36" s="50">
        <f t="shared" si="6"/>
        <v>94.03344394560479</v>
      </c>
      <c r="K36" s="24">
        <f t="shared" si="7"/>
        <v>-0.272716857796254</v>
      </c>
      <c r="L36" s="50">
        <f t="shared" si="8"/>
        <v>50.18720982477161</v>
      </c>
      <c r="M36" s="24">
        <f t="shared" si="9"/>
        <v>-0.873389623718608</v>
      </c>
      <c r="N36" s="51">
        <f>11.2</f>
        <v>11.2</v>
      </c>
      <c r="O36" s="24">
        <f t="shared" si="10"/>
        <v>-0.5508794377355849</v>
      </c>
      <c r="P36" s="51">
        <v>39</v>
      </c>
      <c r="Q36" s="24">
        <f t="shared" si="11"/>
        <v>-0.8519974381219829</v>
      </c>
      <c r="R36" s="50">
        <f t="shared" si="12"/>
        <v>23.016683690840996</v>
      </c>
      <c r="S36" s="24">
        <f t="shared" si="13"/>
        <v>-0.49580906540691566</v>
      </c>
      <c r="T36" s="50">
        <f t="shared" si="14"/>
        <v>34.122188653910705</v>
      </c>
      <c r="U36" s="24">
        <f t="shared" si="15"/>
        <v>-0.8767373886412639</v>
      </c>
      <c r="V36" s="50">
        <f t="shared" si="16"/>
        <v>15.434857339291852</v>
      </c>
      <c r="W36" s="24">
        <f t="shared" si="17"/>
        <v>-0.5520091426704583</v>
      </c>
      <c r="X36" s="50">
        <f t="shared" si="18"/>
        <v>7.863247863247863</v>
      </c>
      <c r="Y36" s="24">
        <f t="shared" si="19"/>
        <v>-0.33865688929558513</v>
      </c>
      <c r="Z36" s="50">
        <f t="shared" si="20"/>
        <v>4.785825189515024</v>
      </c>
      <c r="AA36" s="24">
        <f t="shared" si="21"/>
        <v>-0.29118818379586464</v>
      </c>
      <c r="AB36" s="28"/>
      <c r="AC36" s="28">
        <v>1969</v>
      </c>
      <c r="AD36" s="43">
        <v>105145000</v>
      </c>
      <c r="AE36" s="35">
        <v>7423000</v>
      </c>
      <c r="AF36" s="43">
        <v>8097000</v>
      </c>
      <c r="AG36" s="43">
        <f>12614000+16461000</f>
        <v>29075000</v>
      </c>
      <c r="AH36" s="43">
        <f>7888000+7481000</f>
        <v>15369000</v>
      </c>
      <c r="AI36" s="43">
        <v>6677000</v>
      </c>
      <c r="AJ36" s="43">
        <f>AK36+AL36</f>
        <v>14685000</v>
      </c>
      <c r="AK36" s="43">
        <v>5958000</v>
      </c>
      <c r="AL36" s="43">
        <v>8727000</v>
      </c>
      <c r="AM36" s="43">
        <v>12870000</v>
      </c>
      <c r="AN36" s="43">
        <v>10949000</v>
      </c>
      <c r="AO36" s="47">
        <v>1969</v>
      </c>
      <c r="AP36" s="48">
        <v>1969</v>
      </c>
      <c r="AQ36" s="49">
        <v>1969</v>
      </c>
      <c r="AR36" s="43">
        <v>59913000</v>
      </c>
      <c r="AS36" s="35">
        <v>1195000</v>
      </c>
      <c r="AT36" s="43">
        <v>7155000</v>
      </c>
      <c r="AU36" s="43">
        <f>12523000+16321000</f>
        <v>28844000</v>
      </c>
      <c r="AV36" s="43">
        <f>7742000+6710000</f>
        <v>14452000</v>
      </c>
      <c r="AW36" s="43">
        <v>3351000</v>
      </c>
      <c r="AX36" s="43">
        <f>AY36+AZ36</f>
        <v>3380000</v>
      </c>
      <c r="AY36" s="43">
        <v>2033000</v>
      </c>
      <c r="AZ36" s="43">
        <v>1347000</v>
      </c>
      <c r="BA36" s="43">
        <v>1012000</v>
      </c>
      <c r="BB36" s="43">
        <v>524000</v>
      </c>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row>
    <row r="37" spans="1:54" ht="12">
      <c r="A37" s="28">
        <v>1970</v>
      </c>
      <c r="B37" s="23">
        <v>56.4</v>
      </c>
      <c r="C37" s="24">
        <f t="shared" si="1"/>
        <v>-0.2333362650314594</v>
      </c>
      <c r="D37" s="23">
        <v>20.5</v>
      </c>
      <c r="E37" s="24">
        <f>-1*SQRT((2727*0.86/(AE37))*D37*(100-D37))</f>
        <v>-0.73190352681319</v>
      </c>
      <c r="F37" s="23">
        <v>89.5</v>
      </c>
      <c r="G37" s="24">
        <f>-1*SQRT((2727*0.86/(AF37))*F37*(100-F37))</f>
        <v>-0.5308878388967487</v>
      </c>
      <c r="H37" s="23">
        <v>99.2</v>
      </c>
      <c r="I37" s="24">
        <f t="shared" si="5"/>
        <v>-0.07988034762978237</v>
      </c>
      <c r="J37" s="24">
        <v>94.1</v>
      </c>
      <c r="K37" s="24">
        <f t="shared" si="7"/>
        <v>-0.26825878851079854</v>
      </c>
      <c r="L37" s="24">
        <v>47.7</v>
      </c>
      <c r="M37" s="24">
        <f>-1*SQRT((2369*0.86/(AI37))*L37*(100-L37))</f>
        <v>-0.8546721997601352</v>
      </c>
      <c r="N37" s="24">
        <v>10.5</v>
      </c>
      <c r="O37" s="24">
        <f aca="true" t="shared" si="24" ref="O37:O42">-1*SQRT((2369*0.86/(AI37))*N37*(100-N37))</f>
        <v>-0.5245606526128487</v>
      </c>
      <c r="P37" s="24">
        <f>L37-N37</f>
        <v>37.2</v>
      </c>
      <c r="Q37" s="24">
        <f>-1*SQRT((2369*0.86/(AI37))*P37*(100-P37))</f>
        <v>-0.8270672719084853</v>
      </c>
      <c r="R37" s="24">
        <v>21.5</v>
      </c>
      <c r="S37" s="24">
        <f t="shared" si="13"/>
        <v>-0.46957725134981865</v>
      </c>
      <c r="T37" s="24">
        <v>31.9</v>
      </c>
      <c r="U37" s="24">
        <f>-1*SQRT((2369*0.86/(AK37))*T37*(100-T37))</f>
        <v>-0.8505422998060699</v>
      </c>
      <c r="V37" s="24">
        <v>14.9</v>
      </c>
      <c r="W37" s="24">
        <f>-1*SQRT((2369*0.86/(AL37))*V37*(100-V37))</f>
        <v>-0.522128193071395</v>
      </c>
      <c r="X37" s="24">
        <v>7.5</v>
      </c>
      <c r="Y37" s="24">
        <f>-1*SQRT((2369*0.86/(AM37))*X37*(100-X37))</f>
        <v>-0.3245921016908213</v>
      </c>
      <c r="Z37" s="24">
        <v>4.2</v>
      </c>
      <c r="AA37" s="24">
        <f>-1*SQRT((2369*0.86/(AN37))*Z37*(100-Z37))</f>
        <v>-0.2706842127098813</v>
      </c>
      <c r="AB37" s="33"/>
      <c r="AC37" s="28">
        <v>1970</v>
      </c>
      <c r="AD37" s="34">
        <v>106995662</v>
      </c>
      <c r="AE37" s="34">
        <v>7135048</v>
      </c>
      <c r="AF37" s="34">
        <v>7819705</v>
      </c>
      <c r="AG37" s="34">
        <v>29167913</v>
      </c>
      <c r="AH37" s="35">
        <v>15717998</v>
      </c>
      <c r="AI37" s="35">
        <v>6958000</v>
      </c>
      <c r="AJ37" s="34">
        <v>15594000</v>
      </c>
      <c r="AK37" s="34">
        <v>6118000</v>
      </c>
      <c r="AL37" s="34">
        <v>9476000</v>
      </c>
      <c r="AM37" s="34">
        <v>13414998</v>
      </c>
      <c r="AN37" s="34">
        <v>11188000</v>
      </c>
      <c r="AO37" s="41">
        <v>1970</v>
      </c>
      <c r="AP37" s="42">
        <v>1970</v>
      </c>
      <c r="AQ37" s="28">
        <v>1970</v>
      </c>
      <c r="AR37" s="34">
        <v>106995662</v>
      </c>
      <c r="AS37" s="34">
        <v>7135048</v>
      </c>
      <c r="AT37" s="34">
        <v>7819705</v>
      </c>
      <c r="AU37" s="34">
        <v>29167913</v>
      </c>
      <c r="AV37" s="35">
        <v>15717998</v>
      </c>
      <c r="AW37" s="35">
        <v>6958000</v>
      </c>
      <c r="AX37" s="34">
        <v>15594000</v>
      </c>
      <c r="AY37" s="34">
        <v>6118000</v>
      </c>
      <c r="AZ37" s="34">
        <v>9476000</v>
      </c>
      <c r="BA37" s="34">
        <v>13414998</v>
      </c>
      <c r="BB37" s="34">
        <v>11188000</v>
      </c>
    </row>
    <row r="38" spans="1:54" ht="12">
      <c r="A38" s="28">
        <v>1971</v>
      </c>
      <c r="B38" s="23">
        <v>56.2</v>
      </c>
      <c r="C38" s="24">
        <f aca="true" t="shared" si="25" ref="C38:C43">-1*SQRT((2369*0.86/(AD38))*B38*(100-B38))</f>
        <v>-0.2147765396523348</v>
      </c>
      <c r="D38" s="23">
        <v>21.2</v>
      </c>
      <c r="E38" s="24">
        <f aca="true" t="shared" si="26" ref="E38:E43">-1*SQRT((2727*0.86/(AE38))*D38*(100-D38))</f>
        <v>-0.7488769618274159</v>
      </c>
      <c r="F38" s="23">
        <v>91.6</v>
      </c>
      <c r="G38" s="24">
        <f aca="true" t="shared" si="27" ref="G38:G43">-1*SQRT((2727*0.86/(AF38))*F38*(100-F38))</f>
        <v>-0.49238857319047813</v>
      </c>
      <c r="H38" s="23">
        <v>99.1</v>
      </c>
      <c r="I38" s="24">
        <f aca="true" t="shared" si="28" ref="I38:I43">-1*SQRT((2727*0.86/(AG38))*H38*(100-H38))</f>
        <v>-0.08481906637191684</v>
      </c>
      <c r="J38" s="24">
        <v>94.5</v>
      </c>
      <c r="K38" s="24">
        <f aca="true" t="shared" si="29" ref="K38:K48">-1*SQRT((2369*0.86/(AH38))*J38*(100-J38))</f>
        <v>-0.25704128668578596</v>
      </c>
      <c r="L38" s="24">
        <v>49.2</v>
      </c>
      <c r="M38" s="24">
        <f aca="true" t="shared" si="30" ref="M38:M43">-1*SQRT((2369*0.86/(AI38))*L38*(100-L38))</f>
        <v>-0.8390873940920852</v>
      </c>
      <c r="N38" s="24">
        <v>11.5</v>
      </c>
      <c r="O38" s="24">
        <f t="shared" si="24"/>
        <v>-0.5354431224229351</v>
      </c>
      <c r="P38" s="24">
        <f aca="true" t="shared" si="31" ref="P38:P68">L38-N38</f>
        <v>37.7</v>
      </c>
      <c r="Q38" s="24">
        <f aca="true" t="shared" si="32" ref="Q38:Q43">-1*SQRT((2369*0.86/(AI38))*P38*(100-P38))</f>
        <v>-0.8134062170375715</v>
      </c>
      <c r="R38" s="24">
        <v>21.9</v>
      </c>
      <c r="S38" s="24">
        <f aca="true" t="shared" si="33" ref="S38:S43">-1*SQRT((2369*0.86/(AJ38))*R38*(100-R38))</f>
        <v>-0.46043472099646154</v>
      </c>
      <c r="T38" s="24">
        <v>32.2</v>
      </c>
      <c r="U38" s="24">
        <f aca="true" t="shared" si="34" ref="U38:U43">-1*SQRT((2369*0.86/(AK38))*T38*(100-T38))</f>
        <v>-0.8331309861449797</v>
      </c>
      <c r="V38" s="24">
        <v>15.4</v>
      </c>
      <c r="W38" s="24">
        <f aca="true" t="shared" si="35" ref="W38:W43">-1*SQRT((2369*0.86/(AL38))*V38*(100-V38))</f>
        <v>-0.5144562909147297</v>
      </c>
      <c r="X38" s="24">
        <v>8</v>
      </c>
      <c r="Y38" s="24">
        <f aca="true" t="shared" si="36" ref="Y38:Y48">-1*SQRT((2369*0.86/(AM38))*X38*(100-X38))</f>
        <v>-0.32746923093067676</v>
      </c>
      <c r="Z38" s="24">
        <v>4.9</v>
      </c>
      <c r="AA38" s="24">
        <f aca="true" t="shared" si="37" ref="AA38:AA43">-1*SQRT((2369*0.86/(AN38))*Z38*(100-Z38))</f>
        <v>-0.28688725496459117</v>
      </c>
      <c r="AB38" s="33"/>
      <c r="AC38" s="28">
        <v>1971</v>
      </c>
      <c r="AD38" s="34">
        <v>108717700</v>
      </c>
      <c r="AE38" s="34">
        <v>6985938</v>
      </c>
      <c r="AF38" s="34">
        <v>7442904</v>
      </c>
      <c r="AG38" s="34">
        <v>29074535</v>
      </c>
      <c r="AH38" s="35">
        <v>16027000</v>
      </c>
      <c r="AI38" s="35">
        <v>7232325</v>
      </c>
      <c r="AJ38" s="34">
        <v>16436999</v>
      </c>
      <c r="AK38" s="34">
        <v>6408000</v>
      </c>
      <c r="AL38" s="34">
        <v>10029000</v>
      </c>
      <c r="AM38" s="34">
        <v>13982999</v>
      </c>
      <c r="AN38" s="34">
        <v>11535000</v>
      </c>
      <c r="AO38" s="41">
        <v>1971</v>
      </c>
      <c r="AP38" s="42">
        <v>1971</v>
      </c>
      <c r="AQ38" s="28">
        <v>1971</v>
      </c>
      <c r="AR38" s="34">
        <v>108717700</v>
      </c>
      <c r="AS38" s="34">
        <v>6985938</v>
      </c>
      <c r="AT38" s="34">
        <v>7442904</v>
      </c>
      <c r="AU38" s="34">
        <v>29074535</v>
      </c>
      <c r="AV38" s="35">
        <v>16027000</v>
      </c>
      <c r="AW38" s="35">
        <v>7232325</v>
      </c>
      <c r="AX38" s="34">
        <v>16436999</v>
      </c>
      <c r="AY38" s="34">
        <v>6408000</v>
      </c>
      <c r="AZ38" s="34">
        <v>10029000</v>
      </c>
      <c r="BA38" s="34">
        <v>13982999</v>
      </c>
      <c r="BB38" s="34">
        <v>11535000</v>
      </c>
    </row>
    <row r="39" spans="1:54" ht="12">
      <c r="A39" s="28">
        <v>1972</v>
      </c>
      <c r="B39" s="23">
        <v>54.9</v>
      </c>
      <c r="C39" s="24">
        <f t="shared" si="25"/>
        <v>-0.2145514948583347</v>
      </c>
      <c r="D39" s="23">
        <v>24.4</v>
      </c>
      <c r="E39" s="24">
        <f t="shared" si="26"/>
        <v>-0.798664517586662</v>
      </c>
      <c r="F39" s="23">
        <v>91.9</v>
      </c>
      <c r="G39" s="24">
        <f t="shared" si="27"/>
        <v>-0.5031344077494512</v>
      </c>
      <c r="H39" s="23">
        <v>99.2</v>
      </c>
      <c r="I39" s="24">
        <f t="shared" si="28"/>
        <v>-0.08133473080042326</v>
      </c>
      <c r="J39" s="24">
        <v>93.3</v>
      </c>
      <c r="K39" s="24">
        <f t="shared" si="29"/>
        <v>-0.2790176027238158</v>
      </c>
      <c r="L39" s="24">
        <v>46.3</v>
      </c>
      <c r="M39" s="24">
        <f t="shared" si="30"/>
        <v>-0.8239137903843621</v>
      </c>
      <c r="N39" s="24">
        <v>10.4</v>
      </c>
      <c r="O39" s="24">
        <f t="shared" si="24"/>
        <v>-0.5043996866597352</v>
      </c>
      <c r="P39" s="24">
        <f t="shared" si="31"/>
        <v>35.9</v>
      </c>
      <c r="Q39" s="24">
        <f t="shared" si="32"/>
        <v>-0.7926480082583817</v>
      </c>
      <c r="R39" s="24">
        <v>21.6</v>
      </c>
      <c r="S39" s="24">
        <f t="shared" si="33"/>
        <v>-0.44895501264498827</v>
      </c>
      <c r="T39" s="24">
        <v>31.4</v>
      </c>
      <c r="U39" s="24">
        <f t="shared" si="34"/>
        <v>-0.7943465972427802</v>
      </c>
      <c r="V39" s="24">
        <v>14.8</v>
      </c>
      <c r="W39" s="24">
        <f t="shared" si="35"/>
        <v>-0.5027971597978721</v>
      </c>
      <c r="X39" s="24">
        <v>8.6</v>
      </c>
      <c r="Y39" s="24">
        <f t="shared" si="36"/>
        <v>-0.33003945059964074</v>
      </c>
      <c r="Z39" s="24">
        <v>4.6</v>
      </c>
      <c r="AA39" s="24">
        <f t="shared" si="37"/>
        <v>-0.27146800938360005</v>
      </c>
      <c r="AB39" s="33"/>
      <c r="AC39" s="28">
        <v>1972</v>
      </c>
      <c r="AD39" s="36">
        <v>109584545</v>
      </c>
      <c r="AE39" s="34">
        <v>6782135</v>
      </c>
      <c r="AF39" s="34">
        <v>6896299</v>
      </c>
      <c r="AG39" s="34">
        <v>28134110</v>
      </c>
      <c r="AH39" s="35">
        <v>16359000</v>
      </c>
      <c r="AI39" s="35">
        <v>7462000</v>
      </c>
      <c r="AJ39" s="34">
        <v>17117001</v>
      </c>
      <c r="AK39" s="34">
        <v>6955001</v>
      </c>
      <c r="AL39" s="34">
        <v>10162000</v>
      </c>
      <c r="AM39" s="34">
        <v>14702001</v>
      </c>
      <c r="AN39" s="34">
        <v>12132000</v>
      </c>
      <c r="AO39" s="41">
        <v>1972</v>
      </c>
      <c r="AP39" s="42">
        <v>1972</v>
      </c>
      <c r="AQ39" s="28">
        <v>1972</v>
      </c>
      <c r="AR39" s="36">
        <v>109584545</v>
      </c>
      <c r="AS39" s="34">
        <v>6782135</v>
      </c>
      <c r="AT39" s="34">
        <v>6896299</v>
      </c>
      <c r="AU39" s="34">
        <v>28134110</v>
      </c>
      <c r="AV39" s="35">
        <v>16359000</v>
      </c>
      <c r="AW39" s="35">
        <v>7462000</v>
      </c>
      <c r="AX39" s="34">
        <v>17117001</v>
      </c>
      <c r="AY39" s="34">
        <v>6955001</v>
      </c>
      <c r="AZ39" s="34">
        <v>10162000</v>
      </c>
      <c r="BA39" s="34">
        <v>14702001</v>
      </c>
      <c r="BB39" s="34">
        <v>12132000</v>
      </c>
    </row>
    <row r="40" spans="1:54" ht="12">
      <c r="A40" s="28">
        <v>1973</v>
      </c>
      <c r="B40" s="23">
        <v>53.5</v>
      </c>
      <c r="C40" s="24">
        <f t="shared" si="25"/>
        <v>-0.21358407722154163</v>
      </c>
      <c r="D40" s="23">
        <v>24.2</v>
      </c>
      <c r="E40" s="24">
        <f t="shared" si="26"/>
        <v>-0.7839597151816454</v>
      </c>
      <c r="F40" s="23">
        <v>92.5</v>
      </c>
      <c r="G40" s="24">
        <f t="shared" si="27"/>
        <v>-0.49166059447621696</v>
      </c>
      <c r="H40" s="23">
        <v>99.2</v>
      </c>
      <c r="I40" s="24">
        <f t="shared" si="28"/>
        <v>-0.08225759347698637</v>
      </c>
      <c r="J40" s="24">
        <v>92.9</v>
      </c>
      <c r="K40" s="24">
        <f t="shared" si="29"/>
        <v>-0.2852093718521509</v>
      </c>
      <c r="L40" s="24">
        <v>42.9</v>
      </c>
      <c r="M40" s="24">
        <f t="shared" si="30"/>
        <v>-0.8078012419984681</v>
      </c>
      <c r="N40" s="24">
        <v>10</v>
      </c>
      <c r="O40" s="24">
        <f t="shared" si="24"/>
        <v>-0.4896424598558869</v>
      </c>
      <c r="P40" s="24">
        <f t="shared" si="31"/>
        <v>32.9</v>
      </c>
      <c r="Q40" s="24">
        <f t="shared" si="32"/>
        <v>-0.7668616601312707</v>
      </c>
      <c r="R40" s="24">
        <v>20.8</v>
      </c>
      <c r="S40" s="24">
        <f t="shared" si="33"/>
        <v>-0.43683537275993467</v>
      </c>
      <c r="T40" s="24">
        <v>30.1</v>
      </c>
      <c r="U40" s="24">
        <f t="shared" si="34"/>
        <v>-0.7762412035712798</v>
      </c>
      <c r="V40" s="24">
        <v>14.5</v>
      </c>
      <c r="W40" s="24">
        <f t="shared" si="35"/>
        <v>-0.4910690120387214</v>
      </c>
      <c r="X40" s="24">
        <v>8.5</v>
      </c>
      <c r="Y40" s="24">
        <f t="shared" si="36"/>
        <v>-0.32109160163012496</v>
      </c>
      <c r="Z40" s="24">
        <v>4.5</v>
      </c>
      <c r="AA40" s="24">
        <f t="shared" si="37"/>
        <v>-0.26212223184523825</v>
      </c>
      <c r="AB40" s="33"/>
      <c r="AC40" s="28">
        <v>1973</v>
      </c>
      <c r="AD40" s="34">
        <v>111104718</v>
      </c>
      <c r="AE40" s="34">
        <v>6999720</v>
      </c>
      <c r="AF40" s="34">
        <v>6730631</v>
      </c>
      <c r="AG40" s="34">
        <v>27506368</v>
      </c>
      <c r="AH40" s="35">
        <v>16519998</v>
      </c>
      <c r="AI40" s="35">
        <v>7648000</v>
      </c>
      <c r="AJ40" s="34">
        <v>17587999</v>
      </c>
      <c r="AK40" s="34">
        <v>7113999</v>
      </c>
      <c r="AL40" s="34">
        <v>10474000</v>
      </c>
      <c r="AM40" s="34">
        <v>15369001</v>
      </c>
      <c r="AN40" s="34">
        <v>12743000</v>
      </c>
      <c r="AO40" s="41">
        <v>1973</v>
      </c>
      <c r="AP40" s="42">
        <v>1973</v>
      </c>
      <c r="AQ40" s="28">
        <v>1973</v>
      </c>
      <c r="AR40" s="34">
        <v>111104718</v>
      </c>
      <c r="AS40" s="34">
        <v>6999720</v>
      </c>
      <c r="AT40" s="34">
        <v>6730631</v>
      </c>
      <c r="AU40" s="34">
        <v>27506368</v>
      </c>
      <c r="AV40" s="35">
        <v>16519998</v>
      </c>
      <c r="AW40" s="35">
        <v>7648000</v>
      </c>
      <c r="AX40" s="34">
        <v>17587999</v>
      </c>
      <c r="AY40" s="34">
        <v>7113999</v>
      </c>
      <c r="AZ40" s="34">
        <v>10474000</v>
      </c>
      <c r="BA40" s="34">
        <v>15369001</v>
      </c>
      <c r="BB40" s="34">
        <v>12743000</v>
      </c>
    </row>
    <row r="41" spans="1:54" ht="12">
      <c r="A41" s="28">
        <v>1974</v>
      </c>
      <c r="B41" s="23">
        <v>53.6</v>
      </c>
      <c r="C41" s="24">
        <f t="shared" si="25"/>
        <v>-0.21232913168558587</v>
      </c>
      <c r="D41" s="23">
        <v>28.8</v>
      </c>
      <c r="E41" s="24">
        <f t="shared" si="26"/>
        <v>-0.830860300813095</v>
      </c>
      <c r="F41" s="23">
        <v>94.2</v>
      </c>
      <c r="G41" s="24">
        <f t="shared" si="27"/>
        <v>-0.433530245860955</v>
      </c>
      <c r="H41" s="23">
        <v>99.3</v>
      </c>
      <c r="I41" s="24">
        <f t="shared" si="28"/>
        <v>-0.07768769539402227</v>
      </c>
      <c r="J41" s="24">
        <v>92.9</v>
      </c>
      <c r="K41" s="24">
        <f t="shared" si="29"/>
        <v>-0.2835747564346738</v>
      </c>
      <c r="L41" s="24">
        <v>43.1</v>
      </c>
      <c r="M41" s="24">
        <f t="shared" si="30"/>
        <v>-0.7992223466094195</v>
      </c>
      <c r="N41" s="24">
        <v>9.9</v>
      </c>
      <c r="O41" s="24">
        <f t="shared" si="24"/>
        <v>-0.48200644239348217</v>
      </c>
      <c r="P41" s="24">
        <f t="shared" si="31"/>
        <v>33.2</v>
      </c>
      <c r="Q41" s="24">
        <f t="shared" si="32"/>
        <v>-0.760028929188741</v>
      </c>
      <c r="R41" s="24">
        <v>21.4</v>
      </c>
      <c r="S41" s="24">
        <f t="shared" si="33"/>
        <v>-0.43818259688324096</v>
      </c>
      <c r="T41" s="24">
        <v>30.2</v>
      </c>
      <c r="U41" s="24">
        <f t="shared" si="34"/>
        <v>-0.7581821254805393</v>
      </c>
      <c r="V41" s="24">
        <v>15.1</v>
      </c>
      <c r="W41" s="24">
        <f t="shared" si="35"/>
        <v>-0.5016931443060133</v>
      </c>
      <c r="X41" s="24">
        <v>9.6</v>
      </c>
      <c r="Y41" s="24">
        <f t="shared" si="36"/>
        <v>-0.33346713573660147</v>
      </c>
      <c r="Z41" s="24">
        <v>5.7</v>
      </c>
      <c r="AA41" s="24">
        <f t="shared" si="37"/>
        <v>-0.286783687593578</v>
      </c>
      <c r="AB41" s="33"/>
      <c r="AC41" s="28">
        <v>1974</v>
      </c>
      <c r="AD41" s="34">
        <v>112389856</v>
      </c>
      <c r="AE41" s="34">
        <v>6966266</v>
      </c>
      <c r="AF41" s="34">
        <v>6817477</v>
      </c>
      <c r="AG41" s="34">
        <v>27010113</v>
      </c>
      <c r="AH41" s="35">
        <v>16711000</v>
      </c>
      <c r="AI41" s="35">
        <v>7822000</v>
      </c>
      <c r="AJ41" s="34">
        <v>17848001</v>
      </c>
      <c r="AK41" s="34">
        <v>7471001</v>
      </c>
      <c r="AL41" s="34">
        <v>10377000</v>
      </c>
      <c r="AM41" s="34">
        <v>15899999</v>
      </c>
      <c r="AN41" s="34">
        <v>13315000</v>
      </c>
      <c r="AO41" s="41">
        <v>1974</v>
      </c>
      <c r="AP41" s="42">
        <v>1974</v>
      </c>
      <c r="AQ41" s="28">
        <v>1974</v>
      </c>
      <c r="AR41" s="34">
        <v>112389856</v>
      </c>
      <c r="AS41" s="34">
        <v>6966266</v>
      </c>
      <c r="AT41" s="34">
        <v>6817477</v>
      </c>
      <c r="AU41" s="34">
        <v>27010113</v>
      </c>
      <c r="AV41" s="35">
        <v>16711000</v>
      </c>
      <c r="AW41" s="35">
        <v>7822000</v>
      </c>
      <c r="AX41" s="34">
        <v>17848001</v>
      </c>
      <c r="AY41" s="34">
        <v>7471001</v>
      </c>
      <c r="AZ41" s="34">
        <v>10377000</v>
      </c>
      <c r="BA41" s="34">
        <v>15899999</v>
      </c>
      <c r="BB41" s="34">
        <v>13315000</v>
      </c>
    </row>
    <row r="42" spans="1:54" ht="12">
      <c r="A42" s="28">
        <v>1975</v>
      </c>
      <c r="B42" s="23">
        <v>53.7</v>
      </c>
      <c r="C42" s="24">
        <f t="shared" si="25"/>
        <v>-0.21130864256278062</v>
      </c>
      <c r="D42" s="23">
        <v>31.5</v>
      </c>
      <c r="E42" s="24">
        <f t="shared" si="26"/>
        <v>-0.8706401970707517</v>
      </c>
      <c r="F42" s="23">
        <v>94.7</v>
      </c>
      <c r="G42" s="24">
        <f t="shared" si="27"/>
        <v>-0.41137478587142556</v>
      </c>
      <c r="H42" s="23">
        <v>99.3</v>
      </c>
      <c r="I42" s="24">
        <f t="shared" si="28"/>
        <v>-0.07874409540568965</v>
      </c>
      <c r="J42" s="24">
        <v>93.6</v>
      </c>
      <c r="K42" s="24">
        <f t="shared" si="29"/>
        <v>-0.26980186623395297</v>
      </c>
      <c r="L42" s="24">
        <v>46.9</v>
      </c>
      <c r="M42" s="24">
        <f t="shared" si="30"/>
        <v>-0.7951883430125052</v>
      </c>
      <c r="N42" s="24">
        <v>10.2</v>
      </c>
      <c r="O42" s="24">
        <f t="shared" si="24"/>
        <v>-0.4822525994351511</v>
      </c>
      <c r="P42" s="24">
        <f t="shared" si="31"/>
        <v>36.7</v>
      </c>
      <c r="Q42" s="24">
        <f t="shared" si="32"/>
        <v>-0.7680176666247002</v>
      </c>
      <c r="R42" s="24">
        <v>22.4</v>
      </c>
      <c r="S42" s="24">
        <f t="shared" si="33"/>
        <v>-0.4391519311122989</v>
      </c>
      <c r="T42" s="24">
        <v>31.2</v>
      </c>
      <c r="U42" s="24">
        <f t="shared" si="34"/>
        <v>-0.7551511762873152</v>
      </c>
      <c r="V42" s="24">
        <v>16.2</v>
      </c>
      <c r="W42" s="24">
        <f t="shared" si="35"/>
        <v>-0.5085587867952955</v>
      </c>
      <c r="X42" s="24">
        <v>10.1</v>
      </c>
      <c r="Y42" s="24">
        <f t="shared" si="36"/>
        <v>-0.33330288634650684</v>
      </c>
      <c r="Z42" s="24">
        <v>6.6</v>
      </c>
      <c r="AA42" s="24">
        <f t="shared" si="37"/>
        <v>-0.3025740976422095</v>
      </c>
      <c r="AB42" s="33"/>
      <c r="AC42" s="28">
        <v>1975</v>
      </c>
      <c r="AD42" s="34">
        <v>113444715</v>
      </c>
      <c r="AE42" s="34">
        <v>6675861</v>
      </c>
      <c r="AF42" s="34">
        <v>6955592</v>
      </c>
      <c r="AG42" s="34">
        <v>26290260</v>
      </c>
      <c r="AH42" s="35">
        <v>16765999</v>
      </c>
      <c r="AI42" s="35">
        <v>8023999</v>
      </c>
      <c r="AJ42" s="34">
        <v>18363001</v>
      </c>
      <c r="AK42" s="34">
        <v>7669000</v>
      </c>
      <c r="AL42" s="34">
        <v>10694001</v>
      </c>
      <c r="AM42" s="34">
        <v>16652001</v>
      </c>
      <c r="AN42" s="34">
        <v>13718001</v>
      </c>
      <c r="AO42" s="41">
        <v>1975</v>
      </c>
      <c r="AP42" s="42">
        <v>1975</v>
      </c>
      <c r="AQ42" s="28">
        <v>1975</v>
      </c>
      <c r="AR42" s="34">
        <v>113444715</v>
      </c>
      <c r="AS42" s="34">
        <v>6675861</v>
      </c>
      <c r="AT42" s="34">
        <v>6955592</v>
      </c>
      <c r="AU42" s="34">
        <v>26290260</v>
      </c>
      <c r="AV42" s="35">
        <v>16765999</v>
      </c>
      <c r="AW42" s="35">
        <v>8023999</v>
      </c>
      <c r="AX42" s="34">
        <v>18363001</v>
      </c>
      <c r="AY42" s="34">
        <v>7669000</v>
      </c>
      <c r="AZ42" s="34">
        <v>10694001</v>
      </c>
      <c r="BA42" s="34">
        <v>16652001</v>
      </c>
      <c r="BB42" s="34">
        <v>13718001</v>
      </c>
    </row>
    <row r="43" spans="1:54" ht="12">
      <c r="A43" s="28">
        <v>1976</v>
      </c>
      <c r="B43" s="23">
        <v>53.1</v>
      </c>
      <c r="C43" s="24">
        <f t="shared" si="25"/>
        <v>-0.21098240948917713</v>
      </c>
      <c r="D43" s="23">
        <v>31.3</v>
      </c>
      <c r="E43" s="24">
        <f t="shared" si="26"/>
        <v>-0.8990800142013265</v>
      </c>
      <c r="F43" s="23">
        <v>95.5</v>
      </c>
      <c r="G43" s="24">
        <f t="shared" si="27"/>
        <v>-0.37909689992964524</v>
      </c>
      <c r="H43" s="23">
        <v>99.2</v>
      </c>
      <c r="I43" s="24">
        <f t="shared" si="28"/>
        <v>-0.08515562876312714</v>
      </c>
      <c r="J43" s="24">
        <v>93.7</v>
      </c>
      <c r="K43" s="24">
        <f t="shared" si="29"/>
        <v>-0.26834134143640503</v>
      </c>
      <c r="L43" s="24">
        <v>46.2</v>
      </c>
      <c r="M43" s="24">
        <f t="shared" si="30"/>
        <v>-0.7883487767488438</v>
      </c>
      <c r="N43" s="24">
        <v>10.2</v>
      </c>
      <c r="O43" s="24">
        <f>-1*SQRT((2369*0.86/(AI43))*N43*(100-N43))</f>
        <v>-0.47856895983356645</v>
      </c>
      <c r="P43" s="24">
        <f t="shared" si="31"/>
        <v>36</v>
      </c>
      <c r="Q43" s="24">
        <f t="shared" si="32"/>
        <v>-0.7590100210724435</v>
      </c>
      <c r="R43" s="24">
        <v>23.3</v>
      </c>
      <c r="S43" s="24">
        <f t="shared" si="33"/>
        <v>-0.44041661396025794</v>
      </c>
      <c r="T43" s="24">
        <v>32</v>
      </c>
      <c r="U43" s="24">
        <f t="shared" si="34"/>
        <v>-0.7533692375189894</v>
      </c>
      <c r="V43" s="24">
        <v>17.1</v>
      </c>
      <c r="W43" s="24">
        <f t="shared" si="35"/>
        <v>-0.513336091243342</v>
      </c>
      <c r="X43" s="24">
        <v>10</v>
      </c>
      <c r="Y43" s="24">
        <f t="shared" si="36"/>
        <v>-0.32600232660760764</v>
      </c>
      <c r="Z43" s="24">
        <v>6</v>
      </c>
      <c r="AA43" s="24">
        <f t="shared" si="37"/>
        <v>-0.28455407406974875</v>
      </c>
      <c r="AB43" s="33"/>
      <c r="AC43" s="28">
        <v>1976</v>
      </c>
      <c r="AD43" s="34">
        <v>113982553</v>
      </c>
      <c r="AE43" s="34">
        <v>6238612</v>
      </c>
      <c r="AF43" s="34">
        <v>7012922</v>
      </c>
      <c r="AG43" s="34">
        <v>25666020</v>
      </c>
      <c r="AH43" s="35">
        <v>16702000</v>
      </c>
      <c r="AI43" s="35">
        <v>8147999</v>
      </c>
      <c r="AJ43" s="34">
        <v>18771000</v>
      </c>
      <c r="AK43" s="34">
        <v>7811000</v>
      </c>
      <c r="AL43" s="34">
        <v>10960000</v>
      </c>
      <c r="AM43" s="34">
        <v>17253000</v>
      </c>
      <c r="AN43" s="34">
        <v>14191000</v>
      </c>
      <c r="AO43" s="41">
        <v>1976</v>
      </c>
      <c r="AP43" s="42">
        <v>1976</v>
      </c>
      <c r="AQ43" s="28">
        <v>1976</v>
      </c>
      <c r="AR43" s="34">
        <v>113982553</v>
      </c>
      <c r="AS43" s="34">
        <v>6238612</v>
      </c>
      <c r="AT43" s="34">
        <v>7012922</v>
      </c>
      <c r="AU43" s="34">
        <v>25666020</v>
      </c>
      <c r="AV43" s="35">
        <v>16702000</v>
      </c>
      <c r="AW43" s="35">
        <v>8147999</v>
      </c>
      <c r="AX43" s="34">
        <v>18771000</v>
      </c>
      <c r="AY43" s="34">
        <v>7811000</v>
      </c>
      <c r="AZ43" s="34">
        <v>10960000</v>
      </c>
      <c r="BA43" s="34">
        <v>17253000</v>
      </c>
      <c r="BB43" s="34">
        <v>14191000</v>
      </c>
    </row>
    <row r="44" spans="1:54" ht="12">
      <c r="A44" s="28">
        <v>1977</v>
      </c>
      <c r="B44" s="23">
        <v>52.5</v>
      </c>
      <c r="C44" s="24">
        <f>-1*SQRT((2369*0.88/(AD44))*B44*(100-B44))</f>
        <v>-0.21326383614109415</v>
      </c>
      <c r="D44" s="23">
        <v>32</v>
      </c>
      <c r="E44" s="24">
        <f>-1*SQRT((2727*0.88/(AE44))*D44*(100-D44))</f>
        <v>-0.9297490141144908</v>
      </c>
      <c r="F44" s="23">
        <v>95.8</v>
      </c>
      <c r="G44" s="24">
        <f>-1*SQRT((2727*0.88/(AF44))*F44*(100-F44))</f>
        <v>-0.379122038114833</v>
      </c>
      <c r="H44" s="23">
        <v>99.4</v>
      </c>
      <c r="I44" s="24">
        <f>-1*SQRT((2727*0.88/(AG44))*H44*(100-H44))</f>
        <v>-0.0753684563042657</v>
      </c>
      <c r="J44" s="24">
        <v>93.7</v>
      </c>
      <c r="K44" s="24">
        <f t="shared" si="29"/>
        <v>-0.26931055242251883</v>
      </c>
      <c r="L44" s="24">
        <v>46.2</v>
      </c>
      <c r="M44" s="24">
        <f>-1*SQRT((2369*0.88/(AI44))*L44*(100-L44))</f>
        <v>-0.7973161214793353</v>
      </c>
      <c r="N44" s="24">
        <v>10.4</v>
      </c>
      <c r="O44" s="24">
        <f>-1*SQRT((2369*0.88/(AI44))*N44*(100-N44))</f>
        <v>-0.4881902418941838</v>
      </c>
      <c r="P44" s="24">
        <f t="shared" si="31"/>
        <v>35.800000000000004</v>
      </c>
      <c r="Q44" s="24">
        <f>-1*SQRT((2369*0.88/(AI44))*P44*(100-P44))</f>
        <v>-0.7667035024888987</v>
      </c>
      <c r="R44" s="24">
        <v>22.9</v>
      </c>
      <c r="S44" s="24">
        <f>-1*SQRT((2369*0.88/(AJ44))*R44*(100-R44))</f>
        <v>-0.438070991004359</v>
      </c>
      <c r="T44" s="24">
        <v>31.8</v>
      </c>
      <c r="U44" s="24">
        <f>-1*SQRT((2369*0.88/(AK44))*T44*(100-T44))</f>
        <v>-0.752239655311909</v>
      </c>
      <c r="V44" s="24">
        <v>16.5</v>
      </c>
      <c r="W44" s="24">
        <f>-1*SQRT((2369*0.88/(AL44))*V44*(100-V44))</f>
        <v>-0.5066336515041822</v>
      </c>
      <c r="X44" s="24">
        <v>10.8</v>
      </c>
      <c r="Y44" s="24">
        <f t="shared" si="36"/>
        <v>-0.3371261695928286</v>
      </c>
      <c r="Z44" s="24">
        <v>6.9</v>
      </c>
      <c r="AA44" s="24">
        <f>-1*SQRT((2369*0.88/(AN44))*Z44*(100-Z44))</f>
        <v>-0.29712881890752485</v>
      </c>
      <c r="AB44" s="33"/>
      <c r="AC44" s="28">
        <v>1977</v>
      </c>
      <c r="AD44" s="34">
        <v>114305259</v>
      </c>
      <c r="AE44" s="34">
        <v>6040811</v>
      </c>
      <c r="AF44" s="34">
        <v>6717761</v>
      </c>
      <c r="AG44" s="34">
        <v>25195687</v>
      </c>
      <c r="AH44" s="35">
        <v>16582000</v>
      </c>
      <c r="AI44" s="35">
        <v>8151000</v>
      </c>
      <c r="AJ44" s="34">
        <v>19180000</v>
      </c>
      <c r="AK44" s="34">
        <v>7990000</v>
      </c>
      <c r="AL44" s="34">
        <v>11190000</v>
      </c>
      <c r="AM44" s="34">
        <v>17269000</v>
      </c>
      <c r="AN44" s="34">
        <v>15169000</v>
      </c>
      <c r="AO44" s="41">
        <v>1977</v>
      </c>
      <c r="AP44" s="42">
        <v>1977</v>
      </c>
      <c r="AQ44" s="28">
        <v>1977</v>
      </c>
      <c r="AR44" s="34">
        <v>114305259</v>
      </c>
      <c r="AS44" s="34">
        <v>6040811</v>
      </c>
      <c r="AT44" s="34">
        <v>6717761</v>
      </c>
      <c r="AU44" s="34">
        <v>25195687</v>
      </c>
      <c r="AV44" s="35">
        <v>16582000</v>
      </c>
      <c r="AW44" s="35">
        <v>8151000</v>
      </c>
      <c r="AX44" s="34">
        <v>19180000</v>
      </c>
      <c r="AY44" s="34">
        <v>7990000</v>
      </c>
      <c r="AZ44" s="34">
        <v>11190000</v>
      </c>
      <c r="BA44" s="34">
        <v>17269000</v>
      </c>
      <c r="BB44" s="34">
        <v>15169000</v>
      </c>
    </row>
    <row r="45" spans="1:54" ht="12">
      <c r="A45" s="28">
        <v>1978</v>
      </c>
      <c r="B45" s="23">
        <v>51.2</v>
      </c>
      <c r="C45" s="24">
        <f>-1*SQRT((2369*0.88/(AD45))*B45*(100-B45))</f>
        <v>-0.21331787339271996</v>
      </c>
      <c r="D45" s="23">
        <v>34.2</v>
      </c>
      <c r="E45" s="24">
        <f>-1*SQRT((2727*0.88/(AE45))*D45*(100-D45))</f>
        <v>-0.9446316452458671</v>
      </c>
      <c r="F45" s="23">
        <v>95.3</v>
      </c>
      <c r="G45" s="24">
        <f>-1*SQRT((2727*0.88/(AF45))*F45*(100-F45))</f>
        <v>-0.41323317599688236</v>
      </c>
      <c r="H45" s="23">
        <v>99.1</v>
      </c>
      <c r="I45" s="24">
        <f>-1*SQRT((2727*0.88/(AG45))*H45*(100-H45))</f>
        <v>-0.09288104077027041</v>
      </c>
      <c r="J45" s="24">
        <v>93.7</v>
      </c>
      <c r="K45" s="24">
        <f t="shared" si="29"/>
        <v>-0.2709329691851914</v>
      </c>
      <c r="L45" s="24">
        <v>45.4</v>
      </c>
      <c r="M45" s="24">
        <f>-1*SQRT((2369*0.88/(AI45))*L45*(100-L45))</f>
        <v>-0.7961399057423988</v>
      </c>
      <c r="N45" s="24">
        <v>9.8</v>
      </c>
      <c r="O45" s="24">
        <f>-1*SQRT((2369*0.88/(AI45))*N45*(100-N45))</f>
        <v>-0.47542438338286364</v>
      </c>
      <c r="P45" s="24">
        <f t="shared" si="31"/>
        <v>35.599999999999994</v>
      </c>
      <c r="Q45" s="24">
        <f>-1*SQRT((2369*0.88/(AI45))*P45*(100-P45))</f>
        <v>-0.7656549206240209</v>
      </c>
      <c r="R45" s="24">
        <v>21.8</v>
      </c>
      <c r="S45" s="24">
        <f>-1*SQRT((2369*0.88/(AJ45))*R45*(100-R45))</f>
        <v>-0.42697751853434124</v>
      </c>
      <c r="T45" s="24">
        <v>29.5</v>
      </c>
      <c r="U45" s="24">
        <f>-1*SQRT((2369*0.88/(AK45))*T45*(100-T45))</f>
        <v>-0.731983844420311</v>
      </c>
      <c r="V45" s="24">
        <v>16.3</v>
      </c>
      <c r="W45" s="24">
        <f>-1*SQRT((2369*0.88/(AL45))*V45*(100-V45))</f>
        <v>-0.49944751915995517</v>
      </c>
      <c r="X45" s="24">
        <v>9.4</v>
      </c>
      <c r="Y45" s="24">
        <f t="shared" si="36"/>
        <v>-0.3140792314308986</v>
      </c>
      <c r="Z45" s="24">
        <v>6.4</v>
      </c>
      <c r="AA45" s="24">
        <f>-1*SQRT((2369*0.88/(AN45))*Z45*(100-Z45))</f>
        <v>-0.2821151963797044</v>
      </c>
      <c r="AB45" s="33"/>
      <c r="AC45" s="28">
        <v>1978</v>
      </c>
      <c r="AD45" s="34">
        <v>114467718</v>
      </c>
      <c r="AE45" s="34">
        <v>6051943</v>
      </c>
      <c r="AF45" s="34">
        <v>6294601</v>
      </c>
      <c r="AG45" s="34">
        <v>24810175</v>
      </c>
      <c r="AH45" s="35">
        <v>16384000</v>
      </c>
      <c r="AI45" s="35">
        <v>8153000</v>
      </c>
      <c r="AJ45" s="34">
        <v>19494000</v>
      </c>
      <c r="AK45" s="34">
        <v>8092000</v>
      </c>
      <c r="AL45" s="34">
        <v>11402001</v>
      </c>
      <c r="AM45" s="34">
        <v>17588999</v>
      </c>
      <c r="AN45" s="34">
        <v>15690999</v>
      </c>
      <c r="AO45" s="41">
        <v>1978</v>
      </c>
      <c r="AP45" s="42">
        <v>1978</v>
      </c>
      <c r="AQ45" s="28">
        <v>1978</v>
      </c>
      <c r="AR45" s="34">
        <v>114467718</v>
      </c>
      <c r="AS45" s="34">
        <v>6051943</v>
      </c>
      <c r="AT45" s="34">
        <v>6294601</v>
      </c>
      <c r="AU45" s="34">
        <v>24810175</v>
      </c>
      <c r="AV45" s="35">
        <v>16384000</v>
      </c>
      <c r="AW45" s="35">
        <v>8153000</v>
      </c>
      <c r="AX45" s="34">
        <v>19494000</v>
      </c>
      <c r="AY45" s="34">
        <v>8092000</v>
      </c>
      <c r="AZ45" s="34">
        <v>11402001</v>
      </c>
      <c r="BA45" s="34">
        <v>17588999</v>
      </c>
      <c r="BB45" s="34">
        <v>15690999</v>
      </c>
    </row>
    <row r="46" spans="1:54" ht="12">
      <c r="A46" s="28">
        <v>1979</v>
      </c>
      <c r="B46" s="23">
        <v>50.3</v>
      </c>
      <c r="C46" s="24">
        <f>-1*SQRT((2369*0.88/(AD46))*B46*(100-B46))</f>
        <v>-0.21296971157599398</v>
      </c>
      <c r="D46" s="23">
        <v>35.1</v>
      </c>
      <c r="E46" s="24">
        <f>-1*SQRT((2727*0.88/(AE46))*D46*(100-D46))</f>
        <v>-0.947095479954117</v>
      </c>
      <c r="F46" s="23">
        <v>95.8</v>
      </c>
      <c r="G46" s="24">
        <f>-1*SQRT((2727*0.88/(AF46))*F46*(100-F46))</f>
        <v>-0.39770071067252327</v>
      </c>
      <c r="H46" s="23">
        <v>99.2</v>
      </c>
      <c r="I46" s="24">
        <f>-1*SQRT((2727*0.88/(AG46))*H46*(100-H46))</f>
        <v>-0.08844425953697865</v>
      </c>
      <c r="J46" s="24">
        <v>93.6</v>
      </c>
      <c r="K46" s="24">
        <f t="shared" si="29"/>
        <v>-0.2762192677402643</v>
      </c>
      <c r="L46" s="24">
        <v>45</v>
      </c>
      <c r="M46" s="24">
        <f>-1*SQRT((2369*0.88/(AI46))*L46*(100-L46))</f>
        <v>-0.7925635929948035</v>
      </c>
      <c r="N46" s="24">
        <v>10.3</v>
      </c>
      <c r="O46" s="24">
        <f>-1*SQRT((2369*0.88/(AI46))*N46*(100-N46))</f>
        <v>-0.48424076951801975</v>
      </c>
      <c r="P46" s="24">
        <f t="shared" si="31"/>
        <v>34.7</v>
      </c>
      <c r="Q46" s="24">
        <f>-1*SQRT((2369*0.88/(AI46))*P46*(100-P46))</f>
        <v>-0.7583467767747519</v>
      </c>
      <c r="R46" s="24">
        <v>21.7</v>
      </c>
      <c r="S46" s="24">
        <f>-1*SQRT((2369*0.88/(AJ46))*R46*(100-R46))</f>
        <v>-0.4233905342516848</v>
      </c>
      <c r="T46" s="24">
        <v>30.2</v>
      </c>
      <c r="U46" s="24">
        <f>-1*SQRT((2369*0.88/(AK46))*T46*(100-T46))</f>
        <v>-0.7365674787590286</v>
      </c>
      <c r="V46" s="24">
        <v>15.8</v>
      </c>
      <c r="W46" s="24">
        <f>-1*SQRT((2369*0.88/(AL46))*V46*(100-V46))</f>
        <v>-0.48770721498371317</v>
      </c>
      <c r="X46" s="24">
        <v>9.6</v>
      </c>
      <c r="Y46" s="24">
        <f t="shared" si="36"/>
        <v>-0.3133073754727928</v>
      </c>
      <c r="Z46" s="24">
        <v>6.4</v>
      </c>
      <c r="AA46" s="24">
        <f>-1*SQRT((2369*0.88/(AN46))*Z46*(100-Z46))</f>
        <v>-0.2761433505640626</v>
      </c>
      <c r="AB46" s="33"/>
      <c r="AC46" s="28">
        <v>1979</v>
      </c>
      <c r="AD46" s="34">
        <v>114904337</v>
      </c>
      <c r="AE46" s="34">
        <v>6094416</v>
      </c>
      <c r="AF46" s="34">
        <v>6104778</v>
      </c>
      <c r="AG46" s="34">
        <v>24346143</v>
      </c>
      <c r="AH46" s="35">
        <v>15996000</v>
      </c>
      <c r="AI46" s="35">
        <v>8214000</v>
      </c>
      <c r="AJ46" s="34">
        <v>19760000</v>
      </c>
      <c r="AK46" s="34">
        <v>8100000</v>
      </c>
      <c r="AL46" s="34">
        <v>11660000</v>
      </c>
      <c r="AM46" s="34">
        <v>18012000</v>
      </c>
      <c r="AN46" s="34">
        <v>16377001</v>
      </c>
      <c r="AO46" s="41">
        <v>1979</v>
      </c>
      <c r="AP46" s="42">
        <v>1979</v>
      </c>
      <c r="AQ46" s="28">
        <v>1979</v>
      </c>
      <c r="AR46" s="34">
        <v>114904337</v>
      </c>
      <c r="AS46" s="34">
        <v>6094416</v>
      </c>
      <c r="AT46" s="34">
        <v>6104778</v>
      </c>
      <c r="AU46" s="34">
        <v>24346143</v>
      </c>
      <c r="AV46" s="35">
        <v>15996000</v>
      </c>
      <c r="AW46" s="35">
        <v>8214000</v>
      </c>
      <c r="AX46" s="34">
        <v>19760000</v>
      </c>
      <c r="AY46" s="34">
        <v>8100000</v>
      </c>
      <c r="AZ46" s="34">
        <v>11660000</v>
      </c>
      <c r="BA46" s="34">
        <v>18012000</v>
      </c>
      <c r="BB46" s="34">
        <v>16377001</v>
      </c>
    </row>
    <row r="47" spans="1:54" ht="12">
      <c r="A47" s="28">
        <v>1980</v>
      </c>
      <c r="B47" s="23">
        <v>49.7</v>
      </c>
      <c r="C47" s="24">
        <f>-1*SQRT((2369*0.88/(AD47))*B47*(100-B47))</f>
        <v>-0.2124809157994579</v>
      </c>
      <c r="D47" s="23">
        <v>36.7</v>
      </c>
      <c r="E47" s="24">
        <f>-1*SQRT((2727*0.88/(AE47))*D47*(100-D47))</f>
        <v>-0.9470842571083032</v>
      </c>
      <c r="F47" s="23">
        <v>95.7</v>
      </c>
      <c r="G47" s="24">
        <f>-1*SQRT((2727*0.88/(AF47))*F47*(100-F47))</f>
        <v>-0.401841033087174</v>
      </c>
      <c r="H47" s="23">
        <v>99.3</v>
      </c>
      <c r="I47" s="24">
        <f>-1*SQRT((2727*0.88/(AG47))*H47*(100-H47))</f>
        <v>-0.08349431023059792</v>
      </c>
      <c r="J47" s="24">
        <v>93.4</v>
      </c>
      <c r="K47" s="24">
        <f t="shared" si="29"/>
        <v>-0.2853227729905243</v>
      </c>
      <c r="L47" s="24">
        <v>46.4</v>
      </c>
      <c r="M47" s="24">
        <f>-1*SQRT((2369*0.88/(AI47))*L47*(100-L47))</f>
        <v>-0.7971135141934328</v>
      </c>
      <c r="N47" s="24">
        <v>10.5</v>
      </c>
      <c r="O47" s="24">
        <f>-1*SQRT((2369*0.88/(AI47))*N47*(100-N47))</f>
        <v>-0.4899874473182061</v>
      </c>
      <c r="P47" s="24">
        <f t="shared" si="31"/>
        <v>35.9</v>
      </c>
      <c r="Q47" s="24">
        <f>-1*SQRT((2369*0.88/(AI47))*P47*(100-P47))</f>
        <v>-0.7667521917982699</v>
      </c>
      <c r="R47" s="24">
        <v>22.3</v>
      </c>
      <c r="S47" s="24">
        <f>-1*SQRT((2369*0.88/(AJ47))*R47*(100-R47))</f>
        <v>-0.4253023426740394</v>
      </c>
      <c r="T47" s="24">
        <v>31</v>
      </c>
      <c r="U47" s="24">
        <f>-1*SQRT((2369*0.88/(AK47))*T47*(100-T47))</f>
        <v>-0.7414216912529299</v>
      </c>
      <c r="V47" s="24">
        <v>16.3</v>
      </c>
      <c r="W47" s="24">
        <f>-1*SQRT((2369*0.88/(AL47))*V47*(100-V47))</f>
        <v>-0.48975025932822064</v>
      </c>
      <c r="X47" s="24">
        <v>9.3</v>
      </c>
      <c r="Y47" s="24">
        <f t="shared" si="36"/>
        <v>-0.30489033197944765</v>
      </c>
      <c r="Z47" s="24">
        <v>6.4</v>
      </c>
      <c r="AA47" s="24">
        <f>-1*SQRT((2369*0.88/(AN47))*Z47*(100-Z47))</f>
        <v>-0.26999792110965865</v>
      </c>
      <c r="AB47" s="33"/>
      <c r="AC47" s="28">
        <v>1980</v>
      </c>
      <c r="AD47" s="34">
        <v>115433602</v>
      </c>
      <c r="AE47" s="34">
        <v>6215275</v>
      </c>
      <c r="AF47" s="34">
        <v>6115608</v>
      </c>
      <c r="AG47" s="34">
        <v>23927721</v>
      </c>
      <c r="AH47" s="35">
        <v>15426999</v>
      </c>
      <c r="AI47" s="35">
        <v>8160000</v>
      </c>
      <c r="AJ47" s="34">
        <v>19970000</v>
      </c>
      <c r="AK47" s="34">
        <v>8112000</v>
      </c>
      <c r="AL47" s="34">
        <v>11858000</v>
      </c>
      <c r="AM47" s="34">
        <v>18487000</v>
      </c>
      <c r="AN47" s="34">
        <v>17131000</v>
      </c>
      <c r="AO47" s="41">
        <v>1980</v>
      </c>
      <c r="AP47" s="42">
        <v>1980</v>
      </c>
      <c r="AQ47" s="28">
        <v>1980</v>
      </c>
      <c r="AR47" s="34">
        <v>115433602</v>
      </c>
      <c r="AS47" s="34">
        <v>6215275</v>
      </c>
      <c r="AT47" s="34">
        <v>6115608</v>
      </c>
      <c r="AU47" s="34">
        <v>23927721</v>
      </c>
      <c r="AV47" s="35">
        <v>15426999</v>
      </c>
      <c r="AW47" s="35">
        <v>8160000</v>
      </c>
      <c r="AX47" s="34">
        <v>19970000</v>
      </c>
      <c r="AY47" s="34">
        <v>8112000</v>
      </c>
      <c r="AZ47" s="34">
        <v>11858000</v>
      </c>
      <c r="BA47" s="34">
        <v>18487000</v>
      </c>
      <c r="BB47" s="34">
        <v>17131000</v>
      </c>
    </row>
    <row r="48" spans="1:54" ht="12">
      <c r="A48" s="28">
        <v>1981</v>
      </c>
      <c r="B48" s="23">
        <v>48.9</v>
      </c>
      <c r="C48" s="24">
        <f>-1*SQRT((2369*0.88/(AD48))*B48*(100-B48))</f>
        <v>-0.20896103195203336</v>
      </c>
      <c r="D48" s="23">
        <v>36</v>
      </c>
      <c r="E48" s="24">
        <f>-1*SQRT((2727*0.88/(AE48))*D48*(100-D48))</f>
        <v>-0.9240063193167523</v>
      </c>
      <c r="F48" s="23">
        <v>94</v>
      </c>
      <c r="G48" s="24">
        <f>-1*SQRT((2727*0.88/(AF48))*F48*(100-F48))</f>
        <v>-0.4622201918054584</v>
      </c>
      <c r="H48" s="23">
        <v>99.2</v>
      </c>
      <c r="I48" s="24">
        <f>-1*SQRT((2727*0.88/(AG48))*H48*(100-H48))</f>
        <v>-0.08869290191784798</v>
      </c>
      <c r="J48" s="24">
        <v>94.1</v>
      </c>
      <c r="K48" s="24">
        <f t="shared" si="29"/>
        <v>-0.27216548889679415</v>
      </c>
      <c r="L48" s="24">
        <v>49</v>
      </c>
      <c r="M48" s="24">
        <f>-1*SQRT((2369*0.88/(AI48))*L48*(100-L48))</f>
        <v>-0.801240203195188</v>
      </c>
      <c r="N48" s="24">
        <v>11.5</v>
      </c>
      <c r="O48" s="24">
        <f>-1*SQRT((2369*0.88/(AI48))*N48*(100-N48))</f>
        <v>-0.5113286885423431</v>
      </c>
      <c r="P48" s="24">
        <f t="shared" si="31"/>
        <v>37.5</v>
      </c>
      <c r="Q48" s="24">
        <f>-1*SQRT((2369*0.88/(AI48))*P48*(100-P48))</f>
        <v>-0.7759526968832376</v>
      </c>
      <c r="R48" s="24">
        <v>22.5</v>
      </c>
      <c r="S48" s="24">
        <f>-1*SQRT((2369*0.88/(AJ48))*R48*(100-R48))</f>
        <v>-0.41755428716971993</v>
      </c>
      <c r="T48" s="24">
        <v>31.6</v>
      </c>
      <c r="U48" s="24">
        <f>-1*SQRT((2369*0.88/(AK48))*T48*(100-T48))</f>
        <v>-0.7339432589295668</v>
      </c>
      <c r="V48" s="24">
        <v>16.5</v>
      </c>
      <c r="W48" s="24">
        <f>-1*SQRT((2369*0.88/(AL48))*V48*(100-V48))</f>
        <v>-0.4796393468885767</v>
      </c>
      <c r="X48" s="24">
        <v>9</v>
      </c>
      <c r="Y48" s="24">
        <f t="shared" si="36"/>
        <v>-0.29044276544613745</v>
      </c>
      <c r="Z48" s="24">
        <v>6.9</v>
      </c>
      <c r="AA48" s="24">
        <f>-1*SQRT((2369*0.88/(AN48))*Z48*(100-Z48))</f>
        <v>-0.27077061142565906</v>
      </c>
      <c r="AB48" s="33"/>
      <c r="AC48" s="28">
        <v>1981</v>
      </c>
      <c r="AD48" s="34">
        <v>119301769</v>
      </c>
      <c r="AE48" s="34">
        <v>6475904</v>
      </c>
      <c r="AF48" s="34">
        <v>6335036</v>
      </c>
      <c r="AG48" s="34">
        <v>24209830</v>
      </c>
      <c r="AH48" s="35">
        <v>15270000</v>
      </c>
      <c r="AI48" s="35">
        <v>8115000</v>
      </c>
      <c r="AJ48" s="34">
        <v>20850000</v>
      </c>
      <c r="AK48" s="34">
        <v>8365000</v>
      </c>
      <c r="AL48" s="34">
        <v>12485000</v>
      </c>
      <c r="AM48" s="34">
        <v>19780000</v>
      </c>
      <c r="AN48" s="34">
        <v>18266000</v>
      </c>
      <c r="AO48" s="41">
        <v>1981</v>
      </c>
      <c r="AP48" s="42">
        <v>1981</v>
      </c>
      <c r="AQ48" s="28">
        <v>1981</v>
      </c>
      <c r="AR48" s="34">
        <v>119301769</v>
      </c>
      <c r="AS48" s="34">
        <v>6475904</v>
      </c>
      <c r="AT48" s="34">
        <v>6335036</v>
      </c>
      <c r="AU48" s="34">
        <v>24209830</v>
      </c>
      <c r="AV48" s="35">
        <v>15270000</v>
      </c>
      <c r="AW48" s="35">
        <v>8115000</v>
      </c>
      <c r="AX48" s="34">
        <v>20850000</v>
      </c>
      <c r="AY48" s="34">
        <v>8365000</v>
      </c>
      <c r="AZ48" s="34">
        <v>12485000</v>
      </c>
      <c r="BA48" s="34">
        <v>19780000</v>
      </c>
      <c r="BB48" s="34">
        <v>18266000</v>
      </c>
    </row>
    <row r="49" spans="1:54" ht="12">
      <c r="A49" s="28">
        <v>1982</v>
      </c>
      <c r="B49" s="23">
        <v>48.6</v>
      </c>
      <c r="C49" s="24">
        <f>-1*SQRT((2369*0.97/(AD49))*B49*(100-B49))</f>
        <v>-0.2194617528017337</v>
      </c>
      <c r="D49" s="23">
        <v>36.4</v>
      </c>
      <c r="E49" s="24">
        <f aca="true" t="shared" si="38" ref="E49:E54">-1*SQRT((2727*0.97/(AE49))*D49*(100-D49))</f>
        <v>-0.9590529971137007</v>
      </c>
      <c r="F49" s="23">
        <v>95</v>
      </c>
      <c r="G49" s="24">
        <f aca="true" t="shared" si="39" ref="G49:G54">-1*SQRT((2727*0.97/(AF49))*F49*(100-F49))</f>
        <v>-0.44341217893490154</v>
      </c>
      <c r="H49" s="23">
        <v>99.2</v>
      </c>
      <c r="I49" s="24">
        <f aca="true" t="shared" si="40" ref="I49:I54">-1*SQRT((2727*0.97/(AG49))*H49*(100-H49))</f>
        <v>-0.09380625536475082</v>
      </c>
      <c r="J49" s="24">
        <v>94.4</v>
      </c>
      <c r="K49" s="24">
        <f aca="true" t="shared" si="41" ref="K49:K54">-1*SQRT((2369*0.97/(AH49))*J49*(100-J49))</f>
        <v>-0.2869805066550687</v>
      </c>
      <c r="L49" s="24">
        <v>47.8</v>
      </c>
      <c r="M49" s="24">
        <f aca="true" t="shared" si="42" ref="M49:M54">-1*SQRT((2369*0.97/(AI49))*L49*(100-L49))</f>
        <v>-0.8453746121836117</v>
      </c>
      <c r="N49" s="24">
        <v>11.3</v>
      </c>
      <c r="O49" s="24">
        <f aca="true" t="shared" si="43" ref="O49:O54">-1*SQRT((2369*0.97/(AI49))*N49*(100-N49))</f>
        <v>-0.5357979320076385</v>
      </c>
      <c r="P49" s="24">
        <f t="shared" si="31"/>
        <v>36.5</v>
      </c>
      <c r="Q49" s="24">
        <f aca="true" t="shared" si="44" ref="Q49:Q54">-1*SQRT((2369*0.97/(AI49))*P49*(100-P49))</f>
        <v>-0.8147667477471395</v>
      </c>
      <c r="R49" s="24">
        <v>23.5</v>
      </c>
      <c r="S49" s="24">
        <f aca="true" t="shared" si="45" ref="S49:S54">-1*SQRT((2369*0.97/(AJ49))*R49*(100-R49))</f>
        <v>-0.4454114700850562</v>
      </c>
      <c r="T49" s="24">
        <v>34</v>
      </c>
      <c r="U49" s="24">
        <f aca="true" t="shared" si="46" ref="U49:U54">-1*SQRT((2369*0.97/(AK49))*T49*(100-T49))</f>
        <v>-0.7944540722721588</v>
      </c>
      <c r="V49" s="24">
        <v>16.8</v>
      </c>
      <c r="W49" s="24">
        <f aca="true" t="shared" si="47" ref="W49:W54">-1*SQRT((2369*0.97/(AL49))*V49*(100-V49))</f>
        <v>-0.5038345522589223</v>
      </c>
      <c r="X49" s="24">
        <v>9.6</v>
      </c>
      <c r="Y49" s="24">
        <f aca="true" t="shared" si="48" ref="Y49:Y54">-1*SQRT((2369*0.97/(AM49))*X49*(100-X49))</f>
        <v>-0.31392499346506314</v>
      </c>
      <c r="Z49" s="24">
        <v>6.3</v>
      </c>
      <c r="AA49" s="24">
        <f aca="true" t="shared" si="49" ref="AA49:AA54">-1*SQRT((2369*0.97/(AN49))*Z49*(100-Z49))</f>
        <v>-0.27116511828328993</v>
      </c>
      <c r="AB49" s="33"/>
      <c r="AC49" s="28">
        <v>1982</v>
      </c>
      <c r="AD49" s="34">
        <v>119184148</v>
      </c>
      <c r="AE49" s="34">
        <v>6657791</v>
      </c>
      <c r="AF49" s="34">
        <v>6390506</v>
      </c>
      <c r="AG49" s="34">
        <v>23855852</v>
      </c>
      <c r="AH49" s="35">
        <v>14750000</v>
      </c>
      <c r="AI49" s="35">
        <v>8023000</v>
      </c>
      <c r="AJ49" s="34">
        <v>20823000</v>
      </c>
      <c r="AK49" s="34">
        <v>8170000</v>
      </c>
      <c r="AL49" s="34">
        <v>12653000</v>
      </c>
      <c r="AM49" s="34">
        <v>20236000</v>
      </c>
      <c r="AN49" s="34">
        <v>18448000</v>
      </c>
      <c r="AO49" s="41">
        <v>1982</v>
      </c>
      <c r="AP49" s="42">
        <v>1982</v>
      </c>
      <c r="AQ49" s="28">
        <v>1982</v>
      </c>
      <c r="AR49" s="34">
        <v>119184148</v>
      </c>
      <c r="AS49" s="34">
        <v>6657791</v>
      </c>
      <c r="AT49" s="34">
        <v>6390506</v>
      </c>
      <c r="AU49" s="34">
        <v>23855852</v>
      </c>
      <c r="AV49" s="35">
        <v>14750000</v>
      </c>
      <c r="AW49" s="35">
        <v>8023000</v>
      </c>
      <c r="AX49" s="34">
        <v>20823000</v>
      </c>
      <c r="AY49" s="34">
        <v>8170000</v>
      </c>
      <c r="AZ49" s="34">
        <v>12653000</v>
      </c>
      <c r="BA49" s="34">
        <v>20236000</v>
      </c>
      <c r="BB49" s="34">
        <v>18448000</v>
      </c>
    </row>
    <row r="50" spans="1:54" ht="12">
      <c r="A50" s="28">
        <v>1983</v>
      </c>
      <c r="B50" s="23">
        <v>48.4</v>
      </c>
      <c r="C50" s="24">
        <f>-1*SQRT((2369/(AD50))*B50*(100-B50))</f>
        <v>-0.22258778132419516</v>
      </c>
      <c r="D50" s="23">
        <v>37.5</v>
      </c>
      <c r="E50" s="24">
        <f t="shared" si="38"/>
        <v>-0.9419062129119088</v>
      </c>
      <c r="F50" s="23">
        <v>95.4</v>
      </c>
      <c r="G50" s="24">
        <f t="shared" si="39"/>
        <v>-0.4222564597298483</v>
      </c>
      <c r="H50" s="23">
        <v>99.2</v>
      </c>
      <c r="I50" s="24">
        <f t="shared" si="40"/>
        <v>-0.09458997534598887</v>
      </c>
      <c r="J50" s="24">
        <v>95</v>
      </c>
      <c r="K50" s="24">
        <f t="shared" si="41"/>
        <v>-0.2741964459070233</v>
      </c>
      <c r="L50" s="24">
        <v>50.4</v>
      </c>
      <c r="M50" s="24">
        <f t="shared" si="42"/>
        <v>-0.8571343449123305</v>
      </c>
      <c r="N50" s="24">
        <v>12.8</v>
      </c>
      <c r="O50" s="24">
        <f t="shared" si="43"/>
        <v>-0.5727380258428132</v>
      </c>
      <c r="P50" s="24">
        <f t="shared" si="31"/>
        <v>37.599999999999994</v>
      </c>
      <c r="Q50" s="24">
        <f t="shared" si="44"/>
        <v>-0.8303840682975954</v>
      </c>
      <c r="R50" s="24">
        <v>22.7</v>
      </c>
      <c r="S50" s="24">
        <f t="shared" si="45"/>
        <v>-0.44070394568508414</v>
      </c>
      <c r="T50" s="24">
        <v>32.5</v>
      </c>
      <c r="U50" s="24">
        <f t="shared" si="46"/>
        <v>-0.7918828730154452</v>
      </c>
      <c r="V50" s="24">
        <v>16.6</v>
      </c>
      <c r="W50" s="24">
        <f t="shared" si="47"/>
        <v>-0.5000665109983905</v>
      </c>
      <c r="X50" s="24">
        <v>9.6</v>
      </c>
      <c r="Y50" s="24">
        <f t="shared" si="48"/>
        <v>-0.31109382593107765</v>
      </c>
      <c r="Z50" s="24">
        <v>6.4</v>
      </c>
      <c r="AA50" s="24">
        <f t="shared" si="49"/>
        <v>-0.27095407341379063</v>
      </c>
      <c r="AB50" s="33"/>
      <c r="AC50" s="28">
        <v>1983</v>
      </c>
      <c r="AD50" s="34">
        <v>119414615</v>
      </c>
      <c r="AE50" s="34">
        <v>6987999</v>
      </c>
      <c r="AF50" s="34">
        <v>6510442</v>
      </c>
      <c r="AG50" s="34">
        <v>23462177</v>
      </c>
      <c r="AH50" s="35">
        <v>14517999</v>
      </c>
      <c r="AI50" s="35">
        <v>7819000</v>
      </c>
      <c r="AJ50" s="34">
        <v>20761000</v>
      </c>
      <c r="AK50" s="34">
        <v>8039000</v>
      </c>
      <c r="AL50" s="34">
        <v>12722000</v>
      </c>
      <c r="AM50" s="34">
        <v>20605999</v>
      </c>
      <c r="AN50" s="34">
        <v>18749999</v>
      </c>
      <c r="AO50" s="41">
        <v>1983</v>
      </c>
      <c r="AP50" s="42">
        <v>1983</v>
      </c>
      <c r="AQ50" s="28">
        <v>1983</v>
      </c>
      <c r="AR50" s="34">
        <v>119414615</v>
      </c>
      <c r="AS50" s="34">
        <v>6987999</v>
      </c>
      <c r="AT50" s="34">
        <v>6510442</v>
      </c>
      <c r="AU50" s="34">
        <v>23462177</v>
      </c>
      <c r="AV50" s="35">
        <v>14517999</v>
      </c>
      <c r="AW50" s="35">
        <v>7819000</v>
      </c>
      <c r="AX50" s="34">
        <v>20761000</v>
      </c>
      <c r="AY50" s="34">
        <v>8039000</v>
      </c>
      <c r="AZ50" s="34">
        <v>12722000</v>
      </c>
      <c r="BA50" s="34">
        <v>20605999</v>
      </c>
      <c r="BB50" s="34">
        <v>18749999</v>
      </c>
    </row>
    <row r="51" spans="1:54" ht="12">
      <c r="A51" s="28">
        <v>1984</v>
      </c>
      <c r="B51" s="23">
        <v>47.9</v>
      </c>
      <c r="C51" s="24">
        <f>-1*SQRT((2369/(AD51))*B51*(100-B51))</f>
        <v>-0.22220271650634357</v>
      </c>
      <c r="D51" s="23">
        <v>36.3</v>
      </c>
      <c r="E51" s="24">
        <f t="shared" si="38"/>
        <v>-0.9224416020911492</v>
      </c>
      <c r="F51" s="23">
        <v>94.5</v>
      </c>
      <c r="G51" s="24">
        <f t="shared" si="39"/>
        <v>-0.45305853156526055</v>
      </c>
      <c r="H51" s="23">
        <v>99.2</v>
      </c>
      <c r="I51" s="24">
        <f t="shared" si="40"/>
        <v>-0.0954674914278973</v>
      </c>
      <c r="J51" s="24">
        <v>94.7</v>
      </c>
      <c r="K51" s="24">
        <f t="shared" si="41"/>
        <v>-0.2814206080372045</v>
      </c>
      <c r="L51" s="24">
        <v>50.1</v>
      </c>
      <c r="M51" s="24">
        <f t="shared" si="42"/>
        <v>-0.8794306258750482</v>
      </c>
      <c r="N51" s="24">
        <v>11.5</v>
      </c>
      <c r="O51" s="24">
        <f t="shared" si="43"/>
        <v>-0.5611164559163824</v>
      </c>
      <c r="P51" s="24">
        <f t="shared" si="31"/>
        <v>38.6</v>
      </c>
      <c r="Q51" s="24">
        <f t="shared" si="44"/>
        <v>-0.8562691312596107</v>
      </c>
      <c r="R51" s="24">
        <v>23.7</v>
      </c>
      <c r="S51" s="24">
        <f t="shared" si="45"/>
        <v>-0.44909643565516855</v>
      </c>
      <c r="T51" s="24">
        <v>33.9</v>
      </c>
      <c r="U51" s="24">
        <f t="shared" si="46"/>
        <v>-0.8043401059211303</v>
      </c>
      <c r="V51" s="24">
        <v>17.3</v>
      </c>
      <c r="W51" s="24">
        <f t="shared" si="47"/>
        <v>-0.5099198991674174</v>
      </c>
      <c r="X51" s="24">
        <v>9.1</v>
      </c>
      <c r="Y51" s="24">
        <f t="shared" si="48"/>
        <v>-0.30089369355440765</v>
      </c>
      <c r="Z51" s="24">
        <v>6.3</v>
      </c>
      <c r="AA51" s="24">
        <f t="shared" si="49"/>
        <v>-0.2655805287493401</v>
      </c>
      <c r="AB51" s="33"/>
      <c r="AC51" s="28">
        <v>1984</v>
      </c>
      <c r="AD51" s="34">
        <v>119740087</v>
      </c>
      <c r="AE51" s="34">
        <v>7188283</v>
      </c>
      <c r="AF51" s="34">
        <v>6697963</v>
      </c>
      <c r="AG51" s="34">
        <v>23032841</v>
      </c>
      <c r="AH51" s="35">
        <v>14563000</v>
      </c>
      <c r="AI51" s="35">
        <v>7428000</v>
      </c>
      <c r="AJ51" s="34">
        <v>20603000</v>
      </c>
      <c r="AK51" s="34">
        <v>7959000</v>
      </c>
      <c r="AL51" s="34">
        <v>12644000</v>
      </c>
      <c r="AM51" s="34">
        <v>20995001</v>
      </c>
      <c r="AN51" s="34">
        <v>19232001</v>
      </c>
      <c r="AO51" s="41">
        <v>1984</v>
      </c>
      <c r="AP51" s="42">
        <v>1984</v>
      </c>
      <c r="AQ51" s="28">
        <v>1984</v>
      </c>
      <c r="AR51" s="34">
        <v>119740087</v>
      </c>
      <c r="AS51" s="34">
        <v>7188283</v>
      </c>
      <c r="AT51" s="34">
        <v>6697963</v>
      </c>
      <c r="AU51" s="34">
        <v>23032841</v>
      </c>
      <c r="AV51" s="35">
        <v>14563000</v>
      </c>
      <c r="AW51" s="35">
        <v>7428000</v>
      </c>
      <c r="AX51" s="34">
        <v>20603000</v>
      </c>
      <c r="AY51" s="34">
        <v>7959000</v>
      </c>
      <c r="AZ51" s="34">
        <v>12644000</v>
      </c>
      <c r="BA51" s="34">
        <v>20995001</v>
      </c>
      <c r="BB51" s="34">
        <v>19232001</v>
      </c>
    </row>
    <row r="52" spans="1:54" ht="12">
      <c r="A52" s="28">
        <v>1985</v>
      </c>
      <c r="B52" s="23">
        <v>48.3</v>
      </c>
      <c r="C52" s="24">
        <f>-1*SQRT((2369/(AD52))*B52*(100-B52))</f>
        <v>-0.22202957493819148</v>
      </c>
      <c r="D52" s="23">
        <v>38.9</v>
      </c>
      <c r="E52" s="24">
        <f t="shared" si="38"/>
        <v>-0.9350028225212297</v>
      </c>
      <c r="F52" s="23">
        <v>96.1</v>
      </c>
      <c r="G52" s="24">
        <f t="shared" si="39"/>
        <v>-0.3772344722306897</v>
      </c>
      <c r="H52" s="23">
        <v>99.2</v>
      </c>
      <c r="I52" s="24">
        <f t="shared" si="40"/>
        <v>-0.09548624407309701</v>
      </c>
      <c r="J52" s="24">
        <v>94.9</v>
      </c>
      <c r="K52" s="24">
        <f t="shared" si="41"/>
        <v>-0.27445419974291885</v>
      </c>
      <c r="L52" s="24">
        <v>51.6</v>
      </c>
      <c r="M52" s="24">
        <f t="shared" si="42"/>
        <v>-0.892542853641093</v>
      </c>
      <c r="N52" s="24">
        <v>11.2</v>
      </c>
      <c r="O52" s="24">
        <f t="shared" si="43"/>
        <v>-0.5632446038190339</v>
      </c>
      <c r="P52" s="24">
        <f t="shared" si="31"/>
        <v>40.400000000000006</v>
      </c>
      <c r="Q52" s="24">
        <f t="shared" si="44"/>
        <v>-0.8763858519315862</v>
      </c>
      <c r="R52" s="24">
        <v>24</v>
      </c>
      <c r="S52" s="24">
        <f t="shared" si="45"/>
        <v>-0.4587308528767847</v>
      </c>
      <c r="T52" s="24">
        <v>35.3</v>
      </c>
      <c r="U52" s="24">
        <f t="shared" si="46"/>
        <v>-0.8267145034438754</v>
      </c>
      <c r="V52" s="24">
        <v>16.9</v>
      </c>
      <c r="W52" s="24">
        <f t="shared" si="47"/>
        <v>-0.5134986359730394</v>
      </c>
      <c r="X52" s="24">
        <v>9.2</v>
      </c>
      <c r="Y52" s="24">
        <f t="shared" si="48"/>
        <v>-0.30200940152455785</v>
      </c>
      <c r="Z52" s="24">
        <v>6.1</v>
      </c>
      <c r="AA52" s="24">
        <f t="shared" si="49"/>
        <v>-0.257278385976676</v>
      </c>
      <c r="AB52" s="33"/>
      <c r="AC52" s="28">
        <v>1985</v>
      </c>
      <c r="AD52" s="34">
        <v>119999954</v>
      </c>
      <c r="AE52" s="34">
        <v>7191539</v>
      </c>
      <c r="AF52" s="34">
        <v>6966620</v>
      </c>
      <c r="AG52" s="34">
        <v>23023795</v>
      </c>
      <c r="AH52" s="35">
        <v>14764999</v>
      </c>
      <c r="AI52" s="35">
        <v>7204000</v>
      </c>
      <c r="AJ52" s="34">
        <v>19918000</v>
      </c>
      <c r="AK52" s="34">
        <v>7679000</v>
      </c>
      <c r="AL52" s="34">
        <v>12239000</v>
      </c>
      <c r="AM52" s="34">
        <v>21045999</v>
      </c>
      <c r="AN52" s="34">
        <v>19885001</v>
      </c>
      <c r="AO52" s="41">
        <v>1985</v>
      </c>
      <c r="AP52" s="42">
        <v>1985</v>
      </c>
      <c r="AQ52" s="28">
        <v>1985</v>
      </c>
      <c r="AR52" s="34">
        <v>119999954</v>
      </c>
      <c r="AS52" s="34">
        <v>7191539</v>
      </c>
      <c r="AT52" s="34">
        <v>6966620</v>
      </c>
      <c r="AU52" s="34">
        <v>23023795</v>
      </c>
      <c r="AV52" s="35">
        <v>14764999</v>
      </c>
      <c r="AW52" s="35">
        <v>7204000</v>
      </c>
      <c r="AX52" s="34">
        <v>19918000</v>
      </c>
      <c r="AY52" s="34">
        <v>7679000</v>
      </c>
      <c r="AZ52" s="34">
        <v>12239000</v>
      </c>
      <c r="BA52" s="34">
        <v>21045999</v>
      </c>
      <c r="BB52" s="34">
        <v>19885001</v>
      </c>
    </row>
    <row r="53" spans="1:54" ht="12">
      <c r="A53" s="28">
        <v>1986</v>
      </c>
      <c r="B53" s="23">
        <v>48.2</v>
      </c>
      <c r="C53" s="24">
        <f>-1*SQRT((2369/(AD53))*B53*(100-B53))</f>
        <v>-0.22138274829351254</v>
      </c>
      <c r="D53" s="23">
        <v>38.9</v>
      </c>
      <c r="E53" s="24">
        <f t="shared" si="38"/>
        <v>-0.932815684481745</v>
      </c>
      <c r="F53" s="23">
        <v>95.3</v>
      </c>
      <c r="G53" s="24">
        <f t="shared" si="39"/>
        <v>-0.403982816749702</v>
      </c>
      <c r="H53" s="23">
        <v>99.2</v>
      </c>
      <c r="I53" s="24">
        <f t="shared" si="40"/>
        <v>-0.09517827211282966</v>
      </c>
      <c r="J53" s="24">
        <v>94.9</v>
      </c>
      <c r="K53" s="24">
        <f t="shared" si="41"/>
        <v>-0.27585717517977526</v>
      </c>
      <c r="L53" s="24">
        <v>54.6</v>
      </c>
      <c r="M53" s="24">
        <f t="shared" si="42"/>
        <v>-0.8960174040328734</v>
      </c>
      <c r="N53" s="24">
        <v>13.1</v>
      </c>
      <c r="O53" s="24">
        <f t="shared" si="43"/>
        <v>-0.607208347957649</v>
      </c>
      <c r="P53" s="24">
        <f t="shared" si="31"/>
        <v>41.5</v>
      </c>
      <c r="Q53" s="24">
        <f t="shared" si="44"/>
        <v>-0.8867356703373479</v>
      </c>
      <c r="R53" s="24">
        <v>23.6</v>
      </c>
      <c r="S53" s="24">
        <f t="shared" si="45"/>
        <v>-0.46193408924522855</v>
      </c>
      <c r="T53" s="24">
        <v>33</v>
      </c>
      <c r="U53" s="24">
        <f t="shared" si="46"/>
        <v>-0.8309652778632848</v>
      </c>
      <c r="V53" s="24">
        <v>17.9</v>
      </c>
      <c r="W53" s="24">
        <f t="shared" si="47"/>
        <v>-0.5291890436561386</v>
      </c>
      <c r="X53" s="24">
        <v>8.8</v>
      </c>
      <c r="Y53" s="24">
        <f t="shared" si="48"/>
        <v>-0.293713309281027</v>
      </c>
      <c r="Z53" s="24">
        <v>6</v>
      </c>
      <c r="AA53" s="24">
        <f t="shared" si="49"/>
        <v>-0.2513032576684022</v>
      </c>
      <c r="AB53" s="33"/>
      <c r="AC53" s="28">
        <v>1986</v>
      </c>
      <c r="AD53" s="34">
        <v>120685282</v>
      </c>
      <c r="AE53" s="34">
        <v>7225302</v>
      </c>
      <c r="AF53" s="34">
        <v>7259753</v>
      </c>
      <c r="AG53" s="34">
        <v>23173034</v>
      </c>
      <c r="AH53" s="35">
        <v>14615195</v>
      </c>
      <c r="AI53" s="35">
        <v>7095000</v>
      </c>
      <c r="AJ53" s="34">
        <v>19417000</v>
      </c>
      <c r="AK53" s="34">
        <v>7358000</v>
      </c>
      <c r="AL53" s="34">
        <v>12059000</v>
      </c>
      <c r="AM53" s="34">
        <v>21377999</v>
      </c>
      <c r="AN53" s="34">
        <v>20521999</v>
      </c>
      <c r="AO53" s="41">
        <v>1986</v>
      </c>
      <c r="AP53" s="42">
        <v>1986</v>
      </c>
      <c r="AQ53" s="28">
        <v>1986</v>
      </c>
      <c r="AR53" s="34">
        <v>120685282</v>
      </c>
      <c r="AS53" s="34">
        <v>7225302</v>
      </c>
      <c r="AT53" s="34">
        <v>7259753</v>
      </c>
      <c r="AU53" s="34">
        <v>23173034</v>
      </c>
      <c r="AV53" s="35">
        <v>14615195</v>
      </c>
      <c r="AW53" s="35">
        <v>7095000</v>
      </c>
      <c r="AX53" s="34">
        <v>19417000</v>
      </c>
      <c r="AY53" s="34">
        <v>7358000</v>
      </c>
      <c r="AZ53" s="34">
        <v>12059000</v>
      </c>
      <c r="BA53" s="34">
        <v>21377999</v>
      </c>
      <c r="BB53" s="34">
        <v>20521999</v>
      </c>
    </row>
    <row r="54" spans="1:54" ht="12">
      <c r="A54" s="28">
        <v>1987</v>
      </c>
      <c r="B54" s="23">
        <v>48.6</v>
      </c>
      <c r="C54" s="24">
        <f>-1*SQRT((2369/(AD54))*B54*(100-B54))</f>
        <v>-0.2214351107263986</v>
      </c>
      <c r="D54" s="23">
        <v>38.3</v>
      </c>
      <c r="E54" s="24">
        <f t="shared" si="38"/>
        <v>-0.9339626707549066</v>
      </c>
      <c r="F54" s="23">
        <v>95.1</v>
      </c>
      <c r="G54" s="24">
        <f t="shared" si="39"/>
        <v>-0.4105354713344211</v>
      </c>
      <c r="H54" s="23">
        <v>99.5</v>
      </c>
      <c r="I54" s="24">
        <f t="shared" si="40"/>
        <v>-0.07461646994650739</v>
      </c>
      <c r="J54" s="24">
        <v>95</v>
      </c>
      <c r="K54" s="24">
        <f t="shared" si="41"/>
        <v>-0.2767608633846478</v>
      </c>
      <c r="L54" s="24">
        <v>55.6</v>
      </c>
      <c r="M54" s="24">
        <f t="shared" si="42"/>
        <v>-0.8901053350224493</v>
      </c>
      <c r="N54" s="24">
        <v>13.1</v>
      </c>
      <c r="O54" s="24">
        <f t="shared" si="43"/>
        <v>-0.604446767364459</v>
      </c>
      <c r="P54" s="24">
        <f t="shared" si="31"/>
        <v>42.5</v>
      </c>
      <c r="Q54" s="24">
        <f t="shared" si="44"/>
        <v>-0.8856067348415981</v>
      </c>
      <c r="R54" s="24">
        <f>R87/R88*100</f>
        <v>25.50418990072562</v>
      </c>
      <c r="S54" s="24">
        <f t="shared" si="45"/>
        <v>-0.4820336241108081</v>
      </c>
      <c r="T54" s="24">
        <f>T87/T88*100</f>
        <v>38.71355085964511</v>
      </c>
      <c r="U54" s="24">
        <f t="shared" si="46"/>
        <v>-0.8776624058834108</v>
      </c>
      <c r="V54" s="24">
        <f>V87/V88*100</f>
        <v>17.521278453274068</v>
      </c>
      <c r="W54" s="24">
        <f t="shared" si="47"/>
        <v>-0.5324849906423731</v>
      </c>
      <c r="X54" s="24">
        <f>X87/X88*100</f>
        <v>9.041508787888098</v>
      </c>
      <c r="Y54" s="24">
        <f t="shared" si="48"/>
        <v>-0.2974894079639303</v>
      </c>
      <c r="Z54" s="24">
        <f>Z87/Z88*100</f>
        <v>5.847258526381812</v>
      </c>
      <c r="AA54" s="24">
        <f t="shared" si="49"/>
        <v>-0.24532699303153752</v>
      </c>
      <c r="AB54" s="33"/>
      <c r="AC54" s="28">
        <v>1987</v>
      </c>
      <c r="AD54" s="34">
        <v>120690054</v>
      </c>
      <c r="AE54" s="34">
        <v>7166082</v>
      </c>
      <c r="AF54" s="34">
        <v>7313615</v>
      </c>
      <c r="AG54" s="34">
        <v>23636358</v>
      </c>
      <c r="AH54" s="35">
        <v>14250203</v>
      </c>
      <c r="AI54" s="35">
        <v>7159979</v>
      </c>
      <c r="AJ54" s="34">
        <v>18789945</v>
      </c>
      <c r="AK54" s="34">
        <v>7077979</v>
      </c>
      <c r="AL54" s="34">
        <v>11711965</v>
      </c>
      <c r="AM54" s="34">
        <v>21353936</v>
      </c>
      <c r="AN54" s="34">
        <v>21019936</v>
      </c>
      <c r="AO54" s="41">
        <v>1987</v>
      </c>
      <c r="AP54" s="42">
        <v>1987</v>
      </c>
      <c r="AQ54" s="28">
        <v>1987</v>
      </c>
      <c r="AR54" s="34">
        <v>120690054</v>
      </c>
      <c r="AS54" s="34">
        <v>7166082</v>
      </c>
      <c r="AT54" s="34">
        <v>7313615</v>
      </c>
      <c r="AU54" s="34">
        <v>23636358</v>
      </c>
      <c r="AV54" s="35">
        <v>14250203</v>
      </c>
      <c r="AW54" s="35">
        <v>7159979</v>
      </c>
      <c r="AX54" s="34">
        <v>18789945</v>
      </c>
      <c r="AY54" s="34">
        <v>7077979</v>
      </c>
      <c r="AZ54" s="34">
        <v>11711965</v>
      </c>
      <c r="BA54" s="34">
        <v>21353936</v>
      </c>
      <c r="BB54" s="34">
        <v>21019936</v>
      </c>
    </row>
    <row r="55" spans="1:54" ht="12">
      <c r="A55" s="28">
        <v>1988</v>
      </c>
      <c r="B55" s="23">
        <v>48.7</v>
      </c>
      <c r="C55" s="24">
        <f>-1*SQRT((2369*1.15/(AD55))*B55*(100-B55))</f>
        <v>-0.23725308950243829</v>
      </c>
      <c r="D55" s="23">
        <v>38.2</v>
      </c>
      <c r="E55" s="24">
        <f>-1*SQRT((2727*1.15/(AE55))*D55*(100-D55))</f>
        <v>-1.0058357123223727</v>
      </c>
      <c r="F55" s="23">
        <v>96</v>
      </c>
      <c r="G55" s="24">
        <f>-1*SQRT((2727*1.15/(AF55))*F55*(100-F55))</f>
        <v>-0.4050582695286621</v>
      </c>
      <c r="H55" s="23">
        <v>99.7</v>
      </c>
      <c r="I55" s="24">
        <f>-1*SQRT((2727*1.15/(AG55))*H55*(100-H55))</f>
        <v>-0.06235532936767197</v>
      </c>
      <c r="J55" s="24">
        <v>95.1</v>
      </c>
      <c r="K55" s="24">
        <f>-1*SQRT((2369*1.15/(AH55))*J55*(100-J55))</f>
        <v>-0.30424407410584847</v>
      </c>
      <c r="L55" s="24">
        <v>55.6</v>
      </c>
      <c r="M55" s="24">
        <f>-1*SQRT((2369*1.15/(AI55))*L55*(100-L55))</f>
        <v>-0.9602361400309066</v>
      </c>
      <c r="N55" s="24">
        <v>13.9</v>
      </c>
      <c r="O55" s="24">
        <f>-1*SQRT((2369*1.15/(AI55))*N55*(100-N55))</f>
        <v>-0.6685873300595402</v>
      </c>
      <c r="P55" s="24">
        <f t="shared" si="31"/>
        <v>41.7</v>
      </c>
      <c r="Q55" s="24">
        <f>-1*SQRT((2369*1.15/(AI55))*P55*(100-P55))</f>
        <v>-0.9529090933698093</v>
      </c>
      <c r="R55" s="24">
        <f>R89/R90*100</f>
        <v>26.11592851002904</v>
      </c>
      <c r="S55" s="24">
        <f>-1*SQRT((2369*1.15/(AJ55))*R55*(100-R55))</f>
        <v>-0.5339388265341745</v>
      </c>
      <c r="T55" s="24">
        <f>T89/T90*100</f>
        <v>39.05382019251271</v>
      </c>
      <c r="U55" s="24">
        <f>-1*SQRT((2369*1.15/(AK55))*T55*(100-T55))</f>
        <v>-0.9642642732850555</v>
      </c>
      <c r="V55" s="24">
        <f>V89/V90*100</f>
        <v>18.245989151824134</v>
      </c>
      <c r="W55" s="24">
        <f>-1*SQRT((2369*1.15/(AL55))*V55*(100-V55))</f>
        <v>-0.5953649293694732</v>
      </c>
      <c r="X55" s="24">
        <f>X89/X90*100</f>
        <v>8.340400853237842</v>
      </c>
      <c r="Y55" s="24">
        <f>-1*SQRT((2369*1.15/(AM55))*X55*(100-X55))</f>
        <v>-0.31296228202666626</v>
      </c>
      <c r="Z55" s="24">
        <f>Z89/Z90*100</f>
        <v>5.933994120321487</v>
      </c>
      <c r="AA55" s="24">
        <f>-1*SQRT((2369*1.15/(AN55))*Z55*(100-Z55))</f>
        <v>-0.2664292011422147</v>
      </c>
      <c r="AB55" s="33"/>
      <c r="AC55" s="28">
        <v>1988</v>
      </c>
      <c r="AD55" s="34">
        <v>120916474</v>
      </c>
      <c r="AE55" s="34">
        <v>7317803</v>
      </c>
      <c r="AF55" s="34">
        <v>7339715</v>
      </c>
      <c r="AG55" s="34">
        <v>24124162</v>
      </c>
      <c r="AH55" s="35">
        <v>13714982</v>
      </c>
      <c r="AI55" s="35">
        <v>7293980</v>
      </c>
      <c r="AJ55" s="34">
        <v>18438950</v>
      </c>
      <c r="AK55" s="34">
        <v>6973981</v>
      </c>
      <c r="AL55" s="34">
        <v>11464969</v>
      </c>
      <c r="AM55" s="34">
        <v>21263942</v>
      </c>
      <c r="AN55" s="34">
        <v>21422940</v>
      </c>
      <c r="AO55" s="41">
        <v>1988</v>
      </c>
      <c r="AP55" s="42">
        <v>1988</v>
      </c>
      <c r="AQ55" s="28">
        <v>1988</v>
      </c>
      <c r="AR55" s="34">
        <v>120916474</v>
      </c>
      <c r="AS55" s="34">
        <v>7317803</v>
      </c>
      <c r="AT55" s="34">
        <v>7339715</v>
      </c>
      <c r="AU55" s="34">
        <v>24124162</v>
      </c>
      <c r="AV55" s="35">
        <v>13714982</v>
      </c>
      <c r="AW55" s="35">
        <v>7293980</v>
      </c>
      <c r="AX55" s="34">
        <v>18438950</v>
      </c>
      <c r="AY55" s="34">
        <v>6973981</v>
      </c>
      <c r="AZ55" s="34">
        <v>11464969</v>
      </c>
      <c r="BA55" s="34">
        <v>21263942</v>
      </c>
      <c r="BB55" s="34">
        <v>21422940</v>
      </c>
    </row>
    <row r="56" spans="1:54" ht="12">
      <c r="A56" s="28">
        <v>1989</v>
      </c>
      <c r="B56" s="23">
        <v>49</v>
      </c>
      <c r="C56" s="24">
        <f>-1*SQRT((2369/(AD56))*B56*(100-B56))</f>
        <v>-0.22139810119868145</v>
      </c>
      <c r="D56" s="23">
        <v>39.1</v>
      </c>
      <c r="E56" s="24">
        <f>-1*SQRT((2727*1.15/(AE56))*D56*(100-D56))</f>
        <v>-1.0041827525449136</v>
      </c>
      <c r="F56" s="23">
        <v>95.2</v>
      </c>
      <c r="G56" s="24">
        <f>-1*SQRT((2727*1.15/(AF56))*F56*(100-F56))</f>
        <v>-0.44167099840615126</v>
      </c>
      <c r="H56" s="23">
        <v>99.3</v>
      </c>
      <c r="I56" s="24">
        <f>-1*SQRT((2727*1.15/(AG56))*H56*(100-H56))</f>
        <v>-0.09413830483202237</v>
      </c>
      <c r="J56" s="24">
        <v>95.7</v>
      </c>
      <c r="K56" s="24">
        <f>-1*SQRT((2369*1.15/(AH56))*J56*(100-J56))</f>
        <v>-0.29014217689756855</v>
      </c>
      <c r="L56" s="24">
        <v>56</v>
      </c>
      <c r="M56" s="24">
        <f>-1*SQRT((2369*1.15/(AI56))*L56*(100-L56))</f>
        <v>-0.9549574967026718</v>
      </c>
      <c r="N56" s="24">
        <v>14.4</v>
      </c>
      <c r="O56" s="24">
        <f>-1*SQRT((2369*1.15/(AI56))*N56*(100-N56))</f>
        <v>-0.6754322902994231</v>
      </c>
      <c r="P56" s="24">
        <f t="shared" si="31"/>
        <v>41.6</v>
      </c>
      <c r="Q56" s="24">
        <f>-1*SQRT((2369*1.15/(AI56))*P56*(100-P56))</f>
        <v>-0.9482367426803456</v>
      </c>
      <c r="R56" s="24">
        <v>27.02</v>
      </c>
      <c r="S56" s="24">
        <f>-1*SQRT((2369*1.15/(AJ56))*R56*(100-R56))</f>
        <v>-0.5478354495598389</v>
      </c>
      <c r="T56" s="24">
        <v>38.52</v>
      </c>
      <c r="U56" s="24">
        <f>-1*SQRT((2369*1.15/(AK56))*T56*(100-T56))</f>
        <v>-0.972065136361509</v>
      </c>
      <c r="V56" s="24">
        <v>19.93</v>
      </c>
      <c r="W56" s="24">
        <f>-1*SQRT((2369*1.15/(AL56))*V56*(100-V56))</f>
        <v>-0.6266247782818745</v>
      </c>
      <c r="X56" s="24">
        <v>9.3</v>
      </c>
      <c r="Y56" s="24">
        <f>-1*SQRT((2369*1.15/(AM56))*X56*(100-X56))</f>
        <v>-0.3302986235259471</v>
      </c>
      <c r="Z56" s="24">
        <v>5.73</v>
      </c>
      <c r="AA56" s="24">
        <f>-1*SQRT((2369*1.15/(AN56))*Z56*(100-Z56))</f>
        <v>-0.2599066376201661</v>
      </c>
      <c r="AB56" s="33"/>
      <c r="AC56" s="28">
        <v>1989</v>
      </c>
      <c r="AD56" s="34">
        <v>120776804</v>
      </c>
      <c r="AE56" s="34">
        <v>7405451</v>
      </c>
      <c r="AF56" s="34">
        <v>7346211</v>
      </c>
      <c r="AG56" s="34">
        <v>24597871</v>
      </c>
      <c r="AH56" s="35">
        <v>13317465</v>
      </c>
      <c r="AI56" s="35">
        <v>7360978</v>
      </c>
      <c r="AJ56" s="34">
        <v>17899951</v>
      </c>
      <c r="AK56" s="34">
        <v>6827981</v>
      </c>
      <c r="AL56" s="34">
        <v>11071970</v>
      </c>
      <c r="AM56" s="34">
        <v>21063940</v>
      </c>
      <c r="AN56" s="34">
        <v>21784936</v>
      </c>
      <c r="AO56" s="41">
        <v>1989</v>
      </c>
      <c r="AP56" s="42">
        <v>1989</v>
      </c>
      <c r="AQ56" s="28">
        <v>1989</v>
      </c>
      <c r="AR56" s="34">
        <v>120776804</v>
      </c>
      <c r="AS56" s="34">
        <v>7405451</v>
      </c>
      <c r="AT56" s="34">
        <v>7346211</v>
      </c>
      <c r="AU56" s="34">
        <v>24597871</v>
      </c>
      <c r="AV56" s="35">
        <v>13317465</v>
      </c>
      <c r="AW56" s="35">
        <v>7360978</v>
      </c>
      <c r="AX56" s="34">
        <v>17899951</v>
      </c>
      <c r="AY56" s="34">
        <v>6827981</v>
      </c>
      <c r="AZ56" s="34">
        <v>11071970</v>
      </c>
      <c r="BA56" s="34">
        <v>21063940</v>
      </c>
      <c r="BB56" s="34">
        <v>21784936</v>
      </c>
    </row>
    <row r="57" spans="1:54" ht="12">
      <c r="A57" s="28">
        <v>1990</v>
      </c>
      <c r="B57" s="23">
        <v>50.2</v>
      </c>
      <c r="C57" s="24">
        <f>-1*SQRT((2369*1.07/(AD57))*B57*(100-B57))</f>
        <v>-0.22915242673125824</v>
      </c>
      <c r="D57" s="23">
        <v>44.4</v>
      </c>
      <c r="E57" s="24">
        <f>-1*SQRT((2727*1.07/(AE57))*D57*(100-D57))</f>
        <v>-0.985640162483373</v>
      </c>
      <c r="F57" s="23">
        <v>96.5</v>
      </c>
      <c r="G57" s="24">
        <f>-1*SQRT((2727*1.07/(AF57))*F57*(100-F57))</f>
        <v>-0.36319898707391857</v>
      </c>
      <c r="H57" s="23">
        <v>99.6</v>
      </c>
      <c r="I57" s="24">
        <f>-1*SQRT((2727*1.07/(AG57))*H57*(100-H57))</f>
        <v>-0.06804934892386867</v>
      </c>
      <c r="J57" s="24">
        <v>95.8</v>
      </c>
      <c r="K57" s="24">
        <f>-1*SQRT((2369*1.07/(AH57))*J57*(100-J57))</f>
        <v>-0.2778530316204385</v>
      </c>
      <c r="L57" s="24">
        <v>57.2</v>
      </c>
      <c r="M57" s="24">
        <f>-1*SQRT((2369*1.07/(AI57))*L57*(100-L57))</f>
        <v>-0.9372791859847209</v>
      </c>
      <c r="N57" s="24">
        <v>14.5</v>
      </c>
      <c r="O57" s="24">
        <f>-1*SQRT((2369*1.07/(AI57))*N57*(100-N57))</f>
        <v>-0.6669851003432097</v>
      </c>
      <c r="P57" s="24">
        <f t="shared" si="31"/>
        <v>42.7</v>
      </c>
      <c r="Q57" s="24">
        <f>-1*SQRT((2369*1.07/(AI57))*P57*(100-P57))</f>
        <v>-0.9370015782885189</v>
      </c>
      <c r="R57" s="24">
        <f>R93/R94*100</f>
        <v>28.576235182356914</v>
      </c>
      <c r="S57" s="24">
        <f>-1*SQRT((2369*1.07/(AJ57))*R57*(100-R57))</f>
        <v>-0.5393053413495528</v>
      </c>
      <c r="T57" s="24">
        <f>T93/T94*100</f>
        <v>39.71064461775796</v>
      </c>
      <c r="U57" s="24">
        <f>-1*SQRT((2369*1.07/(AK57))*T57*(100-T57))</f>
        <v>-0.9191687366513804</v>
      </c>
      <c r="V57" s="24">
        <f>V93/V94*100</f>
        <v>21.034653465346533</v>
      </c>
      <c r="W57" s="24">
        <f>-1*SQRT((2369*1.07/(AL57))*V57*(100-V57))</f>
        <v>-0.6300935535443941</v>
      </c>
      <c r="X57" s="24">
        <f>X93/X94*100</f>
        <v>9.722384922352306</v>
      </c>
      <c r="Y57" s="24">
        <f>-1*SQRT((2369*1.07/(AM57))*X57*(100-X57))</f>
        <v>-0.32783490417142935</v>
      </c>
      <c r="Z57" s="24">
        <f>Z93/Z94*100</f>
        <v>5.84033058101518</v>
      </c>
      <c r="AA57" s="24">
        <f>-1*SQRT((2369*1.07/(AN57))*Z57*(100-Z57))</f>
        <v>-0.2521423941105228</v>
      </c>
      <c r="AB57" s="33"/>
      <c r="AC57" s="28">
        <v>1990</v>
      </c>
      <c r="AD57" s="34">
        <v>120679354</v>
      </c>
      <c r="AE57" s="34">
        <v>7414637</v>
      </c>
      <c r="AF57" s="34">
        <v>7470936</v>
      </c>
      <c r="AG57" s="34">
        <v>25103848</v>
      </c>
      <c r="AH57" s="35">
        <v>13210929</v>
      </c>
      <c r="AI57" s="35">
        <v>7064000</v>
      </c>
      <c r="AJ57" s="34">
        <v>17788001</v>
      </c>
      <c r="AK57" s="34">
        <v>7183001</v>
      </c>
      <c r="AL57" s="34">
        <v>10605000</v>
      </c>
      <c r="AM57" s="34">
        <v>20701001</v>
      </c>
      <c r="AN57" s="34">
        <v>21926002</v>
      </c>
      <c r="AO57" s="41">
        <v>1990</v>
      </c>
      <c r="AP57" s="42">
        <v>1990</v>
      </c>
      <c r="AQ57" s="28">
        <v>1990</v>
      </c>
      <c r="AR57" s="34">
        <v>120679354</v>
      </c>
      <c r="AS57" s="34">
        <v>7414637</v>
      </c>
      <c r="AT57" s="34">
        <v>7470936</v>
      </c>
      <c r="AU57" s="34">
        <v>25103848</v>
      </c>
      <c r="AV57" s="35">
        <v>13210929</v>
      </c>
      <c r="AW57" s="35">
        <v>7064000</v>
      </c>
      <c r="AX57" s="34">
        <v>17788001</v>
      </c>
      <c r="AY57" s="34">
        <v>7183001</v>
      </c>
      <c r="AZ57" s="34">
        <v>10605000</v>
      </c>
      <c r="BA57" s="34">
        <v>20701001</v>
      </c>
      <c r="BB57" s="34">
        <v>21926002</v>
      </c>
    </row>
    <row r="58" spans="1:54" ht="12">
      <c r="A58" s="28">
        <v>1991</v>
      </c>
      <c r="B58" s="23">
        <v>50.7</v>
      </c>
      <c r="C58" s="24">
        <f>-1*SQRT((2369/(AD58))*B58*(100-B58))</f>
        <v>-0.2214218879302046</v>
      </c>
      <c r="D58" s="23">
        <v>40.5</v>
      </c>
      <c r="E58" s="24">
        <f>-1*SQRT((2727*1.07/(AE58))*D58*(100-D58))</f>
        <v>-0.9635267257136889</v>
      </c>
      <c r="F58" s="23">
        <v>95.4</v>
      </c>
      <c r="G58" s="24">
        <f>-1*SQRT((2727*1.07/(AF58))*F58*(100-F58))</f>
        <v>-0.4125372484269908</v>
      </c>
      <c r="H58" s="23">
        <v>99.6</v>
      </c>
      <c r="I58" s="24">
        <f>-1*SQRT((2727*1.07/(AG58))*H58*(100-H58))</f>
        <v>-0.06747279491813077</v>
      </c>
      <c r="J58" s="24">
        <v>96</v>
      </c>
      <c r="K58" s="24">
        <f>-1*SQRT((2369*1.07/(AH58))*J58*(100-J58))</f>
        <v>-0.27035652012799477</v>
      </c>
      <c r="L58" s="24">
        <v>59.6</v>
      </c>
      <c r="M58" s="24">
        <f>-1*SQRT((2369*1.07/(AI58))*L58*(100-L58))</f>
        <v>-0.9570193908828651</v>
      </c>
      <c r="N58" s="24">
        <v>15.6</v>
      </c>
      <c r="O58" s="24">
        <f>-1*SQRT((2369*1.07/(AI58))*N58*(100-N58))</f>
        <v>-0.707685744752097</v>
      </c>
      <c r="P58" s="24">
        <f t="shared" si="31"/>
        <v>44</v>
      </c>
      <c r="Q58" s="24">
        <f>-1*SQRT((2369*1.07/(AI58))*P58*(100-P58))</f>
        <v>-0.9681157302858429</v>
      </c>
      <c r="R58" s="24">
        <f>R96/R97*100</f>
        <v>30.18547407943522</v>
      </c>
      <c r="S58" s="24">
        <f>-1*SQRT((2369*1.07/(AJ58))*R58*(100-R58))</f>
        <v>-0.5461636112149643</v>
      </c>
      <c r="T58" s="24">
        <f>T96/T97*100</f>
        <v>41.99041701187517</v>
      </c>
      <c r="U58" s="24">
        <f>-1*SQRT((2369*1.07/(AK58))*T58*(100-T58))</f>
        <v>-0.9233580175763741</v>
      </c>
      <c r="V58" s="24">
        <f>V96/V97*100</f>
        <v>22.17015543126238</v>
      </c>
      <c r="W58" s="24">
        <f>-1*SQRT((2369*1.07/(AL58))*V58*(100-V58))</f>
        <v>-0.6403701205448354</v>
      </c>
      <c r="X58" s="24">
        <f>X96/X97*100</f>
        <v>10.182505762708354</v>
      </c>
      <c r="Y58" s="24">
        <f>-1*SQRT((2369*1.07/(AM58))*X58*(100-X58))</f>
        <v>-0.33975660091039583</v>
      </c>
      <c r="Z58" s="24">
        <f>Z96/Z97*100</f>
        <v>6.210637734731113</v>
      </c>
      <c r="AA58" s="24">
        <f>-1*SQRT((2369*1.07/(AN58))*Z58*(100-Z58))</f>
        <v>-0.2580635507166868</v>
      </c>
      <c r="AB58" s="33"/>
      <c r="AC58" s="28">
        <v>1991</v>
      </c>
      <c r="AD58" s="34">
        <v>120775499</v>
      </c>
      <c r="AE58" s="34">
        <v>7573792</v>
      </c>
      <c r="AF58" s="34">
        <v>7524000</v>
      </c>
      <c r="AG58" s="34">
        <v>25534705</v>
      </c>
      <c r="AH58" s="35">
        <v>13316999</v>
      </c>
      <c r="AI58" s="35">
        <v>6664000</v>
      </c>
      <c r="AJ58" s="34">
        <v>17908001</v>
      </c>
      <c r="AK58" s="34">
        <v>7242000</v>
      </c>
      <c r="AL58" s="34">
        <v>10666001</v>
      </c>
      <c r="AM58" s="34">
        <v>20083002</v>
      </c>
      <c r="AN58" s="34">
        <v>22171000</v>
      </c>
      <c r="AO58" s="41">
        <v>1991</v>
      </c>
      <c r="AP58" s="42">
        <v>1991</v>
      </c>
      <c r="AQ58" s="28">
        <v>1991</v>
      </c>
      <c r="AR58" s="34">
        <v>120775499</v>
      </c>
      <c r="AS58" s="34">
        <v>7573792</v>
      </c>
      <c r="AT58" s="34">
        <v>7524000</v>
      </c>
      <c r="AU58" s="34">
        <v>25534705</v>
      </c>
      <c r="AV58" s="35">
        <v>13316999</v>
      </c>
      <c r="AW58" s="35">
        <v>6664000</v>
      </c>
      <c r="AX58" s="34">
        <v>17908001</v>
      </c>
      <c r="AY58" s="34">
        <v>7242000</v>
      </c>
      <c r="AZ58" s="34">
        <v>10666001</v>
      </c>
      <c r="BA58" s="34">
        <v>20083002</v>
      </c>
      <c r="BB58" s="34">
        <v>22171000</v>
      </c>
    </row>
    <row r="59" spans="1:54" ht="12">
      <c r="A59" s="28">
        <v>1992</v>
      </c>
      <c r="B59" s="23">
        <v>51.4</v>
      </c>
      <c r="C59" s="24">
        <f>-1*SQRT((2369/(AD59))*B59*(100-B59))</f>
        <v>-0.22136710616363817</v>
      </c>
      <c r="D59" s="23">
        <v>39.7</v>
      </c>
      <c r="E59" s="24">
        <f>-1*SQRT((2727*1.07/(AE59))*D59*(100-D59))</f>
        <v>-0.9516961764319604</v>
      </c>
      <c r="F59" s="23">
        <v>95.5</v>
      </c>
      <c r="G59" s="24">
        <f>-1*SQRT((2727*1.07/(AF59))*F59*(100-F59))</f>
        <v>-0.40629410164621005</v>
      </c>
      <c r="H59" s="23">
        <v>99.4</v>
      </c>
      <c r="I59" s="24">
        <f>-1*SQRT((2727*1.07/(AG59))*H59*(100-H59))</f>
        <v>-0.0819233626327794</v>
      </c>
      <c r="J59" s="24">
        <v>96.7</v>
      </c>
      <c r="K59" s="24">
        <f>-1*SQRT((2369*1.07/(AH59))*J59*(100-J59))</f>
        <v>-0.24399301224883554</v>
      </c>
      <c r="L59" s="24">
        <v>61.4</v>
      </c>
      <c r="M59" s="24">
        <f>-1*SQRT((2369*1.07/(AI59))*L59*(100-L59))</f>
        <v>-0.9588031698267262</v>
      </c>
      <c r="N59" s="24">
        <v>17.1</v>
      </c>
      <c r="O59" s="24">
        <f>-1*SQRT((2369*1.07/(AI59))*N59*(100-N59))</f>
        <v>-0.7415269569996453</v>
      </c>
      <c r="P59" s="24">
        <f t="shared" si="31"/>
        <v>44.3</v>
      </c>
      <c r="Q59" s="24">
        <f>-1*SQRT((2369*1.07/(AI59))*P59*(100-P59))</f>
        <v>-0.978320342303718</v>
      </c>
      <c r="R59" s="24">
        <v>31.58</v>
      </c>
      <c r="S59" s="24">
        <f>-1*SQRT((2369*1.07/(AJ59))*R59*(100-R59))</f>
        <v>-0.5555951915660179</v>
      </c>
      <c r="T59" s="24">
        <v>43.97</v>
      </c>
      <c r="U59" s="24">
        <f>-1*SQRT((2369*1.07/(AK59))*T59*(100-T59))</f>
        <v>-0.9524507594285978</v>
      </c>
      <c r="V59" s="24">
        <v>23.73</v>
      </c>
      <c r="W59" s="24">
        <f>-1*SQRT((2369*1.07/(AL59))*V59*(100-V59))</f>
        <v>-0.6499878594921243</v>
      </c>
      <c r="X59" s="24">
        <v>9.78</v>
      </c>
      <c r="Y59" s="24">
        <f>-1*SQRT((2369*1.07/(AM59))*X59*(100-X59))</f>
        <v>-0.33867094623255</v>
      </c>
      <c r="Z59" s="24">
        <v>6.07</v>
      </c>
      <c r="AA59" s="24">
        <f>-1*SQRT((2369*1.07/(AN59))*Z59*(100-Z59))</f>
        <v>-0.2553737413996505</v>
      </c>
      <c r="AB59" s="33"/>
      <c r="AC59" s="28">
        <v>1992</v>
      </c>
      <c r="AD59" s="34">
        <v>120764218</v>
      </c>
      <c r="AE59" s="34">
        <v>7712232</v>
      </c>
      <c r="AF59" s="34">
        <v>7596329</v>
      </c>
      <c r="AG59" s="34">
        <v>25929313</v>
      </c>
      <c r="AH59" s="35">
        <v>13587341</v>
      </c>
      <c r="AI59" s="35">
        <v>6535000</v>
      </c>
      <c r="AJ59" s="34">
        <v>17743001</v>
      </c>
      <c r="AK59" s="34">
        <v>6884000</v>
      </c>
      <c r="AL59" s="34">
        <v>10859000</v>
      </c>
      <c r="AM59" s="34">
        <v>19500001</v>
      </c>
      <c r="AN59" s="34">
        <v>22161001</v>
      </c>
      <c r="AO59" s="41">
        <v>1992</v>
      </c>
      <c r="AP59" s="42">
        <v>1992</v>
      </c>
      <c r="AQ59" s="28">
        <v>1992</v>
      </c>
      <c r="AR59" s="34">
        <v>120764218</v>
      </c>
      <c r="AS59" s="34">
        <v>7712232</v>
      </c>
      <c r="AT59" s="34">
        <v>7596329</v>
      </c>
      <c r="AU59" s="34">
        <v>25929313</v>
      </c>
      <c r="AV59" s="35">
        <v>13587341</v>
      </c>
      <c r="AW59" s="35">
        <v>6535000</v>
      </c>
      <c r="AX59" s="34">
        <v>17743001</v>
      </c>
      <c r="AY59" s="34">
        <v>6884000</v>
      </c>
      <c r="AZ59" s="34">
        <v>10859000</v>
      </c>
      <c r="BA59" s="34">
        <v>19500001</v>
      </c>
      <c r="BB59" s="34">
        <v>22161001</v>
      </c>
    </row>
    <row r="60" spans="1:54" ht="12">
      <c r="A60" s="28">
        <v>1993</v>
      </c>
      <c r="B60" s="23">
        <v>51.8</v>
      </c>
      <c r="C60" s="24">
        <f>-1*SQRT((2369/(AD60))*B60*(100-B60))</f>
        <v>-0.22107103486887136</v>
      </c>
      <c r="D60" s="23">
        <v>40.4</v>
      </c>
      <c r="E60" s="24">
        <f>-1*SQRT((2727*1.07/(AE60))*D60*(100-D60))</f>
        <v>-0.9315119411302378</v>
      </c>
      <c r="F60" s="23">
        <v>95.4</v>
      </c>
      <c r="G60" s="24">
        <f>-1*SQRT((2727*1.07/(AF60))*F60*(100-F60))</f>
        <v>-0.40910331733702665</v>
      </c>
      <c r="H60" s="23">
        <v>99.5</v>
      </c>
      <c r="I60" s="24">
        <f>-1*SQRT((2727*1.07/(AG60))*H60*(100-H60))</f>
        <v>-0.07437550086537925</v>
      </c>
      <c r="J60" s="24">
        <v>96.5</v>
      </c>
      <c r="K60" s="24">
        <f>-1*SQRT((2369*1.07/(AH60))*J60*(100-J60))</f>
        <v>-0.2487451172052795</v>
      </c>
      <c r="L60" s="24">
        <v>61.6</v>
      </c>
      <c r="M60" s="24">
        <f>-1*SQRT((2369*1.07/(AI60))*L60*(100-L60))</f>
        <v>-0.9535773262811214</v>
      </c>
      <c r="N60" s="24">
        <v>17.2</v>
      </c>
      <c r="O60" s="24">
        <f>-1*SQRT((2369*1.07/(AI60))*N60*(100-N60))</f>
        <v>-0.7399107542770367</v>
      </c>
      <c r="P60" s="24">
        <f t="shared" si="31"/>
        <v>44.400000000000006</v>
      </c>
      <c r="Q60" s="24">
        <f>-1*SQRT((2369*1.07/(AI60))*P60*(100-P60))</f>
        <v>-0.9741567152745331</v>
      </c>
      <c r="R60" s="24">
        <f>R98/R99*100</f>
        <v>30.780936205818794</v>
      </c>
      <c r="S60" s="24">
        <f>-1*SQRT((2369*1.07/(AJ60))*R60*(100-R60))</f>
        <v>-0.5554368863064046</v>
      </c>
      <c r="T60" s="24">
        <f>T98/T99*100</f>
        <v>42.73531558935362</v>
      </c>
      <c r="U60" s="24">
        <f>-1*SQRT((2369*1.07/(AK60))*T60*(100-T60))</f>
        <v>-0.9713224668862267</v>
      </c>
      <c r="V60" s="24">
        <f>V98/V99*100</f>
        <v>23.59037383676024</v>
      </c>
      <c r="W60" s="24">
        <f>-1*SQRT((2369*1.07/(AL60))*V60*(100-V60))</f>
        <v>-0.6465258608729135</v>
      </c>
      <c r="X60" s="24">
        <f>X98/X99*100</f>
        <v>10.197422030872625</v>
      </c>
      <c r="Y60" s="24">
        <f>-1*SQRT((2369*1.07/(AM60))*X60*(100-X60))</f>
        <v>-0.3491098705415947</v>
      </c>
      <c r="Z60" s="24">
        <f>Z98/Z99*100</f>
        <v>5.90703732340102</v>
      </c>
      <c r="AA60" s="24">
        <f>-1*SQRT((2369*1.07/(AN60))*Z60*(100-Z60))</f>
        <v>-0.25275747006664767</v>
      </c>
      <c r="AB60" s="33"/>
      <c r="AC60" s="28">
        <v>1993</v>
      </c>
      <c r="AD60" s="34">
        <v>121025858</v>
      </c>
      <c r="AE60" s="34">
        <v>8096917</v>
      </c>
      <c r="AF60" s="34">
        <v>7650840</v>
      </c>
      <c r="AG60" s="34">
        <v>26242318</v>
      </c>
      <c r="AH60" s="35">
        <v>13836781</v>
      </c>
      <c r="AI60" s="35">
        <v>6594000</v>
      </c>
      <c r="AJ60" s="34">
        <v>17506001</v>
      </c>
      <c r="AK60" s="34">
        <v>6575000</v>
      </c>
      <c r="AL60" s="34">
        <v>10931001</v>
      </c>
      <c r="AM60" s="34">
        <v>19046000</v>
      </c>
      <c r="AN60" s="34">
        <v>22053001</v>
      </c>
      <c r="AO60" s="41">
        <v>1993</v>
      </c>
      <c r="AP60" s="42">
        <v>1993</v>
      </c>
      <c r="AQ60" s="28">
        <v>1993</v>
      </c>
      <c r="AR60" s="34">
        <v>121025858</v>
      </c>
      <c r="AS60" s="34">
        <v>8096917</v>
      </c>
      <c r="AT60" s="34">
        <v>7650840</v>
      </c>
      <c r="AU60" s="34">
        <v>26242318</v>
      </c>
      <c r="AV60" s="35">
        <v>13836781</v>
      </c>
      <c r="AW60" s="35">
        <v>6594000</v>
      </c>
      <c r="AX60" s="34">
        <v>17506001</v>
      </c>
      <c r="AY60" s="34">
        <v>6575000</v>
      </c>
      <c r="AZ60" s="34">
        <v>10931001</v>
      </c>
      <c r="BA60" s="34">
        <v>19046000</v>
      </c>
      <c r="BB60" s="34">
        <v>22053001</v>
      </c>
    </row>
    <row r="61" spans="1:54" ht="12">
      <c r="A61" s="28">
        <v>1994</v>
      </c>
      <c r="B61" s="23">
        <v>53.3</v>
      </c>
      <c r="C61" s="24">
        <f>-1*SQRT((2369*0.92/(AD61))*B61*(100-B61))</f>
        <v>-0.2087154960183544</v>
      </c>
      <c r="D61" s="23">
        <v>47.3</v>
      </c>
      <c r="E61" s="24">
        <f>-1*SQRT((2727*0.92/(AE61))*D61*(100-D61))</f>
        <v>-0.8688803383281359</v>
      </c>
      <c r="F61" s="23">
        <v>96.7</v>
      </c>
      <c r="G61" s="24">
        <f>-1*SQRT((2727*0.92/(AF61))*F61*(100-F61))</f>
        <v>-0.31600213881973055</v>
      </c>
      <c r="H61" s="23">
        <v>99.4</v>
      </c>
      <c r="I61" s="24">
        <f>-1*SQRT((2727*0.92/(AG61))*H61*(100-H61))</f>
        <v>-0.0745208325782866</v>
      </c>
      <c r="J61" s="24">
        <v>96.6</v>
      </c>
      <c r="K61" s="24">
        <f>-1*SQRT((2369*0.92/(AH61))*J61*(100-J61))</f>
        <v>-0.21904822192281684</v>
      </c>
      <c r="L61" s="24">
        <v>60.2</v>
      </c>
      <c r="M61" s="24">
        <f>-1*SQRT((2369*0.92/(AI61))*L61*(100-L61))</f>
        <v>-0.8670485108164353</v>
      </c>
      <c r="N61" s="24">
        <v>16.2</v>
      </c>
      <c r="O61" s="24">
        <f>-1*SQRT((2369*0.92/(AI61))*N61*(100-N61))</f>
        <v>-0.6526541916188195</v>
      </c>
      <c r="P61" s="24">
        <f t="shared" si="31"/>
        <v>44</v>
      </c>
      <c r="Q61" s="24">
        <f>-1*SQRT((2369*0.92/(AI61))*P61*(100-P61))</f>
        <v>-0.879273464316273</v>
      </c>
      <c r="R61" s="24">
        <v>32</v>
      </c>
      <c r="S61" s="24">
        <f>-1*SQRT((2369*0.92/(AJ61))*R61*(100-R61))</f>
        <v>-0.5089688206795876</v>
      </c>
      <c r="T61" s="24">
        <v>44.9</v>
      </c>
      <c r="U61" s="24">
        <f>-1*SQRT((2369*0.92/(AK61))*T61*(100-T61))</f>
        <v>-0.8788800318818536</v>
      </c>
      <c r="V61" s="24">
        <v>24</v>
      </c>
      <c r="W61" s="24">
        <f>-1*SQRT((2369*0.92/(AL61))*V61*(100-V61))</f>
        <v>-0.592424017379722</v>
      </c>
      <c r="X61" s="24">
        <v>10.8</v>
      </c>
      <c r="Y61" s="24">
        <f>-1*SQRT((2369*0.92/(AM61))*X61*(100-X61))</f>
        <v>-0.3310324436293721</v>
      </c>
      <c r="Z61" s="24">
        <v>6.7</v>
      </c>
      <c r="AA61" s="24">
        <f>-1*SQRT((2369*0.92/(AN61))*Z61*(100-Z61))</f>
        <v>-0.24909868782925934</v>
      </c>
      <c r="AB61" s="33"/>
      <c r="AC61" s="28">
        <v>1994</v>
      </c>
      <c r="AD61" s="34">
        <v>124533900</v>
      </c>
      <c r="AE61" s="34">
        <v>8283708</v>
      </c>
      <c r="AF61" s="34">
        <v>8017396</v>
      </c>
      <c r="AG61" s="34">
        <v>26943574</v>
      </c>
      <c r="AH61" s="35">
        <v>14918648</v>
      </c>
      <c r="AI61" s="35">
        <v>6946174</v>
      </c>
      <c r="AJ61" s="34">
        <v>18307516</v>
      </c>
      <c r="AK61" s="34">
        <v>6980582</v>
      </c>
      <c r="AL61" s="34">
        <v>11326935</v>
      </c>
      <c r="AM61" s="34">
        <v>19160215</v>
      </c>
      <c r="AN61" s="34">
        <v>21956669</v>
      </c>
      <c r="AO61" s="41">
        <v>1994</v>
      </c>
      <c r="AP61" s="42">
        <v>1994</v>
      </c>
      <c r="AQ61" s="28">
        <v>1994</v>
      </c>
      <c r="AR61" s="34">
        <v>124533900</v>
      </c>
      <c r="AS61" s="34">
        <v>8283708</v>
      </c>
      <c r="AT61" s="34">
        <v>8017396</v>
      </c>
      <c r="AU61" s="34">
        <v>26943574</v>
      </c>
      <c r="AV61" s="35">
        <v>14918648</v>
      </c>
      <c r="AW61" s="35">
        <v>6946174</v>
      </c>
      <c r="AX61" s="34">
        <v>18307516</v>
      </c>
      <c r="AY61" s="34">
        <v>6980582</v>
      </c>
      <c r="AZ61" s="34">
        <v>11326935</v>
      </c>
      <c r="BA61" s="34">
        <v>19160215</v>
      </c>
      <c r="BB61" s="34">
        <v>21956669</v>
      </c>
    </row>
    <row r="62" spans="1:54" ht="12">
      <c r="A62" s="28">
        <v>1995</v>
      </c>
      <c r="B62" s="23">
        <v>53.7</v>
      </c>
      <c r="C62" s="24">
        <f>-1*SQRT((2369*0.92/(AD62))*B62*(100-B62))</f>
        <v>-0.2085519274508596</v>
      </c>
      <c r="D62" s="23">
        <v>48.7</v>
      </c>
      <c r="E62" s="24">
        <f>-1*SQRT((2727*0.92/(AE62))*D62*(100-D62))</f>
        <v>-0.8693281254260874</v>
      </c>
      <c r="F62" s="23">
        <v>96</v>
      </c>
      <c r="G62" s="24">
        <f>-1*SQRT((2727*0.92/(AF62))*F62*(100-F62))</f>
        <v>-0.34217015580317567</v>
      </c>
      <c r="H62" s="23">
        <v>98.9</v>
      </c>
      <c r="I62" s="24">
        <f>-1*SQRT((2727*0.92/(AG62))*H62*(100-H62))</f>
        <v>-0.09998530818290353</v>
      </c>
      <c r="J62" s="24">
        <v>96.3</v>
      </c>
      <c r="K62" s="24">
        <f>-1*SQRT((2369*0.92/(AH62))*J62*(100-J62))</f>
        <v>-0.22590632144812098</v>
      </c>
      <c r="L62" s="24">
        <v>59.4</v>
      </c>
      <c r="M62" s="24">
        <f>-1*SQRT((2369*0.92/(AI62))*L62*(100-L62))</f>
        <v>-0.8545229781456647</v>
      </c>
      <c r="N62" s="24">
        <v>16.3</v>
      </c>
      <c r="O62" s="24">
        <f>-1*SQRT((2369*0.92/(AI62))*N62*(100-N62))</f>
        <v>-0.6427232897699731</v>
      </c>
      <c r="P62" s="24">
        <f t="shared" si="31"/>
        <v>43.099999999999994</v>
      </c>
      <c r="Q62" s="24">
        <f>-1*SQRT((2369*0.92/(AI62))*P62*(100-P62))</f>
        <v>-0.8617122649485901</v>
      </c>
      <c r="R62" s="24">
        <v>31.5</v>
      </c>
      <c r="S62" s="24">
        <f>-1*SQRT((2369*0.92/(AJ62))*R62*(100-R62))</f>
        <v>-0.5154245232930655</v>
      </c>
      <c r="T62" s="24">
        <v>44.9</v>
      </c>
      <c r="U62" s="24">
        <f>-1*SQRT((2369*0.92/(AK62))*T62*(100-T62))</f>
        <v>-0.8946653343357069</v>
      </c>
      <c r="V62" s="24">
        <v>23.2</v>
      </c>
      <c r="W62" s="24">
        <f>-1*SQRT((2369*0.92/(AL62))*V62*(100-V62))</f>
        <v>-0.5950920840944146</v>
      </c>
      <c r="X62" s="24">
        <v>11.6</v>
      </c>
      <c r="Y62" s="24">
        <f>-1*SQRT((2369*0.92/(AM62))*X62*(100-X62))</f>
        <v>-0.3424095141813652</v>
      </c>
      <c r="Z62" s="24">
        <v>5.9</v>
      </c>
      <c r="AA62" s="24">
        <f>-1*SQRT((2369*0.92/(AN62))*Z62*(100-Z62))</f>
        <v>-0.23676185201801364</v>
      </c>
      <c r="AB62" s="33"/>
      <c r="AC62" s="28">
        <v>1995</v>
      </c>
      <c r="AD62" s="34">
        <v>124589014</v>
      </c>
      <c r="AE62" s="34">
        <v>8293767</v>
      </c>
      <c r="AF62" s="34">
        <v>8228486</v>
      </c>
      <c r="AG62" s="34">
        <v>27301692</v>
      </c>
      <c r="AH62" s="35">
        <v>15216828</v>
      </c>
      <c r="AI62" s="35">
        <v>7198100</v>
      </c>
      <c r="AJ62" s="34">
        <v>17702062</v>
      </c>
      <c r="AK62" s="34">
        <v>6736427</v>
      </c>
      <c r="AL62" s="34">
        <v>10965634</v>
      </c>
      <c r="AM62" s="34">
        <v>19062133</v>
      </c>
      <c r="AN62" s="34">
        <v>21585945</v>
      </c>
      <c r="AO62" s="41">
        <v>1995</v>
      </c>
      <c r="AP62" s="42">
        <v>1995</v>
      </c>
      <c r="AQ62" s="28">
        <v>1995</v>
      </c>
      <c r="AR62" s="34">
        <v>124589014</v>
      </c>
      <c r="AS62" s="34">
        <v>8293767</v>
      </c>
      <c r="AT62" s="34">
        <v>8228486</v>
      </c>
      <c r="AU62" s="34">
        <v>27301692</v>
      </c>
      <c r="AV62" s="35">
        <v>15216828</v>
      </c>
      <c r="AW62" s="35">
        <v>7198100</v>
      </c>
      <c r="AX62" s="34">
        <v>17702062</v>
      </c>
      <c r="AY62" s="34">
        <v>6736427</v>
      </c>
      <c r="AZ62" s="34">
        <v>10965634</v>
      </c>
      <c r="BA62" s="34">
        <v>19062133</v>
      </c>
      <c r="BB62" s="34">
        <v>21585945</v>
      </c>
    </row>
    <row r="63" spans="1:54" ht="12">
      <c r="A63" s="28">
        <v>1996</v>
      </c>
      <c r="B63" s="23">
        <v>54.1</v>
      </c>
      <c r="C63" s="24">
        <f aca="true" t="shared" si="50" ref="C63:C68">-1*SQRT((2369/(AD63))*B63*(100-B63))</f>
        <v>-0.21741350196103282</v>
      </c>
      <c r="D63" s="23">
        <v>48.3</v>
      </c>
      <c r="E63" s="24">
        <f aca="true" t="shared" si="51" ref="E63:E68">-1*SQRT((2727/(AE63))*D63*(100-D63))</f>
        <v>-0.9116672985390697</v>
      </c>
      <c r="F63" s="23">
        <v>94</v>
      </c>
      <c r="G63" s="24">
        <f aca="true" t="shared" si="52" ref="G63:G68">-1*SQRT((2727/(AF63))*F63*(100-F63))</f>
        <v>-0.4280706099434414</v>
      </c>
      <c r="H63" s="23">
        <v>97.7</v>
      </c>
      <c r="I63" s="24">
        <f aca="true" t="shared" si="53" ref="I63:I68">-1*SQRT((2727/(AG63))*H63*(100-H63))</f>
        <v>-0.14909380505902037</v>
      </c>
      <c r="J63" s="24">
        <v>95.4</v>
      </c>
      <c r="K63" s="24">
        <f aca="true" t="shared" si="54" ref="K63:K68">-1*SQRT((2369/(AH63))*J63*(100-J63))</f>
        <v>-0.2586759887451766</v>
      </c>
      <c r="L63" s="24">
        <v>61.5</v>
      </c>
      <c r="M63" s="24">
        <f aca="true" t="shared" si="55" ref="M63:M68">-1*SQRT((2369/(AI63))*L63*(100-L63))</f>
        <v>-0.8720654808054583</v>
      </c>
      <c r="N63" s="24">
        <v>16.7</v>
      </c>
      <c r="O63" s="24">
        <f aca="true" t="shared" si="56" ref="O63:O68">-1*SQRT((2369/(AI63))*N63*(100-N63))</f>
        <v>-0.6684391983176232</v>
      </c>
      <c r="P63" s="24">
        <f t="shared" si="31"/>
        <v>44.8</v>
      </c>
      <c r="Q63" s="24">
        <f aca="true" t="shared" si="57" ref="Q63:Q68">-1*SQRT((2369/(AI63))*P63*(100-P63))</f>
        <v>-0.8912298404443161</v>
      </c>
      <c r="R63" s="24">
        <v>32.5</v>
      </c>
      <c r="S63" s="24">
        <f aca="true" t="shared" si="58" ref="S63:S68">-1*SQRT((2369/(AJ63))*R63*(100-R63))</f>
        <v>-0.5481784440249764</v>
      </c>
      <c r="T63" s="24">
        <v>44.4</v>
      </c>
      <c r="U63" s="24">
        <f aca="true" t="shared" si="59" ref="U63:U68">-1*SQRT((2369/(AK63))*T63*(100-T63))</f>
        <v>-0.9273913786451914</v>
      </c>
      <c r="V63" s="24">
        <v>24.8</v>
      </c>
      <c r="W63" s="24">
        <f aca="true" t="shared" si="60" ref="W63:W68">-1*SQRT((2369/(AL63))*V63*(100-V63))</f>
        <v>-0.6488319620660222</v>
      </c>
      <c r="X63" s="24">
        <v>11.9</v>
      </c>
      <c r="Y63" s="24">
        <f aca="true" t="shared" si="61" ref="Y63:Y68">-1*SQRT((2369/(AM63))*X63*(100-X63))</f>
        <v>-0.36172142048883904</v>
      </c>
      <c r="Z63" s="24">
        <v>6.1</v>
      </c>
      <c r="AA63" s="24">
        <f aca="true" t="shared" si="62" ref="AA63:AA68">-1*SQRT((2369/(AN63))*Z63*(100-Z63))</f>
        <v>-0.2535348054449829</v>
      </c>
      <c r="AB63" s="33"/>
      <c r="AC63" s="28">
        <v>1996</v>
      </c>
      <c r="AD63" s="34">
        <v>124452031</v>
      </c>
      <c r="AE63" s="34">
        <v>8193134</v>
      </c>
      <c r="AF63" s="34">
        <v>8393313</v>
      </c>
      <c r="AG63" s="34">
        <v>27566926</v>
      </c>
      <c r="AH63" s="35">
        <v>15536709</v>
      </c>
      <c r="AI63" s="35">
        <v>7375691</v>
      </c>
      <c r="AJ63" s="34">
        <v>17294511</v>
      </c>
      <c r="AK63" s="34">
        <v>6799809</v>
      </c>
      <c r="AL63" s="34">
        <v>10494702</v>
      </c>
      <c r="AM63" s="34">
        <v>18981891</v>
      </c>
      <c r="AN63" s="34">
        <v>21109858</v>
      </c>
      <c r="AO63" s="41">
        <v>1996</v>
      </c>
      <c r="AP63" s="42">
        <v>1996</v>
      </c>
      <c r="AQ63" s="28">
        <v>1996</v>
      </c>
      <c r="AR63" s="34">
        <v>124452031</v>
      </c>
      <c r="AS63" s="34">
        <v>8193134</v>
      </c>
      <c r="AT63" s="34">
        <v>8393313</v>
      </c>
      <c r="AU63" s="34">
        <v>27566926</v>
      </c>
      <c r="AV63" s="35">
        <v>15536709</v>
      </c>
      <c r="AW63" s="35">
        <v>7375691</v>
      </c>
      <c r="AX63" s="34">
        <v>17294511</v>
      </c>
      <c r="AY63" s="34">
        <v>6799809</v>
      </c>
      <c r="AZ63" s="34">
        <v>10494702</v>
      </c>
      <c r="BA63" s="34">
        <v>18981891</v>
      </c>
      <c r="BB63" s="34">
        <v>21109858</v>
      </c>
    </row>
    <row r="64" spans="1:54" ht="12">
      <c r="A64" s="28">
        <v>1997</v>
      </c>
      <c r="B64" s="23">
        <v>55.6</v>
      </c>
      <c r="C64" s="24">
        <f t="shared" si="50"/>
        <v>-0.21703302672882932</v>
      </c>
      <c r="D64" s="23">
        <v>52.6</v>
      </c>
      <c r="E64" s="24">
        <f t="shared" si="51"/>
        <v>-0.9230841412624594</v>
      </c>
      <c r="F64" s="23">
        <v>96.5</v>
      </c>
      <c r="G64" s="24">
        <f t="shared" si="52"/>
        <v>-0.3341421818461402</v>
      </c>
      <c r="H64" s="23">
        <v>99.1</v>
      </c>
      <c r="I64" s="24">
        <f t="shared" si="53"/>
        <v>-0.09342994766466696</v>
      </c>
      <c r="J64" s="24">
        <v>96.6</v>
      </c>
      <c r="K64" s="24">
        <f t="shared" si="54"/>
        <v>-0.2217581207608336</v>
      </c>
      <c r="L64" s="24">
        <v>61.5</v>
      </c>
      <c r="M64" s="24">
        <f t="shared" si="55"/>
        <v>-0.8645543911040526</v>
      </c>
      <c r="N64" s="24">
        <v>16.7</v>
      </c>
      <c r="O64" s="24">
        <f t="shared" si="56"/>
        <v>-0.662681939385803</v>
      </c>
      <c r="P64" s="24">
        <f t="shared" si="31"/>
        <v>44.8</v>
      </c>
      <c r="Q64" s="24">
        <f t="shared" si="57"/>
        <v>-0.8835536883393572</v>
      </c>
      <c r="R64" s="24">
        <f>R101/R102*100</f>
        <v>34.272370047908545</v>
      </c>
      <c r="S64" s="24">
        <f t="shared" si="58"/>
        <v>-0.5528070185472914</v>
      </c>
      <c r="T64" s="24">
        <f>T101/T102*100</f>
        <v>45.8938653545968</v>
      </c>
      <c r="U64" s="24">
        <f t="shared" si="59"/>
        <v>-0.9141149559429085</v>
      </c>
      <c r="V64" s="24">
        <f>V101/V102*100</f>
        <v>26.422850030961037</v>
      </c>
      <c r="W64" s="24">
        <f t="shared" si="60"/>
        <v>-0.6647404352663272</v>
      </c>
      <c r="X64" s="24">
        <f>X101/X102*100</f>
        <v>11.801856290237955</v>
      </c>
      <c r="Y64" s="24">
        <f t="shared" si="61"/>
        <v>-0.3617794632985182</v>
      </c>
      <c r="Z64" s="24">
        <f>Z101/Z102*100</f>
        <v>5.672667961837004</v>
      </c>
      <c r="AA64" s="24">
        <f t="shared" si="62"/>
        <v>-0.2490565058161535</v>
      </c>
      <c r="AB64" s="33"/>
      <c r="AC64" s="28">
        <v>1997</v>
      </c>
      <c r="AD64" s="34">
        <v>124156988</v>
      </c>
      <c r="AE64" s="34">
        <v>7979334</v>
      </c>
      <c r="AF64" s="34">
        <v>8249315</v>
      </c>
      <c r="AG64" s="34">
        <v>27863078</v>
      </c>
      <c r="AH64" s="35">
        <v>15822024</v>
      </c>
      <c r="AI64" s="35">
        <v>7504405</v>
      </c>
      <c r="AJ64" s="34">
        <v>17462647</v>
      </c>
      <c r="AK64" s="34">
        <v>7039869</v>
      </c>
      <c r="AL64" s="34">
        <v>10422778</v>
      </c>
      <c r="AM64" s="34">
        <v>18840265</v>
      </c>
      <c r="AN64" s="34">
        <v>20435920</v>
      </c>
      <c r="AO64" s="41">
        <v>1997</v>
      </c>
      <c r="AP64" s="42">
        <v>1997</v>
      </c>
      <c r="AQ64" s="28">
        <v>1997</v>
      </c>
      <c r="AR64" s="34">
        <v>124156988</v>
      </c>
      <c r="AS64" s="34">
        <v>7979334</v>
      </c>
      <c r="AT64" s="34">
        <v>8249315</v>
      </c>
      <c r="AU64" s="34">
        <v>27863078</v>
      </c>
      <c r="AV64" s="35">
        <v>15822024</v>
      </c>
      <c r="AW64" s="35">
        <v>7504405</v>
      </c>
      <c r="AX64" s="34">
        <v>17462647</v>
      </c>
      <c r="AY64" s="34">
        <v>7039869</v>
      </c>
      <c r="AZ64" s="34">
        <v>10422778</v>
      </c>
      <c r="BA64" s="34">
        <v>18840265</v>
      </c>
      <c r="BB64" s="34">
        <v>20435920</v>
      </c>
    </row>
    <row r="65" spans="1:54" ht="12">
      <c r="A65" s="28">
        <v>1998</v>
      </c>
      <c r="B65" s="23">
        <v>55.8</v>
      </c>
      <c r="C65" s="24">
        <f t="shared" si="50"/>
        <v>-0.21686136882381582</v>
      </c>
      <c r="D65" s="23">
        <v>52.1</v>
      </c>
      <c r="E65" s="24">
        <f t="shared" si="51"/>
        <v>-0.9228344211829534</v>
      </c>
      <c r="F65" s="23">
        <v>95.6</v>
      </c>
      <c r="G65" s="24">
        <f t="shared" si="52"/>
        <v>-0.37242623559919974</v>
      </c>
      <c r="H65" s="23">
        <v>98.9</v>
      </c>
      <c r="I65" s="24">
        <f t="shared" si="53"/>
        <v>-0.10264957671401147</v>
      </c>
      <c r="J65" s="24">
        <v>96.1</v>
      </c>
      <c r="K65" s="24">
        <f t="shared" si="54"/>
        <v>-0.23770246116013613</v>
      </c>
      <c r="L65" s="24">
        <v>62.2</v>
      </c>
      <c r="M65" s="24">
        <f t="shared" si="55"/>
        <v>-0.8395698636631754</v>
      </c>
      <c r="N65" s="24">
        <v>15.7</v>
      </c>
      <c r="O65" s="24">
        <f t="shared" si="56"/>
        <v>-0.6299112466413914</v>
      </c>
      <c r="P65" s="24">
        <f t="shared" si="31"/>
        <v>46.5</v>
      </c>
      <c r="Q65" s="24">
        <f t="shared" si="57"/>
        <v>-0.8636128910881653</v>
      </c>
      <c r="R65" s="24">
        <f>R104/R105*100</f>
        <v>32.967703433807856</v>
      </c>
      <c r="S65" s="24">
        <f t="shared" si="58"/>
        <v>-0.5453256122369158</v>
      </c>
      <c r="T65" s="24">
        <f>T104/T105*100</f>
        <v>44.8325308593584</v>
      </c>
      <c r="U65" s="24">
        <f t="shared" si="59"/>
        <v>-0.9064751764222932</v>
      </c>
      <c r="V65" s="24">
        <f>V104/V105*100</f>
        <v>24.89012968282515</v>
      </c>
      <c r="W65" s="24">
        <f t="shared" si="60"/>
        <v>-0.6502638274968371</v>
      </c>
      <c r="X65" s="24">
        <f>X104/X105*100</f>
        <v>11.901975373167755</v>
      </c>
      <c r="Y65" s="24">
        <f t="shared" si="61"/>
        <v>-0.36524411337072676</v>
      </c>
      <c r="Z65" s="24">
        <f>Z104/Z105*100</f>
        <v>6.615432837011552</v>
      </c>
      <c r="AA65" s="24">
        <f t="shared" si="62"/>
        <v>-0.27063603346140663</v>
      </c>
      <c r="AB65" s="33"/>
      <c r="AC65" s="28">
        <v>1998</v>
      </c>
      <c r="AD65" s="34">
        <v>124238769</v>
      </c>
      <c r="AE65" s="34">
        <v>7991178</v>
      </c>
      <c r="AF65" s="34">
        <v>8270184</v>
      </c>
      <c r="AG65" s="34">
        <v>28155276</v>
      </c>
      <c r="AH65" s="35">
        <v>15713962</v>
      </c>
      <c r="AI65" s="35">
        <v>7901937</v>
      </c>
      <c r="AJ65" s="34">
        <v>17604596</v>
      </c>
      <c r="AK65" s="34">
        <v>7130657</v>
      </c>
      <c r="AL65" s="34">
        <v>10473939</v>
      </c>
      <c r="AM65" s="34">
        <v>18620178</v>
      </c>
      <c r="AN65" s="34">
        <v>19981459</v>
      </c>
      <c r="AO65" s="41">
        <v>1998</v>
      </c>
      <c r="AP65" s="42">
        <v>1998</v>
      </c>
      <c r="AQ65" s="28">
        <v>1998</v>
      </c>
      <c r="AR65" s="34">
        <v>124238769</v>
      </c>
      <c r="AS65" s="34">
        <v>7991178</v>
      </c>
      <c r="AT65" s="34">
        <v>8270184</v>
      </c>
      <c r="AU65" s="34">
        <v>28155276</v>
      </c>
      <c r="AV65" s="35">
        <v>15713962</v>
      </c>
      <c r="AW65" s="35">
        <v>7901937</v>
      </c>
      <c r="AX65" s="34">
        <v>17604596</v>
      </c>
      <c r="AY65" s="34">
        <v>7130657</v>
      </c>
      <c r="AZ65" s="34">
        <v>10473939</v>
      </c>
      <c r="BA65" s="34">
        <v>18620178</v>
      </c>
      <c r="BB65" s="34">
        <v>19981459</v>
      </c>
    </row>
    <row r="66" spans="1:54" ht="12">
      <c r="A66" s="28">
        <v>1999</v>
      </c>
      <c r="B66" s="23">
        <v>56</v>
      </c>
      <c r="C66" s="24">
        <f t="shared" si="50"/>
        <v>-0.21664060955918618</v>
      </c>
      <c r="D66" s="23">
        <v>54.2</v>
      </c>
      <c r="E66" s="24">
        <f t="shared" si="51"/>
        <v>-0.9266756590135484</v>
      </c>
      <c r="F66" s="23">
        <v>96</v>
      </c>
      <c r="G66" s="24">
        <f t="shared" si="52"/>
        <v>-0.3596169093918703</v>
      </c>
      <c r="H66" s="23">
        <v>98.7</v>
      </c>
      <c r="I66" s="24">
        <f t="shared" si="53"/>
        <v>-0.11063640133185122</v>
      </c>
      <c r="J66" s="24">
        <v>95.8</v>
      </c>
      <c r="K66" s="24">
        <f t="shared" si="54"/>
        <v>-0.24394410455479001</v>
      </c>
      <c r="L66" s="24">
        <v>60.6</v>
      </c>
      <c r="M66" s="24">
        <f t="shared" si="55"/>
        <v>-0.8415129113583407</v>
      </c>
      <c r="N66" s="24">
        <v>16.5</v>
      </c>
      <c r="O66" s="24">
        <f t="shared" si="56"/>
        <v>-0.6392365083236218</v>
      </c>
      <c r="P66" s="24">
        <f t="shared" si="31"/>
        <v>44.1</v>
      </c>
      <c r="Q66" s="24">
        <f t="shared" si="57"/>
        <v>-0.8550697832107022</v>
      </c>
      <c r="R66" s="24">
        <f>R106/R109*100</f>
        <v>32.79710800420069</v>
      </c>
      <c r="S66" s="24">
        <f t="shared" si="58"/>
        <v>-0.5378376595960797</v>
      </c>
      <c r="T66" s="24">
        <f>T106/T109*100</f>
        <v>45.250262971341996</v>
      </c>
      <c r="U66" s="24">
        <f t="shared" si="59"/>
        <v>-0.9031274804439812</v>
      </c>
      <c r="V66" s="24">
        <f>V106/V109*100</f>
        <v>24.54184681485595</v>
      </c>
      <c r="W66" s="24">
        <f t="shared" si="60"/>
        <v>-0.6357405365890686</v>
      </c>
      <c r="X66" s="24">
        <f>X106/X109*100</f>
        <v>11.05516106566517</v>
      </c>
      <c r="Y66" s="24">
        <f t="shared" si="61"/>
        <v>-0.3572678123189086</v>
      </c>
      <c r="Z66" s="24">
        <f>Z106/Z109*100</f>
        <v>6.227923995935057</v>
      </c>
      <c r="AA66" s="24">
        <f t="shared" si="62"/>
        <v>-0.2663534322734888</v>
      </c>
      <c r="AB66" s="33"/>
      <c r="AC66" s="28">
        <v>1999</v>
      </c>
      <c r="AD66" s="34">
        <v>124372976</v>
      </c>
      <c r="AE66" s="34">
        <v>7883052</v>
      </c>
      <c r="AF66" s="34">
        <v>8097224</v>
      </c>
      <c r="AG66" s="34">
        <v>28585748</v>
      </c>
      <c r="AH66" s="35">
        <v>16017665</v>
      </c>
      <c r="AI66" s="35">
        <v>7987527</v>
      </c>
      <c r="AJ66" s="34">
        <v>18050372</v>
      </c>
      <c r="AK66" s="34">
        <v>7195651</v>
      </c>
      <c r="AL66" s="34">
        <v>10854721</v>
      </c>
      <c r="AM66" s="34">
        <v>18250010</v>
      </c>
      <c r="AN66" s="34">
        <v>19501378</v>
      </c>
      <c r="AO66" s="41">
        <v>1999</v>
      </c>
      <c r="AP66" s="42">
        <v>1999</v>
      </c>
      <c r="AQ66" s="28">
        <v>1999</v>
      </c>
      <c r="AR66" s="34">
        <v>124372976</v>
      </c>
      <c r="AS66" s="34">
        <v>7883052</v>
      </c>
      <c r="AT66" s="34">
        <v>8097224</v>
      </c>
      <c r="AU66" s="34">
        <v>28585748</v>
      </c>
      <c r="AV66" s="35">
        <v>16017665</v>
      </c>
      <c r="AW66" s="35">
        <v>7987527</v>
      </c>
      <c r="AX66" s="34">
        <v>18050372</v>
      </c>
      <c r="AY66" s="34">
        <v>7195651</v>
      </c>
      <c r="AZ66" s="34">
        <v>10854721</v>
      </c>
      <c r="BA66" s="34">
        <v>18250010</v>
      </c>
      <c r="BB66" s="34">
        <v>19501378</v>
      </c>
    </row>
    <row r="67" spans="1:54" ht="12">
      <c r="A67" s="28">
        <v>2000</v>
      </c>
      <c r="B67" s="23">
        <v>55.9</v>
      </c>
      <c r="C67" s="24">
        <f t="shared" si="50"/>
        <v>-0.2166223663879936</v>
      </c>
      <c r="D67" s="23">
        <v>52.1</v>
      </c>
      <c r="E67" s="24">
        <f t="shared" si="51"/>
        <v>-0.9299534103841982</v>
      </c>
      <c r="F67" s="23">
        <v>95.6</v>
      </c>
      <c r="G67" s="24">
        <f t="shared" si="52"/>
        <v>-0.3786155950322655</v>
      </c>
      <c r="H67" s="23">
        <v>98.2</v>
      </c>
      <c r="I67" s="24">
        <f t="shared" si="53"/>
        <v>-0.1293450503984243</v>
      </c>
      <c r="J67" s="24">
        <v>95.7</v>
      </c>
      <c r="K67" s="24">
        <f t="shared" si="54"/>
        <v>-0.24759125452343492</v>
      </c>
      <c r="L67" s="24">
        <v>61.2</v>
      </c>
      <c r="M67" s="24">
        <f t="shared" si="55"/>
        <v>-0.8362065985048918</v>
      </c>
      <c r="N67" s="24">
        <v>16.5</v>
      </c>
      <c r="O67" s="24">
        <f t="shared" si="56"/>
        <v>-0.6369527635435552</v>
      </c>
      <c r="P67" s="24">
        <f t="shared" si="31"/>
        <v>44.7</v>
      </c>
      <c r="Q67" s="24">
        <f t="shared" si="57"/>
        <v>-0.8531754370283893</v>
      </c>
      <c r="R67" s="24">
        <f>R107/R110*100</f>
        <v>32.481567565642116</v>
      </c>
      <c r="S67" s="24">
        <f t="shared" si="58"/>
        <v>-0.5283326200009031</v>
      </c>
      <c r="T67" s="24">
        <f>T107/T110*100</f>
        <v>44.1449641817095</v>
      </c>
      <c r="U67" s="24">
        <f t="shared" si="59"/>
        <v>-0.8820539680022933</v>
      </c>
      <c r="V67" s="24">
        <f>V107/V110*100</f>
        <v>24.596015186570938</v>
      </c>
      <c r="W67" s="24">
        <f t="shared" si="60"/>
        <v>-0.6290084352769828</v>
      </c>
      <c r="X67" s="24">
        <f>X107/X110*100</f>
        <v>11.413581732330615</v>
      </c>
      <c r="Y67" s="24">
        <f t="shared" si="61"/>
        <v>-0.36701823496367303</v>
      </c>
      <c r="Z67" s="24">
        <f>Z107/Z110*100</f>
        <v>6.651018922028855</v>
      </c>
      <c r="AA67" s="24">
        <f t="shared" si="62"/>
        <v>-0.2751445865043252</v>
      </c>
      <c r="AB67" s="33"/>
      <c r="AC67" s="28">
        <v>2000</v>
      </c>
      <c r="AD67" s="34">
        <v>124454002</v>
      </c>
      <c r="AE67" s="34">
        <v>7869298</v>
      </c>
      <c r="AF67" s="34">
        <v>8002003</v>
      </c>
      <c r="AG67" s="34">
        <v>28811741</v>
      </c>
      <c r="AH67" s="35">
        <v>15902846</v>
      </c>
      <c r="AI67" s="35">
        <v>8044907</v>
      </c>
      <c r="AJ67" s="34">
        <v>18612707</v>
      </c>
      <c r="AK67" s="34">
        <v>7507896</v>
      </c>
      <c r="AL67" s="34">
        <v>11104811</v>
      </c>
      <c r="AM67" s="34">
        <v>17781929</v>
      </c>
      <c r="AN67" s="34">
        <v>19428572</v>
      </c>
      <c r="AO67" s="41">
        <v>2000</v>
      </c>
      <c r="AP67" s="42">
        <v>2000</v>
      </c>
      <c r="AQ67" s="28">
        <v>2000</v>
      </c>
      <c r="AR67" s="34">
        <v>124454002</v>
      </c>
      <c r="AS67" s="34">
        <v>7869298</v>
      </c>
      <c r="AT67" s="34">
        <v>8002003</v>
      </c>
      <c r="AU67" s="34">
        <v>28811741</v>
      </c>
      <c r="AV67" s="35">
        <v>15902846</v>
      </c>
      <c r="AW67" s="35">
        <v>8044907</v>
      </c>
      <c r="AX67" s="34">
        <v>18612707</v>
      </c>
      <c r="AY67" s="34">
        <v>7507896</v>
      </c>
      <c r="AZ67" s="34">
        <v>11104811</v>
      </c>
      <c r="BA67" s="34">
        <v>17781929</v>
      </c>
      <c r="BB67" s="34">
        <v>19428572</v>
      </c>
    </row>
    <row r="68" spans="1:54" ht="12">
      <c r="A68" s="28">
        <v>2001</v>
      </c>
      <c r="B68" s="23">
        <v>56.3</v>
      </c>
      <c r="C68" s="24">
        <f t="shared" si="50"/>
        <v>-0.21586595437873032</v>
      </c>
      <c r="D68" s="23">
        <v>52.4</v>
      </c>
      <c r="E68" s="24">
        <f t="shared" si="51"/>
        <v>-0.9271789901906502</v>
      </c>
      <c r="F68" s="23">
        <v>95.3</v>
      </c>
      <c r="G68" s="24">
        <f t="shared" si="52"/>
        <v>-0.3913793423436662</v>
      </c>
      <c r="H68" s="23">
        <v>98.3</v>
      </c>
      <c r="I68" s="24">
        <f t="shared" si="53"/>
        <v>-0.12546634900720768</v>
      </c>
      <c r="J68" s="24">
        <v>95.8</v>
      </c>
      <c r="K68" s="24">
        <f t="shared" si="54"/>
        <v>-0.24363332080316594</v>
      </c>
      <c r="L68" s="24">
        <v>61</v>
      </c>
      <c r="M68" s="24">
        <f t="shared" si="55"/>
        <v>-0.8289557709396854</v>
      </c>
      <c r="N68" s="24">
        <v>17.1</v>
      </c>
      <c r="O68" s="24">
        <f t="shared" si="56"/>
        <v>-0.6398960933812721</v>
      </c>
      <c r="P68" s="24">
        <f t="shared" si="31"/>
        <v>43.9</v>
      </c>
      <c r="Q68" s="24">
        <f t="shared" si="57"/>
        <v>-0.8434276397239606</v>
      </c>
      <c r="R68" s="24">
        <f>R108/R111*100</f>
        <v>33.931503967709055</v>
      </c>
      <c r="S68" s="24">
        <f t="shared" si="58"/>
        <v>-0.5294090861105266</v>
      </c>
      <c r="T68" s="24">
        <f>T108/T111*100</f>
        <v>45.98453891008741</v>
      </c>
      <c r="U68" s="24">
        <f t="shared" si="59"/>
        <v>-0.8651046110148254</v>
      </c>
      <c r="V68" s="24">
        <f>V108/V111*100</f>
        <v>25.383422433025498</v>
      </c>
      <c r="W68" s="24">
        <f t="shared" si="60"/>
        <v>-0.6361836983265394</v>
      </c>
      <c r="X68" s="24">
        <f>X108/X111*100</f>
        <v>11.810115130715388</v>
      </c>
      <c r="Y68" s="24">
        <f t="shared" si="61"/>
        <v>-0.37525188521814185</v>
      </c>
      <c r="Z68" s="24">
        <f>Z108/Z111*100</f>
        <v>6.870431688698559</v>
      </c>
      <c r="AA68" s="24">
        <f t="shared" si="62"/>
        <v>-0.2787107876896656</v>
      </c>
      <c r="AB68" s="33"/>
      <c r="AC68" s="28">
        <v>2001</v>
      </c>
      <c r="AD68" s="34">
        <v>125079630</v>
      </c>
      <c r="AE68" s="34">
        <v>7912181</v>
      </c>
      <c r="AF68" s="34">
        <v>7974071</v>
      </c>
      <c r="AG68" s="34">
        <v>28948966</v>
      </c>
      <c r="AH68" s="35">
        <v>16058556</v>
      </c>
      <c r="AI68" s="35">
        <v>8201566</v>
      </c>
      <c r="AJ68" s="34">
        <v>18948717</v>
      </c>
      <c r="AK68" s="34">
        <v>7862447</v>
      </c>
      <c r="AL68" s="34">
        <v>11086271</v>
      </c>
      <c r="AM68" s="34">
        <v>17522344</v>
      </c>
      <c r="AN68" s="34">
        <v>19513228</v>
      </c>
      <c r="AO68" s="41">
        <v>2001</v>
      </c>
      <c r="AP68" s="42">
        <v>2001</v>
      </c>
      <c r="AQ68" s="28">
        <v>2001</v>
      </c>
      <c r="AR68" s="34">
        <v>125079630</v>
      </c>
      <c r="AS68" s="34">
        <v>7912181</v>
      </c>
      <c r="AT68" s="34">
        <v>7974071</v>
      </c>
      <c r="AU68" s="34">
        <v>28948966</v>
      </c>
      <c r="AV68" s="35">
        <v>16058556</v>
      </c>
      <c r="AW68" s="35">
        <v>8201566</v>
      </c>
      <c r="AX68" s="34">
        <v>18948717</v>
      </c>
      <c r="AY68" s="34">
        <v>7862447</v>
      </c>
      <c r="AZ68" s="34">
        <v>11086271</v>
      </c>
      <c r="BA68" s="34">
        <v>17522344</v>
      </c>
      <c r="BB68" s="34">
        <v>19513228</v>
      </c>
    </row>
    <row r="69" spans="1:40" ht="12">
      <c r="A69" s="28" t="s">
        <v>2</v>
      </c>
      <c r="B69" s="22"/>
      <c r="C69" s="22"/>
      <c r="D69" s="22" t="s">
        <v>2</v>
      </c>
      <c r="E69" s="22"/>
      <c r="F69" s="22" t="s">
        <v>2</v>
      </c>
      <c r="G69" s="22"/>
      <c r="H69" s="22" t="s">
        <v>2</v>
      </c>
      <c r="I69" s="22"/>
      <c r="J69" s="22" t="s">
        <v>2</v>
      </c>
      <c r="K69" s="22"/>
      <c r="L69" s="22" t="s">
        <v>2</v>
      </c>
      <c r="M69" s="22"/>
      <c r="N69" s="22"/>
      <c r="O69" s="22"/>
      <c r="P69" s="22"/>
      <c r="Q69" s="22"/>
      <c r="R69" s="22" t="s">
        <v>2</v>
      </c>
      <c r="S69" s="22"/>
      <c r="T69" s="22" t="s">
        <v>2</v>
      </c>
      <c r="U69" s="22"/>
      <c r="V69" s="22" t="s">
        <v>2</v>
      </c>
      <c r="W69" s="22"/>
      <c r="X69" s="22" t="s">
        <v>2</v>
      </c>
      <c r="Y69" s="22"/>
      <c r="Z69" s="22" t="s">
        <v>2</v>
      </c>
      <c r="AA69" s="22"/>
      <c r="AB69" s="28"/>
      <c r="AC69" s="32"/>
      <c r="AD69" s="32"/>
      <c r="AE69" s="32"/>
      <c r="AF69" s="32"/>
      <c r="AG69" s="32"/>
      <c r="AH69" s="32"/>
      <c r="AI69" s="32"/>
      <c r="AJ69" s="32"/>
      <c r="AK69" s="32"/>
      <c r="AL69" s="32"/>
      <c r="AM69" s="32"/>
      <c r="AN69" s="32"/>
    </row>
    <row r="70" spans="1:40" ht="12">
      <c r="A70" s="29"/>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2"/>
      <c r="AC70" s="32"/>
      <c r="AD70" s="32"/>
      <c r="AE70" s="32"/>
      <c r="AF70" s="32"/>
      <c r="AG70" s="32"/>
      <c r="AH70" s="32"/>
      <c r="AI70" s="32"/>
      <c r="AJ70" s="32"/>
      <c r="AK70" s="32"/>
      <c r="AL70" s="32"/>
      <c r="AM70" s="32"/>
      <c r="AN70" s="32"/>
    </row>
    <row r="71" spans="1:29" ht="12">
      <c r="A71" s="29" t="s">
        <v>112</v>
      </c>
      <c r="B71" s="25"/>
      <c r="C71" s="25"/>
      <c r="D71" s="25"/>
      <c r="E71" s="25"/>
      <c r="F71" s="25"/>
      <c r="G71" s="25"/>
      <c r="H71" s="25"/>
      <c r="AC71" s="4" t="s">
        <v>2</v>
      </c>
    </row>
    <row r="72" spans="1:29" ht="12">
      <c r="A72" s="29"/>
      <c r="B72" s="25"/>
      <c r="C72" s="25"/>
      <c r="D72" s="25"/>
      <c r="E72" s="25"/>
      <c r="F72" s="25"/>
      <c r="G72" s="25"/>
      <c r="H72" s="25"/>
      <c r="AC72" s="2" t="s">
        <v>69</v>
      </c>
    </row>
    <row r="73" spans="1:29" ht="12">
      <c r="A73" s="29" t="s">
        <v>113</v>
      </c>
      <c r="B73" s="25"/>
      <c r="C73" s="25"/>
      <c r="D73" s="25"/>
      <c r="E73" s="25"/>
      <c r="F73" s="25"/>
      <c r="G73" s="25"/>
      <c r="H73" s="25"/>
      <c r="AC73" s="2" t="s">
        <v>70</v>
      </c>
    </row>
    <row r="74" spans="1:29" ht="12">
      <c r="A74" s="29"/>
      <c r="B74" s="25"/>
      <c r="C74" s="25"/>
      <c r="D74" s="25"/>
      <c r="E74" s="25"/>
      <c r="F74" s="25"/>
      <c r="G74" s="25"/>
      <c r="H74" s="25"/>
      <c r="AC74" s="2" t="s">
        <v>71</v>
      </c>
    </row>
    <row r="75" spans="1:29" ht="12">
      <c r="A75" s="29"/>
      <c r="B75" s="25"/>
      <c r="C75" s="25"/>
      <c r="D75" s="25"/>
      <c r="E75" s="25"/>
      <c r="F75" s="25"/>
      <c r="G75" s="25"/>
      <c r="H75" s="25"/>
      <c r="AC75" s="2" t="s">
        <v>72</v>
      </c>
    </row>
    <row r="76" spans="1:29" ht="12">
      <c r="A76" s="29"/>
      <c r="B76" s="25"/>
      <c r="C76" s="25"/>
      <c r="D76" s="25"/>
      <c r="E76" s="25"/>
      <c r="F76" s="25"/>
      <c r="G76" s="25"/>
      <c r="H76" s="25"/>
      <c r="AC76" s="2" t="s">
        <v>73</v>
      </c>
    </row>
    <row r="77" spans="1:29" ht="12">
      <c r="A77" s="29"/>
      <c r="B77" s="25"/>
      <c r="C77" s="25"/>
      <c r="D77" s="25"/>
      <c r="E77" s="25"/>
      <c r="F77" s="25"/>
      <c r="G77" s="25"/>
      <c r="H77" s="25"/>
      <c r="AC77" s="2" t="s">
        <v>74</v>
      </c>
    </row>
    <row r="78" spans="1:29" ht="12">
      <c r="A78" s="29"/>
      <c r="B78" s="25"/>
      <c r="C78" s="25"/>
      <c r="D78" s="25"/>
      <c r="E78" s="25"/>
      <c r="F78" s="25"/>
      <c r="G78" s="25"/>
      <c r="H78" s="25"/>
      <c r="AC78" s="2" t="s">
        <v>75</v>
      </c>
    </row>
    <row r="79" spans="1:29" ht="12">
      <c r="A79" s="30"/>
      <c r="B79" s="25"/>
      <c r="C79" s="25"/>
      <c r="D79" s="25"/>
      <c r="E79" s="25"/>
      <c r="F79" s="25"/>
      <c r="G79" s="25"/>
      <c r="H79" s="25"/>
      <c r="AC79" s="2" t="s">
        <v>76</v>
      </c>
    </row>
    <row r="80" spans="1:29" ht="12">
      <c r="A80" s="29"/>
      <c r="B80" s="25"/>
      <c r="C80" s="25"/>
      <c r="D80" s="25"/>
      <c r="E80" s="25"/>
      <c r="F80" s="25"/>
      <c r="G80" s="25"/>
      <c r="H80" s="25"/>
      <c r="AC80" s="2" t="s">
        <v>77</v>
      </c>
    </row>
    <row r="81" spans="1:8" ht="12">
      <c r="A81" s="30"/>
      <c r="B81" s="25"/>
      <c r="C81" s="25"/>
      <c r="D81" s="25"/>
      <c r="E81" s="25"/>
      <c r="F81" s="25"/>
      <c r="G81" s="25"/>
      <c r="H81" s="25"/>
    </row>
    <row r="82" spans="1:29" ht="12">
      <c r="A82" s="29"/>
      <c r="B82" s="25"/>
      <c r="C82" s="25"/>
      <c r="D82" s="25"/>
      <c r="E82" s="25"/>
      <c r="F82" s="25"/>
      <c r="G82" s="25"/>
      <c r="H82" s="25"/>
      <c r="AC82" s="2" t="s">
        <v>78</v>
      </c>
    </row>
    <row r="83" spans="1:8" ht="12">
      <c r="A83" s="29"/>
      <c r="B83" s="25"/>
      <c r="C83" s="25"/>
      <c r="D83" s="25"/>
      <c r="E83" s="25"/>
      <c r="F83" s="25"/>
      <c r="G83" s="25"/>
      <c r="H83" s="25"/>
    </row>
    <row r="84" spans="1:29" ht="12">
      <c r="A84" s="29"/>
      <c r="B84" s="25"/>
      <c r="C84" s="25"/>
      <c r="D84" s="25"/>
      <c r="E84" s="25"/>
      <c r="F84" s="25"/>
      <c r="G84" s="25"/>
      <c r="H84" s="25"/>
      <c r="AC84" s="2" t="s">
        <v>79</v>
      </c>
    </row>
    <row r="85" spans="1:29" ht="12">
      <c r="A85" s="30"/>
      <c r="B85" s="25"/>
      <c r="C85" s="25"/>
      <c r="D85" s="25"/>
      <c r="E85" s="25"/>
      <c r="F85" s="25"/>
      <c r="G85" s="25"/>
      <c r="H85" s="25"/>
      <c r="AC85" s="2" t="s">
        <v>80</v>
      </c>
    </row>
    <row r="86" spans="1:29" ht="12">
      <c r="A86" s="30"/>
      <c r="B86" s="23"/>
      <c r="C86" s="23"/>
      <c r="D86" s="25"/>
      <c r="E86" s="25"/>
      <c r="F86" s="25"/>
      <c r="G86" s="25"/>
      <c r="H86" s="25"/>
      <c r="AC86" s="2" t="s">
        <v>81</v>
      </c>
    </row>
    <row r="87" spans="1:28" ht="12">
      <c r="A87" s="29"/>
      <c r="B87" s="26"/>
      <c r="C87" s="26"/>
      <c r="D87" s="22"/>
      <c r="E87" s="22"/>
      <c r="F87" s="22"/>
      <c r="G87" s="22"/>
      <c r="H87" s="22"/>
      <c r="I87" s="20"/>
      <c r="J87" s="20"/>
      <c r="K87" s="20"/>
      <c r="L87" s="20"/>
      <c r="M87" s="20"/>
      <c r="N87" s="20"/>
      <c r="O87" s="20"/>
      <c r="P87" s="20"/>
      <c r="Q87" s="20"/>
      <c r="R87" s="20">
        <f>T87+V87</f>
        <v>4792223</v>
      </c>
      <c r="S87" s="20"/>
      <c r="T87" s="20">
        <v>2740137</v>
      </c>
      <c r="U87" s="20"/>
      <c r="V87" s="20">
        <v>2052086</v>
      </c>
      <c r="W87" s="20"/>
      <c r="X87" s="20">
        <v>1930718</v>
      </c>
      <c r="Y87" s="20"/>
      <c r="Z87" s="20">
        <v>1229090</v>
      </c>
      <c r="AA87" s="20"/>
      <c r="AB87" s="8"/>
    </row>
    <row r="88" spans="1:30" ht="12">
      <c r="A88" s="29"/>
      <c r="B88" s="23"/>
      <c r="C88" s="23"/>
      <c r="D88" s="22"/>
      <c r="E88" s="22"/>
      <c r="F88" s="22"/>
      <c r="G88" s="22"/>
      <c r="H88" s="22"/>
      <c r="I88" s="20"/>
      <c r="J88" s="20"/>
      <c r="K88" s="20"/>
      <c r="L88" s="20"/>
      <c r="M88" s="20"/>
      <c r="N88" s="20"/>
      <c r="O88" s="20"/>
      <c r="P88" s="20"/>
      <c r="Q88" s="20"/>
      <c r="R88" s="20">
        <f>T88+V88</f>
        <v>18789944</v>
      </c>
      <c r="S88" s="20"/>
      <c r="T88" s="20">
        <v>7077979</v>
      </c>
      <c r="U88" s="20"/>
      <c r="V88" s="20">
        <v>11711965</v>
      </c>
      <c r="W88" s="20"/>
      <c r="X88" s="20">
        <v>21353936</v>
      </c>
      <c r="Y88" s="20"/>
      <c r="Z88" s="20">
        <v>21019936</v>
      </c>
      <c r="AA88" s="20"/>
      <c r="AB88" s="8"/>
      <c r="AD88" s="5"/>
    </row>
    <row r="89" spans="1:40" ht="12">
      <c r="A89" s="29"/>
      <c r="B89" s="27"/>
      <c r="C89" s="27"/>
      <c r="D89" s="22"/>
      <c r="E89" s="22"/>
      <c r="F89" s="22"/>
      <c r="G89" s="22"/>
      <c r="H89" s="22"/>
      <c r="I89" s="20"/>
      <c r="J89" s="20"/>
      <c r="K89" s="20"/>
      <c r="L89" s="20"/>
      <c r="M89" s="20"/>
      <c r="N89" s="20"/>
      <c r="O89" s="20"/>
      <c r="P89" s="20"/>
      <c r="Q89" s="20"/>
      <c r="R89" s="20">
        <f>T89+V89</f>
        <v>4815503</v>
      </c>
      <c r="S89" s="20"/>
      <c r="T89" s="20">
        <v>2723606</v>
      </c>
      <c r="U89" s="20"/>
      <c r="V89" s="20">
        <v>2091897</v>
      </c>
      <c r="W89" s="20"/>
      <c r="X89" s="20">
        <v>1773498</v>
      </c>
      <c r="Y89" s="20"/>
      <c r="Z89" s="20">
        <v>1271236</v>
      </c>
      <c r="AA89" s="20"/>
      <c r="AB89" s="8"/>
      <c r="AC89" s="2" t="s">
        <v>82</v>
      </c>
      <c r="AD89" s="9">
        <v>58691681</v>
      </c>
      <c r="AF89" s="8">
        <v>6956454</v>
      </c>
      <c r="AG89" s="8">
        <v>23524836</v>
      </c>
      <c r="AH89" s="8">
        <v>13531654</v>
      </c>
      <c r="AI89" s="8">
        <v>3982329</v>
      </c>
      <c r="AJ89" s="8">
        <f>AK89+AL89</f>
        <v>4792223</v>
      </c>
      <c r="AK89" s="8">
        <v>2740137</v>
      </c>
      <c r="AL89" s="8">
        <v>2052086</v>
      </c>
      <c r="AM89" s="8">
        <v>1930718</v>
      </c>
      <c r="AN89" s="8">
        <v>1229090</v>
      </c>
    </row>
    <row r="90" spans="1:40" ht="12">
      <c r="A90" s="29"/>
      <c r="B90" s="27"/>
      <c r="C90" s="27"/>
      <c r="D90" s="22"/>
      <c r="E90" s="22"/>
      <c r="F90" s="22"/>
      <c r="G90" s="22"/>
      <c r="H90" s="22"/>
      <c r="I90" s="20"/>
      <c r="J90" s="20"/>
      <c r="K90" s="20"/>
      <c r="L90" s="20"/>
      <c r="M90" s="20"/>
      <c r="N90" s="20"/>
      <c r="O90" s="20"/>
      <c r="P90" s="20"/>
      <c r="Q90" s="20"/>
      <c r="R90" s="20">
        <f>T90+V90</f>
        <v>18438950</v>
      </c>
      <c r="S90" s="20"/>
      <c r="T90" s="20">
        <v>6973981</v>
      </c>
      <c r="U90" s="20"/>
      <c r="V90" s="20">
        <v>11464969</v>
      </c>
      <c r="W90" s="20"/>
      <c r="X90" s="20">
        <v>21263942</v>
      </c>
      <c r="Y90" s="20"/>
      <c r="Z90" s="20">
        <v>21422940</v>
      </c>
      <c r="AA90" s="20"/>
      <c r="AB90" s="8"/>
      <c r="AC90" s="2" t="s">
        <v>83</v>
      </c>
      <c r="AD90" s="5">
        <v>120690054</v>
      </c>
      <c r="AF90" s="8">
        <v>7313615</v>
      </c>
      <c r="AG90" s="8">
        <v>23636358</v>
      </c>
      <c r="AH90" s="8">
        <v>14250203</v>
      </c>
      <c r="AI90" s="8">
        <v>7159979</v>
      </c>
      <c r="AJ90" s="8">
        <f>AK90+AL90</f>
        <v>18789944</v>
      </c>
      <c r="AK90" s="8">
        <v>7077979</v>
      </c>
      <c r="AL90" s="8">
        <v>11711965</v>
      </c>
      <c r="AM90" s="8">
        <v>21353936</v>
      </c>
      <c r="AN90" s="8">
        <v>21019936</v>
      </c>
    </row>
    <row r="91" spans="1:40" ht="12">
      <c r="A91" s="30"/>
      <c r="B91" s="25"/>
      <c r="C91" s="25"/>
      <c r="D91" s="25"/>
      <c r="E91" s="25"/>
      <c r="F91" s="25"/>
      <c r="G91" s="25"/>
      <c r="H91" s="25"/>
      <c r="AC91" s="2" t="s">
        <v>84</v>
      </c>
      <c r="AD91" s="10">
        <f>SUM(AF91:AN91)-AJ91</f>
        <v>56048583</v>
      </c>
      <c r="AF91" s="8">
        <v>7043955</v>
      </c>
      <c r="AG91" s="8">
        <f>10703763+13339757</f>
        <v>24043520</v>
      </c>
      <c r="AH91" s="8">
        <f>6481095+6560690</f>
        <v>13041785</v>
      </c>
      <c r="AI91" s="8">
        <v>4059086</v>
      </c>
      <c r="AJ91" s="8">
        <f>AK91+AL91</f>
        <v>4815503</v>
      </c>
      <c r="AK91" s="8">
        <v>2723606</v>
      </c>
      <c r="AL91" s="8">
        <v>2091897</v>
      </c>
      <c r="AM91" s="8">
        <v>1773498</v>
      </c>
      <c r="AN91" s="8">
        <v>1271236</v>
      </c>
    </row>
    <row r="92" spans="1:40" ht="12">
      <c r="A92" s="30"/>
      <c r="B92" s="25"/>
      <c r="C92" s="25"/>
      <c r="D92" s="25"/>
      <c r="E92" s="25"/>
      <c r="F92" s="25"/>
      <c r="G92" s="25"/>
      <c r="H92" s="25"/>
      <c r="AC92" s="2" t="s">
        <v>85</v>
      </c>
      <c r="AD92" s="10">
        <f>SUM(AF92:AN92)-AJ92</f>
        <v>113598671</v>
      </c>
      <c r="AF92" s="8">
        <v>7339715</v>
      </c>
      <c r="AG92" s="8">
        <f>10743915+13380246</f>
        <v>24124161</v>
      </c>
      <c r="AH92" s="8">
        <f>6555004+7159979</f>
        <v>13714983</v>
      </c>
      <c r="AI92" s="8">
        <v>7293980</v>
      </c>
      <c r="AJ92" s="8">
        <f>AK92+AL92</f>
        <v>18438950</v>
      </c>
      <c r="AK92" s="8">
        <v>6973981</v>
      </c>
      <c r="AL92" s="8">
        <v>11464969</v>
      </c>
      <c r="AM92" s="8">
        <v>21263942</v>
      </c>
      <c r="AN92" s="8">
        <v>21422940</v>
      </c>
    </row>
    <row r="93" spans="1:28" ht="12">
      <c r="A93" s="29"/>
      <c r="B93" s="27"/>
      <c r="C93" s="27"/>
      <c r="D93" s="22"/>
      <c r="E93" s="22"/>
      <c r="F93" s="22"/>
      <c r="G93" s="22"/>
      <c r="H93" s="22"/>
      <c r="I93" s="20"/>
      <c r="J93" s="20"/>
      <c r="K93" s="20"/>
      <c r="L93" s="21"/>
      <c r="M93" s="21"/>
      <c r="N93" s="21"/>
      <c r="O93" s="21"/>
      <c r="P93" s="21"/>
      <c r="Q93" s="21"/>
      <c r="R93" s="20">
        <f>T93+V93</f>
        <v>5083.141</v>
      </c>
      <c r="S93" s="20"/>
      <c r="T93" s="20">
        <v>2852.416</v>
      </c>
      <c r="U93" s="20"/>
      <c r="V93" s="20">
        <v>2230.725</v>
      </c>
      <c r="W93" s="20"/>
      <c r="X93" s="20">
        <v>2012.631</v>
      </c>
      <c r="Y93" s="20"/>
      <c r="Z93" s="20">
        <v>1280.551</v>
      </c>
      <c r="AA93" s="20"/>
      <c r="AB93" s="8"/>
    </row>
    <row r="94" spans="1:28" ht="12">
      <c r="A94" s="29"/>
      <c r="B94" s="27"/>
      <c r="C94" s="27"/>
      <c r="D94" s="22"/>
      <c r="E94" s="22"/>
      <c r="F94" s="22"/>
      <c r="G94" s="22"/>
      <c r="H94" s="22"/>
      <c r="I94" s="20"/>
      <c r="J94" s="20"/>
      <c r="K94" s="20"/>
      <c r="L94" s="20"/>
      <c r="M94" s="20"/>
      <c r="N94" s="20"/>
      <c r="O94" s="20"/>
      <c r="P94" s="20"/>
      <c r="Q94" s="20"/>
      <c r="R94" s="20">
        <f>T94+V94</f>
        <v>17788.001</v>
      </c>
      <c r="S94" s="20"/>
      <c r="T94" s="20">
        <v>7183.001</v>
      </c>
      <c r="U94" s="20"/>
      <c r="V94" s="20">
        <v>10605</v>
      </c>
      <c r="W94" s="20"/>
      <c r="X94" s="20">
        <v>20701.001</v>
      </c>
      <c r="Y94" s="20"/>
      <c r="Z94" s="20">
        <v>21926.002</v>
      </c>
      <c r="AA94" s="20"/>
      <c r="AB94" s="8"/>
    </row>
    <row r="95" spans="1:40" ht="12">
      <c r="A95" s="30"/>
      <c r="B95" s="25"/>
      <c r="C95" s="25"/>
      <c r="D95" s="25"/>
      <c r="E95" s="25"/>
      <c r="F95" s="25"/>
      <c r="G95" s="25"/>
      <c r="H95" s="25"/>
      <c r="AC95" s="2" t="s">
        <v>86</v>
      </c>
      <c r="AD95" s="10">
        <f>SUM(AF95:AN95)-AJ95</f>
        <v>57295.598</v>
      </c>
      <c r="AF95" s="8">
        <v>7206.748</v>
      </c>
      <c r="AG95" s="8">
        <f>10975.728+14039.606</f>
        <v>25015.334</v>
      </c>
      <c r="AH95" s="8">
        <f>6555.44+6097.957</f>
        <v>12653.397</v>
      </c>
      <c r="AI95" s="11">
        <v>4043.796</v>
      </c>
      <c r="AJ95" s="8">
        <f>AK95+AL95</f>
        <v>5083.141</v>
      </c>
      <c r="AK95" s="8">
        <v>2852.416</v>
      </c>
      <c r="AL95" s="8">
        <v>2230.725</v>
      </c>
      <c r="AM95" s="8">
        <v>2012.631</v>
      </c>
      <c r="AN95" s="8">
        <v>1280.551</v>
      </c>
    </row>
    <row r="96" spans="1:40" ht="12">
      <c r="A96" s="29"/>
      <c r="B96" s="27"/>
      <c r="C96" s="27"/>
      <c r="D96" s="22"/>
      <c r="E96" s="22"/>
      <c r="F96" s="22"/>
      <c r="G96" s="22"/>
      <c r="H96" s="22"/>
      <c r="I96" s="20"/>
      <c r="J96" s="20"/>
      <c r="K96" s="20"/>
      <c r="L96" s="21"/>
      <c r="M96" s="21"/>
      <c r="N96" s="21"/>
      <c r="O96" s="21"/>
      <c r="P96" s="21"/>
      <c r="Q96" s="21"/>
      <c r="R96" s="20">
        <f>T96+V96</f>
        <v>5405.615</v>
      </c>
      <c r="S96" s="20"/>
      <c r="T96" s="21">
        <v>3040.946</v>
      </c>
      <c r="U96" s="21"/>
      <c r="V96" s="21">
        <v>2364.669</v>
      </c>
      <c r="W96" s="21"/>
      <c r="X96" s="20">
        <v>2045.174</v>
      </c>
      <c r="Y96" s="20"/>
      <c r="Z96" s="20">
        <v>1376.693</v>
      </c>
      <c r="AA96" s="20"/>
      <c r="AB96" s="8"/>
      <c r="AC96" s="2" t="s">
        <v>87</v>
      </c>
      <c r="AD96" s="10">
        <f>SUM(AF96:AN96)-AJ96</f>
        <v>113264.716</v>
      </c>
      <c r="AF96" s="8">
        <v>7470.935</v>
      </c>
      <c r="AG96" s="8">
        <f>11012.846+14091.002</f>
        <v>25103.847999999998</v>
      </c>
      <c r="AH96" s="8">
        <f>6619.929+6591</f>
        <v>13210.929</v>
      </c>
      <c r="AI96" s="8">
        <v>7064</v>
      </c>
      <c r="AJ96" s="8">
        <f>AK96+AL96</f>
        <v>17788.001</v>
      </c>
      <c r="AK96" s="8">
        <v>7183.001</v>
      </c>
      <c r="AL96" s="8">
        <v>10605</v>
      </c>
      <c r="AM96" s="8">
        <v>20701.001</v>
      </c>
      <c r="AN96" s="8">
        <v>21926.002</v>
      </c>
    </row>
    <row r="97" spans="1:28" ht="12">
      <c r="A97" s="29"/>
      <c r="B97" s="27"/>
      <c r="C97" s="27"/>
      <c r="D97" s="22"/>
      <c r="E97" s="22"/>
      <c r="F97" s="22"/>
      <c r="G97" s="22"/>
      <c r="H97" s="23"/>
      <c r="I97" s="17"/>
      <c r="J97" s="17"/>
      <c r="K97" s="17"/>
      <c r="L97" s="20"/>
      <c r="M97" s="20"/>
      <c r="N97" s="20"/>
      <c r="O97" s="20"/>
      <c r="P97" s="20"/>
      <c r="Q97" s="20"/>
      <c r="R97" s="20">
        <f>T97+V97</f>
        <v>17908.001</v>
      </c>
      <c r="S97" s="20"/>
      <c r="T97" s="20">
        <v>7242</v>
      </c>
      <c r="U97" s="20"/>
      <c r="V97" s="20">
        <f>2364.669+8301.332</f>
        <v>10666.001</v>
      </c>
      <c r="W97" s="20"/>
      <c r="X97" s="20">
        <f>2045.174+18040</f>
        <v>20085.174</v>
      </c>
      <c r="Y97" s="20"/>
      <c r="Z97" s="17">
        <f>1376.693+20790</f>
        <v>22166.693</v>
      </c>
      <c r="AA97" s="17"/>
      <c r="AB97" s="5"/>
    </row>
    <row r="98" spans="1:40" ht="12">
      <c r="A98" s="29"/>
      <c r="B98" s="27"/>
      <c r="C98" s="27"/>
      <c r="D98" s="22"/>
      <c r="E98" s="22"/>
      <c r="F98" s="22"/>
      <c r="G98" s="22"/>
      <c r="H98" s="22"/>
      <c r="I98" s="20"/>
      <c r="J98" s="20"/>
      <c r="K98" s="20"/>
      <c r="L98" s="20"/>
      <c r="M98" s="20"/>
      <c r="N98" s="20"/>
      <c r="O98" s="20"/>
      <c r="P98" s="20"/>
      <c r="Q98" s="20"/>
      <c r="R98" s="20">
        <f>T98+V98</f>
        <v>5388.511</v>
      </c>
      <c r="S98" s="20"/>
      <c r="T98" s="20">
        <v>2809.847</v>
      </c>
      <c r="U98" s="20"/>
      <c r="V98" s="20">
        <v>2578.664</v>
      </c>
      <c r="W98" s="20"/>
      <c r="X98" s="20">
        <v>1942.201</v>
      </c>
      <c r="Y98" s="20"/>
      <c r="Z98" s="20">
        <v>1302.679</v>
      </c>
      <c r="AA98" s="20"/>
      <c r="AB98" s="8"/>
      <c r="AC98" s="2" t="s">
        <v>86</v>
      </c>
      <c r="AD98" s="10">
        <f>SUM(AF98:AN98)-AJ98</f>
        <v>58214.081000000006</v>
      </c>
      <c r="AF98" s="8">
        <v>7177.54</v>
      </c>
      <c r="AG98" s="8">
        <v>25450</v>
      </c>
      <c r="AH98" s="8">
        <v>12790</v>
      </c>
      <c r="AI98" s="11">
        <v>3969.059</v>
      </c>
      <c r="AJ98" s="8">
        <f>AK98+AL98</f>
        <v>5405.615</v>
      </c>
      <c r="AK98" s="11">
        <v>3040.946</v>
      </c>
      <c r="AL98" s="11">
        <v>2364.669</v>
      </c>
      <c r="AM98" s="8">
        <v>2045.174</v>
      </c>
      <c r="AN98" s="8">
        <v>1376.693</v>
      </c>
    </row>
    <row r="99" spans="1:40" ht="12">
      <c r="A99" s="29"/>
      <c r="B99" s="27"/>
      <c r="C99" s="27"/>
      <c r="D99" s="22"/>
      <c r="E99" s="22"/>
      <c r="F99" s="22"/>
      <c r="G99" s="22"/>
      <c r="H99" s="22"/>
      <c r="I99" s="20"/>
      <c r="J99" s="20"/>
      <c r="K99" s="20"/>
      <c r="L99" s="20"/>
      <c r="M99" s="20"/>
      <c r="N99" s="20"/>
      <c r="O99" s="20"/>
      <c r="P99" s="20"/>
      <c r="Q99" s="20"/>
      <c r="R99" s="20">
        <f>T99+V99</f>
        <v>17506.001</v>
      </c>
      <c r="S99" s="20"/>
      <c r="T99" s="20">
        <v>6575</v>
      </c>
      <c r="U99" s="20"/>
      <c r="V99" s="20">
        <v>10931.001</v>
      </c>
      <c r="W99" s="20"/>
      <c r="X99" s="20">
        <v>19046</v>
      </c>
      <c r="Y99" s="20"/>
      <c r="Z99" s="20">
        <v>22053.001</v>
      </c>
      <c r="AA99" s="20"/>
      <c r="AB99" s="8"/>
      <c r="AC99" s="2" t="s">
        <v>87</v>
      </c>
      <c r="AD99" s="10">
        <f>SUM(AF99:AN99)-AJ99</f>
        <v>113205.20400000001</v>
      </c>
      <c r="AF99" s="8">
        <v>7524</v>
      </c>
      <c r="AG99" s="5">
        <f>25450+89.64</f>
        <v>25539.64</v>
      </c>
      <c r="AH99" s="5">
        <f>12790+527.696</f>
        <v>13317.696</v>
      </c>
      <c r="AI99" s="8">
        <v>6664</v>
      </c>
      <c r="AJ99" s="8">
        <f>AK99+AL99</f>
        <v>17908.001</v>
      </c>
      <c r="AK99" s="8">
        <v>7242</v>
      </c>
      <c r="AL99" s="8">
        <f>2364.669+8301.332</f>
        <v>10666.001</v>
      </c>
      <c r="AM99" s="8">
        <f>2045.174+18040</f>
        <v>20085.174</v>
      </c>
      <c r="AN99" s="5">
        <f>1376.693+20790</f>
        <v>22166.693</v>
      </c>
    </row>
    <row r="100" spans="1:40" ht="12">
      <c r="A100" s="30"/>
      <c r="B100" s="25"/>
      <c r="C100" s="25"/>
      <c r="D100" s="25"/>
      <c r="E100" s="25"/>
      <c r="F100" s="25"/>
      <c r="G100" s="25"/>
      <c r="H100" s="25"/>
      <c r="AC100" s="2" t="s">
        <v>88</v>
      </c>
      <c r="AD100" s="10">
        <f>SUM(AF100:AN100)-AJ100</f>
        <v>59454.785</v>
      </c>
      <c r="AF100" s="8">
        <v>7297.526</v>
      </c>
      <c r="AG100" s="8">
        <v>26110.451</v>
      </c>
      <c r="AH100" s="8">
        <v>13350.657</v>
      </c>
      <c r="AI100" s="8">
        <v>4062.76</v>
      </c>
      <c r="AJ100" s="8">
        <f>AK100+AL100</f>
        <v>5388.511</v>
      </c>
      <c r="AK100" s="8">
        <v>2809.847</v>
      </c>
      <c r="AL100" s="8">
        <v>2578.664</v>
      </c>
      <c r="AM100" s="8">
        <v>1942.201</v>
      </c>
      <c r="AN100" s="8">
        <v>1302.679</v>
      </c>
    </row>
    <row r="101" spans="1:40" ht="12">
      <c r="A101" s="31"/>
      <c r="B101" s="27"/>
      <c r="C101" s="27"/>
      <c r="D101" s="22"/>
      <c r="E101" s="22"/>
      <c r="F101" s="22"/>
      <c r="G101" s="22"/>
      <c r="H101" s="22"/>
      <c r="I101" s="20"/>
      <c r="J101" s="20"/>
      <c r="K101" s="20"/>
      <c r="L101" s="20"/>
      <c r="M101" s="20"/>
      <c r="N101" s="20"/>
      <c r="O101" s="20"/>
      <c r="P101" s="20"/>
      <c r="Q101" s="20"/>
      <c r="R101" s="20">
        <f>T101+V101</f>
        <v>5984863</v>
      </c>
      <c r="S101" s="20"/>
      <c r="T101" s="20">
        <v>3230868</v>
      </c>
      <c r="U101" s="20"/>
      <c r="V101" s="20">
        <v>2753995</v>
      </c>
      <c r="W101" s="20"/>
      <c r="X101" s="20">
        <v>2223501</v>
      </c>
      <c r="Y101" s="20"/>
      <c r="Z101" s="20">
        <v>1159262</v>
      </c>
      <c r="AA101" s="20"/>
      <c r="AB101" s="8"/>
      <c r="AC101" s="2" t="s">
        <v>89</v>
      </c>
      <c r="AD101" s="10">
        <f>SUM(AF101:AN101)-AJ101</f>
        <v>112928.941</v>
      </c>
      <c r="AF101" s="8">
        <v>7650.84</v>
      </c>
      <c r="AG101" s="8">
        <v>26242.318</v>
      </c>
      <c r="AH101" s="8">
        <v>13836.781</v>
      </c>
      <c r="AI101" s="8">
        <v>6594</v>
      </c>
      <c r="AJ101" s="8">
        <f>AK101+AL101</f>
        <v>17506.001</v>
      </c>
      <c r="AK101" s="8">
        <v>6575</v>
      </c>
      <c r="AL101" s="8">
        <v>10931.001</v>
      </c>
      <c r="AM101" s="8">
        <v>19046</v>
      </c>
      <c r="AN101" s="8">
        <v>22053.001</v>
      </c>
    </row>
    <row r="102" spans="1:28" ht="12">
      <c r="A102" s="31"/>
      <c r="B102" s="27"/>
      <c r="C102" s="27"/>
      <c r="D102" s="22"/>
      <c r="E102" s="22"/>
      <c r="F102" s="22"/>
      <c r="G102" s="22"/>
      <c r="H102" s="22"/>
      <c r="I102" s="20"/>
      <c r="J102" s="20"/>
      <c r="K102" s="20"/>
      <c r="L102" s="20"/>
      <c r="M102" s="20"/>
      <c r="N102" s="20"/>
      <c r="O102" s="20"/>
      <c r="P102" s="20"/>
      <c r="Q102" s="20"/>
      <c r="R102" s="20">
        <f>T102+V102</f>
        <v>17462647</v>
      </c>
      <c r="S102" s="20"/>
      <c r="T102" s="20">
        <v>7039869</v>
      </c>
      <c r="U102" s="20"/>
      <c r="V102" s="20">
        <f>2753995+7668783</f>
        <v>10422778</v>
      </c>
      <c r="W102" s="20"/>
      <c r="X102" s="20">
        <f>2223501+16616764</f>
        <v>18840265</v>
      </c>
      <c r="Y102" s="20"/>
      <c r="Z102" s="20">
        <f>6963028+1193945+1426759+515739+7195240+1372825+1219353+549033</f>
        <v>20435922</v>
      </c>
      <c r="AA102" s="20"/>
      <c r="AB102" s="8"/>
    </row>
    <row r="103" spans="1:40" ht="12">
      <c r="A103" s="31"/>
      <c r="B103" s="25"/>
      <c r="C103" s="25"/>
      <c r="D103" s="25"/>
      <c r="E103" s="25"/>
      <c r="F103" s="25"/>
      <c r="G103" s="25"/>
      <c r="H103" s="25"/>
      <c r="AC103" s="12" t="s">
        <v>90</v>
      </c>
      <c r="AD103" s="10">
        <f>SUM(AF103:AN103)-AJ103</f>
        <v>64842289</v>
      </c>
      <c r="AF103" s="8">
        <v>7964443</v>
      </c>
      <c r="AG103" s="8">
        <f>12093813+15522030</f>
        <v>27615843</v>
      </c>
      <c r="AH103" s="8">
        <f>7744344+7538022</f>
        <v>15282366</v>
      </c>
      <c r="AI103" s="8">
        <v>4612011</v>
      </c>
      <c r="AJ103" s="8">
        <f>AK103+AL103</f>
        <v>5984863</v>
      </c>
      <c r="AK103" s="8">
        <v>3230868</v>
      </c>
      <c r="AL103" s="8">
        <v>2753995</v>
      </c>
      <c r="AM103" s="8">
        <v>2223501</v>
      </c>
      <c r="AN103" s="8">
        <v>1159262</v>
      </c>
    </row>
    <row r="104" spans="1:40" ht="12">
      <c r="A104" s="31"/>
      <c r="B104" s="27"/>
      <c r="C104" s="27"/>
      <c r="D104" s="22"/>
      <c r="E104" s="22"/>
      <c r="F104" s="22"/>
      <c r="G104" s="22"/>
      <c r="H104" s="22"/>
      <c r="I104" s="20"/>
      <c r="J104" s="20"/>
      <c r="K104" s="20"/>
      <c r="L104" s="20"/>
      <c r="M104" s="20"/>
      <c r="N104" s="20"/>
      <c r="O104" s="20"/>
      <c r="P104" s="20"/>
      <c r="Q104" s="20"/>
      <c r="R104" s="20">
        <f aca="true" t="shared" si="63" ref="R104:R111">T104+V104</f>
        <v>5803831</v>
      </c>
      <c r="S104" s="20"/>
      <c r="T104" s="20">
        <v>3196854</v>
      </c>
      <c r="U104" s="20"/>
      <c r="V104" s="20">
        <v>2606977</v>
      </c>
      <c r="W104" s="20"/>
      <c r="X104" s="20">
        <v>2216169</v>
      </c>
      <c r="Y104" s="20"/>
      <c r="Z104" s="20">
        <v>1321860</v>
      </c>
      <c r="AA104" s="20"/>
      <c r="AB104" s="8"/>
      <c r="AC104" s="12" t="s">
        <v>91</v>
      </c>
      <c r="AD104" s="10">
        <f>SUM(AF104:AN104)-AJ104</f>
        <v>116177656</v>
      </c>
      <c r="AF104" s="8">
        <v>8249315</v>
      </c>
      <c r="AG104" s="8">
        <f>27615843+142700+104535</f>
        <v>27863078</v>
      </c>
      <c r="AH104" s="8">
        <f>7829471+7992553</f>
        <v>15822024</v>
      </c>
      <c r="AI104" s="8">
        <v>7504405</v>
      </c>
      <c r="AJ104" s="8">
        <f>AK104+AL104</f>
        <v>17462647</v>
      </c>
      <c r="AK104" s="8">
        <v>7039869</v>
      </c>
      <c r="AL104" s="8">
        <f>2753995+7668783</f>
        <v>10422778</v>
      </c>
      <c r="AM104" s="8">
        <f>2223501+16616764</f>
        <v>18840265</v>
      </c>
      <c r="AN104" s="8">
        <f>6963028+1193945+1426759+515739+7195240+1372825+1219353+549033</f>
        <v>20435922</v>
      </c>
    </row>
    <row r="105" spans="1:29" ht="12">
      <c r="A105" s="31"/>
      <c r="B105" s="27"/>
      <c r="C105" s="27"/>
      <c r="D105" s="22"/>
      <c r="E105" s="22"/>
      <c r="F105" s="22"/>
      <c r="G105" s="22"/>
      <c r="H105" s="22"/>
      <c r="I105" s="20"/>
      <c r="J105" s="20"/>
      <c r="K105" s="20"/>
      <c r="L105" s="20"/>
      <c r="M105" s="20"/>
      <c r="N105" s="20"/>
      <c r="O105" s="20"/>
      <c r="P105" s="20"/>
      <c r="Q105" s="20"/>
      <c r="R105" s="20">
        <f t="shared" si="63"/>
        <v>17604596</v>
      </c>
      <c r="S105" s="20"/>
      <c r="T105" s="20">
        <v>7130657</v>
      </c>
      <c r="U105" s="20"/>
      <c r="V105" s="20">
        <v>10473939</v>
      </c>
      <c r="W105" s="20"/>
      <c r="X105" s="20">
        <v>18620178</v>
      </c>
      <c r="Y105" s="20"/>
      <c r="Z105" s="20">
        <v>19981459</v>
      </c>
      <c r="AA105" s="20"/>
      <c r="AB105" s="8"/>
      <c r="AC105" s="5"/>
    </row>
    <row r="106" spans="1:40" ht="12">
      <c r="A106" s="31"/>
      <c r="B106" s="27"/>
      <c r="C106" s="27"/>
      <c r="D106" s="22"/>
      <c r="E106" s="22"/>
      <c r="F106" s="22"/>
      <c r="G106" s="22"/>
      <c r="H106" s="22"/>
      <c r="I106" s="20"/>
      <c r="J106" s="20"/>
      <c r="K106" s="20"/>
      <c r="L106" s="20"/>
      <c r="M106" s="20"/>
      <c r="N106" s="20"/>
      <c r="O106" s="20"/>
      <c r="P106" s="20"/>
      <c r="Q106" s="20"/>
      <c r="R106" s="20">
        <f t="shared" si="63"/>
        <v>5920000</v>
      </c>
      <c r="S106" s="20"/>
      <c r="T106" s="20">
        <v>3256051</v>
      </c>
      <c r="U106" s="20"/>
      <c r="V106" s="20">
        <v>2663949</v>
      </c>
      <c r="W106" s="20"/>
      <c r="X106" s="20">
        <v>2017568</v>
      </c>
      <c r="Y106" s="20"/>
      <c r="Z106" s="20">
        <v>1214531</v>
      </c>
      <c r="AA106" s="20"/>
      <c r="AB106" s="8"/>
      <c r="AC106" s="12" t="s">
        <v>92</v>
      </c>
      <c r="AD106" s="10">
        <f aca="true" t="shared" si="64" ref="AD106:AD113">SUM(AF106:AN106)-AJ106</f>
        <v>65113732</v>
      </c>
      <c r="AF106" s="8">
        <v>7902245</v>
      </c>
      <c r="AG106" s="8">
        <v>27846584</v>
      </c>
      <c r="AH106" s="8">
        <v>15108766</v>
      </c>
      <c r="AI106" s="8">
        <v>4914277</v>
      </c>
      <c r="AJ106" s="8">
        <f aca="true" t="shared" si="65" ref="AJ106:AJ113">AK106+AL106</f>
        <v>5803831</v>
      </c>
      <c r="AK106" s="8">
        <v>3196854</v>
      </c>
      <c r="AL106" s="8">
        <v>2606977</v>
      </c>
      <c r="AM106" s="8">
        <v>2216169</v>
      </c>
      <c r="AN106" s="8">
        <v>1321860</v>
      </c>
    </row>
    <row r="107" spans="1:40" ht="12">
      <c r="A107" s="31"/>
      <c r="B107" s="27"/>
      <c r="C107" s="27"/>
      <c r="D107" s="22"/>
      <c r="E107" s="22"/>
      <c r="F107" s="22"/>
      <c r="G107" s="22"/>
      <c r="H107" s="22"/>
      <c r="I107" s="20"/>
      <c r="J107" s="20"/>
      <c r="K107" s="20"/>
      <c r="L107" s="20"/>
      <c r="M107" s="20"/>
      <c r="N107" s="20"/>
      <c r="O107" s="20"/>
      <c r="P107" s="20"/>
      <c r="Q107" s="20"/>
      <c r="R107" s="20">
        <f t="shared" si="63"/>
        <v>6045699</v>
      </c>
      <c r="S107" s="20"/>
      <c r="T107" s="20">
        <v>3314358</v>
      </c>
      <c r="U107" s="20"/>
      <c r="V107" s="20">
        <v>2731341</v>
      </c>
      <c r="W107" s="20"/>
      <c r="X107" s="20">
        <v>2029555</v>
      </c>
      <c r="Y107" s="20"/>
      <c r="Z107" s="20">
        <v>1292198</v>
      </c>
      <c r="AA107" s="20"/>
      <c r="AB107" s="8"/>
      <c r="AC107" s="12" t="s">
        <v>93</v>
      </c>
      <c r="AD107" s="10">
        <f t="shared" si="64"/>
        <v>116247592</v>
      </c>
      <c r="AF107" s="8">
        <v>8270184</v>
      </c>
      <c r="AG107" s="8">
        <v>28155276</v>
      </c>
      <c r="AH107" s="8">
        <v>15713962</v>
      </c>
      <c r="AI107" s="8">
        <v>7901937</v>
      </c>
      <c r="AJ107" s="8">
        <f t="shared" si="65"/>
        <v>17604596</v>
      </c>
      <c r="AK107" s="8">
        <v>7130657</v>
      </c>
      <c r="AL107" s="8">
        <v>10473939</v>
      </c>
      <c r="AM107" s="8">
        <v>18620178</v>
      </c>
      <c r="AN107" s="8">
        <v>19981459</v>
      </c>
    </row>
    <row r="108" spans="1:40" ht="12">
      <c r="A108" s="31"/>
      <c r="B108" s="27"/>
      <c r="C108" s="27"/>
      <c r="D108" s="22"/>
      <c r="E108" s="22"/>
      <c r="F108" s="22"/>
      <c r="G108" s="22"/>
      <c r="H108" s="22"/>
      <c r="I108" s="20"/>
      <c r="J108" s="20"/>
      <c r="K108" s="20"/>
      <c r="L108" s="20"/>
      <c r="M108" s="20"/>
      <c r="N108" s="20"/>
      <c r="O108" s="20"/>
      <c r="P108" s="20"/>
      <c r="Q108" s="20"/>
      <c r="R108" s="20">
        <f t="shared" si="63"/>
        <v>6429585</v>
      </c>
      <c r="S108" s="20"/>
      <c r="T108" s="20">
        <v>3615510</v>
      </c>
      <c r="U108" s="20"/>
      <c r="V108" s="20">
        <v>2814075</v>
      </c>
      <c r="W108" s="20"/>
      <c r="X108" s="20">
        <v>2069409</v>
      </c>
      <c r="Y108" s="20"/>
      <c r="Z108" s="20">
        <v>1340643</v>
      </c>
      <c r="AA108" s="20"/>
      <c r="AB108" s="8"/>
      <c r="AC108" s="12" t="s">
        <v>94</v>
      </c>
      <c r="AD108" s="10">
        <f t="shared" si="64"/>
        <v>65327326</v>
      </c>
      <c r="AF108" s="8">
        <v>7774353</v>
      </c>
      <c r="AG108" s="8">
        <v>28208814</v>
      </c>
      <c r="AH108" s="8">
        <v>15351581</v>
      </c>
      <c r="AI108" s="8">
        <v>4840479</v>
      </c>
      <c r="AJ108" s="8">
        <f t="shared" si="65"/>
        <v>5920000</v>
      </c>
      <c r="AK108" s="8">
        <v>3256051</v>
      </c>
      <c r="AL108" s="8">
        <v>2663949</v>
      </c>
      <c r="AM108" s="8">
        <v>2017568</v>
      </c>
      <c r="AN108" s="8">
        <v>1214531</v>
      </c>
    </row>
    <row r="109" spans="1:40" ht="12">
      <c r="A109" s="31"/>
      <c r="B109" s="27"/>
      <c r="C109" s="27"/>
      <c r="D109" s="22"/>
      <c r="E109" s="22"/>
      <c r="F109" s="22"/>
      <c r="G109" s="22"/>
      <c r="H109" s="22"/>
      <c r="I109" s="20"/>
      <c r="J109" s="20"/>
      <c r="K109" s="20"/>
      <c r="L109" s="20"/>
      <c r="M109" s="20"/>
      <c r="N109" s="20"/>
      <c r="O109" s="20"/>
      <c r="P109" s="20"/>
      <c r="Q109" s="20"/>
      <c r="R109" s="20">
        <f t="shared" si="63"/>
        <v>18050372</v>
      </c>
      <c r="S109" s="20"/>
      <c r="T109" s="20">
        <v>7195651</v>
      </c>
      <c r="U109" s="20"/>
      <c r="V109" s="20">
        <v>10854721</v>
      </c>
      <c r="W109" s="20"/>
      <c r="X109" s="20">
        <v>18250010</v>
      </c>
      <c r="Y109" s="20"/>
      <c r="Z109" s="20">
        <v>19501378</v>
      </c>
      <c r="AA109" s="20"/>
      <c r="AB109" s="8"/>
      <c r="AC109" s="12" t="s">
        <v>95</v>
      </c>
      <c r="AD109" s="10">
        <f t="shared" si="64"/>
        <v>65464435</v>
      </c>
      <c r="AF109" s="8">
        <v>7648344</v>
      </c>
      <c r="AG109" s="8">
        <v>28296252</v>
      </c>
      <c r="AH109" s="8">
        <v>15226383</v>
      </c>
      <c r="AI109" s="8">
        <v>4926004</v>
      </c>
      <c r="AJ109" s="8">
        <f t="shared" si="65"/>
        <v>6045699</v>
      </c>
      <c r="AK109" s="8">
        <v>3314358</v>
      </c>
      <c r="AL109" s="8">
        <v>2731341</v>
      </c>
      <c r="AM109" s="8">
        <v>2029555</v>
      </c>
      <c r="AN109" s="8">
        <v>1292198</v>
      </c>
    </row>
    <row r="110" spans="1:40" ht="12">
      <c r="A110" s="31"/>
      <c r="B110" s="27"/>
      <c r="C110" s="27"/>
      <c r="D110" s="22"/>
      <c r="E110" s="22"/>
      <c r="F110" s="22"/>
      <c r="G110" s="22"/>
      <c r="H110" s="22"/>
      <c r="I110" s="20"/>
      <c r="J110" s="20"/>
      <c r="K110" s="20"/>
      <c r="L110" s="20"/>
      <c r="M110" s="20"/>
      <c r="N110" s="20"/>
      <c r="O110" s="20"/>
      <c r="P110" s="20"/>
      <c r="Q110" s="20"/>
      <c r="R110" s="20">
        <f t="shared" si="63"/>
        <v>18612707</v>
      </c>
      <c r="S110" s="20"/>
      <c r="T110" s="20">
        <v>7507896</v>
      </c>
      <c r="U110" s="20"/>
      <c r="V110" s="20">
        <v>11104811</v>
      </c>
      <c r="W110" s="20"/>
      <c r="X110" s="20">
        <v>17781929</v>
      </c>
      <c r="Y110" s="20"/>
      <c r="Z110" s="20">
        <v>19428572</v>
      </c>
      <c r="AA110" s="20"/>
      <c r="AB110" s="8"/>
      <c r="AC110" s="12" t="s">
        <v>96</v>
      </c>
      <c r="AD110" s="10">
        <f t="shared" si="64"/>
        <v>66284352</v>
      </c>
      <c r="AF110" s="8">
        <v>7598707</v>
      </c>
      <c r="AG110" s="8">
        <f>11903688+16560665</f>
        <v>28464353</v>
      </c>
      <c r="AH110" s="8">
        <f>7862529+7516159</f>
        <v>15378688</v>
      </c>
      <c r="AI110" s="8">
        <v>5002967</v>
      </c>
      <c r="AJ110" s="8">
        <f t="shared" si="65"/>
        <v>6429585</v>
      </c>
      <c r="AK110" s="8">
        <v>3615510</v>
      </c>
      <c r="AL110" s="8">
        <v>2814075</v>
      </c>
      <c r="AM110" s="8">
        <v>2069409</v>
      </c>
      <c r="AN110" s="8">
        <v>1340643</v>
      </c>
    </row>
    <row r="111" spans="1:40" ht="12">
      <c r="A111" s="31"/>
      <c r="B111" s="27"/>
      <c r="C111" s="27"/>
      <c r="D111" s="22"/>
      <c r="E111" s="22"/>
      <c r="F111" s="22"/>
      <c r="G111" s="22"/>
      <c r="H111" s="22"/>
      <c r="I111" s="20"/>
      <c r="J111" s="20"/>
      <c r="K111" s="20"/>
      <c r="L111" s="20"/>
      <c r="M111" s="20"/>
      <c r="N111" s="20"/>
      <c r="O111" s="20"/>
      <c r="P111" s="20"/>
      <c r="Q111" s="20"/>
      <c r="R111" s="20">
        <f t="shared" si="63"/>
        <v>18948718</v>
      </c>
      <c r="S111" s="20"/>
      <c r="T111" s="20">
        <v>7862447</v>
      </c>
      <c r="U111" s="20"/>
      <c r="V111" s="20">
        <v>11086271</v>
      </c>
      <c r="W111" s="20"/>
      <c r="X111" s="20">
        <v>17522344</v>
      </c>
      <c r="Y111" s="20"/>
      <c r="Z111" s="20">
        <v>19513228</v>
      </c>
      <c r="AA111" s="20"/>
      <c r="AB111" s="8"/>
      <c r="AC111" s="12" t="s">
        <v>97</v>
      </c>
      <c r="AD111" s="10">
        <f t="shared" si="64"/>
        <v>116489924</v>
      </c>
      <c r="AF111" s="8">
        <v>8097224</v>
      </c>
      <c r="AG111" s="8">
        <v>28585748</v>
      </c>
      <c r="AH111" s="8">
        <v>16017665</v>
      </c>
      <c r="AI111" s="8">
        <v>7987527</v>
      </c>
      <c r="AJ111" s="8">
        <f t="shared" si="65"/>
        <v>18050372</v>
      </c>
      <c r="AK111" s="8">
        <v>7195651</v>
      </c>
      <c r="AL111" s="8">
        <v>10854721</v>
      </c>
      <c r="AM111" s="8">
        <v>18250010</v>
      </c>
      <c r="AN111" s="8">
        <v>19501378</v>
      </c>
    </row>
    <row r="112" spans="1:40" ht="12">
      <c r="A112" s="31"/>
      <c r="B112" s="25"/>
      <c r="C112" s="25"/>
      <c r="D112" s="25"/>
      <c r="E112" s="25"/>
      <c r="F112" s="25"/>
      <c r="G112" s="25"/>
      <c r="H112" s="25"/>
      <c r="AC112" s="12" t="s">
        <v>98</v>
      </c>
      <c r="AD112" s="10">
        <f t="shared" si="64"/>
        <v>116584705</v>
      </c>
      <c r="AF112" s="8">
        <v>8002003</v>
      </c>
      <c r="AG112" s="8">
        <v>28811741</v>
      </c>
      <c r="AH112" s="8">
        <v>15902846</v>
      </c>
      <c r="AI112" s="8">
        <v>8044907</v>
      </c>
      <c r="AJ112" s="8">
        <f t="shared" si="65"/>
        <v>18612707</v>
      </c>
      <c r="AK112" s="8">
        <v>7507896</v>
      </c>
      <c r="AL112" s="8">
        <v>11104811</v>
      </c>
      <c r="AM112" s="8">
        <v>17781929</v>
      </c>
      <c r="AN112" s="8">
        <v>19428572</v>
      </c>
    </row>
    <row r="113" spans="1:40" ht="12">
      <c r="A113" s="31"/>
      <c r="B113" s="25"/>
      <c r="C113" s="25"/>
      <c r="D113" s="25"/>
      <c r="E113" s="25"/>
      <c r="F113" s="25"/>
      <c r="G113" s="25"/>
      <c r="H113" s="25"/>
      <c r="AC113" s="12" t="s">
        <v>99</v>
      </c>
      <c r="AD113" s="10">
        <f t="shared" si="64"/>
        <v>117167449</v>
      </c>
      <c r="AF113" s="8">
        <v>7974071</v>
      </c>
      <c r="AG113" s="8">
        <f>12124597+16824369</f>
        <v>28948966</v>
      </c>
      <c r="AH113" s="8">
        <f>8014278+8044278</f>
        <v>16058556</v>
      </c>
      <c r="AI113" s="8">
        <v>8201566</v>
      </c>
      <c r="AJ113" s="8">
        <f t="shared" si="65"/>
        <v>18948718</v>
      </c>
      <c r="AK113" s="8">
        <v>7862447</v>
      </c>
      <c r="AL113" s="8">
        <v>11086271</v>
      </c>
      <c r="AM113" s="8">
        <v>17522344</v>
      </c>
      <c r="AN113" s="8">
        <v>19513228</v>
      </c>
    </row>
    <row r="114" spans="1:29" ht="12">
      <c r="A114" s="31"/>
      <c r="B114" s="25"/>
      <c r="C114" s="25"/>
      <c r="D114" s="25"/>
      <c r="E114" s="25"/>
      <c r="F114" s="25"/>
      <c r="G114" s="25"/>
      <c r="H114" s="25"/>
      <c r="AC114" s="5"/>
    </row>
    <row r="115" spans="1:29" ht="12">
      <c r="A115" s="31"/>
      <c r="B115" s="25"/>
      <c r="C115" s="25"/>
      <c r="D115" s="25"/>
      <c r="E115" s="25"/>
      <c r="F115" s="25"/>
      <c r="G115" s="25"/>
      <c r="H115" s="25"/>
      <c r="AC115" s="5"/>
    </row>
    <row r="116" spans="1:29" ht="12">
      <c r="A116" s="30"/>
      <c r="B116" s="25"/>
      <c r="C116" s="25"/>
      <c r="D116" s="25"/>
      <c r="E116" s="25"/>
      <c r="F116" s="25"/>
      <c r="G116" s="25"/>
      <c r="H116" s="25"/>
      <c r="AC116" s="5"/>
    </row>
    <row r="117" spans="1:29" ht="12">
      <c r="A117" s="30"/>
      <c r="B117" s="25"/>
      <c r="C117" s="25"/>
      <c r="D117" s="25"/>
      <c r="E117" s="25"/>
      <c r="F117" s="25"/>
      <c r="G117" s="25"/>
      <c r="H117" s="25"/>
      <c r="AC117" s="5"/>
    </row>
    <row r="118" spans="1:8" ht="12">
      <c r="A118" s="30"/>
      <c r="B118" s="25"/>
      <c r="C118" s="25"/>
      <c r="D118" s="25"/>
      <c r="E118" s="25"/>
      <c r="F118" s="25"/>
      <c r="G118" s="25"/>
      <c r="H118" s="25"/>
    </row>
    <row r="119" spans="1:8" ht="12">
      <c r="A119" s="30"/>
      <c r="B119" s="25"/>
      <c r="C119" s="25"/>
      <c r="D119" s="25"/>
      <c r="E119" s="25"/>
      <c r="F119" s="25"/>
      <c r="G119" s="25"/>
      <c r="H119" s="25"/>
    </row>
    <row r="120" spans="1:8" ht="12">
      <c r="A120" s="30"/>
      <c r="B120" s="25"/>
      <c r="C120" s="25"/>
      <c r="D120" s="25"/>
      <c r="E120" s="25"/>
      <c r="F120" s="25"/>
      <c r="G120" s="25"/>
      <c r="H120" s="25"/>
    </row>
    <row r="121" spans="1:8" ht="12">
      <c r="A121" s="30"/>
      <c r="B121" s="25"/>
      <c r="C121" s="25"/>
      <c r="D121" s="25"/>
      <c r="E121" s="25"/>
      <c r="F121" s="25"/>
      <c r="G121" s="25"/>
      <c r="H121" s="25"/>
    </row>
    <row r="122" spans="1:8" ht="12">
      <c r="A122" s="30"/>
      <c r="B122" s="25"/>
      <c r="C122" s="25"/>
      <c r="D122" s="25"/>
      <c r="E122" s="25"/>
      <c r="F122" s="25"/>
      <c r="G122" s="25"/>
      <c r="H122" s="25"/>
    </row>
    <row r="123" spans="1:8" ht="12">
      <c r="A123" s="30"/>
      <c r="B123" s="25"/>
      <c r="C123" s="25"/>
      <c r="D123" s="25"/>
      <c r="E123" s="25"/>
      <c r="F123" s="25"/>
      <c r="G123" s="25"/>
      <c r="H123" s="25"/>
    </row>
    <row r="124" spans="1:8" ht="12">
      <c r="A124" s="30"/>
      <c r="B124" s="25"/>
      <c r="C124" s="25"/>
      <c r="D124" s="25"/>
      <c r="E124" s="25"/>
      <c r="F124" s="25"/>
      <c r="G124" s="25"/>
      <c r="H124" s="25"/>
    </row>
    <row r="125" spans="1:8" ht="12">
      <c r="A125" s="30"/>
      <c r="B125" s="25"/>
      <c r="C125" s="25"/>
      <c r="D125" s="25"/>
      <c r="E125" s="25"/>
      <c r="F125" s="25"/>
      <c r="G125" s="25"/>
      <c r="H125" s="25"/>
    </row>
    <row r="126" spans="1:8" ht="12">
      <c r="A126" s="30"/>
      <c r="B126" s="25"/>
      <c r="C126" s="25"/>
      <c r="D126" s="25"/>
      <c r="E126" s="25"/>
      <c r="F126" s="25"/>
      <c r="G126" s="25"/>
      <c r="H126" s="25"/>
    </row>
    <row r="127" spans="1:8" ht="12">
      <c r="A127" s="30"/>
      <c r="B127" s="25"/>
      <c r="C127" s="25"/>
      <c r="D127" s="25"/>
      <c r="E127" s="25"/>
      <c r="F127" s="25"/>
      <c r="G127" s="25"/>
      <c r="H127" s="25"/>
    </row>
    <row r="128" spans="1:8" ht="12">
      <c r="A128" s="30"/>
      <c r="B128" s="25"/>
      <c r="C128" s="25"/>
      <c r="D128" s="25"/>
      <c r="E128" s="25"/>
      <c r="F128" s="25"/>
      <c r="G128" s="25"/>
      <c r="H128" s="25"/>
    </row>
    <row r="129" spans="1:8" ht="12">
      <c r="A129" s="30"/>
      <c r="B129" s="25"/>
      <c r="C129" s="25"/>
      <c r="D129" s="25"/>
      <c r="E129" s="25"/>
      <c r="F129" s="25"/>
      <c r="G129" s="25"/>
      <c r="H129" s="25"/>
    </row>
    <row r="130" spans="1:8" ht="12">
      <c r="A130" s="30"/>
      <c r="B130" s="25"/>
      <c r="C130" s="25"/>
      <c r="D130" s="25"/>
      <c r="E130" s="25"/>
      <c r="F130" s="25"/>
      <c r="G130" s="25"/>
      <c r="H130" s="25"/>
    </row>
    <row r="131" spans="1:8" ht="12">
      <c r="A131" s="30"/>
      <c r="B131" s="25"/>
      <c r="C131" s="25"/>
      <c r="D131" s="25"/>
      <c r="E131" s="25"/>
      <c r="F131" s="25"/>
      <c r="G131" s="25"/>
      <c r="H131" s="25"/>
    </row>
    <row r="132" spans="1:8" ht="12">
      <c r="A132" s="30"/>
      <c r="B132" s="25"/>
      <c r="C132" s="25"/>
      <c r="D132" s="25"/>
      <c r="E132" s="25"/>
      <c r="F132" s="25"/>
      <c r="G132" s="25"/>
      <c r="H132" s="25"/>
    </row>
    <row r="133" spans="1:8" ht="12">
      <c r="A133" s="30"/>
      <c r="B133" s="25"/>
      <c r="C133" s="25"/>
      <c r="D133" s="25"/>
      <c r="E133" s="25"/>
      <c r="F133" s="25"/>
      <c r="G133" s="25"/>
      <c r="H133" s="25"/>
    </row>
    <row r="134" spans="1:8" ht="12">
      <c r="A134" s="30"/>
      <c r="B134" s="25"/>
      <c r="C134" s="25"/>
      <c r="D134" s="25"/>
      <c r="E134" s="25"/>
      <c r="F134" s="25"/>
      <c r="G134" s="25"/>
      <c r="H134" s="25"/>
    </row>
    <row r="135" spans="1:8" ht="12">
      <c r="A135" s="30"/>
      <c r="B135" s="25"/>
      <c r="C135" s="25"/>
      <c r="D135" s="25"/>
      <c r="E135" s="25"/>
      <c r="F135" s="25"/>
      <c r="G135" s="25"/>
      <c r="H135" s="25"/>
    </row>
    <row r="136" spans="1:8" ht="12">
      <c r="A136" s="30"/>
      <c r="B136" s="25"/>
      <c r="C136" s="25"/>
      <c r="D136" s="25"/>
      <c r="E136" s="25"/>
      <c r="F136" s="25"/>
      <c r="G136" s="25"/>
      <c r="H136" s="25"/>
    </row>
    <row r="137" spans="1:8" ht="12">
      <c r="A137" s="30"/>
      <c r="B137" s="25"/>
      <c r="C137" s="25"/>
      <c r="D137" s="25"/>
      <c r="E137" s="25"/>
      <c r="F137" s="25"/>
      <c r="G137" s="25"/>
      <c r="H137" s="25"/>
    </row>
    <row r="138" spans="1:8" ht="12">
      <c r="A138" s="30"/>
      <c r="B138" s="25"/>
      <c r="C138" s="25"/>
      <c r="D138" s="25"/>
      <c r="E138" s="25"/>
      <c r="F138" s="25"/>
      <c r="G138" s="25"/>
      <c r="H138" s="25"/>
    </row>
    <row r="139" spans="1:8" ht="12">
      <c r="A139" s="30"/>
      <c r="B139" s="25"/>
      <c r="C139" s="25"/>
      <c r="D139" s="25"/>
      <c r="E139" s="25"/>
      <c r="F139" s="25"/>
      <c r="G139" s="25"/>
      <c r="H139" s="25"/>
    </row>
    <row r="140" spans="1:8" ht="12">
      <c r="A140" s="30"/>
      <c r="B140" s="25"/>
      <c r="C140" s="25"/>
      <c r="D140" s="25"/>
      <c r="E140" s="25"/>
      <c r="F140" s="25"/>
      <c r="G140" s="25"/>
      <c r="H140" s="25"/>
    </row>
    <row r="141" spans="1:8" ht="12">
      <c r="A141" s="30"/>
      <c r="B141" s="25"/>
      <c r="C141" s="25"/>
      <c r="D141" s="25"/>
      <c r="E141" s="25"/>
      <c r="F141" s="25"/>
      <c r="G141" s="25"/>
      <c r="H141" s="25"/>
    </row>
    <row r="142" spans="1:8" ht="12">
      <c r="A142" s="30"/>
      <c r="B142" s="25"/>
      <c r="C142" s="25"/>
      <c r="D142" s="25"/>
      <c r="E142" s="25"/>
      <c r="F142" s="25"/>
      <c r="G142" s="25"/>
      <c r="H142" s="25"/>
    </row>
    <row r="143" spans="1:8" ht="12">
      <c r="A143" s="30"/>
      <c r="B143" s="25"/>
      <c r="C143" s="25"/>
      <c r="D143" s="25"/>
      <c r="E143" s="25"/>
      <c r="F143" s="25"/>
      <c r="G143" s="25"/>
      <c r="H143" s="25"/>
    </row>
    <row r="144" spans="1:8" ht="12">
      <c r="A144" s="30"/>
      <c r="B144" s="25"/>
      <c r="C144" s="25"/>
      <c r="D144" s="25"/>
      <c r="E144" s="25"/>
      <c r="F144" s="25"/>
      <c r="G144" s="25"/>
      <c r="H144" s="25"/>
    </row>
    <row r="145" spans="1:8" ht="12">
      <c r="A145" s="30"/>
      <c r="B145" s="25"/>
      <c r="C145" s="25"/>
      <c r="D145" s="25"/>
      <c r="E145" s="25"/>
      <c r="F145" s="25"/>
      <c r="G145" s="25"/>
      <c r="H145" s="25"/>
    </row>
    <row r="146" spans="1:8" ht="12">
      <c r="A146" s="30"/>
      <c r="B146" s="25"/>
      <c r="C146" s="25"/>
      <c r="D146" s="25"/>
      <c r="E146" s="25"/>
      <c r="F146" s="25"/>
      <c r="G146" s="25"/>
      <c r="H146" s="25"/>
    </row>
    <row r="147" spans="1:8" ht="12">
      <c r="A147" s="30"/>
      <c r="B147" s="25"/>
      <c r="C147" s="25"/>
      <c r="D147" s="25"/>
      <c r="E147" s="25"/>
      <c r="F147" s="25"/>
      <c r="G147" s="25"/>
      <c r="H147" s="25"/>
    </row>
    <row r="148" spans="1:8" ht="12">
      <c r="A148" s="30"/>
      <c r="B148" s="25"/>
      <c r="C148" s="25"/>
      <c r="D148" s="25"/>
      <c r="E148" s="25"/>
      <c r="F148" s="25"/>
      <c r="G148" s="25"/>
      <c r="H148" s="25"/>
    </row>
    <row r="149" spans="1:8" ht="12">
      <c r="A149" s="30"/>
      <c r="B149" s="25"/>
      <c r="C149" s="25"/>
      <c r="D149" s="25"/>
      <c r="E149" s="25"/>
      <c r="F149" s="25"/>
      <c r="G149" s="25"/>
      <c r="H149" s="25"/>
    </row>
    <row r="150" spans="1:8" ht="12">
      <c r="A150" s="30"/>
      <c r="B150" s="25"/>
      <c r="C150" s="25"/>
      <c r="D150" s="25"/>
      <c r="E150" s="25"/>
      <c r="F150" s="25"/>
      <c r="G150" s="25"/>
      <c r="H150" s="25"/>
    </row>
    <row r="151" spans="1:8" ht="12">
      <c r="A151" s="30"/>
      <c r="B151" s="25"/>
      <c r="C151" s="25"/>
      <c r="D151" s="25"/>
      <c r="E151" s="25"/>
      <c r="F151" s="25"/>
      <c r="G151" s="25"/>
      <c r="H151" s="25"/>
    </row>
    <row r="152" spans="1:8" ht="12">
      <c r="A152" s="30"/>
      <c r="B152" s="25"/>
      <c r="C152" s="25"/>
      <c r="D152" s="25"/>
      <c r="E152" s="25"/>
      <c r="F152" s="25"/>
      <c r="G152" s="25"/>
      <c r="H152" s="25"/>
    </row>
    <row r="153" spans="1:8" ht="12">
      <c r="A153" s="30"/>
      <c r="B153" s="25"/>
      <c r="C153" s="25"/>
      <c r="D153" s="25"/>
      <c r="E153" s="25"/>
      <c r="F153" s="25"/>
      <c r="G153" s="25"/>
      <c r="H153" s="25"/>
    </row>
    <row r="154" spans="1:8" ht="12">
      <c r="A154" s="30"/>
      <c r="B154" s="25"/>
      <c r="C154" s="25"/>
      <c r="D154" s="25"/>
      <c r="E154" s="25"/>
      <c r="F154" s="25"/>
      <c r="G154" s="25"/>
      <c r="H154" s="25"/>
    </row>
    <row r="155" spans="1:8" ht="12">
      <c r="A155" s="30"/>
      <c r="B155" s="25"/>
      <c r="C155" s="25"/>
      <c r="D155" s="25"/>
      <c r="E155" s="25"/>
      <c r="F155" s="25"/>
      <c r="G155" s="25"/>
      <c r="H155" s="25"/>
    </row>
    <row r="156" spans="1:8" ht="12">
      <c r="A156" s="30"/>
      <c r="B156" s="25"/>
      <c r="C156" s="25"/>
      <c r="D156" s="25"/>
      <c r="E156" s="25"/>
      <c r="F156" s="25"/>
      <c r="G156" s="25"/>
      <c r="H156" s="25"/>
    </row>
    <row r="157" spans="1:8" ht="12">
      <c r="A157" s="30"/>
      <c r="B157" s="25"/>
      <c r="C157" s="25"/>
      <c r="D157" s="25"/>
      <c r="E157" s="25"/>
      <c r="F157" s="25"/>
      <c r="G157" s="25"/>
      <c r="H157" s="25"/>
    </row>
    <row r="158" spans="1:8" ht="12">
      <c r="A158" s="30"/>
      <c r="B158" s="25"/>
      <c r="C158" s="25"/>
      <c r="D158" s="25"/>
      <c r="E158" s="25"/>
      <c r="F158" s="25"/>
      <c r="G158" s="25"/>
      <c r="H158" s="25"/>
    </row>
    <row r="159" spans="1:8" ht="12">
      <c r="A159" s="30"/>
      <c r="B159" s="25"/>
      <c r="C159" s="25"/>
      <c r="D159" s="25"/>
      <c r="E159" s="25"/>
      <c r="F159" s="25"/>
      <c r="G159" s="25"/>
      <c r="H159" s="25"/>
    </row>
    <row r="160" spans="1:8" ht="12">
      <c r="A160" s="30"/>
      <c r="B160" s="25"/>
      <c r="C160" s="25"/>
      <c r="D160" s="25"/>
      <c r="E160" s="25"/>
      <c r="F160" s="25"/>
      <c r="G160" s="25"/>
      <c r="H160" s="25"/>
    </row>
    <row r="161" spans="1:8" ht="12">
      <c r="A161" s="30"/>
      <c r="B161" s="25"/>
      <c r="C161" s="25"/>
      <c r="D161" s="25"/>
      <c r="E161" s="25"/>
      <c r="F161" s="25"/>
      <c r="G161" s="25"/>
      <c r="H161" s="25"/>
    </row>
    <row r="162" spans="1:8" ht="12">
      <c r="A162" s="30"/>
      <c r="B162" s="25"/>
      <c r="C162" s="25"/>
      <c r="D162" s="25"/>
      <c r="E162" s="25"/>
      <c r="F162" s="25"/>
      <c r="G162" s="25"/>
      <c r="H162" s="25"/>
    </row>
    <row r="163" spans="1:8" ht="12">
      <c r="A163" s="30"/>
      <c r="B163" s="25"/>
      <c r="C163" s="25"/>
      <c r="D163" s="25"/>
      <c r="E163" s="25"/>
      <c r="F163" s="25"/>
      <c r="G163" s="25"/>
      <c r="H163" s="25"/>
    </row>
    <row r="164" spans="1:8" ht="12">
      <c r="A164" s="30"/>
      <c r="B164" s="25"/>
      <c r="C164" s="25"/>
      <c r="D164" s="25"/>
      <c r="E164" s="25"/>
      <c r="F164" s="25"/>
      <c r="G164" s="25"/>
      <c r="H164" s="25"/>
    </row>
    <row r="165" spans="1:8" ht="12">
      <c r="A165" s="30"/>
      <c r="B165" s="25"/>
      <c r="C165" s="25"/>
      <c r="D165" s="25"/>
      <c r="E165" s="25"/>
      <c r="F165" s="25"/>
      <c r="G165" s="25"/>
      <c r="H165" s="25"/>
    </row>
    <row r="166" spans="1:8" ht="12">
      <c r="A166" s="30"/>
      <c r="B166" s="25"/>
      <c r="C166" s="25"/>
      <c r="D166" s="25"/>
      <c r="E166" s="25"/>
      <c r="F166" s="25"/>
      <c r="G166" s="25"/>
      <c r="H166" s="25"/>
    </row>
    <row r="167" spans="1:8" ht="12">
      <c r="A167" s="30"/>
      <c r="B167" s="25"/>
      <c r="C167" s="25"/>
      <c r="D167" s="25"/>
      <c r="E167" s="25"/>
      <c r="F167" s="25"/>
      <c r="G167" s="25"/>
      <c r="H167" s="25"/>
    </row>
    <row r="168" spans="1:8" ht="12">
      <c r="A168" s="30"/>
      <c r="B168" s="25"/>
      <c r="C168" s="25"/>
      <c r="D168" s="25"/>
      <c r="E168" s="25"/>
      <c r="F168" s="25"/>
      <c r="G168" s="25"/>
      <c r="H168" s="25"/>
    </row>
    <row r="169" spans="1:8" ht="12">
      <c r="A169" s="30"/>
      <c r="B169" s="25"/>
      <c r="C169" s="25"/>
      <c r="D169" s="25"/>
      <c r="E169" s="25"/>
      <c r="F169" s="25"/>
      <c r="G169" s="25"/>
      <c r="H169" s="25"/>
    </row>
    <row r="170" spans="1:8" ht="12">
      <c r="A170" s="30"/>
      <c r="B170" s="25"/>
      <c r="C170" s="25"/>
      <c r="D170" s="25"/>
      <c r="E170" s="25"/>
      <c r="F170" s="25"/>
      <c r="G170" s="25"/>
      <c r="H170" s="25"/>
    </row>
    <row r="171" spans="1:8" ht="12">
      <c r="A171" s="30"/>
      <c r="B171" s="25"/>
      <c r="C171" s="25"/>
      <c r="D171" s="25"/>
      <c r="E171" s="25"/>
      <c r="F171" s="25"/>
      <c r="G171" s="25"/>
      <c r="H171" s="25"/>
    </row>
    <row r="172" spans="1:8" ht="12">
      <c r="A172" s="30"/>
      <c r="B172" s="25"/>
      <c r="C172" s="25"/>
      <c r="D172" s="25"/>
      <c r="E172" s="25"/>
      <c r="F172" s="25"/>
      <c r="G172" s="25"/>
      <c r="H172" s="25"/>
    </row>
    <row r="173" spans="1:8" ht="12">
      <c r="A173" s="30"/>
      <c r="B173" s="25"/>
      <c r="C173" s="25"/>
      <c r="D173" s="25"/>
      <c r="E173" s="25"/>
      <c r="F173" s="25"/>
      <c r="G173" s="25"/>
      <c r="H173" s="25"/>
    </row>
    <row r="174" spans="1:8" ht="12">
      <c r="A174" s="30"/>
      <c r="B174" s="25"/>
      <c r="C174" s="25"/>
      <c r="D174" s="25"/>
      <c r="E174" s="25"/>
      <c r="F174" s="25"/>
      <c r="G174" s="25"/>
      <c r="H174" s="25"/>
    </row>
    <row r="175" spans="1:8" ht="12">
      <c r="A175" s="30"/>
      <c r="B175" s="25"/>
      <c r="C175" s="25"/>
      <c r="D175" s="25"/>
      <c r="E175" s="25"/>
      <c r="F175" s="25"/>
      <c r="G175" s="25"/>
      <c r="H175" s="25"/>
    </row>
    <row r="176" spans="1:8" ht="12">
      <c r="A176" s="30"/>
      <c r="B176" s="25"/>
      <c r="C176" s="25"/>
      <c r="D176" s="25"/>
      <c r="E176" s="25"/>
      <c r="F176" s="25"/>
      <c r="G176" s="25"/>
      <c r="H176" s="25"/>
    </row>
    <row r="177" spans="1:8" ht="12">
      <c r="A177" s="30"/>
      <c r="B177" s="25"/>
      <c r="C177" s="25"/>
      <c r="D177" s="25"/>
      <c r="E177" s="25"/>
      <c r="F177" s="25"/>
      <c r="G177" s="25"/>
      <c r="H177" s="25"/>
    </row>
    <row r="178" spans="1:8" ht="12">
      <c r="A178" s="30"/>
      <c r="B178" s="25"/>
      <c r="C178" s="25"/>
      <c r="D178" s="25"/>
      <c r="E178" s="25"/>
      <c r="F178" s="25"/>
      <c r="G178" s="25"/>
      <c r="H178" s="25"/>
    </row>
    <row r="179" spans="1:8" ht="12">
      <c r="A179" s="30"/>
      <c r="B179" s="25"/>
      <c r="C179" s="25"/>
      <c r="D179" s="25"/>
      <c r="E179" s="25"/>
      <c r="F179" s="25"/>
      <c r="G179" s="25"/>
      <c r="H179" s="25"/>
    </row>
    <row r="180" spans="1:8" ht="12">
      <c r="A180" s="30"/>
      <c r="B180" s="25"/>
      <c r="C180" s="25"/>
      <c r="D180" s="25"/>
      <c r="E180" s="25"/>
      <c r="F180" s="25"/>
      <c r="G180" s="25"/>
      <c r="H180" s="25"/>
    </row>
    <row r="181" spans="1:8" ht="12">
      <c r="A181" s="30"/>
      <c r="B181" s="25"/>
      <c r="C181" s="25"/>
      <c r="D181" s="25"/>
      <c r="E181" s="25"/>
      <c r="F181" s="25"/>
      <c r="G181" s="25"/>
      <c r="H181" s="25"/>
    </row>
    <row r="182" spans="1:8" ht="12">
      <c r="A182" s="30"/>
      <c r="B182" s="25"/>
      <c r="C182" s="25"/>
      <c r="D182" s="25"/>
      <c r="E182" s="25"/>
      <c r="F182" s="25"/>
      <c r="G182" s="25"/>
      <c r="H182" s="25"/>
    </row>
    <row r="183" spans="1:8" ht="12">
      <c r="A183" s="30"/>
      <c r="B183" s="25"/>
      <c r="C183" s="25"/>
      <c r="D183" s="25"/>
      <c r="E183" s="25"/>
      <c r="F183" s="25"/>
      <c r="G183" s="25"/>
      <c r="H183" s="25"/>
    </row>
    <row r="184" spans="1:8" ht="12">
      <c r="A184" s="30"/>
      <c r="B184" s="25"/>
      <c r="C184" s="25"/>
      <c r="D184" s="25"/>
      <c r="E184" s="25"/>
      <c r="F184" s="25"/>
      <c r="G184" s="25"/>
      <c r="H184" s="25"/>
    </row>
    <row r="185" spans="1:8" ht="12">
      <c r="A185" s="30"/>
      <c r="B185" s="25"/>
      <c r="C185" s="25"/>
      <c r="D185" s="25"/>
      <c r="E185" s="25"/>
      <c r="F185" s="25"/>
      <c r="G185" s="25"/>
      <c r="H185" s="25"/>
    </row>
    <row r="186" spans="1:8" ht="12">
      <c r="A186" s="30"/>
      <c r="B186" s="25"/>
      <c r="C186" s="25"/>
      <c r="D186" s="25"/>
      <c r="E186" s="25"/>
      <c r="F186" s="25"/>
      <c r="G186" s="25"/>
      <c r="H186" s="25"/>
    </row>
    <row r="187" spans="1:8" ht="12">
      <c r="A187" s="30"/>
      <c r="B187" s="25"/>
      <c r="C187" s="25"/>
      <c r="D187" s="25"/>
      <c r="E187" s="25"/>
      <c r="F187" s="25"/>
      <c r="G187" s="25"/>
      <c r="H187" s="25"/>
    </row>
    <row r="188" spans="1:8" ht="12">
      <c r="A188" s="30"/>
      <c r="B188" s="25"/>
      <c r="C188" s="25"/>
      <c r="D188" s="25"/>
      <c r="E188" s="25"/>
      <c r="F188" s="25"/>
      <c r="G188" s="25"/>
      <c r="H188" s="25"/>
    </row>
    <row r="189" spans="1:8" ht="12">
      <c r="A189" s="30"/>
      <c r="B189" s="25"/>
      <c r="C189" s="25"/>
      <c r="D189" s="25"/>
      <c r="E189" s="25"/>
      <c r="F189" s="25"/>
      <c r="G189" s="25"/>
      <c r="H189" s="25"/>
    </row>
    <row r="190" spans="1:8" ht="12">
      <c r="A190" s="30"/>
      <c r="B190" s="25"/>
      <c r="C190" s="25"/>
      <c r="D190" s="25"/>
      <c r="E190" s="25"/>
      <c r="F190" s="25"/>
      <c r="G190" s="25"/>
      <c r="H190" s="25"/>
    </row>
    <row r="191" spans="1:8" ht="12">
      <c r="A191" s="30"/>
      <c r="B191" s="25"/>
      <c r="C191" s="25"/>
      <c r="D191" s="25"/>
      <c r="E191" s="25"/>
      <c r="F191" s="25"/>
      <c r="G191" s="25"/>
      <c r="H191" s="25"/>
    </row>
    <row r="192" spans="1:8" ht="12">
      <c r="A192" s="30"/>
      <c r="B192" s="25"/>
      <c r="C192" s="25"/>
      <c r="D192" s="25"/>
      <c r="E192" s="25"/>
      <c r="F192" s="25"/>
      <c r="G192" s="25"/>
      <c r="H192" s="25"/>
    </row>
    <row r="193" spans="1:8" ht="12">
      <c r="A193" s="30"/>
      <c r="B193" s="25"/>
      <c r="C193" s="25"/>
      <c r="D193" s="25"/>
      <c r="E193" s="25"/>
      <c r="F193" s="25"/>
      <c r="G193" s="25"/>
      <c r="H193" s="25"/>
    </row>
    <row r="194" spans="1:8" ht="12">
      <c r="A194" s="30"/>
      <c r="B194" s="25"/>
      <c r="C194" s="25"/>
      <c r="D194" s="25"/>
      <c r="E194" s="25"/>
      <c r="F194" s="25"/>
      <c r="G194" s="25"/>
      <c r="H194" s="25"/>
    </row>
    <row r="195" spans="1:8" ht="12">
      <c r="A195" s="30"/>
      <c r="B195" s="25"/>
      <c r="C195" s="25"/>
      <c r="D195" s="25"/>
      <c r="E195" s="25"/>
      <c r="F195" s="25"/>
      <c r="G195" s="25"/>
      <c r="H195" s="25"/>
    </row>
    <row r="196" spans="1:8" ht="12">
      <c r="A196" s="30"/>
      <c r="B196" s="25"/>
      <c r="C196" s="25"/>
      <c r="D196" s="25"/>
      <c r="E196" s="25"/>
      <c r="F196" s="25"/>
      <c r="G196" s="25"/>
      <c r="H196" s="25"/>
    </row>
    <row r="197" spans="1:8" ht="12">
      <c r="A197" s="30"/>
      <c r="B197" s="25"/>
      <c r="C197" s="25"/>
      <c r="D197" s="25"/>
      <c r="E197" s="25"/>
      <c r="F197" s="25"/>
      <c r="G197" s="25"/>
      <c r="H197" s="25"/>
    </row>
    <row r="198" spans="1:8" ht="12">
      <c r="A198" s="30"/>
      <c r="B198" s="25"/>
      <c r="C198" s="25"/>
      <c r="D198" s="25"/>
      <c r="E198" s="25"/>
      <c r="F198" s="25"/>
      <c r="G198" s="25"/>
      <c r="H198" s="25"/>
    </row>
    <row r="199" spans="1:8" ht="12">
      <c r="A199" s="30"/>
      <c r="B199" s="25"/>
      <c r="C199" s="25"/>
      <c r="D199" s="25"/>
      <c r="E199" s="25"/>
      <c r="F199" s="25"/>
      <c r="G199" s="25"/>
      <c r="H199" s="25"/>
    </row>
    <row r="200" spans="1:8" ht="12">
      <c r="A200" s="30"/>
      <c r="B200" s="25"/>
      <c r="C200" s="25"/>
      <c r="D200" s="25"/>
      <c r="E200" s="25"/>
      <c r="F200" s="25"/>
      <c r="G200" s="25"/>
      <c r="H200" s="25"/>
    </row>
    <row r="201" spans="1:8" ht="12">
      <c r="A201" s="30"/>
      <c r="B201" s="25"/>
      <c r="C201" s="25"/>
      <c r="D201" s="25"/>
      <c r="E201" s="25"/>
      <c r="F201" s="25"/>
      <c r="G201" s="25"/>
      <c r="H201" s="25"/>
    </row>
    <row r="202" spans="1:8" ht="12">
      <c r="A202" s="30"/>
      <c r="B202" s="25"/>
      <c r="C202" s="25"/>
      <c r="D202" s="25"/>
      <c r="E202" s="25"/>
      <c r="F202" s="25"/>
      <c r="G202" s="25"/>
      <c r="H202" s="25"/>
    </row>
    <row r="203" spans="1:8" ht="12">
      <c r="A203" s="30"/>
      <c r="B203" s="25"/>
      <c r="C203" s="25"/>
      <c r="D203" s="25"/>
      <c r="E203" s="25"/>
      <c r="F203" s="25"/>
      <c r="G203" s="25"/>
      <c r="H203" s="25"/>
    </row>
    <row r="204" spans="1:8" ht="12">
      <c r="A204" s="30"/>
      <c r="B204" s="25"/>
      <c r="C204" s="25"/>
      <c r="D204" s="25"/>
      <c r="E204" s="25"/>
      <c r="F204" s="25"/>
      <c r="G204" s="25"/>
      <c r="H204" s="25"/>
    </row>
    <row r="205" spans="1:8" ht="12">
      <c r="A205" s="30"/>
      <c r="B205" s="25"/>
      <c r="C205" s="25"/>
      <c r="D205" s="25"/>
      <c r="E205" s="25"/>
      <c r="F205" s="25"/>
      <c r="G205" s="25"/>
      <c r="H205" s="25"/>
    </row>
    <row r="206" spans="1:8" ht="12">
      <c r="A206" s="30"/>
      <c r="B206" s="25"/>
      <c r="C206" s="25"/>
      <c r="D206" s="25"/>
      <c r="E206" s="25"/>
      <c r="F206" s="25"/>
      <c r="G206" s="25"/>
      <c r="H206" s="25"/>
    </row>
    <row r="207" spans="1:8" ht="12">
      <c r="A207" s="30"/>
      <c r="B207" s="25"/>
      <c r="C207" s="25"/>
      <c r="D207" s="25"/>
      <c r="E207" s="25"/>
      <c r="F207" s="25"/>
      <c r="G207" s="25"/>
      <c r="H207" s="25"/>
    </row>
    <row r="208" spans="1:8" ht="12">
      <c r="A208" s="30"/>
      <c r="B208" s="25"/>
      <c r="C208" s="25"/>
      <c r="D208" s="25"/>
      <c r="E208" s="25"/>
      <c r="F208" s="25"/>
      <c r="G208" s="25"/>
      <c r="H208" s="25"/>
    </row>
    <row r="209" spans="1:8" ht="12">
      <c r="A209" s="30"/>
      <c r="B209" s="25"/>
      <c r="C209" s="25"/>
      <c r="D209" s="25"/>
      <c r="E209" s="25"/>
      <c r="F209" s="25"/>
      <c r="G209" s="25"/>
      <c r="H209" s="25"/>
    </row>
    <row r="210" spans="1:8" ht="12">
      <c r="A210" s="30"/>
      <c r="B210" s="25"/>
      <c r="C210" s="25"/>
      <c r="D210" s="25"/>
      <c r="E210" s="25"/>
      <c r="F210" s="25"/>
      <c r="G210" s="25"/>
      <c r="H210" s="25"/>
    </row>
    <row r="211" spans="1:8" ht="12">
      <c r="A211" s="30"/>
      <c r="B211" s="25"/>
      <c r="C211" s="25"/>
      <c r="D211" s="25"/>
      <c r="E211" s="25"/>
      <c r="F211" s="25"/>
      <c r="G211" s="25"/>
      <c r="H211" s="25"/>
    </row>
    <row r="212" spans="1:8" ht="12">
      <c r="A212" s="30"/>
      <c r="B212" s="25"/>
      <c r="C212" s="25"/>
      <c r="D212" s="25"/>
      <c r="E212" s="25"/>
      <c r="F212" s="25"/>
      <c r="G212" s="25"/>
      <c r="H212" s="25"/>
    </row>
    <row r="213" spans="1:8" ht="12">
      <c r="A213" s="30"/>
      <c r="B213" s="25"/>
      <c r="C213" s="25"/>
      <c r="D213" s="25"/>
      <c r="E213" s="25"/>
      <c r="F213" s="25"/>
      <c r="G213" s="25"/>
      <c r="H213" s="25"/>
    </row>
    <row r="214" spans="1:8" ht="12">
      <c r="A214" s="30"/>
      <c r="B214" s="25"/>
      <c r="C214" s="25"/>
      <c r="D214" s="25"/>
      <c r="E214" s="25"/>
      <c r="F214" s="25"/>
      <c r="G214" s="25"/>
      <c r="H214" s="25"/>
    </row>
    <row r="215" spans="1:8" ht="12">
      <c r="A215" s="30"/>
      <c r="B215" s="25"/>
      <c r="C215" s="25"/>
      <c r="D215" s="25"/>
      <c r="E215" s="25"/>
      <c r="F215" s="25"/>
      <c r="G215" s="25"/>
      <c r="H215" s="25"/>
    </row>
    <row r="216" spans="1:8" ht="12">
      <c r="A216" s="30"/>
      <c r="B216" s="25"/>
      <c r="C216" s="25"/>
      <c r="D216" s="25"/>
      <c r="E216" s="25"/>
      <c r="F216" s="25"/>
      <c r="G216" s="25"/>
      <c r="H216" s="25"/>
    </row>
    <row r="217" spans="1:8" ht="12">
      <c r="A217" s="30"/>
      <c r="B217" s="25"/>
      <c r="C217" s="25"/>
      <c r="D217" s="25"/>
      <c r="E217" s="25"/>
      <c r="F217" s="25"/>
      <c r="G217" s="25"/>
      <c r="H217" s="25"/>
    </row>
    <row r="218" spans="1:8" ht="12">
      <c r="A218" s="30"/>
      <c r="B218" s="25"/>
      <c r="C218" s="25"/>
      <c r="D218" s="25"/>
      <c r="E218" s="25"/>
      <c r="F218" s="25"/>
      <c r="G218" s="25"/>
      <c r="H218" s="25"/>
    </row>
    <row r="219" spans="1:8" ht="12">
      <c r="A219" s="30"/>
      <c r="B219" s="25"/>
      <c r="C219" s="25"/>
      <c r="D219" s="25"/>
      <c r="E219" s="25"/>
      <c r="F219" s="25"/>
      <c r="G219" s="25"/>
      <c r="H219" s="25"/>
    </row>
    <row r="220" spans="1:8" ht="12">
      <c r="A220" s="30"/>
      <c r="B220" s="25"/>
      <c r="C220" s="25"/>
      <c r="D220" s="25"/>
      <c r="E220" s="25"/>
      <c r="F220" s="25"/>
      <c r="G220" s="25"/>
      <c r="H220" s="25"/>
    </row>
    <row r="221" spans="2:8" ht="12">
      <c r="B221" s="25"/>
      <c r="C221" s="25"/>
      <c r="D221" s="25"/>
      <c r="E221" s="25"/>
      <c r="F221" s="25"/>
      <c r="G221" s="25"/>
      <c r="H221" s="25"/>
    </row>
    <row r="222" spans="2:8" ht="12">
      <c r="B222" s="25"/>
      <c r="C222" s="25"/>
      <c r="D222" s="25"/>
      <c r="E222" s="25"/>
      <c r="F222" s="25"/>
      <c r="G222" s="25"/>
      <c r="H222" s="25"/>
    </row>
    <row r="223" spans="2:8" ht="12">
      <c r="B223" s="25"/>
      <c r="C223" s="25"/>
      <c r="D223" s="25"/>
      <c r="E223" s="25"/>
      <c r="F223" s="25"/>
      <c r="G223" s="25"/>
      <c r="H223" s="25"/>
    </row>
    <row r="224" spans="2:8" ht="12">
      <c r="B224" s="25"/>
      <c r="C224" s="25"/>
      <c r="D224" s="25"/>
      <c r="E224" s="25"/>
      <c r="F224" s="25"/>
      <c r="G224" s="25"/>
      <c r="H224" s="25"/>
    </row>
    <row r="225" spans="2:8" ht="12">
      <c r="B225" s="25"/>
      <c r="C225" s="25"/>
      <c r="D225" s="25"/>
      <c r="E225" s="25"/>
      <c r="F225" s="25"/>
      <c r="G225" s="25"/>
      <c r="H225" s="25"/>
    </row>
    <row r="226" spans="2:8" ht="12">
      <c r="B226" s="25"/>
      <c r="C226" s="25"/>
      <c r="D226" s="25"/>
      <c r="E226" s="25"/>
      <c r="F226" s="25"/>
      <c r="G226" s="25"/>
      <c r="H226" s="25"/>
    </row>
    <row r="227" spans="2:8" ht="12">
      <c r="B227" s="25"/>
      <c r="C227" s="25"/>
      <c r="D227" s="25"/>
      <c r="E227" s="25"/>
      <c r="F227" s="25"/>
      <c r="G227" s="25"/>
      <c r="H227" s="25"/>
    </row>
    <row r="228" spans="2:8" ht="12">
      <c r="B228" s="25"/>
      <c r="C228" s="25"/>
      <c r="D228" s="25"/>
      <c r="E228" s="25"/>
      <c r="F228" s="25"/>
      <c r="G228" s="25"/>
      <c r="H228" s="25"/>
    </row>
    <row r="229" spans="2:8" ht="12">
      <c r="B229" s="25"/>
      <c r="C229" s="25"/>
      <c r="D229" s="25"/>
      <c r="E229" s="25"/>
      <c r="F229" s="25"/>
      <c r="G229" s="25"/>
      <c r="H229" s="25"/>
    </row>
    <row r="230" spans="2:8" ht="12">
      <c r="B230" s="25"/>
      <c r="C230" s="25"/>
      <c r="D230" s="25"/>
      <c r="E230" s="25"/>
      <c r="F230" s="25"/>
      <c r="G230" s="25"/>
      <c r="H230" s="25"/>
    </row>
    <row r="231" spans="2:8" ht="12">
      <c r="B231" s="25"/>
      <c r="C231" s="25"/>
      <c r="D231" s="25"/>
      <c r="E231" s="25"/>
      <c r="F231" s="25"/>
      <c r="G231" s="25"/>
      <c r="H231" s="25"/>
    </row>
    <row r="232" spans="2:8" ht="12">
      <c r="B232" s="25"/>
      <c r="C232" s="25"/>
      <c r="D232" s="25"/>
      <c r="E232" s="25"/>
      <c r="F232" s="25"/>
      <c r="G232" s="25"/>
      <c r="H232" s="25"/>
    </row>
    <row r="233" spans="2:8" ht="12">
      <c r="B233" s="25"/>
      <c r="C233" s="25"/>
      <c r="D233" s="25"/>
      <c r="E233" s="25"/>
      <c r="F233" s="25"/>
      <c r="G233" s="25"/>
      <c r="H233" s="25"/>
    </row>
    <row r="234" spans="2:8" ht="12">
      <c r="B234" s="25"/>
      <c r="C234" s="25"/>
      <c r="D234" s="25"/>
      <c r="E234" s="25"/>
      <c r="F234" s="25"/>
      <c r="G234" s="25"/>
      <c r="H234" s="25"/>
    </row>
    <row r="235" spans="2:8" ht="12">
      <c r="B235" s="25"/>
      <c r="C235" s="25"/>
      <c r="D235" s="25"/>
      <c r="E235" s="25"/>
      <c r="F235" s="25"/>
      <c r="G235" s="25"/>
      <c r="H235" s="25"/>
    </row>
    <row r="236" spans="2:8" ht="12">
      <c r="B236" s="25"/>
      <c r="C236" s="25"/>
      <c r="D236" s="25"/>
      <c r="E236" s="25"/>
      <c r="F236" s="25"/>
      <c r="G236" s="25"/>
      <c r="H236" s="25"/>
    </row>
    <row r="237" spans="2:8" ht="12">
      <c r="B237" s="25"/>
      <c r="C237" s="25"/>
      <c r="D237" s="25"/>
      <c r="E237" s="25"/>
      <c r="F237" s="25"/>
      <c r="G237" s="25"/>
      <c r="H237" s="25"/>
    </row>
    <row r="238" spans="2:8" ht="12">
      <c r="B238" s="25"/>
      <c r="C238" s="25"/>
      <c r="D238" s="25"/>
      <c r="E238" s="25"/>
      <c r="F238" s="25"/>
      <c r="G238" s="25"/>
      <c r="H238" s="25"/>
    </row>
    <row r="239" spans="2:8" ht="12">
      <c r="B239" s="25"/>
      <c r="C239" s="25"/>
      <c r="D239" s="25"/>
      <c r="E239" s="25"/>
      <c r="F239" s="25"/>
      <c r="G239" s="25"/>
      <c r="H239" s="25"/>
    </row>
    <row r="240" spans="2:8" ht="12">
      <c r="B240" s="25"/>
      <c r="C240" s="25"/>
      <c r="D240" s="25"/>
      <c r="E240" s="25"/>
      <c r="F240" s="25"/>
      <c r="G240" s="25"/>
      <c r="H240" s="25"/>
    </row>
    <row r="241" spans="2:8" ht="12">
      <c r="B241" s="25"/>
      <c r="C241" s="25"/>
      <c r="D241" s="25"/>
      <c r="E241" s="25"/>
      <c r="F241" s="25"/>
      <c r="G241" s="25"/>
      <c r="H241" s="25"/>
    </row>
    <row r="242" spans="2:8" ht="12">
      <c r="B242" s="25"/>
      <c r="C242" s="25"/>
      <c r="D242" s="25"/>
      <c r="E242" s="25"/>
      <c r="F242" s="25"/>
      <c r="G242" s="25"/>
      <c r="H242" s="25"/>
    </row>
    <row r="243" spans="2:8" ht="12">
      <c r="B243" s="25"/>
      <c r="C243" s="25"/>
      <c r="D243" s="25"/>
      <c r="E243" s="25"/>
      <c r="F243" s="25"/>
      <c r="G243" s="25"/>
      <c r="H243" s="25"/>
    </row>
    <row r="244" spans="2:8" ht="12">
      <c r="B244" s="25"/>
      <c r="C244" s="25"/>
      <c r="D244" s="25"/>
      <c r="E244" s="25"/>
      <c r="F244" s="25"/>
      <c r="G244" s="25"/>
      <c r="H244" s="25"/>
    </row>
    <row r="245" spans="2:8" ht="12">
      <c r="B245" s="25"/>
      <c r="C245" s="25"/>
      <c r="D245" s="25"/>
      <c r="E245" s="25"/>
      <c r="F245" s="25"/>
      <c r="G245" s="25"/>
      <c r="H245" s="25"/>
    </row>
    <row r="246" spans="2:8" ht="12">
      <c r="B246" s="25"/>
      <c r="C246" s="25"/>
      <c r="D246" s="25"/>
      <c r="E246" s="25"/>
      <c r="F246" s="25"/>
      <c r="G246" s="25"/>
      <c r="H246" s="25"/>
    </row>
    <row r="247" spans="2:8" ht="12">
      <c r="B247" s="25"/>
      <c r="C247" s="25"/>
      <c r="D247" s="25"/>
      <c r="E247" s="25"/>
      <c r="F247" s="25"/>
      <c r="G247" s="25"/>
      <c r="H247" s="25"/>
    </row>
    <row r="248" spans="2:8" ht="12">
      <c r="B248" s="25"/>
      <c r="C248" s="25"/>
      <c r="D248" s="25"/>
      <c r="E248" s="25"/>
      <c r="F248" s="25"/>
      <c r="G248" s="25"/>
      <c r="H248" s="25"/>
    </row>
    <row r="249" spans="2:8" ht="12">
      <c r="B249" s="25"/>
      <c r="C249" s="25"/>
      <c r="D249" s="25"/>
      <c r="E249" s="25"/>
      <c r="F249" s="25"/>
      <c r="G249" s="25"/>
      <c r="H249" s="25"/>
    </row>
    <row r="250" spans="2:8" ht="12">
      <c r="B250" s="25"/>
      <c r="C250" s="25"/>
      <c r="D250" s="25"/>
      <c r="E250" s="25"/>
      <c r="F250" s="25"/>
      <c r="G250" s="25"/>
      <c r="H250" s="25"/>
    </row>
    <row r="251" spans="2:8" ht="12">
      <c r="B251" s="25"/>
      <c r="C251" s="25"/>
      <c r="D251" s="25"/>
      <c r="E251" s="25"/>
      <c r="F251" s="25"/>
      <c r="G251" s="25"/>
      <c r="H251" s="25"/>
    </row>
    <row r="252" spans="2:8" ht="12">
      <c r="B252" s="25"/>
      <c r="C252" s="25"/>
      <c r="D252" s="25"/>
      <c r="E252" s="25"/>
      <c r="F252" s="25"/>
      <c r="G252" s="25"/>
      <c r="H252" s="25"/>
    </row>
    <row r="253" spans="2:8" ht="12">
      <c r="B253" s="25"/>
      <c r="C253" s="25"/>
      <c r="D253" s="25"/>
      <c r="E253" s="25"/>
      <c r="F253" s="25"/>
      <c r="G253" s="25"/>
      <c r="H253" s="25"/>
    </row>
    <row r="254" spans="2:8" ht="12">
      <c r="B254" s="25"/>
      <c r="C254" s="25"/>
      <c r="D254" s="25"/>
      <c r="E254" s="25"/>
      <c r="F254" s="25"/>
      <c r="G254" s="25"/>
      <c r="H254" s="25"/>
    </row>
    <row r="255" spans="2:8" ht="12">
      <c r="B255" s="25"/>
      <c r="C255" s="25"/>
      <c r="D255" s="25"/>
      <c r="E255" s="25"/>
      <c r="F255" s="25"/>
      <c r="G255" s="25"/>
      <c r="H255" s="25"/>
    </row>
    <row r="256" spans="2:8" ht="12">
      <c r="B256" s="25"/>
      <c r="C256" s="25"/>
      <c r="D256" s="25"/>
      <c r="E256" s="25"/>
      <c r="F256" s="25"/>
      <c r="G256" s="25"/>
      <c r="H256" s="25"/>
    </row>
    <row r="257" spans="2:8" ht="12">
      <c r="B257" s="25"/>
      <c r="C257" s="25"/>
      <c r="D257" s="25"/>
      <c r="E257" s="25"/>
      <c r="F257" s="25"/>
      <c r="G257" s="25"/>
      <c r="H257" s="25"/>
    </row>
    <row r="258" spans="2:8" ht="12">
      <c r="B258" s="25"/>
      <c r="C258" s="25"/>
      <c r="D258" s="25"/>
      <c r="E258" s="25"/>
      <c r="F258" s="25"/>
      <c r="G258" s="25"/>
      <c r="H258" s="25"/>
    </row>
    <row r="259" spans="2:8" ht="12">
      <c r="B259" s="25"/>
      <c r="C259" s="25"/>
      <c r="D259" s="25"/>
      <c r="E259" s="25"/>
      <c r="F259" s="25"/>
      <c r="G259" s="25"/>
      <c r="H259" s="25"/>
    </row>
    <row r="260" spans="2:8" ht="12">
      <c r="B260" s="25"/>
      <c r="C260" s="25"/>
      <c r="D260" s="25"/>
      <c r="E260" s="25"/>
      <c r="F260" s="25"/>
      <c r="G260" s="25"/>
      <c r="H260" s="25"/>
    </row>
    <row r="261" spans="2:8" ht="12">
      <c r="B261" s="25"/>
      <c r="C261" s="25"/>
      <c r="D261" s="25"/>
      <c r="E261" s="25"/>
      <c r="F261" s="25"/>
      <c r="G261" s="25"/>
      <c r="H261" s="25"/>
    </row>
    <row r="262" spans="2:8" ht="12">
      <c r="B262" s="25"/>
      <c r="C262" s="25"/>
      <c r="D262" s="25"/>
      <c r="E262" s="25"/>
      <c r="F262" s="25"/>
      <c r="G262" s="25"/>
      <c r="H262" s="25"/>
    </row>
    <row r="263" spans="2:8" ht="12">
      <c r="B263" s="25"/>
      <c r="C263" s="25"/>
      <c r="D263" s="25"/>
      <c r="E263" s="25"/>
      <c r="F263" s="25"/>
      <c r="G263" s="25"/>
      <c r="H263" s="25"/>
    </row>
    <row r="264" spans="2:8" ht="12">
      <c r="B264" s="25"/>
      <c r="C264" s="25"/>
      <c r="D264" s="25"/>
      <c r="E264" s="25"/>
      <c r="F264" s="25"/>
      <c r="G264" s="25"/>
      <c r="H264" s="25"/>
    </row>
    <row r="265" spans="2:8" ht="12">
      <c r="B265" s="25"/>
      <c r="C265" s="25"/>
      <c r="D265" s="25"/>
      <c r="E265" s="25"/>
      <c r="F265" s="25"/>
      <c r="G265" s="25"/>
      <c r="H265" s="25"/>
    </row>
    <row r="266" spans="2:8" ht="12">
      <c r="B266" s="25"/>
      <c r="C266" s="25"/>
      <c r="D266" s="25"/>
      <c r="E266" s="25"/>
      <c r="F266" s="25"/>
      <c r="G266" s="25"/>
      <c r="H266" s="25"/>
    </row>
    <row r="267" spans="2:8" ht="12">
      <c r="B267" s="25"/>
      <c r="C267" s="25"/>
      <c r="D267" s="25"/>
      <c r="E267" s="25"/>
      <c r="F267" s="25"/>
      <c r="G267" s="25"/>
      <c r="H267" s="25"/>
    </row>
    <row r="268" spans="2:8" ht="12">
      <c r="B268" s="25"/>
      <c r="C268" s="25"/>
      <c r="D268" s="25"/>
      <c r="E268" s="25"/>
      <c r="F268" s="25"/>
      <c r="G268" s="25"/>
      <c r="H268" s="25"/>
    </row>
    <row r="269" spans="2:8" ht="12">
      <c r="B269" s="25"/>
      <c r="C269" s="25"/>
      <c r="D269" s="25"/>
      <c r="E269" s="25"/>
      <c r="F269" s="25"/>
      <c r="G269" s="25"/>
      <c r="H269" s="25"/>
    </row>
    <row r="270" spans="2:8" ht="12">
      <c r="B270" s="25"/>
      <c r="C270" s="25"/>
      <c r="D270" s="25"/>
      <c r="E270" s="25"/>
      <c r="F270" s="25"/>
      <c r="G270" s="25"/>
      <c r="H270" s="25"/>
    </row>
    <row r="271" spans="2:8" ht="12">
      <c r="B271" s="25"/>
      <c r="C271" s="25"/>
      <c r="D271" s="25"/>
      <c r="E271" s="25"/>
      <c r="F271" s="25"/>
      <c r="G271" s="25"/>
      <c r="H271" s="25"/>
    </row>
    <row r="272" spans="2:8" ht="12">
      <c r="B272" s="25"/>
      <c r="C272" s="25"/>
      <c r="D272" s="25"/>
      <c r="E272" s="25"/>
      <c r="F272" s="25"/>
      <c r="G272" s="25"/>
      <c r="H272" s="25"/>
    </row>
    <row r="273" spans="2:8" ht="12">
      <c r="B273" s="25"/>
      <c r="C273" s="25"/>
      <c r="D273" s="25"/>
      <c r="E273" s="25"/>
      <c r="F273" s="25"/>
      <c r="G273" s="25"/>
      <c r="H273" s="25"/>
    </row>
    <row r="274" spans="2:8" ht="12">
      <c r="B274" s="25"/>
      <c r="C274" s="25"/>
      <c r="D274" s="25"/>
      <c r="E274" s="25"/>
      <c r="F274" s="25"/>
      <c r="G274" s="25"/>
      <c r="H274" s="25"/>
    </row>
    <row r="275" spans="2:8" ht="12">
      <c r="B275" s="25"/>
      <c r="C275" s="25"/>
      <c r="D275" s="25"/>
      <c r="E275" s="25"/>
      <c r="F275" s="25"/>
      <c r="G275" s="25"/>
      <c r="H275" s="25"/>
    </row>
    <row r="276" spans="2:8" ht="12">
      <c r="B276" s="25"/>
      <c r="C276" s="25"/>
      <c r="D276" s="25"/>
      <c r="E276" s="25"/>
      <c r="F276" s="25"/>
      <c r="G276" s="25"/>
      <c r="H276" s="25"/>
    </row>
    <row r="277" spans="2:8" ht="12">
      <c r="B277" s="25"/>
      <c r="C277" s="25"/>
      <c r="D277" s="25"/>
      <c r="E277" s="25"/>
      <c r="F277" s="25"/>
      <c r="G277" s="25"/>
      <c r="H277" s="25"/>
    </row>
    <row r="278" spans="2:8" ht="12">
      <c r="B278" s="25"/>
      <c r="C278" s="25"/>
      <c r="D278" s="25"/>
      <c r="E278" s="25"/>
      <c r="F278" s="25"/>
      <c r="G278" s="25"/>
      <c r="H278" s="25"/>
    </row>
    <row r="279" spans="2:8" ht="12">
      <c r="B279" s="25"/>
      <c r="C279" s="25"/>
      <c r="D279" s="25"/>
      <c r="E279" s="25"/>
      <c r="F279" s="25"/>
      <c r="G279" s="25"/>
      <c r="H279" s="25"/>
    </row>
    <row r="280" spans="2:8" ht="12">
      <c r="B280" s="25"/>
      <c r="C280" s="25"/>
      <c r="D280" s="25"/>
      <c r="E280" s="25"/>
      <c r="F280" s="25"/>
      <c r="G280" s="25"/>
      <c r="H280" s="25"/>
    </row>
    <row r="281" spans="2:8" ht="12">
      <c r="B281" s="25"/>
      <c r="C281" s="25"/>
      <c r="D281" s="25"/>
      <c r="E281" s="25"/>
      <c r="F281" s="25"/>
      <c r="G281" s="25"/>
      <c r="H281" s="25"/>
    </row>
    <row r="282" spans="2:8" ht="12">
      <c r="B282" s="25"/>
      <c r="C282" s="25"/>
      <c r="D282" s="25"/>
      <c r="E282" s="25"/>
      <c r="F282" s="25"/>
      <c r="G282" s="25"/>
      <c r="H282" s="25"/>
    </row>
    <row r="283" spans="2:8" ht="12">
      <c r="B283" s="25"/>
      <c r="C283" s="25"/>
      <c r="D283" s="25"/>
      <c r="E283" s="25"/>
      <c r="F283" s="25"/>
      <c r="G283" s="25"/>
      <c r="H283" s="25"/>
    </row>
    <row r="284" spans="2:8" ht="12">
      <c r="B284" s="25"/>
      <c r="C284" s="25"/>
      <c r="D284" s="25"/>
      <c r="E284" s="25"/>
      <c r="F284" s="25"/>
      <c r="G284" s="25"/>
      <c r="H284" s="25"/>
    </row>
    <row r="285" spans="2:8" ht="12">
      <c r="B285" s="25"/>
      <c r="C285" s="25"/>
      <c r="D285" s="25"/>
      <c r="E285" s="25"/>
      <c r="F285" s="25"/>
      <c r="G285" s="25"/>
      <c r="H285" s="25"/>
    </row>
    <row r="286" spans="2:8" ht="12">
      <c r="B286" s="25"/>
      <c r="C286" s="25"/>
      <c r="D286" s="25"/>
      <c r="E286" s="25"/>
      <c r="F286" s="25"/>
      <c r="G286" s="25"/>
      <c r="H286" s="25"/>
    </row>
    <row r="287" spans="2:8" ht="12">
      <c r="B287" s="25"/>
      <c r="C287" s="25"/>
      <c r="D287" s="25"/>
      <c r="E287" s="25"/>
      <c r="F287" s="25"/>
      <c r="G287" s="25"/>
      <c r="H287" s="25"/>
    </row>
    <row r="288" spans="2:8" ht="12">
      <c r="B288" s="25"/>
      <c r="C288" s="25"/>
      <c r="D288" s="25"/>
      <c r="E288" s="25"/>
      <c r="F288" s="25"/>
      <c r="G288" s="25"/>
      <c r="H288" s="25"/>
    </row>
    <row r="289" spans="2:8" ht="12">
      <c r="B289" s="25"/>
      <c r="C289" s="25"/>
      <c r="D289" s="25"/>
      <c r="E289" s="25"/>
      <c r="F289" s="25"/>
      <c r="G289" s="25"/>
      <c r="H289" s="25"/>
    </row>
    <row r="290" spans="2:8" ht="12">
      <c r="B290" s="25"/>
      <c r="C290" s="25"/>
      <c r="D290" s="25"/>
      <c r="E290" s="25"/>
      <c r="F290" s="25"/>
      <c r="G290" s="25"/>
      <c r="H290" s="25"/>
    </row>
    <row r="291" spans="2:8" ht="12">
      <c r="B291" s="25"/>
      <c r="C291" s="25"/>
      <c r="D291" s="25"/>
      <c r="E291" s="25"/>
      <c r="F291" s="25"/>
      <c r="G291" s="25"/>
      <c r="H291" s="25"/>
    </row>
    <row r="292" spans="2:8" ht="12">
      <c r="B292" s="25"/>
      <c r="C292" s="25"/>
      <c r="D292" s="25"/>
      <c r="E292" s="25"/>
      <c r="F292" s="25"/>
      <c r="G292" s="25"/>
      <c r="H292" s="25"/>
    </row>
    <row r="293" spans="2:8" ht="12">
      <c r="B293" s="25"/>
      <c r="C293" s="25"/>
      <c r="D293" s="25"/>
      <c r="E293" s="25"/>
      <c r="F293" s="25"/>
      <c r="G293" s="25"/>
      <c r="H293" s="25"/>
    </row>
    <row r="294" spans="2:8" ht="12">
      <c r="B294" s="25"/>
      <c r="C294" s="25"/>
      <c r="D294" s="25"/>
      <c r="E294" s="25"/>
      <c r="F294" s="25"/>
      <c r="G294" s="25"/>
      <c r="H294" s="25"/>
    </row>
    <row r="295" spans="2:8" ht="12">
      <c r="B295" s="25"/>
      <c r="C295" s="25"/>
      <c r="D295" s="25"/>
      <c r="E295" s="25"/>
      <c r="F295" s="25"/>
      <c r="G295" s="25"/>
      <c r="H295" s="25"/>
    </row>
    <row r="296" spans="2:8" ht="12">
      <c r="B296" s="25"/>
      <c r="C296" s="25"/>
      <c r="D296" s="25"/>
      <c r="E296" s="25"/>
      <c r="F296" s="25"/>
      <c r="G296" s="25"/>
      <c r="H296" s="25"/>
    </row>
    <row r="297" spans="2:8" ht="12">
      <c r="B297" s="25"/>
      <c r="C297" s="25"/>
      <c r="D297" s="25"/>
      <c r="E297" s="25"/>
      <c r="F297" s="25"/>
      <c r="G297" s="25"/>
      <c r="H297" s="25"/>
    </row>
    <row r="298" spans="2:8" ht="12">
      <c r="B298" s="25"/>
      <c r="C298" s="25"/>
      <c r="D298" s="25"/>
      <c r="E298" s="25"/>
      <c r="F298" s="25"/>
      <c r="G298" s="25"/>
      <c r="H298" s="25"/>
    </row>
    <row r="299" spans="2:8" ht="12">
      <c r="B299" s="25"/>
      <c r="C299" s="25"/>
      <c r="D299" s="25"/>
      <c r="E299" s="25"/>
      <c r="F299" s="25"/>
      <c r="G299" s="25"/>
      <c r="H299" s="25"/>
    </row>
    <row r="300" spans="2:8" ht="12">
      <c r="B300" s="25"/>
      <c r="C300" s="25"/>
      <c r="D300" s="25"/>
      <c r="E300" s="25"/>
      <c r="F300" s="25"/>
      <c r="G300" s="25"/>
      <c r="H300" s="25"/>
    </row>
    <row r="301" spans="2:8" ht="12">
      <c r="B301" s="25"/>
      <c r="C301" s="25"/>
      <c r="D301" s="25"/>
      <c r="E301" s="25"/>
      <c r="F301" s="25"/>
      <c r="G301" s="25"/>
      <c r="H301" s="25"/>
    </row>
    <row r="302" spans="2:8" ht="12">
      <c r="B302" s="25"/>
      <c r="C302" s="25"/>
      <c r="D302" s="25"/>
      <c r="E302" s="25"/>
      <c r="F302" s="25"/>
      <c r="G302" s="25"/>
      <c r="H302" s="25"/>
    </row>
    <row r="303" spans="2:8" ht="12">
      <c r="B303" s="25"/>
      <c r="C303" s="25"/>
      <c r="D303" s="25"/>
      <c r="E303" s="25"/>
      <c r="F303" s="25"/>
      <c r="G303" s="25"/>
      <c r="H303" s="25"/>
    </row>
    <row r="304" spans="2:8" ht="12">
      <c r="B304" s="25"/>
      <c r="C304" s="25"/>
      <c r="D304" s="25"/>
      <c r="E304" s="25"/>
      <c r="F304" s="25"/>
      <c r="G304" s="25"/>
      <c r="H304" s="25"/>
    </row>
    <row r="305" spans="2:8" ht="12">
      <c r="B305" s="25"/>
      <c r="C305" s="25"/>
      <c r="D305" s="25"/>
      <c r="E305" s="25"/>
      <c r="F305" s="25"/>
      <c r="G305" s="25"/>
      <c r="H305" s="25"/>
    </row>
    <row r="306" spans="2:8" ht="12">
      <c r="B306" s="25"/>
      <c r="C306" s="25"/>
      <c r="D306" s="25"/>
      <c r="E306" s="25"/>
      <c r="F306" s="25"/>
      <c r="G306" s="25"/>
      <c r="H306" s="25"/>
    </row>
    <row r="307" spans="2:8" ht="12">
      <c r="B307" s="25"/>
      <c r="C307" s="25"/>
      <c r="D307" s="25"/>
      <c r="E307" s="25"/>
      <c r="F307" s="25"/>
      <c r="G307" s="25"/>
      <c r="H307" s="25"/>
    </row>
    <row r="308" spans="2:8" ht="12">
      <c r="B308" s="25"/>
      <c r="C308" s="25"/>
      <c r="D308" s="25"/>
      <c r="E308" s="25"/>
      <c r="F308" s="25"/>
      <c r="G308" s="25"/>
      <c r="H308" s="25"/>
    </row>
    <row r="309" spans="2:8" ht="12">
      <c r="B309" s="25"/>
      <c r="C309" s="25"/>
      <c r="D309" s="25"/>
      <c r="E309" s="25"/>
      <c r="F309" s="25"/>
      <c r="G309" s="25"/>
      <c r="H309" s="25"/>
    </row>
    <row r="310" spans="2:8" ht="12">
      <c r="B310" s="25"/>
      <c r="C310" s="25"/>
      <c r="D310" s="25"/>
      <c r="E310" s="25"/>
      <c r="F310" s="25"/>
      <c r="G310" s="25"/>
      <c r="H310" s="25"/>
    </row>
    <row r="311" spans="2:8" ht="12">
      <c r="B311" s="25"/>
      <c r="C311" s="25"/>
      <c r="D311" s="25"/>
      <c r="E311" s="25"/>
      <c r="F311" s="25"/>
      <c r="G311" s="25"/>
      <c r="H311" s="25"/>
    </row>
    <row r="312" spans="2:8" ht="12">
      <c r="B312" s="25"/>
      <c r="C312" s="25"/>
      <c r="D312" s="25"/>
      <c r="E312" s="25"/>
      <c r="F312" s="25"/>
      <c r="G312" s="25"/>
      <c r="H312" s="25"/>
    </row>
    <row r="313" spans="2:8" ht="12">
      <c r="B313" s="25"/>
      <c r="C313" s="25"/>
      <c r="D313" s="25"/>
      <c r="E313" s="25"/>
      <c r="F313" s="25"/>
      <c r="G313" s="25"/>
      <c r="H313" s="25"/>
    </row>
    <row r="314" spans="2:8" ht="12">
      <c r="B314" s="25"/>
      <c r="C314" s="25"/>
      <c r="D314" s="25"/>
      <c r="E314" s="25"/>
      <c r="F314" s="25"/>
      <c r="G314" s="25"/>
      <c r="H314" s="25"/>
    </row>
    <row r="315" spans="2:8" ht="12">
      <c r="B315" s="25"/>
      <c r="C315" s="25"/>
      <c r="D315" s="25"/>
      <c r="E315" s="25"/>
      <c r="F315" s="25"/>
      <c r="G315" s="25"/>
      <c r="H315" s="25"/>
    </row>
    <row r="316" spans="2:8" ht="12">
      <c r="B316" s="25"/>
      <c r="C316" s="25"/>
      <c r="D316" s="25"/>
      <c r="E316" s="25"/>
      <c r="F316" s="25"/>
      <c r="G316" s="25"/>
      <c r="H316" s="25"/>
    </row>
    <row r="317" spans="2:8" ht="12">
      <c r="B317" s="25"/>
      <c r="C317" s="25"/>
      <c r="D317" s="25"/>
      <c r="E317" s="25"/>
      <c r="F317" s="25"/>
      <c r="G317" s="25"/>
      <c r="H317" s="25"/>
    </row>
    <row r="318" spans="2:8" ht="12">
      <c r="B318" s="25"/>
      <c r="C318" s="25"/>
      <c r="D318" s="25"/>
      <c r="E318" s="25"/>
      <c r="F318" s="25"/>
      <c r="G318" s="25"/>
      <c r="H318" s="25"/>
    </row>
    <row r="319" spans="2:8" ht="12">
      <c r="B319" s="25"/>
      <c r="C319" s="25"/>
      <c r="D319" s="25"/>
      <c r="E319" s="25"/>
      <c r="F319" s="25"/>
      <c r="G319" s="25"/>
      <c r="H319" s="25"/>
    </row>
    <row r="320" spans="2:8" ht="12">
      <c r="B320" s="25"/>
      <c r="C320" s="25"/>
      <c r="D320" s="25"/>
      <c r="E320" s="25"/>
      <c r="F320" s="25"/>
      <c r="G320" s="25"/>
      <c r="H320" s="25"/>
    </row>
    <row r="321" spans="2:8" ht="12">
      <c r="B321" s="25"/>
      <c r="C321" s="25"/>
      <c r="D321" s="25"/>
      <c r="E321" s="25"/>
      <c r="F321" s="25"/>
      <c r="G321" s="25"/>
      <c r="H321" s="25"/>
    </row>
    <row r="322" spans="2:8" ht="12">
      <c r="B322" s="25"/>
      <c r="C322" s="25"/>
      <c r="D322" s="25"/>
      <c r="E322" s="25"/>
      <c r="F322" s="25"/>
      <c r="G322" s="25"/>
      <c r="H322" s="25"/>
    </row>
    <row r="323" spans="2:8" ht="12">
      <c r="B323" s="25"/>
      <c r="C323" s="25"/>
      <c r="D323" s="25"/>
      <c r="E323" s="25"/>
      <c r="F323" s="25"/>
      <c r="G323" s="25"/>
      <c r="H323" s="25"/>
    </row>
    <row r="324" spans="2:8" ht="12">
      <c r="B324" s="25"/>
      <c r="C324" s="25"/>
      <c r="D324" s="25"/>
      <c r="E324" s="25"/>
      <c r="F324" s="25"/>
      <c r="G324" s="25"/>
      <c r="H324" s="25"/>
    </row>
    <row r="325" spans="2:8" ht="12">
      <c r="B325" s="25"/>
      <c r="C325" s="25"/>
      <c r="D325" s="25"/>
      <c r="E325" s="25"/>
      <c r="F325" s="25"/>
      <c r="G325" s="25"/>
      <c r="H325" s="25"/>
    </row>
    <row r="326" spans="2:8" ht="12">
      <c r="B326" s="25"/>
      <c r="C326" s="25"/>
      <c r="D326" s="25"/>
      <c r="E326" s="25"/>
      <c r="F326" s="25"/>
      <c r="G326" s="25"/>
      <c r="H326" s="25"/>
    </row>
    <row r="327" spans="2:8" ht="12">
      <c r="B327" s="25"/>
      <c r="C327" s="25"/>
      <c r="D327" s="25"/>
      <c r="E327" s="25"/>
      <c r="F327" s="25"/>
      <c r="G327" s="25"/>
      <c r="H327" s="25"/>
    </row>
    <row r="328" spans="2:8" ht="12">
      <c r="B328" s="25"/>
      <c r="C328" s="25"/>
      <c r="D328" s="25"/>
      <c r="E328" s="25"/>
      <c r="F328" s="25"/>
      <c r="G328" s="25"/>
      <c r="H328" s="25"/>
    </row>
    <row r="329" spans="2:8" ht="12">
      <c r="B329" s="25"/>
      <c r="C329" s="25"/>
      <c r="D329" s="25"/>
      <c r="E329" s="25"/>
      <c r="F329" s="25"/>
      <c r="G329" s="25"/>
      <c r="H329" s="25"/>
    </row>
    <row r="330" spans="2:8" ht="12">
      <c r="B330" s="25"/>
      <c r="C330" s="25"/>
      <c r="D330" s="25"/>
      <c r="E330" s="25"/>
      <c r="F330" s="25"/>
      <c r="G330" s="25"/>
      <c r="H330" s="25"/>
    </row>
    <row r="331" spans="2:8" ht="12">
      <c r="B331" s="25"/>
      <c r="C331" s="25"/>
      <c r="D331" s="25"/>
      <c r="E331" s="25"/>
      <c r="F331" s="25"/>
      <c r="G331" s="25"/>
      <c r="H331" s="25"/>
    </row>
    <row r="332" spans="2:8" ht="12">
      <c r="B332" s="25"/>
      <c r="C332" s="25"/>
      <c r="D332" s="25"/>
      <c r="E332" s="25"/>
      <c r="F332" s="25"/>
      <c r="G332" s="25"/>
      <c r="H332" s="25"/>
    </row>
    <row r="333" spans="2:8" ht="12">
      <c r="B333" s="25"/>
      <c r="C333" s="25"/>
      <c r="D333" s="25"/>
      <c r="E333" s="25"/>
      <c r="F333" s="25"/>
      <c r="G333" s="25"/>
      <c r="H333" s="25"/>
    </row>
    <row r="334" spans="2:8" ht="12">
      <c r="B334" s="25"/>
      <c r="C334" s="25"/>
      <c r="D334" s="25"/>
      <c r="E334" s="25"/>
      <c r="F334" s="25"/>
      <c r="G334" s="25"/>
      <c r="H334" s="25"/>
    </row>
    <row r="335" spans="2:8" ht="12">
      <c r="B335" s="25"/>
      <c r="C335" s="25"/>
      <c r="D335" s="25"/>
      <c r="E335" s="25"/>
      <c r="F335" s="25"/>
      <c r="G335" s="25"/>
      <c r="H335" s="25"/>
    </row>
    <row r="336" spans="2:8" ht="12">
      <c r="B336" s="25"/>
      <c r="C336" s="25"/>
      <c r="D336" s="25"/>
      <c r="E336" s="25"/>
      <c r="F336" s="25"/>
      <c r="G336" s="25"/>
      <c r="H336" s="25"/>
    </row>
    <row r="337" spans="2:8" ht="12">
      <c r="B337" s="25"/>
      <c r="C337" s="25"/>
      <c r="D337" s="25"/>
      <c r="E337" s="25"/>
      <c r="F337" s="25"/>
      <c r="G337" s="25"/>
      <c r="H337" s="25"/>
    </row>
    <row r="338" spans="2:8" ht="12">
      <c r="B338" s="25"/>
      <c r="C338" s="25"/>
      <c r="D338" s="25"/>
      <c r="E338" s="25"/>
      <c r="F338" s="25"/>
      <c r="G338" s="25"/>
      <c r="H338" s="25"/>
    </row>
    <row r="339" spans="2:8" ht="12">
      <c r="B339" s="25"/>
      <c r="C339" s="25"/>
      <c r="D339" s="25"/>
      <c r="E339" s="25"/>
      <c r="F339" s="25"/>
      <c r="G339" s="25"/>
      <c r="H339" s="25"/>
    </row>
    <row r="340" spans="2:8" ht="12">
      <c r="B340" s="25"/>
      <c r="C340" s="25"/>
      <c r="D340" s="25"/>
      <c r="E340" s="25"/>
      <c r="F340" s="25"/>
      <c r="G340" s="25"/>
      <c r="H340" s="25"/>
    </row>
    <row r="341" spans="2:8" ht="12">
      <c r="B341" s="25"/>
      <c r="C341" s="25"/>
      <c r="D341" s="25"/>
      <c r="E341" s="25"/>
      <c r="F341" s="25"/>
      <c r="G341" s="25"/>
      <c r="H341" s="25"/>
    </row>
    <row r="342" spans="2:8" ht="12">
      <c r="B342" s="25"/>
      <c r="C342" s="25"/>
      <c r="D342" s="25"/>
      <c r="E342" s="25"/>
      <c r="F342" s="25"/>
      <c r="G342" s="25"/>
      <c r="H342" s="25"/>
    </row>
    <row r="343" spans="2:8" ht="12">
      <c r="B343" s="25"/>
      <c r="C343" s="25"/>
      <c r="D343" s="25"/>
      <c r="E343" s="25"/>
      <c r="F343" s="25"/>
      <c r="G343" s="25"/>
      <c r="H343" s="25"/>
    </row>
    <row r="344" spans="2:8" ht="12">
      <c r="B344" s="25"/>
      <c r="C344" s="25"/>
      <c r="D344" s="25"/>
      <c r="E344" s="25"/>
      <c r="F344" s="25"/>
      <c r="G344" s="25"/>
      <c r="H344" s="25"/>
    </row>
    <row r="345" spans="2:8" ht="12">
      <c r="B345" s="25"/>
      <c r="C345" s="25"/>
      <c r="D345" s="25"/>
      <c r="E345" s="25"/>
      <c r="F345" s="25"/>
      <c r="G345" s="25"/>
      <c r="H345" s="25"/>
    </row>
    <row r="346" spans="2:8" ht="12">
      <c r="B346" s="25"/>
      <c r="C346" s="25"/>
      <c r="D346" s="25"/>
      <c r="E346" s="25"/>
      <c r="F346" s="25"/>
      <c r="G346" s="25"/>
      <c r="H346" s="25"/>
    </row>
    <row r="347" spans="2:8" ht="12">
      <c r="B347" s="25"/>
      <c r="C347" s="25"/>
      <c r="D347" s="25"/>
      <c r="E347" s="25"/>
      <c r="F347" s="25"/>
      <c r="G347" s="25"/>
      <c r="H347" s="25"/>
    </row>
    <row r="348" spans="2:8" ht="12">
      <c r="B348" s="25"/>
      <c r="C348" s="25"/>
      <c r="D348" s="25"/>
      <c r="E348" s="25"/>
      <c r="F348" s="25"/>
      <c r="G348" s="25"/>
      <c r="H348" s="25"/>
    </row>
    <row r="349" spans="2:8" ht="12">
      <c r="B349" s="25"/>
      <c r="C349" s="25"/>
      <c r="D349" s="25"/>
      <c r="E349" s="25"/>
      <c r="F349" s="25"/>
      <c r="G349" s="25"/>
      <c r="H349" s="25"/>
    </row>
    <row r="350" spans="2:8" ht="12">
      <c r="B350" s="25"/>
      <c r="C350" s="25"/>
      <c r="D350" s="25"/>
      <c r="E350" s="25"/>
      <c r="F350" s="25"/>
      <c r="G350" s="25"/>
      <c r="H350" s="25"/>
    </row>
    <row r="351" spans="2:8" ht="12">
      <c r="B351" s="25"/>
      <c r="C351" s="25"/>
      <c r="D351" s="25"/>
      <c r="E351" s="25"/>
      <c r="F351" s="25"/>
      <c r="G351" s="25"/>
      <c r="H351" s="25"/>
    </row>
    <row r="352" spans="2:8" ht="12">
      <c r="B352" s="25"/>
      <c r="C352" s="25"/>
      <c r="D352" s="25"/>
      <c r="E352" s="25"/>
      <c r="F352" s="25"/>
      <c r="G352" s="25"/>
      <c r="H352" s="25"/>
    </row>
    <row r="353" spans="2:8" ht="12">
      <c r="B353" s="25"/>
      <c r="C353" s="25"/>
      <c r="D353" s="25"/>
      <c r="E353" s="25"/>
      <c r="F353" s="25"/>
      <c r="G353" s="25"/>
      <c r="H353" s="25"/>
    </row>
    <row r="354" spans="2:8" ht="12">
      <c r="B354" s="25"/>
      <c r="C354" s="25"/>
      <c r="D354" s="25"/>
      <c r="E354" s="25"/>
      <c r="F354" s="25"/>
      <c r="G354" s="25"/>
      <c r="H354" s="25"/>
    </row>
    <row r="355" spans="2:8" ht="12">
      <c r="B355" s="25"/>
      <c r="C355" s="25"/>
      <c r="D355" s="25"/>
      <c r="E355" s="25"/>
      <c r="F355" s="25"/>
      <c r="G355" s="25"/>
      <c r="H355" s="25"/>
    </row>
    <row r="356" spans="2:8" ht="12">
      <c r="B356" s="25"/>
      <c r="C356" s="25"/>
      <c r="D356" s="25"/>
      <c r="E356" s="25"/>
      <c r="F356" s="25"/>
      <c r="G356" s="25"/>
      <c r="H356" s="25"/>
    </row>
    <row r="357" spans="2:8" ht="12">
      <c r="B357" s="25"/>
      <c r="C357" s="25"/>
      <c r="D357" s="25"/>
      <c r="E357" s="25"/>
      <c r="F357" s="25"/>
      <c r="G357" s="25"/>
      <c r="H357" s="25"/>
    </row>
    <row r="358" spans="2:8" ht="12">
      <c r="B358" s="25"/>
      <c r="C358" s="25"/>
      <c r="D358" s="25"/>
      <c r="E358" s="25"/>
      <c r="F358" s="25"/>
      <c r="G358" s="25"/>
      <c r="H358" s="25"/>
    </row>
    <row r="359" spans="2:8" ht="12">
      <c r="B359" s="25"/>
      <c r="C359" s="25"/>
      <c r="D359" s="25"/>
      <c r="E359" s="25"/>
      <c r="F359" s="25"/>
      <c r="G359" s="25"/>
      <c r="H359" s="25"/>
    </row>
    <row r="360" spans="2:8" ht="12">
      <c r="B360" s="25"/>
      <c r="C360" s="25"/>
      <c r="D360" s="25"/>
      <c r="E360" s="25"/>
      <c r="F360" s="25"/>
      <c r="G360" s="25"/>
      <c r="H360" s="25"/>
    </row>
    <row r="361" spans="2:8" ht="12">
      <c r="B361" s="25"/>
      <c r="C361" s="25"/>
      <c r="D361" s="25"/>
      <c r="E361" s="25"/>
      <c r="F361" s="25"/>
      <c r="G361" s="25"/>
      <c r="H361" s="25"/>
    </row>
    <row r="362" spans="2:8" ht="12">
      <c r="B362" s="25"/>
      <c r="C362" s="25"/>
      <c r="D362" s="25"/>
      <c r="E362" s="25"/>
      <c r="F362" s="25"/>
      <c r="G362" s="25"/>
      <c r="H362" s="2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AO90"/>
  <sheetViews>
    <sheetView tabSelected="1" view="pageBreakPreview" zoomScale="60" workbookViewId="0" topLeftCell="A1">
      <selection activeCell="AP4" sqref="AP4"/>
    </sheetView>
  </sheetViews>
  <sheetFormatPr defaultColWidth="9.625" defaultRowHeight="12" customHeight="1"/>
  <cols>
    <col min="1" max="1" width="7.625" style="56" customWidth="1"/>
    <col min="2" max="2" width="1.625" style="56" customWidth="1"/>
    <col min="3" max="3" width="4.625" style="55" customWidth="1"/>
    <col min="4" max="4" width="5.625" style="56" customWidth="1"/>
    <col min="5" max="5" width="1.625" style="56" customWidth="1"/>
    <col min="6" max="6" width="3.625" style="56" customWidth="1"/>
    <col min="7" max="7" width="4.625" style="55" customWidth="1"/>
    <col min="8" max="8" width="5.625" style="56" customWidth="1"/>
    <col min="9" max="9" width="1.625" style="56" customWidth="1"/>
    <col min="10" max="10" width="4.625" style="55" customWidth="1"/>
    <col min="11" max="11" width="5.625" style="56" customWidth="1"/>
    <col min="12" max="12" width="1.625" style="56" customWidth="1"/>
    <col min="13" max="13" width="4.625" style="55" customWidth="1"/>
    <col min="14" max="14" width="5.625" style="56" customWidth="1"/>
    <col min="15" max="15" width="1.625" style="56" customWidth="1"/>
    <col min="16" max="16" width="4.625" style="55" customWidth="1"/>
    <col min="17" max="17" width="5.625" style="56" customWidth="1"/>
    <col min="18" max="18" width="1.625" style="56" customWidth="1"/>
    <col min="19" max="19" width="4.625" style="55" customWidth="1"/>
    <col min="20" max="20" width="5.625" style="56" customWidth="1"/>
    <col min="21" max="21" width="1.625" style="56" customWidth="1"/>
    <col min="22" max="22" width="4.625" style="55" customWidth="1"/>
    <col min="23" max="23" width="5.625" style="56" customWidth="1"/>
    <col min="24" max="24" width="1.625" style="56" customWidth="1"/>
    <col min="25" max="25" width="4.625" style="55" customWidth="1"/>
    <col min="26" max="26" width="5.625" style="56" customWidth="1"/>
    <col min="27" max="27" width="1.625" style="56" customWidth="1"/>
    <col min="28" max="28" width="4.625" style="55" customWidth="1"/>
    <col min="29" max="29" width="5.625" style="56" customWidth="1"/>
    <col min="30" max="30" width="1.625" style="56" customWidth="1"/>
    <col min="31" max="31" width="4.625" style="55" customWidth="1"/>
    <col min="32" max="32" width="5.625" style="56" customWidth="1"/>
    <col min="33" max="33" width="1.625" style="56" customWidth="1"/>
    <col min="34" max="34" width="4.625" style="55" customWidth="1"/>
    <col min="35" max="35" width="5.625" style="56" customWidth="1"/>
    <col min="36" max="36" width="1.625" style="56" customWidth="1"/>
    <col min="37" max="37" width="4.625" style="55" customWidth="1"/>
    <col min="38" max="38" width="5.625" style="56" customWidth="1"/>
    <col min="39" max="39" width="1.625" style="56" customWidth="1"/>
    <col min="40" max="40" width="4.625" style="55" customWidth="1"/>
    <col min="41" max="41" width="5.625" style="57" customWidth="1"/>
    <col min="42" max="16384" width="9.625" style="56" customWidth="1"/>
  </cols>
  <sheetData>
    <row r="1" spans="1:2" ht="12" customHeight="1">
      <c r="A1" s="53" t="s">
        <v>162</v>
      </c>
      <c r="B1" s="54"/>
    </row>
    <row r="3" spans="1:41" ht="12" customHeight="1">
      <c r="A3" s="61" t="s">
        <v>2</v>
      </c>
      <c r="B3" s="61"/>
      <c r="C3" s="61" t="s">
        <v>2</v>
      </c>
      <c r="D3" s="61" t="s">
        <v>2</v>
      </c>
      <c r="E3" s="61"/>
      <c r="F3" s="61"/>
      <c r="G3" s="61" t="s">
        <v>2</v>
      </c>
      <c r="H3" s="61" t="s">
        <v>2</v>
      </c>
      <c r="I3" s="61"/>
      <c r="J3" s="61" t="s">
        <v>2</v>
      </c>
      <c r="K3" s="61" t="s">
        <v>2</v>
      </c>
      <c r="L3" s="61"/>
      <c r="M3" s="61" t="s">
        <v>2</v>
      </c>
      <c r="N3" s="61" t="s">
        <v>2</v>
      </c>
      <c r="O3" s="61"/>
      <c r="P3" s="61" t="s">
        <v>2</v>
      </c>
      <c r="Q3" s="61" t="s">
        <v>2</v>
      </c>
      <c r="R3" s="61"/>
      <c r="S3" s="61" t="s">
        <v>2</v>
      </c>
      <c r="T3" s="61" t="s">
        <v>2</v>
      </c>
      <c r="U3" s="61"/>
      <c r="V3" s="61" t="s">
        <v>2</v>
      </c>
      <c r="W3" s="61" t="s">
        <v>2</v>
      </c>
      <c r="X3" s="61"/>
      <c r="Y3" s="61" t="s">
        <v>2</v>
      </c>
      <c r="Z3" s="61" t="s">
        <v>2</v>
      </c>
      <c r="AA3" s="61"/>
      <c r="AB3" s="61" t="s">
        <v>2</v>
      </c>
      <c r="AC3" s="61" t="s">
        <v>2</v>
      </c>
      <c r="AD3" s="61"/>
      <c r="AE3" s="61" t="s">
        <v>2</v>
      </c>
      <c r="AF3" s="61" t="s">
        <v>2</v>
      </c>
      <c r="AG3" s="61"/>
      <c r="AH3" s="61" t="s">
        <v>2</v>
      </c>
      <c r="AI3" s="61" t="s">
        <v>2</v>
      </c>
      <c r="AJ3" s="61"/>
      <c r="AK3" s="61" t="s">
        <v>2</v>
      </c>
      <c r="AL3" s="61" t="s">
        <v>2</v>
      </c>
      <c r="AM3" s="61"/>
      <c r="AN3" s="61" t="s">
        <v>2</v>
      </c>
      <c r="AO3" s="60" t="s">
        <v>2</v>
      </c>
    </row>
    <row r="4" spans="1:41" ht="12" customHeight="1">
      <c r="A4" s="57"/>
      <c r="B4" s="62" t="s">
        <v>3</v>
      </c>
      <c r="C4" s="63"/>
      <c r="D4" s="64"/>
      <c r="E4" s="62" t="s">
        <v>3</v>
      </c>
      <c r="F4" s="62"/>
      <c r="G4" s="63"/>
      <c r="H4" s="64"/>
      <c r="I4" s="62" t="s">
        <v>3</v>
      </c>
      <c r="J4" s="63"/>
      <c r="K4" s="64"/>
      <c r="L4" s="62" t="s">
        <v>3</v>
      </c>
      <c r="M4" s="63"/>
      <c r="N4" s="64"/>
      <c r="O4" s="62" t="s">
        <v>3</v>
      </c>
      <c r="P4" s="63"/>
      <c r="Q4" s="64"/>
      <c r="R4" s="65" t="s">
        <v>3</v>
      </c>
      <c r="S4" s="66" t="s">
        <v>155</v>
      </c>
      <c r="T4" s="59"/>
      <c r="U4" s="59"/>
      <c r="V4" s="66"/>
      <c r="W4" s="59"/>
      <c r="X4" s="59"/>
      <c r="Y4" s="66"/>
      <c r="Z4" s="59"/>
      <c r="AA4" s="67" t="s">
        <v>3</v>
      </c>
      <c r="AB4" s="63" t="s">
        <v>157</v>
      </c>
      <c r="AC4" s="54"/>
      <c r="AD4" s="54"/>
      <c r="AE4" s="66"/>
      <c r="AF4" s="59"/>
      <c r="AG4" s="59"/>
      <c r="AH4" s="66"/>
      <c r="AI4" s="59"/>
      <c r="AJ4" s="67" t="s">
        <v>3</v>
      </c>
      <c r="AK4" s="66"/>
      <c r="AL4" s="59"/>
      <c r="AM4" s="67" t="s">
        <v>3</v>
      </c>
      <c r="AN4" s="66"/>
      <c r="AO4" s="68"/>
    </row>
    <row r="5" spans="1:41" ht="12" customHeight="1">
      <c r="A5" s="57"/>
      <c r="B5" s="62" t="s">
        <v>3</v>
      </c>
      <c r="C5" s="63"/>
      <c r="D5" s="64"/>
      <c r="E5" s="62" t="s">
        <v>3</v>
      </c>
      <c r="F5" s="62"/>
      <c r="G5" s="63"/>
      <c r="H5" s="64"/>
      <c r="I5" s="62" t="s">
        <v>3</v>
      </c>
      <c r="J5" s="63"/>
      <c r="K5" s="64"/>
      <c r="L5" s="62" t="s">
        <v>3</v>
      </c>
      <c r="M5" s="63"/>
      <c r="N5" s="64"/>
      <c r="O5" s="62" t="s">
        <v>3</v>
      </c>
      <c r="P5" s="63"/>
      <c r="Q5" s="64"/>
      <c r="R5" s="65" t="s">
        <v>3</v>
      </c>
      <c r="S5" s="61" t="s">
        <v>2</v>
      </c>
      <c r="T5" s="61" t="s">
        <v>2</v>
      </c>
      <c r="U5" s="61"/>
      <c r="V5" s="61" t="s">
        <v>2</v>
      </c>
      <c r="W5" s="61" t="s">
        <v>2</v>
      </c>
      <c r="X5" s="61"/>
      <c r="Y5" s="61" t="s">
        <v>2</v>
      </c>
      <c r="Z5" s="61" t="s">
        <v>2</v>
      </c>
      <c r="AA5" s="67" t="s">
        <v>3</v>
      </c>
      <c r="AB5" s="61" t="s">
        <v>2</v>
      </c>
      <c r="AC5" s="61" t="s">
        <v>2</v>
      </c>
      <c r="AD5" s="61"/>
      <c r="AE5" s="61" t="s">
        <v>2</v>
      </c>
      <c r="AF5" s="61" t="s">
        <v>2</v>
      </c>
      <c r="AG5" s="61"/>
      <c r="AH5" s="61" t="s">
        <v>2</v>
      </c>
      <c r="AI5" s="61" t="s">
        <v>2</v>
      </c>
      <c r="AJ5" s="67" t="s">
        <v>3</v>
      </c>
      <c r="AK5" s="66"/>
      <c r="AL5" s="59"/>
      <c r="AM5" s="67" t="s">
        <v>3</v>
      </c>
      <c r="AN5" s="66"/>
      <c r="AO5" s="68"/>
    </row>
    <row r="6" spans="1:41" ht="12" customHeight="1">
      <c r="A6" s="57"/>
      <c r="B6" s="62" t="s">
        <v>3</v>
      </c>
      <c r="C6" s="63" t="s">
        <v>148</v>
      </c>
      <c r="D6" s="54"/>
      <c r="E6" s="62" t="s">
        <v>3</v>
      </c>
      <c r="F6" s="62"/>
      <c r="G6" s="63" t="s">
        <v>6</v>
      </c>
      <c r="H6" s="54"/>
      <c r="I6" s="62" t="s">
        <v>3</v>
      </c>
      <c r="J6" s="63" t="s">
        <v>151</v>
      </c>
      <c r="K6" s="54"/>
      <c r="L6" s="62" t="s">
        <v>3</v>
      </c>
      <c r="M6" s="63" t="s">
        <v>152</v>
      </c>
      <c r="N6" s="54"/>
      <c r="O6" s="62" t="s">
        <v>3</v>
      </c>
      <c r="P6" s="63" t="s">
        <v>153</v>
      </c>
      <c r="Q6" s="54"/>
      <c r="R6" s="65" t="s">
        <v>3</v>
      </c>
      <c r="S6" s="66" t="s">
        <v>154</v>
      </c>
      <c r="T6" s="59"/>
      <c r="U6" s="67" t="s">
        <v>3</v>
      </c>
      <c r="V6" s="66" t="s">
        <v>139</v>
      </c>
      <c r="W6" s="59"/>
      <c r="X6" s="67" t="s">
        <v>3</v>
      </c>
      <c r="Y6" s="66" t="s">
        <v>141</v>
      </c>
      <c r="Z6" s="59"/>
      <c r="AA6" s="67" t="s">
        <v>3</v>
      </c>
      <c r="AB6" s="63"/>
      <c r="AC6" s="54"/>
      <c r="AD6" s="67" t="s">
        <v>3</v>
      </c>
      <c r="AE6" s="63"/>
      <c r="AF6" s="54"/>
      <c r="AG6" s="67" t="s">
        <v>3</v>
      </c>
      <c r="AH6" s="63"/>
      <c r="AI6" s="54"/>
      <c r="AJ6" s="67" t="s">
        <v>3</v>
      </c>
      <c r="AK6" s="63" t="s">
        <v>11</v>
      </c>
      <c r="AL6" s="54"/>
      <c r="AM6" s="67" t="s">
        <v>3</v>
      </c>
      <c r="AN6" s="63" t="s">
        <v>12</v>
      </c>
      <c r="AO6" s="58"/>
    </row>
    <row r="7" spans="1:41" ht="12" customHeight="1">
      <c r="A7" s="69" t="s">
        <v>13</v>
      </c>
      <c r="B7" s="62" t="s">
        <v>3</v>
      </c>
      <c r="C7" s="63" t="s">
        <v>149</v>
      </c>
      <c r="D7" s="54"/>
      <c r="E7" s="62" t="s">
        <v>3</v>
      </c>
      <c r="F7" s="62"/>
      <c r="G7" s="63" t="s">
        <v>150</v>
      </c>
      <c r="H7" s="54"/>
      <c r="I7" s="62" t="s">
        <v>3</v>
      </c>
      <c r="J7" s="63" t="s">
        <v>15</v>
      </c>
      <c r="K7" s="54"/>
      <c r="L7" s="62" t="s">
        <v>3</v>
      </c>
      <c r="M7" s="63" t="s">
        <v>15</v>
      </c>
      <c r="N7" s="54"/>
      <c r="O7" s="62" t="s">
        <v>3</v>
      </c>
      <c r="P7" s="63" t="s">
        <v>15</v>
      </c>
      <c r="Q7" s="54"/>
      <c r="R7" s="65" t="s">
        <v>3</v>
      </c>
      <c r="S7" s="63"/>
      <c r="T7" s="54"/>
      <c r="U7" s="67" t="s">
        <v>3</v>
      </c>
      <c r="V7" s="63" t="s">
        <v>140</v>
      </c>
      <c r="W7" s="54"/>
      <c r="X7" s="67" t="s">
        <v>3</v>
      </c>
      <c r="Y7" s="63" t="s">
        <v>142</v>
      </c>
      <c r="Z7" s="54"/>
      <c r="AA7" s="67" t="s">
        <v>3</v>
      </c>
      <c r="AB7" s="63" t="s">
        <v>154</v>
      </c>
      <c r="AC7" s="54"/>
      <c r="AD7" s="67" t="s">
        <v>3</v>
      </c>
      <c r="AE7" s="63" t="s">
        <v>156</v>
      </c>
      <c r="AF7" s="54"/>
      <c r="AG7" s="67" t="s">
        <v>3</v>
      </c>
      <c r="AH7" s="63" t="s">
        <v>20</v>
      </c>
      <c r="AI7" s="54"/>
      <c r="AJ7" s="67" t="s">
        <v>3</v>
      </c>
      <c r="AK7" s="63" t="s">
        <v>15</v>
      </c>
      <c r="AL7" s="54"/>
      <c r="AM7" s="67" t="s">
        <v>3</v>
      </c>
      <c r="AN7" s="63" t="s">
        <v>15</v>
      </c>
      <c r="AO7" s="58"/>
    </row>
    <row r="8" spans="1:41" ht="12" customHeight="1">
      <c r="A8" s="57"/>
      <c r="B8" s="62" t="s">
        <v>3</v>
      </c>
      <c r="C8" s="63" t="s">
        <v>15</v>
      </c>
      <c r="D8" s="54"/>
      <c r="E8" s="62" t="s">
        <v>3</v>
      </c>
      <c r="F8" s="62"/>
      <c r="G8" s="66"/>
      <c r="H8" s="59"/>
      <c r="I8" s="62" t="s">
        <v>3</v>
      </c>
      <c r="J8" s="63"/>
      <c r="K8" s="64"/>
      <c r="L8" s="62" t="s">
        <v>3</v>
      </c>
      <c r="M8" s="63"/>
      <c r="N8" s="64"/>
      <c r="O8" s="62" t="s">
        <v>3</v>
      </c>
      <c r="P8" s="63"/>
      <c r="Q8" s="64"/>
      <c r="R8" s="65" t="s">
        <v>3</v>
      </c>
      <c r="S8" s="66"/>
      <c r="T8" s="59"/>
      <c r="U8" s="67" t="s">
        <v>3</v>
      </c>
      <c r="V8" s="66" t="s">
        <v>103</v>
      </c>
      <c r="W8" s="59"/>
      <c r="X8" s="67" t="s">
        <v>3</v>
      </c>
      <c r="Y8" s="66"/>
      <c r="Z8" s="59"/>
      <c r="AA8" s="67" t="s">
        <v>3</v>
      </c>
      <c r="AB8" s="66"/>
      <c r="AC8" s="59"/>
      <c r="AD8" s="67" t="s">
        <v>3</v>
      </c>
      <c r="AE8" s="63" t="s">
        <v>21</v>
      </c>
      <c r="AF8" s="54"/>
      <c r="AG8" s="67" t="s">
        <v>3</v>
      </c>
      <c r="AH8" s="63" t="s">
        <v>15</v>
      </c>
      <c r="AI8" s="54"/>
      <c r="AJ8" s="67" t="s">
        <v>3</v>
      </c>
      <c r="AK8" s="66"/>
      <c r="AL8" s="59"/>
      <c r="AM8" s="67" t="s">
        <v>3</v>
      </c>
      <c r="AN8" s="66"/>
      <c r="AO8" s="68"/>
    </row>
    <row r="9" spans="1:41" ht="12" customHeight="1">
      <c r="A9" s="61" t="s">
        <v>2</v>
      </c>
      <c r="B9" s="62" t="s">
        <v>3</v>
      </c>
      <c r="C9" s="61" t="s">
        <v>2</v>
      </c>
      <c r="D9" s="61" t="s">
        <v>2</v>
      </c>
      <c r="E9" s="62" t="s">
        <v>3</v>
      </c>
      <c r="F9" s="61" t="s">
        <v>2</v>
      </c>
      <c r="G9" s="61" t="s">
        <v>2</v>
      </c>
      <c r="H9" s="61" t="s">
        <v>2</v>
      </c>
      <c r="I9" s="62" t="s">
        <v>3</v>
      </c>
      <c r="J9" s="61" t="s">
        <v>2</v>
      </c>
      <c r="K9" s="61" t="s">
        <v>2</v>
      </c>
      <c r="L9" s="62" t="s">
        <v>3</v>
      </c>
      <c r="M9" s="61" t="s">
        <v>2</v>
      </c>
      <c r="N9" s="61" t="s">
        <v>2</v>
      </c>
      <c r="O9" s="62" t="s">
        <v>3</v>
      </c>
      <c r="P9" s="61" t="s">
        <v>2</v>
      </c>
      <c r="Q9" s="61" t="s">
        <v>2</v>
      </c>
      <c r="R9" s="65" t="s">
        <v>3</v>
      </c>
      <c r="S9" s="70" t="s">
        <v>2</v>
      </c>
      <c r="T9" s="61"/>
      <c r="U9" s="67" t="s">
        <v>3</v>
      </c>
      <c r="V9" s="70" t="s">
        <v>2</v>
      </c>
      <c r="W9" s="61"/>
      <c r="X9" s="67" t="s">
        <v>3</v>
      </c>
      <c r="Y9" s="70" t="s">
        <v>2</v>
      </c>
      <c r="Z9" s="61"/>
      <c r="AA9" s="67" t="s">
        <v>3</v>
      </c>
      <c r="AB9" s="70" t="s">
        <v>2</v>
      </c>
      <c r="AC9" s="61"/>
      <c r="AD9" s="67" t="s">
        <v>3</v>
      </c>
      <c r="AE9" s="70" t="s">
        <v>2</v>
      </c>
      <c r="AF9" s="61"/>
      <c r="AG9" s="67" t="s">
        <v>3</v>
      </c>
      <c r="AH9" s="70" t="s">
        <v>2</v>
      </c>
      <c r="AI9" s="61"/>
      <c r="AJ9" s="67" t="s">
        <v>3</v>
      </c>
      <c r="AK9" s="70" t="s">
        <v>2</v>
      </c>
      <c r="AL9" s="61"/>
      <c r="AM9" s="67" t="s">
        <v>3</v>
      </c>
      <c r="AN9" s="70" t="s">
        <v>2</v>
      </c>
      <c r="AO9" s="60"/>
    </row>
    <row r="10" spans="1:41" ht="12" customHeight="1">
      <c r="A10" s="69" t="s">
        <v>22</v>
      </c>
      <c r="B10" s="62" t="s">
        <v>3</v>
      </c>
      <c r="C10" s="71" t="s">
        <v>23</v>
      </c>
      <c r="D10" s="72"/>
      <c r="E10" s="62" t="s">
        <v>3</v>
      </c>
      <c r="F10" s="62"/>
      <c r="G10" s="71" t="s">
        <v>24</v>
      </c>
      <c r="H10" s="72"/>
      <c r="I10" s="62" t="s">
        <v>3</v>
      </c>
      <c r="J10" s="71" t="s">
        <v>25</v>
      </c>
      <c r="K10" s="72"/>
      <c r="L10" s="62" t="s">
        <v>3</v>
      </c>
      <c r="M10" s="71" t="s">
        <v>26</v>
      </c>
      <c r="N10" s="72"/>
      <c r="O10" s="62" t="s">
        <v>3</v>
      </c>
      <c r="P10" s="71" t="s">
        <v>27</v>
      </c>
      <c r="Q10" s="72"/>
      <c r="R10" s="65" t="s">
        <v>3</v>
      </c>
      <c r="S10" s="71" t="s">
        <v>28</v>
      </c>
      <c r="T10" s="72"/>
      <c r="U10" s="67" t="s">
        <v>3</v>
      </c>
      <c r="V10" s="73" t="s">
        <v>143</v>
      </c>
      <c r="W10" s="72"/>
      <c r="X10" s="67" t="s">
        <v>3</v>
      </c>
      <c r="Y10" s="71" t="s">
        <v>30</v>
      </c>
      <c r="Z10" s="72"/>
      <c r="AA10" s="67" t="s">
        <v>3</v>
      </c>
      <c r="AB10" s="71" t="s">
        <v>31</v>
      </c>
      <c r="AC10" s="72"/>
      <c r="AD10" s="67" t="s">
        <v>3</v>
      </c>
      <c r="AE10" s="74" t="s">
        <v>145</v>
      </c>
      <c r="AF10" s="54"/>
      <c r="AG10" s="67" t="s">
        <v>3</v>
      </c>
      <c r="AH10" s="74" t="s">
        <v>146</v>
      </c>
      <c r="AI10" s="58"/>
      <c r="AJ10" s="67" t="s">
        <v>3</v>
      </c>
      <c r="AK10" s="74" t="s">
        <v>144</v>
      </c>
      <c r="AL10" s="54"/>
      <c r="AM10" s="67" t="s">
        <v>3</v>
      </c>
      <c r="AN10" s="74" t="s">
        <v>147</v>
      </c>
      <c r="AO10" s="58"/>
    </row>
    <row r="11" spans="1:41" ht="12" customHeight="1">
      <c r="A11" s="60" t="s">
        <v>2</v>
      </c>
      <c r="B11" s="62" t="s">
        <v>3</v>
      </c>
      <c r="C11" s="70" t="s">
        <v>2</v>
      </c>
      <c r="D11" s="61"/>
      <c r="E11" s="62" t="s">
        <v>3</v>
      </c>
      <c r="F11" s="61" t="s">
        <v>2</v>
      </c>
      <c r="G11" s="70" t="s">
        <v>2</v>
      </c>
      <c r="H11" s="61"/>
      <c r="I11" s="62" t="s">
        <v>3</v>
      </c>
      <c r="J11" s="70" t="s">
        <v>2</v>
      </c>
      <c r="K11" s="61"/>
      <c r="L11" s="62" t="s">
        <v>3</v>
      </c>
      <c r="M11" s="70" t="s">
        <v>2</v>
      </c>
      <c r="N11" s="61"/>
      <c r="O11" s="62" t="s">
        <v>3</v>
      </c>
      <c r="P11" s="70" t="s">
        <v>2</v>
      </c>
      <c r="Q11" s="61"/>
      <c r="R11" s="65" t="s">
        <v>3</v>
      </c>
      <c r="S11" s="70" t="s">
        <v>2</v>
      </c>
      <c r="T11" s="61"/>
      <c r="U11" s="67" t="s">
        <v>3</v>
      </c>
      <c r="V11" s="70" t="s">
        <v>2</v>
      </c>
      <c r="W11" s="61"/>
      <c r="X11" s="67" t="s">
        <v>3</v>
      </c>
      <c r="Y11" s="70" t="s">
        <v>2</v>
      </c>
      <c r="Z11" s="61"/>
      <c r="AA11" s="67" t="s">
        <v>3</v>
      </c>
      <c r="AB11" s="70" t="s">
        <v>2</v>
      </c>
      <c r="AC11" s="61"/>
      <c r="AD11" s="67" t="s">
        <v>3</v>
      </c>
      <c r="AE11" s="70" t="s">
        <v>2</v>
      </c>
      <c r="AF11" s="61"/>
      <c r="AG11" s="67" t="s">
        <v>3</v>
      </c>
      <c r="AH11" s="70" t="s">
        <v>2</v>
      </c>
      <c r="AI11" s="61"/>
      <c r="AJ11" s="67" t="s">
        <v>3</v>
      </c>
      <c r="AK11" s="70" t="s">
        <v>2</v>
      </c>
      <c r="AL11" s="61"/>
      <c r="AM11" s="67" t="s">
        <v>3</v>
      </c>
      <c r="AN11" s="70" t="s">
        <v>2</v>
      </c>
      <c r="AO11" s="60"/>
    </row>
    <row r="12" spans="1:41" ht="12" customHeight="1">
      <c r="A12" s="58" t="s">
        <v>161</v>
      </c>
      <c r="B12" s="62" t="s">
        <v>3</v>
      </c>
      <c r="C12" s="75" t="s">
        <v>34</v>
      </c>
      <c r="D12" s="75" t="s">
        <v>34</v>
      </c>
      <c r="E12" s="76" t="s">
        <v>3</v>
      </c>
      <c r="F12" s="76"/>
      <c r="G12" s="75" t="s">
        <v>34</v>
      </c>
      <c r="H12" s="75" t="s">
        <v>34</v>
      </c>
      <c r="I12" s="76" t="s">
        <v>3</v>
      </c>
      <c r="J12" s="75" t="s">
        <v>34</v>
      </c>
      <c r="K12" s="75" t="s">
        <v>34</v>
      </c>
      <c r="L12" s="76" t="s">
        <v>3</v>
      </c>
      <c r="M12" s="77">
        <v>95</v>
      </c>
      <c r="N12" s="75" t="s">
        <v>34</v>
      </c>
      <c r="O12" s="76" t="s">
        <v>3</v>
      </c>
      <c r="P12" s="77">
        <v>79.3</v>
      </c>
      <c r="Q12" s="75" t="s">
        <v>34</v>
      </c>
      <c r="R12" s="74" t="s">
        <v>3</v>
      </c>
      <c r="S12" s="77">
        <v>28.9</v>
      </c>
      <c r="T12" s="75" t="s">
        <v>34</v>
      </c>
      <c r="U12" s="78" t="s">
        <v>3</v>
      </c>
      <c r="V12" s="75" t="s">
        <v>34</v>
      </c>
      <c r="W12" s="75" t="s">
        <v>34</v>
      </c>
      <c r="X12" s="78" t="s">
        <v>3</v>
      </c>
      <c r="Y12" s="75" t="s">
        <v>34</v>
      </c>
      <c r="Z12" s="75" t="s">
        <v>34</v>
      </c>
      <c r="AA12" s="78" t="s">
        <v>3</v>
      </c>
      <c r="AB12" s="77">
        <v>6.6</v>
      </c>
      <c r="AC12" s="75" t="s">
        <v>34</v>
      </c>
      <c r="AD12" s="78" t="s">
        <v>3</v>
      </c>
      <c r="AE12" s="75" t="s">
        <v>34</v>
      </c>
      <c r="AF12" s="75" t="s">
        <v>34</v>
      </c>
      <c r="AG12" s="78" t="s">
        <v>3</v>
      </c>
      <c r="AH12" s="75" t="s">
        <v>34</v>
      </c>
      <c r="AI12" s="75" t="s">
        <v>34</v>
      </c>
      <c r="AJ12" s="78" t="s">
        <v>3</v>
      </c>
      <c r="AK12" s="75" t="s">
        <v>34</v>
      </c>
      <c r="AL12" s="75" t="s">
        <v>34</v>
      </c>
      <c r="AM12" s="78" t="s">
        <v>3</v>
      </c>
      <c r="AN12" s="75" t="s">
        <v>34</v>
      </c>
      <c r="AO12" s="85" t="s">
        <v>34</v>
      </c>
    </row>
    <row r="13" spans="1:41" ht="12" customHeight="1">
      <c r="A13" s="58" t="s">
        <v>35</v>
      </c>
      <c r="B13" s="62" t="s">
        <v>3</v>
      </c>
      <c r="C13" s="75" t="s">
        <v>34</v>
      </c>
      <c r="D13" s="75" t="s">
        <v>34</v>
      </c>
      <c r="E13" s="76" t="s">
        <v>3</v>
      </c>
      <c r="F13" s="76"/>
      <c r="G13" s="75" t="s">
        <v>34</v>
      </c>
      <c r="H13" s="75" t="s">
        <v>34</v>
      </c>
      <c r="I13" s="76" t="s">
        <v>3</v>
      </c>
      <c r="J13" s="75" t="s">
        <v>34</v>
      </c>
      <c r="K13" s="75" t="s">
        <v>34</v>
      </c>
      <c r="L13" s="76" t="s">
        <v>3</v>
      </c>
      <c r="M13" s="77">
        <v>98.1</v>
      </c>
      <c r="N13" s="75" t="s">
        <v>34</v>
      </c>
      <c r="O13" s="76" t="s">
        <v>3</v>
      </c>
      <c r="P13" s="77">
        <v>78.4</v>
      </c>
      <c r="Q13" s="75" t="s">
        <v>34</v>
      </c>
      <c r="R13" s="74" t="s">
        <v>3</v>
      </c>
      <c r="S13" s="77">
        <v>20.7</v>
      </c>
      <c r="T13" s="75" t="s">
        <v>34</v>
      </c>
      <c r="U13" s="78" t="s">
        <v>3</v>
      </c>
      <c r="V13" s="75" t="s">
        <v>34</v>
      </c>
      <c r="W13" s="75" t="s">
        <v>34</v>
      </c>
      <c r="X13" s="78" t="s">
        <v>3</v>
      </c>
      <c r="Y13" s="75" t="s">
        <v>34</v>
      </c>
      <c r="Z13" s="75" t="s">
        <v>34</v>
      </c>
      <c r="AA13" s="78" t="s">
        <v>3</v>
      </c>
      <c r="AB13" s="77">
        <v>3.9</v>
      </c>
      <c r="AC13" s="75" t="s">
        <v>34</v>
      </c>
      <c r="AD13" s="78" t="s">
        <v>3</v>
      </c>
      <c r="AE13" s="75" t="s">
        <v>34</v>
      </c>
      <c r="AF13" s="75" t="s">
        <v>34</v>
      </c>
      <c r="AG13" s="78" t="s">
        <v>3</v>
      </c>
      <c r="AH13" s="75" t="s">
        <v>34</v>
      </c>
      <c r="AI13" s="75" t="s">
        <v>34</v>
      </c>
      <c r="AJ13" s="78" t="s">
        <v>3</v>
      </c>
      <c r="AK13" s="75" t="s">
        <v>34</v>
      </c>
      <c r="AL13" s="75" t="s">
        <v>34</v>
      </c>
      <c r="AM13" s="78" t="s">
        <v>3</v>
      </c>
      <c r="AN13" s="75" t="s">
        <v>34</v>
      </c>
      <c r="AO13" s="85" t="s">
        <v>34</v>
      </c>
    </row>
    <row r="14" spans="1:41" ht="12" customHeight="1">
      <c r="A14" s="58" t="s">
        <v>36</v>
      </c>
      <c r="B14" s="62" t="s">
        <v>3</v>
      </c>
      <c r="C14" s="75" t="s">
        <v>34</v>
      </c>
      <c r="D14" s="75" t="s">
        <v>34</v>
      </c>
      <c r="E14" s="76" t="s">
        <v>3</v>
      </c>
      <c r="F14" s="76"/>
      <c r="G14" s="75" t="s">
        <v>34</v>
      </c>
      <c r="H14" s="75" t="s">
        <v>34</v>
      </c>
      <c r="I14" s="76" t="s">
        <v>3</v>
      </c>
      <c r="J14" s="77">
        <v>73.8</v>
      </c>
      <c r="K14" s="75" t="s">
        <v>34</v>
      </c>
      <c r="L14" s="76" t="s">
        <v>3</v>
      </c>
      <c r="M14" s="77">
        <v>98.5</v>
      </c>
      <c r="N14" s="75" t="s">
        <v>34</v>
      </c>
      <c r="O14" s="76" t="s">
        <v>3</v>
      </c>
      <c r="P14" s="77">
        <v>79.3</v>
      </c>
      <c r="Q14" s="75" t="s">
        <v>34</v>
      </c>
      <c r="R14" s="74" t="s">
        <v>3</v>
      </c>
      <c r="S14" s="77">
        <v>24.3</v>
      </c>
      <c r="T14" s="75" t="s">
        <v>34</v>
      </c>
      <c r="U14" s="78" t="s">
        <v>3</v>
      </c>
      <c r="V14" s="75" t="s">
        <v>34</v>
      </c>
      <c r="W14" s="75" t="s">
        <v>34</v>
      </c>
      <c r="X14" s="78" t="s">
        <v>3</v>
      </c>
      <c r="Y14" s="75" t="s">
        <v>34</v>
      </c>
      <c r="Z14" s="75" t="s">
        <v>34</v>
      </c>
      <c r="AA14" s="78" t="s">
        <v>3</v>
      </c>
      <c r="AB14" s="77">
        <v>10.2</v>
      </c>
      <c r="AC14" s="75" t="s">
        <v>34</v>
      </c>
      <c r="AD14" s="78" t="s">
        <v>3</v>
      </c>
      <c r="AE14" s="75" t="s">
        <v>34</v>
      </c>
      <c r="AF14" s="75" t="s">
        <v>34</v>
      </c>
      <c r="AG14" s="78" t="s">
        <v>3</v>
      </c>
      <c r="AH14" s="75" t="s">
        <v>34</v>
      </c>
      <c r="AI14" s="75" t="s">
        <v>34</v>
      </c>
      <c r="AJ14" s="78" t="s">
        <v>3</v>
      </c>
      <c r="AK14" s="77">
        <v>3</v>
      </c>
      <c r="AL14" s="75" t="s">
        <v>34</v>
      </c>
      <c r="AM14" s="78" t="s">
        <v>3</v>
      </c>
      <c r="AN14" s="75" t="s">
        <v>34</v>
      </c>
      <c r="AO14" s="85" t="s">
        <v>34</v>
      </c>
    </row>
    <row r="15" spans="1:41" ht="12" customHeight="1">
      <c r="A15" s="58" t="s">
        <v>116</v>
      </c>
      <c r="B15" s="62" t="s">
        <v>3</v>
      </c>
      <c r="C15" s="75" t="s">
        <v>34</v>
      </c>
      <c r="D15" s="75" t="s">
        <v>34</v>
      </c>
      <c r="E15" s="76" t="s">
        <v>3</v>
      </c>
      <c r="F15" s="76"/>
      <c r="G15" s="75" t="s">
        <v>34</v>
      </c>
      <c r="H15" s="75" t="s">
        <v>34</v>
      </c>
      <c r="I15" s="76" t="s">
        <v>3</v>
      </c>
      <c r="J15" s="77">
        <v>74.7</v>
      </c>
      <c r="K15" s="75" t="s">
        <v>34</v>
      </c>
      <c r="L15" s="76" t="s">
        <v>3</v>
      </c>
      <c r="M15" s="77">
        <v>98.1</v>
      </c>
      <c r="N15" s="75" t="s">
        <v>34</v>
      </c>
      <c r="O15" s="76" t="s">
        <v>3</v>
      </c>
      <c r="P15" s="77">
        <v>81.8</v>
      </c>
      <c r="Q15" s="75" t="s">
        <v>34</v>
      </c>
      <c r="R15" s="74" t="s">
        <v>3</v>
      </c>
      <c r="S15" s="77">
        <v>26.9</v>
      </c>
      <c r="T15" s="75" t="s">
        <v>34</v>
      </c>
      <c r="U15" s="78" t="s">
        <v>3</v>
      </c>
      <c r="V15" s="75" t="s">
        <v>34</v>
      </c>
      <c r="W15" s="75" t="s">
        <v>34</v>
      </c>
      <c r="X15" s="78" t="s">
        <v>3</v>
      </c>
      <c r="Y15" s="75" t="s">
        <v>34</v>
      </c>
      <c r="Z15" s="75" t="s">
        <v>34</v>
      </c>
      <c r="AA15" s="78" t="s">
        <v>3</v>
      </c>
      <c r="AB15" s="77">
        <v>9.7</v>
      </c>
      <c r="AC15" s="75" t="s">
        <v>34</v>
      </c>
      <c r="AD15" s="78" t="s">
        <v>3</v>
      </c>
      <c r="AE15" s="75" t="s">
        <v>34</v>
      </c>
      <c r="AF15" s="75" t="s">
        <v>34</v>
      </c>
      <c r="AG15" s="78" t="s">
        <v>3</v>
      </c>
      <c r="AH15" s="75" t="s">
        <v>34</v>
      </c>
      <c r="AI15" s="75" t="s">
        <v>34</v>
      </c>
      <c r="AJ15" s="78" t="s">
        <v>3</v>
      </c>
      <c r="AK15" s="77">
        <v>2.6</v>
      </c>
      <c r="AL15" s="75" t="s">
        <v>34</v>
      </c>
      <c r="AM15" s="78" t="s">
        <v>3</v>
      </c>
      <c r="AN15" s="75" t="s">
        <v>34</v>
      </c>
      <c r="AO15" s="85" t="s">
        <v>34</v>
      </c>
    </row>
    <row r="16" spans="1:41" ht="12" customHeight="1">
      <c r="A16" s="58" t="s">
        <v>117</v>
      </c>
      <c r="B16" s="62" t="s">
        <v>3</v>
      </c>
      <c r="C16" s="75" t="s">
        <v>34</v>
      </c>
      <c r="D16" s="75" t="s">
        <v>34</v>
      </c>
      <c r="E16" s="76" t="s">
        <v>3</v>
      </c>
      <c r="F16" s="76"/>
      <c r="G16" s="75" t="s">
        <v>34</v>
      </c>
      <c r="H16" s="75" t="s">
        <v>34</v>
      </c>
      <c r="I16" s="76" t="s">
        <v>3</v>
      </c>
      <c r="J16" s="77">
        <v>76.2</v>
      </c>
      <c r="K16" s="75" t="s">
        <v>34</v>
      </c>
      <c r="L16" s="76" t="s">
        <v>3</v>
      </c>
      <c r="M16" s="77">
        <v>98.6</v>
      </c>
      <c r="N16" s="75" t="s">
        <v>34</v>
      </c>
      <c r="O16" s="76" t="s">
        <v>3</v>
      </c>
      <c r="P16" s="77">
        <v>81.6</v>
      </c>
      <c r="Q16" s="75" t="s">
        <v>34</v>
      </c>
      <c r="R16" s="74" t="s">
        <v>3</v>
      </c>
      <c r="S16" s="77">
        <v>25.3</v>
      </c>
      <c r="T16" s="75" t="s">
        <v>34</v>
      </c>
      <c r="U16" s="78" t="s">
        <v>3</v>
      </c>
      <c r="V16" s="75" t="s">
        <v>34</v>
      </c>
      <c r="W16" s="75" t="s">
        <v>34</v>
      </c>
      <c r="X16" s="78" t="s">
        <v>3</v>
      </c>
      <c r="Y16" s="75" t="s">
        <v>34</v>
      </c>
      <c r="Z16" s="75" t="s">
        <v>34</v>
      </c>
      <c r="AA16" s="78" t="s">
        <v>3</v>
      </c>
      <c r="AB16" s="77">
        <v>9.2</v>
      </c>
      <c r="AC16" s="75" t="s">
        <v>34</v>
      </c>
      <c r="AD16" s="78" t="s">
        <v>3</v>
      </c>
      <c r="AE16" s="75" t="s">
        <v>34</v>
      </c>
      <c r="AF16" s="75" t="s">
        <v>34</v>
      </c>
      <c r="AG16" s="78" t="s">
        <v>3</v>
      </c>
      <c r="AH16" s="75" t="s">
        <v>34</v>
      </c>
      <c r="AI16" s="75" t="s">
        <v>34</v>
      </c>
      <c r="AJ16" s="78" t="s">
        <v>3</v>
      </c>
      <c r="AK16" s="77">
        <v>3.8</v>
      </c>
      <c r="AL16" s="75" t="s">
        <v>34</v>
      </c>
      <c r="AM16" s="78" t="s">
        <v>3</v>
      </c>
      <c r="AN16" s="75" t="s">
        <v>34</v>
      </c>
      <c r="AO16" s="85" t="s">
        <v>34</v>
      </c>
    </row>
    <row r="17" spans="1:41" ht="12" customHeight="1">
      <c r="A17" s="57"/>
      <c r="B17" s="62" t="s">
        <v>3</v>
      </c>
      <c r="C17" s="77"/>
      <c r="D17" s="77"/>
      <c r="E17" s="76" t="s">
        <v>3</v>
      </c>
      <c r="F17" s="76"/>
      <c r="G17" s="77"/>
      <c r="H17" s="77"/>
      <c r="I17" s="76" t="s">
        <v>3</v>
      </c>
      <c r="J17" s="77"/>
      <c r="K17" s="77"/>
      <c r="L17" s="76" t="s">
        <v>3</v>
      </c>
      <c r="M17" s="77"/>
      <c r="N17" s="77"/>
      <c r="O17" s="76" t="s">
        <v>3</v>
      </c>
      <c r="P17" s="77"/>
      <c r="Q17" s="77"/>
      <c r="R17" s="74" t="s">
        <v>3</v>
      </c>
      <c r="S17" s="77"/>
      <c r="T17" s="77"/>
      <c r="U17" s="78" t="s">
        <v>3</v>
      </c>
      <c r="V17" s="77"/>
      <c r="W17" s="77"/>
      <c r="X17" s="78" t="s">
        <v>3</v>
      </c>
      <c r="Y17" s="77"/>
      <c r="Z17" s="77"/>
      <c r="AA17" s="78" t="s">
        <v>3</v>
      </c>
      <c r="AB17" s="77"/>
      <c r="AC17" s="77"/>
      <c r="AD17" s="78" t="s">
        <v>3</v>
      </c>
      <c r="AE17" s="77"/>
      <c r="AF17" s="77"/>
      <c r="AG17" s="78" t="s">
        <v>3</v>
      </c>
      <c r="AH17" s="77"/>
      <c r="AI17" s="77"/>
      <c r="AJ17" s="78" t="s">
        <v>3</v>
      </c>
      <c r="AK17" s="77"/>
      <c r="AL17" s="77"/>
      <c r="AM17" s="78" t="s">
        <v>3</v>
      </c>
      <c r="AN17" s="77"/>
      <c r="AO17" s="80"/>
    </row>
    <row r="18" spans="1:41" ht="12" customHeight="1">
      <c r="A18" s="58" t="s">
        <v>118</v>
      </c>
      <c r="B18" s="62" t="s">
        <v>3</v>
      </c>
      <c r="C18" s="75" t="s">
        <v>34</v>
      </c>
      <c r="D18" s="75" t="s">
        <v>34</v>
      </c>
      <c r="E18" s="76" t="s">
        <v>3</v>
      </c>
      <c r="F18" s="76"/>
      <c r="G18" s="75" t="s">
        <v>34</v>
      </c>
      <c r="H18" s="75" t="s">
        <v>34</v>
      </c>
      <c r="I18" s="76" t="s">
        <v>3</v>
      </c>
      <c r="J18" s="77">
        <v>74.4</v>
      </c>
      <c r="K18" s="75" t="s">
        <v>34</v>
      </c>
      <c r="L18" s="76" t="s">
        <v>3</v>
      </c>
      <c r="M18" s="77">
        <v>98.7</v>
      </c>
      <c r="N18" s="75" t="s">
        <v>34</v>
      </c>
      <c r="O18" s="76" t="s">
        <v>3</v>
      </c>
      <c r="P18" s="77">
        <v>83.7</v>
      </c>
      <c r="Q18" s="75" t="s">
        <v>34</v>
      </c>
      <c r="R18" s="74" t="s">
        <v>3</v>
      </c>
      <c r="S18" s="77">
        <v>29.4</v>
      </c>
      <c r="T18" s="75" t="s">
        <v>34</v>
      </c>
      <c r="U18" s="78" t="s">
        <v>3</v>
      </c>
      <c r="V18" s="75" t="s">
        <v>34</v>
      </c>
      <c r="W18" s="75" t="s">
        <v>34</v>
      </c>
      <c r="X18" s="78" t="s">
        <v>3</v>
      </c>
      <c r="Y18" s="75" t="s">
        <v>34</v>
      </c>
      <c r="Z18" s="75" t="s">
        <v>34</v>
      </c>
      <c r="AA18" s="78" t="s">
        <v>3</v>
      </c>
      <c r="AB18" s="77">
        <v>9</v>
      </c>
      <c r="AC18" s="75" t="s">
        <v>34</v>
      </c>
      <c r="AD18" s="78" t="s">
        <v>3</v>
      </c>
      <c r="AE18" s="75" t="s">
        <v>34</v>
      </c>
      <c r="AF18" s="75" t="s">
        <v>34</v>
      </c>
      <c r="AG18" s="78" t="s">
        <v>3</v>
      </c>
      <c r="AH18" s="75" t="s">
        <v>34</v>
      </c>
      <c r="AI18" s="75" t="s">
        <v>34</v>
      </c>
      <c r="AJ18" s="78" t="s">
        <v>3</v>
      </c>
      <c r="AK18" s="77">
        <v>3</v>
      </c>
      <c r="AL18" s="75" t="s">
        <v>34</v>
      </c>
      <c r="AM18" s="78" t="s">
        <v>3</v>
      </c>
      <c r="AN18" s="77">
        <v>0.9</v>
      </c>
      <c r="AO18" s="85" t="s">
        <v>34</v>
      </c>
    </row>
    <row r="19" spans="1:41" ht="12" customHeight="1">
      <c r="A19" s="58" t="s">
        <v>119</v>
      </c>
      <c r="B19" s="62" t="s">
        <v>3</v>
      </c>
      <c r="C19" s="75" t="s">
        <v>34</v>
      </c>
      <c r="D19" s="75" t="s">
        <v>34</v>
      </c>
      <c r="E19" s="76" t="s">
        <v>3</v>
      </c>
      <c r="F19" s="76"/>
      <c r="G19" s="75" t="s">
        <v>34</v>
      </c>
      <c r="H19" s="75" t="s">
        <v>34</v>
      </c>
      <c r="I19" s="76" t="s">
        <v>3</v>
      </c>
      <c r="J19" s="77">
        <v>73.6</v>
      </c>
      <c r="K19" s="75" t="s">
        <v>34</v>
      </c>
      <c r="L19" s="76" t="s">
        <v>3</v>
      </c>
      <c r="M19" s="77">
        <v>99.1</v>
      </c>
      <c r="N19" s="75" t="s">
        <v>34</v>
      </c>
      <c r="O19" s="76" t="s">
        <v>3</v>
      </c>
      <c r="P19" s="77">
        <v>85.2</v>
      </c>
      <c r="Q19" s="75" t="s">
        <v>34</v>
      </c>
      <c r="R19" s="74" t="s">
        <v>3</v>
      </c>
      <c r="S19" s="77">
        <v>26.2</v>
      </c>
      <c r="T19" s="75" t="s">
        <v>34</v>
      </c>
      <c r="U19" s="78" t="s">
        <v>3</v>
      </c>
      <c r="V19" s="75" t="s">
        <v>34</v>
      </c>
      <c r="W19" s="75" t="s">
        <v>34</v>
      </c>
      <c r="X19" s="78" t="s">
        <v>3</v>
      </c>
      <c r="Y19" s="75" t="s">
        <v>34</v>
      </c>
      <c r="Z19" s="75" t="s">
        <v>34</v>
      </c>
      <c r="AA19" s="78" t="s">
        <v>3</v>
      </c>
      <c r="AB19" s="77">
        <v>8.6</v>
      </c>
      <c r="AC19" s="75" t="s">
        <v>34</v>
      </c>
      <c r="AD19" s="78" t="s">
        <v>3</v>
      </c>
      <c r="AE19" s="75" t="s">
        <v>34</v>
      </c>
      <c r="AF19" s="75" t="s">
        <v>34</v>
      </c>
      <c r="AG19" s="78" t="s">
        <v>3</v>
      </c>
      <c r="AH19" s="75" t="s">
        <v>34</v>
      </c>
      <c r="AI19" s="75" t="s">
        <v>34</v>
      </c>
      <c r="AJ19" s="78" t="s">
        <v>3</v>
      </c>
      <c r="AK19" s="77">
        <v>2.5</v>
      </c>
      <c r="AL19" s="75" t="s">
        <v>34</v>
      </c>
      <c r="AM19" s="78" t="s">
        <v>3</v>
      </c>
      <c r="AN19" s="75" t="s">
        <v>34</v>
      </c>
      <c r="AO19" s="85" t="s">
        <v>34</v>
      </c>
    </row>
    <row r="20" spans="1:41" ht="12" customHeight="1">
      <c r="A20" s="58" t="s">
        <v>120</v>
      </c>
      <c r="B20" s="62" t="s">
        <v>3</v>
      </c>
      <c r="C20" s="75" t="s">
        <v>34</v>
      </c>
      <c r="D20" s="75" t="s">
        <v>34</v>
      </c>
      <c r="E20" s="76" t="s">
        <v>3</v>
      </c>
      <c r="F20" s="76"/>
      <c r="G20" s="75" t="s">
        <v>34</v>
      </c>
      <c r="H20" s="75" t="s">
        <v>34</v>
      </c>
      <c r="I20" s="76" t="s">
        <v>3</v>
      </c>
      <c r="J20" s="77">
        <v>75.2</v>
      </c>
      <c r="K20" s="75" t="s">
        <v>34</v>
      </c>
      <c r="L20" s="76" t="s">
        <v>3</v>
      </c>
      <c r="M20" s="77">
        <v>98.8</v>
      </c>
      <c r="N20" s="75" t="s">
        <v>34</v>
      </c>
      <c r="O20" s="76" t="s">
        <v>3</v>
      </c>
      <c r="P20" s="77">
        <v>85.2</v>
      </c>
      <c r="Q20" s="75" t="s">
        <v>34</v>
      </c>
      <c r="R20" s="74" t="s">
        <v>3</v>
      </c>
      <c r="S20" s="77">
        <v>28.8</v>
      </c>
      <c r="T20" s="75" t="s">
        <v>34</v>
      </c>
      <c r="U20" s="78" t="s">
        <v>3</v>
      </c>
      <c r="V20" s="75" t="s">
        <v>34</v>
      </c>
      <c r="W20" s="75" t="s">
        <v>34</v>
      </c>
      <c r="X20" s="78" t="s">
        <v>3</v>
      </c>
      <c r="Y20" s="75" t="s">
        <v>34</v>
      </c>
      <c r="Z20" s="75" t="s">
        <v>34</v>
      </c>
      <c r="AA20" s="78" t="s">
        <v>3</v>
      </c>
      <c r="AB20" s="77">
        <v>9.7</v>
      </c>
      <c r="AC20" s="75" t="s">
        <v>34</v>
      </c>
      <c r="AD20" s="78" t="s">
        <v>3</v>
      </c>
      <c r="AE20" s="75" t="s">
        <v>34</v>
      </c>
      <c r="AF20" s="75" t="s">
        <v>34</v>
      </c>
      <c r="AG20" s="78" t="s">
        <v>3</v>
      </c>
      <c r="AH20" s="75" t="s">
        <v>34</v>
      </c>
      <c r="AI20" s="75" t="s">
        <v>34</v>
      </c>
      <c r="AJ20" s="78" t="s">
        <v>3</v>
      </c>
      <c r="AK20" s="77">
        <v>2.6</v>
      </c>
      <c r="AL20" s="75" t="s">
        <v>34</v>
      </c>
      <c r="AM20" s="78" t="s">
        <v>3</v>
      </c>
      <c r="AN20" s="77">
        <v>1.2</v>
      </c>
      <c r="AO20" s="85" t="s">
        <v>34</v>
      </c>
    </row>
    <row r="21" spans="1:41" ht="12" customHeight="1">
      <c r="A21" s="58" t="s">
        <v>121</v>
      </c>
      <c r="B21" s="62" t="s">
        <v>3</v>
      </c>
      <c r="C21" s="75" t="s">
        <v>34</v>
      </c>
      <c r="D21" s="75" t="s">
        <v>34</v>
      </c>
      <c r="E21" s="76" t="s">
        <v>3</v>
      </c>
      <c r="F21" s="76"/>
      <c r="G21" s="75" t="s">
        <v>34</v>
      </c>
      <c r="H21" s="75" t="s">
        <v>34</v>
      </c>
      <c r="I21" s="76" t="s">
        <v>3</v>
      </c>
      <c r="J21" s="77">
        <v>78.6</v>
      </c>
      <c r="K21" s="75" t="s">
        <v>34</v>
      </c>
      <c r="L21" s="76" t="s">
        <v>3</v>
      </c>
      <c r="M21" s="77">
        <v>99.4</v>
      </c>
      <c r="N21" s="75" t="s">
        <v>34</v>
      </c>
      <c r="O21" s="76" t="s">
        <v>3</v>
      </c>
      <c r="P21" s="77">
        <v>85.9</v>
      </c>
      <c r="Q21" s="75" t="s">
        <v>34</v>
      </c>
      <c r="R21" s="74" t="s">
        <v>3</v>
      </c>
      <c r="S21" s="77">
        <v>31.2</v>
      </c>
      <c r="T21" s="75" t="s">
        <v>34</v>
      </c>
      <c r="U21" s="78" t="s">
        <v>3</v>
      </c>
      <c r="V21" s="75" t="s">
        <v>34</v>
      </c>
      <c r="W21" s="75" t="s">
        <v>34</v>
      </c>
      <c r="X21" s="78" t="s">
        <v>3</v>
      </c>
      <c r="Y21" s="75" t="s">
        <v>34</v>
      </c>
      <c r="Z21" s="75" t="s">
        <v>34</v>
      </c>
      <c r="AA21" s="78" t="s">
        <v>3</v>
      </c>
      <c r="AB21" s="77">
        <v>11.1</v>
      </c>
      <c r="AC21" s="75" t="s">
        <v>34</v>
      </c>
      <c r="AD21" s="78" t="s">
        <v>3</v>
      </c>
      <c r="AE21" s="75" t="s">
        <v>34</v>
      </c>
      <c r="AF21" s="75" t="s">
        <v>34</v>
      </c>
      <c r="AG21" s="78" t="s">
        <v>3</v>
      </c>
      <c r="AH21" s="75" t="s">
        <v>34</v>
      </c>
      <c r="AI21" s="75" t="s">
        <v>34</v>
      </c>
      <c r="AJ21" s="78" t="s">
        <v>3</v>
      </c>
      <c r="AK21" s="77">
        <v>2.9</v>
      </c>
      <c r="AL21" s="75" t="s">
        <v>34</v>
      </c>
      <c r="AM21" s="78" t="s">
        <v>3</v>
      </c>
      <c r="AN21" s="77">
        <v>1.7</v>
      </c>
      <c r="AO21" s="85" t="s">
        <v>34</v>
      </c>
    </row>
    <row r="22" spans="1:41" ht="12" customHeight="1">
      <c r="A22" s="54" t="s">
        <v>122</v>
      </c>
      <c r="B22" s="62" t="s">
        <v>3</v>
      </c>
      <c r="C22" s="75" t="s">
        <v>34</v>
      </c>
      <c r="D22" s="75" t="s">
        <v>34</v>
      </c>
      <c r="E22" s="76" t="s">
        <v>3</v>
      </c>
      <c r="F22" s="76"/>
      <c r="G22" s="75" t="s">
        <v>34</v>
      </c>
      <c r="H22" s="75" t="s">
        <v>34</v>
      </c>
      <c r="I22" s="76" t="s">
        <v>3</v>
      </c>
      <c r="J22" s="77">
        <v>77.3</v>
      </c>
      <c r="K22" s="75" t="s">
        <v>34</v>
      </c>
      <c r="L22" s="76" t="s">
        <v>3</v>
      </c>
      <c r="M22" s="77">
        <v>99.4</v>
      </c>
      <c r="N22" s="75" t="s">
        <v>34</v>
      </c>
      <c r="O22" s="76" t="s">
        <v>3</v>
      </c>
      <c r="P22" s="77">
        <v>87.1</v>
      </c>
      <c r="Q22" s="75" t="s">
        <v>34</v>
      </c>
      <c r="R22" s="74" t="s">
        <v>3</v>
      </c>
      <c r="S22" s="77">
        <v>32.4</v>
      </c>
      <c r="T22" s="75" t="s">
        <v>34</v>
      </c>
      <c r="U22" s="78" t="s">
        <v>3</v>
      </c>
      <c r="V22" s="75" t="s">
        <v>34</v>
      </c>
      <c r="W22" s="75" t="s">
        <v>34</v>
      </c>
      <c r="X22" s="78" t="s">
        <v>3</v>
      </c>
      <c r="Y22" s="75" t="s">
        <v>34</v>
      </c>
      <c r="Z22" s="75" t="s">
        <v>34</v>
      </c>
      <c r="AA22" s="78" t="s">
        <v>3</v>
      </c>
      <c r="AB22" s="77">
        <v>11.2</v>
      </c>
      <c r="AC22" s="75" t="s">
        <v>34</v>
      </c>
      <c r="AD22" s="78" t="s">
        <v>3</v>
      </c>
      <c r="AE22" s="75" t="s">
        <v>34</v>
      </c>
      <c r="AF22" s="75" t="s">
        <v>34</v>
      </c>
      <c r="AG22" s="78" t="s">
        <v>3</v>
      </c>
      <c r="AH22" s="75" t="s">
        <v>34</v>
      </c>
      <c r="AI22" s="75" t="s">
        <v>34</v>
      </c>
      <c r="AJ22" s="78" t="s">
        <v>3</v>
      </c>
      <c r="AK22" s="77">
        <v>4.1</v>
      </c>
      <c r="AL22" s="75" t="s">
        <v>34</v>
      </c>
      <c r="AM22" s="78" t="s">
        <v>3</v>
      </c>
      <c r="AN22" s="77">
        <v>1.5</v>
      </c>
      <c r="AO22" s="85" t="s">
        <v>34</v>
      </c>
    </row>
    <row r="23" spans="2:41" ht="12" customHeight="1">
      <c r="B23" s="62" t="s">
        <v>3</v>
      </c>
      <c r="C23" s="77"/>
      <c r="D23" s="77"/>
      <c r="E23" s="76" t="s">
        <v>3</v>
      </c>
      <c r="F23" s="76"/>
      <c r="G23" s="77"/>
      <c r="H23" s="77"/>
      <c r="I23" s="76" t="s">
        <v>3</v>
      </c>
      <c r="J23" s="77"/>
      <c r="K23" s="77"/>
      <c r="L23" s="76" t="s">
        <v>3</v>
      </c>
      <c r="M23" s="77"/>
      <c r="N23" s="77"/>
      <c r="O23" s="76" t="s">
        <v>3</v>
      </c>
      <c r="P23" s="77"/>
      <c r="Q23" s="77"/>
      <c r="R23" s="74" t="s">
        <v>3</v>
      </c>
      <c r="S23" s="77"/>
      <c r="T23" s="77"/>
      <c r="U23" s="78" t="s">
        <v>3</v>
      </c>
      <c r="V23" s="77"/>
      <c r="W23" s="77"/>
      <c r="X23" s="78" t="s">
        <v>3</v>
      </c>
      <c r="Y23" s="77"/>
      <c r="Z23" s="77"/>
      <c r="AA23" s="78" t="s">
        <v>3</v>
      </c>
      <c r="AB23" s="77"/>
      <c r="AC23" s="77"/>
      <c r="AD23" s="78" t="s">
        <v>3</v>
      </c>
      <c r="AE23" s="77"/>
      <c r="AF23" s="77"/>
      <c r="AG23" s="78" t="s">
        <v>3</v>
      </c>
      <c r="AH23" s="77"/>
      <c r="AI23" s="77"/>
      <c r="AJ23" s="78" t="s">
        <v>3</v>
      </c>
      <c r="AK23" s="77"/>
      <c r="AL23" s="77"/>
      <c r="AM23" s="78" t="s">
        <v>3</v>
      </c>
      <c r="AN23" s="77"/>
      <c r="AO23" s="80"/>
    </row>
    <row r="24" spans="1:41" ht="12" customHeight="1">
      <c r="A24" s="54" t="s">
        <v>123</v>
      </c>
      <c r="B24" s="62" t="s">
        <v>3</v>
      </c>
      <c r="C24" s="75" t="s">
        <v>34</v>
      </c>
      <c r="D24" s="75" t="s">
        <v>34</v>
      </c>
      <c r="E24" s="76" t="s">
        <v>3</v>
      </c>
      <c r="F24" s="76"/>
      <c r="G24" s="75" t="s">
        <v>34</v>
      </c>
      <c r="H24" s="75" t="s">
        <v>34</v>
      </c>
      <c r="I24" s="76" t="s">
        <v>3</v>
      </c>
      <c r="J24" s="77">
        <v>78.1</v>
      </c>
      <c r="K24" s="75" t="s">
        <v>34</v>
      </c>
      <c r="L24" s="76" t="s">
        <v>3</v>
      </c>
      <c r="M24" s="77">
        <v>99.2</v>
      </c>
      <c r="N24" s="75" t="s">
        <v>34</v>
      </c>
      <c r="O24" s="76" t="s">
        <v>3</v>
      </c>
      <c r="P24" s="77">
        <v>86.9</v>
      </c>
      <c r="Q24" s="75" t="s">
        <v>34</v>
      </c>
      <c r="R24" s="74" t="s">
        <v>3</v>
      </c>
      <c r="S24" s="77">
        <v>31.5</v>
      </c>
      <c r="T24" s="75" t="s">
        <v>34</v>
      </c>
      <c r="U24" s="78" t="s">
        <v>3</v>
      </c>
      <c r="V24" s="75" t="s">
        <v>34</v>
      </c>
      <c r="W24" s="75" t="s">
        <v>34</v>
      </c>
      <c r="X24" s="78" t="s">
        <v>3</v>
      </c>
      <c r="Y24" s="75" t="s">
        <v>34</v>
      </c>
      <c r="Z24" s="75" t="s">
        <v>34</v>
      </c>
      <c r="AA24" s="78" t="s">
        <v>3</v>
      </c>
      <c r="AB24" s="77">
        <v>11.1</v>
      </c>
      <c r="AC24" s="75" t="s">
        <v>34</v>
      </c>
      <c r="AD24" s="78" t="s">
        <v>3</v>
      </c>
      <c r="AE24" s="75" t="s">
        <v>34</v>
      </c>
      <c r="AF24" s="75" t="s">
        <v>34</v>
      </c>
      <c r="AG24" s="78" t="s">
        <v>3</v>
      </c>
      <c r="AH24" s="75" t="s">
        <v>34</v>
      </c>
      <c r="AI24" s="75" t="s">
        <v>34</v>
      </c>
      <c r="AJ24" s="78" t="s">
        <v>3</v>
      </c>
      <c r="AK24" s="77">
        <v>4.2</v>
      </c>
      <c r="AL24" s="75" t="s">
        <v>34</v>
      </c>
      <c r="AM24" s="78" t="s">
        <v>3</v>
      </c>
      <c r="AN24" s="77">
        <v>1.6</v>
      </c>
      <c r="AO24" s="85" t="s">
        <v>34</v>
      </c>
    </row>
    <row r="25" spans="1:41" ht="12" customHeight="1">
      <c r="A25" s="54" t="s">
        <v>124</v>
      </c>
      <c r="B25" s="62" t="s">
        <v>3</v>
      </c>
      <c r="C25" s="75" t="s">
        <v>34</v>
      </c>
      <c r="D25" s="75" t="s">
        <v>34</v>
      </c>
      <c r="E25" s="76" t="s">
        <v>3</v>
      </c>
      <c r="F25" s="76"/>
      <c r="G25" s="75" t="s">
        <v>34</v>
      </c>
      <c r="H25" s="75" t="s">
        <v>34</v>
      </c>
      <c r="I25" s="76" t="s">
        <v>3</v>
      </c>
      <c r="J25" s="77">
        <v>77.6</v>
      </c>
      <c r="K25" s="75" t="s">
        <v>34</v>
      </c>
      <c r="L25" s="76" t="s">
        <v>3</v>
      </c>
      <c r="M25" s="77">
        <v>99.3</v>
      </c>
      <c r="N25" s="75" t="s">
        <v>34</v>
      </c>
      <c r="O25" s="76" t="s">
        <v>3</v>
      </c>
      <c r="P25" s="77">
        <v>88.2</v>
      </c>
      <c r="Q25" s="75" t="s">
        <v>34</v>
      </c>
      <c r="R25" s="74" t="s">
        <v>3</v>
      </c>
      <c r="S25" s="77">
        <v>35.4</v>
      </c>
      <c r="T25" s="75" t="s">
        <v>34</v>
      </c>
      <c r="U25" s="78" t="s">
        <v>3</v>
      </c>
      <c r="V25" s="75" t="s">
        <v>34</v>
      </c>
      <c r="W25" s="75" t="s">
        <v>34</v>
      </c>
      <c r="X25" s="78" t="s">
        <v>3</v>
      </c>
      <c r="Y25" s="75" t="s">
        <v>34</v>
      </c>
      <c r="Z25" s="75" t="s">
        <v>34</v>
      </c>
      <c r="AA25" s="78" t="s">
        <v>3</v>
      </c>
      <c r="AB25" s="77">
        <v>12.8</v>
      </c>
      <c r="AC25" s="75" t="s">
        <v>34</v>
      </c>
      <c r="AD25" s="78" t="s">
        <v>3</v>
      </c>
      <c r="AE25" s="75" t="s">
        <v>34</v>
      </c>
      <c r="AF25" s="75" t="s">
        <v>34</v>
      </c>
      <c r="AG25" s="78" t="s">
        <v>3</v>
      </c>
      <c r="AH25" s="75" t="s">
        <v>34</v>
      </c>
      <c r="AI25" s="75" t="s">
        <v>34</v>
      </c>
      <c r="AJ25" s="78" t="s">
        <v>3</v>
      </c>
      <c r="AK25" s="77">
        <v>5.1</v>
      </c>
      <c r="AL25" s="75" t="s">
        <v>34</v>
      </c>
      <c r="AM25" s="78" t="s">
        <v>3</v>
      </c>
      <c r="AN25" s="77">
        <v>1.9</v>
      </c>
      <c r="AO25" s="85" t="s">
        <v>34</v>
      </c>
    </row>
    <row r="26" spans="1:41" ht="12" customHeight="1">
      <c r="A26" s="54" t="s">
        <v>125</v>
      </c>
      <c r="B26" s="62" t="s">
        <v>3</v>
      </c>
      <c r="C26" s="75" t="s">
        <v>34</v>
      </c>
      <c r="D26" s="75" t="s">
        <v>34</v>
      </c>
      <c r="E26" s="76" t="s">
        <v>3</v>
      </c>
      <c r="F26" s="76"/>
      <c r="G26" s="75" t="s">
        <v>34</v>
      </c>
      <c r="H26" s="75" t="s">
        <v>34</v>
      </c>
      <c r="I26" s="76" t="s">
        <v>3</v>
      </c>
      <c r="J26" s="77">
        <v>78.6</v>
      </c>
      <c r="K26" s="75" t="s">
        <v>34</v>
      </c>
      <c r="L26" s="76" t="s">
        <v>3</v>
      </c>
      <c r="M26" s="77">
        <v>99.5</v>
      </c>
      <c r="N26" s="75" t="s">
        <v>34</v>
      </c>
      <c r="O26" s="76" t="s">
        <v>3</v>
      </c>
      <c r="P26" s="77">
        <v>89.5</v>
      </c>
      <c r="Q26" s="75" t="s">
        <v>34</v>
      </c>
      <c r="R26" s="74" t="s">
        <v>3</v>
      </c>
      <c r="S26" s="77">
        <v>34.9</v>
      </c>
      <c r="T26" s="75" t="s">
        <v>34</v>
      </c>
      <c r="U26" s="78" t="s">
        <v>3</v>
      </c>
      <c r="V26" s="75" t="s">
        <v>34</v>
      </c>
      <c r="W26" s="75" t="s">
        <v>34</v>
      </c>
      <c r="X26" s="78" t="s">
        <v>3</v>
      </c>
      <c r="Y26" s="75" t="s">
        <v>34</v>
      </c>
      <c r="Z26" s="75" t="s">
        <v>34</v>
      </c>
      <c r="AA26" s="78" t="s">
        <v>3</v>
      </c>
      <c r="AB26" s="77">
        <v>14</v>
      </c>
      <c r="AC26" s="75" t="s">
        <v>34</v>
      </c>
      <c r="AD26" s="78" t="s">
        <v>3</v>
      </c>
      <c r="AE26" s="75" t="s">
        <v>34</v>
      </c>
      <c r="AF26" s="75" t="s">
        <v>34</v>
      </c>
      <c r="AG26" s="78" t="s">
        <v>3</v>
      </c>
      <c r="AH26" s="75" t="s">
        <v>34</v>
      </c>
      <c r="AI26" s="75" t="s">
        <v>34</v>
      </c>
      <c r="AJ26" s="78" t="s">
        <v>3</v>
      </c>
      <c r="AK26" s="75" t="s">
        <v>34</v>
      </c>
      <c r="AL26" s="75" t="s">
        <v>34</v>
      </c>
      <c r="AM26" s="78" t="s">
        <v>3</v>
      </c>
      <c r="AN26" s="75" t="s">
        <v>34</v>
      </c>
      <c r="AO26" s="85" t="s">
        <v>34</v>
      </c>
    </row>
    <row r="27" spans="1:41" ht="12" customHeight="1">
      <c r="A27" s="54" t="s">
        <v>126</v>
      </c>
      <c r="B27" s="62" t="s">
        <v>3</v>
      </c>
      <c r="C27" s="75" t="s">
        <v>34</v>
      </c>
      <c r="D27" s="75" t="s">
        <v>34</v>
      </c>
      <c r="E27" s="76" t="s">
        <v>3</v>
      </c>
      <c r="F27" s="76"/>
      <c r="G27" s="75" t="s">
        <v>34</v>
      </c>
      <c r="H27" s="75" t="s">
        <v>34</v>
      </c>
      <c r="I27" s="76" t="s">
        <v>3</v>
      </c>
      <c r="J27" s="77">
        <v>80.4</v>
      </c>
      <c r="K27" s="75" t="s">
        <v>34</v>
      </c>
      <c r="L27" s="76" t="s">
        <v>3</v>
      </c>
      <c r="M27" s="77">
        <v>99.5</v>
      </c>
      <c r="N27" s="75" t="s">
        <v>34</v>
      </c>
      <c r="O27" s="76" t="s">
        <v>3</v>
      </c>
      <c r="P27" s="77">
        <v>89.2</v>
      </c>
      <c r="Q27" s="75" t="s">
        <v>34</v>
      </c>
      <c r="R27" s="74" t="s">
        <v>3</v>
      </c>
      <c r="S27" s="77">
        <v>37.6</v>
      </c>
      <c r="T27" s="75" t="s">
        <v>34</v>
      </c>
      <c r="U27" s="78" t="s">
        <v>3</v>
      </c>
      <c r="V27" s="75" t="s">
        <v>34</v>
      </c>
      <c r="W27" s="75" t="s">
        <v>34</v>
      </c>
      <c r="X27" s="78" t="s">
        <v>3</v>
      </c>
      <c r="Y27" s="75" t="s">
        <v>34</v>
      </c>
      <c r="Z27" s="75" t="s">
        <v>34</v>
      </c>
      <c r="AA27" s="78" t="s">
        <v>3</v>
      </c>
      <c r="AB27" s="77">
        <v>13.4</v>
      </c>
      <c r="AC27" s="75" t="s">
        <v>34</v>
      </c>
      <c r="AD27" s="78" t="s">
        <v>3</v>
      </c>
      <c r="AE27" s="75" t="s">
        <v>34</v>
      </c>
      <c r="AF27" s="75" t="s">
        <v>34</v>
      </c>
      <c r="AG27" s="78" t="s">
        <v>3</v>
      </c>
      <c r="AH27" s="75" t="s">
        <v>34</v>
      </c>
      <c r="AI27" s="75" t="s">
        <v>34</v>
      </c>
      <c r="AJ27" s="78" t="s">
        <v>3</v>
      </c>
      <c r="AK27" s="75" t="s">
        <v>34</v>
      </c>
      <c r="AL27" s="75" t="s">
        <v>34</v>
      </c>
      <c r="AM27" s="78" t="s">
        <v>3</v>
      </c>
      <c r="AN27" s="75" t="s">
        <v>34</v>
      </c>
      <c r="AO27" s="85" t="s">
        <v>34</v>
      </c>
    </row>
    <row r="28" spans="1:41" ht="12" customHeight="1">
      <c r="A28" s="54" t="s">
        <v>127</v>
      </c>
      <c r="B28" s="62" t="s">
        <v>3</v>
      </c>
      <c r="C28" s="75" t="s">
        <v>34</v>
      </c>
      <c r="D28" s="75" t="s">
        <v>34</v>
      </c>
      <c r="E28" s="76" t="s">
        <v>3</v>
      </c>
      <c r="F28" s="76"/>
      <c r="G28" s="75" t="s">
        <v>34</v>
      </c>
      <c r="H28" s="75" t="s">
        <v>34</v>
      </c>
      <c r="I28" s="76" t="s">
        <v>3</v>
      </c>
      <c r="J28" s="77">
        <v>80</v>
      </c>
      <c r="K28" s="75" t="s">
        <v>34</v>
      </c>
      <c r="L28" s="76" t="s">
        <v>3</v>
      </c>
      <c r="M28" s="77">
        <v>99.4</v>
      </c>
      <c r="N28" s="75" t="s">
        <v>34</v>
      </c>
      <c r="O28" s="76" t="s">
        <v>3</v>
      </c>
      <c r="P28" s="77">
        <v>90.2</v>
      </c>
      <c r="Q28" s="75" t="s">
        <v>34</v>
      </c>
      <c r="R28" s="74" t="s">
        <v>3</v>
      </c>
      <c r="S28" s="77">
        <v>36.8</v>
      </c>
      <c r="T28" s="75" t="s">
        <v>34</v>
      </c>
      <c r="U28" s="78" t="s">
        <v>3</v>
      </c>
      <c r="V28" s="75" t="s">
        <v>34</v>
      </c>
      <c r="W28" s="75" t="s">
        <v>34</v>
      </c>
      <c r="X28" s="78" t="s">
        <v>3</v>
      </c>
      <c r="Y28" s="75" t="s">
        <v>34</v>
      </c>
      <c r="Z28" s="75" t="s">
        <v>34</v>
      </c>
      <c r="AA28" s="78" t="s">
        <v>3</v>
      </c>
      <c r="AB28" s="77">
        <v>12.7</v>
      </c>
      <c r="AC28" s="75" t="s">
        <v>34</v>
      </c>
      <c r="AD28" s="78" t="s">
        <v>3</v>
      </c>
      <c r="AE28" s="75" t="s">
        <v>34</v>
      </c>
      <c r="AF28" s="75" t="s">
        <v>34</v>
      </c>
      <c r="AG28" s="78" t="s">
        <v>3</v>
      </c>
      <c r="AH28" s="75" t="s">
        <v>34</v>
      </c>
      <c r="AI28" s="75" t="s">
        <v>34</v>
      </c>
      <c r="AJ28" s="78" t="s">
        <v>3</v>
      </c>
      <c r="AK28" s="75" t="s">
        <v>34</v>
      </c>
      <c r="AL28" s="75" t="s">
        <v>34</v>
      </c>
      <c r="AM28" s="78" t="s">
        <v>3</v>
      </c>
      <c r="AN28" s="75" t="s">
        <v>34</v>
      </c>
      <c r="AO28" s="85" t="s">
        <v>34</v>
      </c>
    </row>
    <row r="29" spans="2:41" ht="12" customHeight="1">
      <c r="B29" s="62" t="s">
        <v>3</v>
      </c>
      <c r="C29" s="77"/>
      <c r="D29" s="77"/>
      <c r="E29" s="76" t="s">
        <v>3</v>
      </c>
      <c r="F29" s="76"/>
      <c r="G29" s="77"/>
      <c r="H29" s="77"/>
      <c r="I29" s="76" t="s">
        <v>3</v>
      </c>
      <c r="J29" s="77"/>
      <c r="K29" s="77"/>
      <c r="L29" s="76" t="s">
        <v>3</v>
      </c>
      <c r="M29" s="77"/>
      <c r="N29" s="77"/>
      <c r="O29" s="76" t="s">
        <v>3</v>
      </c>
      <c r="P29" s="77"/>
      <c r="Q29" s="77"/>
      <c r="R29" s="74" t="s">
        <v>3</v>
      </c>
      <c r="S29" s="77"/>
      <c r="T29" s="77"/>
      <c r="U29" s="78" t="s">
        <v>3</v>
      </c>
      <c r="V29" s="77"/>
      <c r="W29" s="77"/>
      <c r="X29" s="78" t="s">
        <v>3</v>
      </c>
      <c r="Y29" s="77"/>
      <c r="Z29" s="77"/>
      <c r="AA29" s="78" t="s">
        <v>3</v>
      </c>
      <c r="AB29" s="77"/>
      <c r="AC29" s="77"/>
      <c r="AD29" s="78" t="s">
        <v>3</v>
      </c>
      <c r="AE29" s="77"/>
      <c r="AF29" s="77"/>
      <c r="AG29" s="78" t="s">
        <v>3</v>
      </c>
      <c r="AH29" s="77"/>
      <c r="AI29" s="77"/>
      <c r="AJ29" s="78" t="s">
        <v>3</v>
      </c>
      <c r="AK29" s="77"/>
      <c r="AL29" s="77"/>
      <c r="AM29" s="78" t="s">
        <v>3</v>
      </c>
      <c r="AN29" s="77"/>
      <c r="AO29" s="80"/>
    </row>
    <row r="30" spans="1:41" ht="12" customHeight="1">
      <c r="A30" s="54" t="s">
        <v>128</v>
      </c>
      <c r="B30" s="62" t="s">
        <v>3</v>
      </c>
      <c r="C30" s="75" t="s">
        <v>34</v>
      </c>
      <c r="D30" s="75" t="s">
        <v>34</v>
      </c>
      <c r="E30" s="76" t="s">
        <v>3</v>
      </c>
      <c r="F30" s="76"/>
      <c r="G30" s="75" t="s">
        <v>34</v>
      </c>
      <c r="H30" s="75" t="s">
        <v>34</v>
      </c>
      <c r="I30" s="76" t="s">
        <v>3</v>
      </c>
      <c r="J30" s="77">
        <v>80.7</v>
      </c>
      <c r="K30" s="75" t="s">
        <v>34</v>
      </c>
      <c r="L30" s="76" t="s">
        <v>3</v>
      </c>
      <c r="M30" s="77">
        <v>99.5</v>
      </c>
      <c r="N30" s="75" t="s">
        <v>34</v>
      </c>
      <c r="O30" s="76" t="s">
        <v>3</v>
      </c>
      <c r="P30" s="77">
        <v>90.3</v>
      </c>
      <c r="Q30" s="75" t="s">
        <v>34</v>
      </c>
      <c r="R30" s="74" t="s">
        <v>3</v>
      </c>
      <c r="S30" s="77">
        <v>38.4</v>
      </c>
      <c r="T30" s="75" t="s">
        <v>34</v>
      </c>
      <c r="U30" s="78" t="s">
        <v>3</v>
      </c>
      <c r="V30" s="75" t="s">
        <v>34</v>
      </c>
      <c r="W30" s="75" t="s">
        <v>34</v>
      </c>
      <c r="X30" s="78" t="s">
        <v>3</v>
      </c>
      <c r="Y30" s="75" t="s">
        <v>34</v>
      </c>
      <c r="Z30" s="75" t="s">
        <v>34</v>
      </c>
      <c r="AA30" s="78" t="s">
        <v>3</v>
      </c>
      <c r="AB30" s="77">
        <v>13.1</v>
      </c>
      <c r="AC30" s="75" t="s">
        <v>34</v>
      </c>
      <c r="AD30" s="78" t="s">
        <v>3</v>
      </c>
      <c r="AE30" s="75" t="s">
        <v>34</v>
      </c>
      <c r="AF30" s="75" t="s">
        <v>34</v>
      </c>
      <c r="AG30" s="78" t="s">
        <v>3</v>
      </c>
      <c r="AH30" s="75" t="s">
        <v>34</v>
      </c>
      <c r="AI30" s="75" t="s">
        <v>34</v>
      </c>
      <c r="AJ30" s="78" t="s">
        <v>3</v>
      </c>
      <c r="AK30" s="77">
        <v>4.9</v>
      </c>
      <c r="AL30" s="75" t="s">
        <v>34</v>
      </c>
      <c r="AM30" s="78" t="s">
        <v>3</v>
      </c>
      <c r="AN30" s="77">
        <v>2.4</v>
      </c>
      <c r="AO30" s="85" t="s">
        <v>34</v>
      </c>
    </row>
    <row r="31" spans="1:41" ht="12" customHeight="1">
      <c r="A31" s="54" t="s">
        <v>129</v>
      </c>
      <c r="B31" s="62" t="s">
        <v>3</v>
      </c>
      <c r="C31" s="75" t="s">
        <v>34</v>
      </c>
      <c r="D31" s="75" t="s">
        <v>34</v>
      </c>
      <c r="E31" s="76" t="s">
        <v>3</v>
      </c>
      <c r="F31" s="76"/>
      <c r="G31" s="75" t="s">
        <v>34</v>
      </c>
      <c r="H31" s="75" t="s">
        <v>34</v>
      </c>
      <c r="I31" s="76" t="s">
        <v>3</v>
      </c>
      <c r="J31" s="77">
        <v>81.7</v>
      </c>
      <c r="K31" s="75" t="s">
        <v>34</v>
      </c>
      <c r="L31" s="76" t="s">
        <v>3</v>
      </c>
      <c r="M31" s="77">
        <v>99.3</v>
      </c>
      <c r="N31" s="75" t="s">
        <v>34</v>
      </c>
      <c r="O31" s="76" t="s">
        <v>3</v>
      </c>
      <c r="P31" s="77">
        <v>91.4</v>
      </c>
      <c r="Q31" s="75" t="s">
        <v>34</v>
      </c>
      <c r="R31" s="74" t="s">
        <v>3</v>
      </c>
      <c r="S31" s="77">
        <v>38</v>
      </c>
      <c r="T31" s="75" t="s">
        <v>34</v>
      </c>
      <c r="U31" s="78" t="s">
        <v>3</v>
      </c>
      <c r="V31" s="75" t="s">
        <v>34</v>
      </c>
      <c r="W31" s="75" t="s">
        <v>34</v>
      </c>
      <c r="X31" s="78" t="s">
        <v>3</v>
      </c>
      <c r="Y31" s="75" t="s">
        <v>34</v>
      </c>
      <c r="Z31" s="75" t="s">
        <v>34</v>
      </c>
      <c r="AA31" s="78" t="s">
        <v>3</v>
      </c>
      <c r="AB31" s="77">
        <v>13.7</v>
      </c>
      <c r="AC31" s="75" t="s">
        <v>34</v>
      </c>
      <c r="AD31" s="78" t="s">
        <v>3</v>
      </c>
      <c r="AE31" s="75" t="s">
        <v>34</v>
      </c>
      <c r="AF31" s="75" t="s">
        <v>34</v>
      </c>
      <c r="AG31" s="78" t="s">
        <v>3</v>
      </c>
      <c r="AH31" s="75" t="s">
        <v>34</v>
      </c>
      <c r="AI31" s="75" t="s">
        <v>34</v>
      </c>
      <c r="AJ31" s="78" t="s">
        <v>3</v>
      </c>
      <c r="AK31" s="75" t="s">
        <v>34</v>
      </c>
      <c r="AL31" s="75" t="s">
        <v>34</v>
      </c>
      <c r="AM31" s="78" t="s">
        <v>3</v>
      </c>
      <c r="AN31" s="75" t="s">
        <v>34</v>
      </c>
      <c r="AO31" s="85" t="s">
        <v>34</v>
      </c>
    </row>
    <row r="32" spans="1:41" ht="12" customHeight="1">
      <c r="A32" s="54" t="s">
        <v>130</v>
      </c>
      <c r="B32" s="62" t="s">
        <v>3</v>
      </c>
      <c r="C32" s="75" t="s">
        <v>34</v>
      </c>
      <c r="D32" s="75" t="s">
        <v>34</v>
      </c>
      <c r="E32" s="76" t="s">
        <v>3</v>
      </c>
      <c r="F32" s="76"/>
      <c r="G32" s="75" t="s">
        <v>34</v>
      </c>
      <c r="H32" s="75" t="s">
        <v>34</v>
      </c>
      <c r="I32" s="76" t="s">
        <v>3</v>
      </c>
      <c r="J32" s="77">
        <v>82.2</v>
      </c>
      <c r="K32" s="75" t="s">
        <v>34</v>
      </c>
      <c r="L32" s="76" t="s">
        <v>3</v>
      </c>
      <c r="M32" s="77">
        <v>99.3</v>
      </c>
      <c r="N32" s="75" t="s">
        <v>34</v>
      </c>
      <c r="O32" s="76" t="s">
        <v>3</v>
      </c>
      <c r="P32" s="77">
        <v>92</v>
      </c>
      <c r="Q32" s="75" t="s">
        <v>34</v>
      </c>
      <c r="R32" s="74" t="s">
        <v>3</v>
      </c>
      <c r="S32" s="77">
        <v>41.8</v>
      </c>
      <c r="T32" s="75" t="s">
        <v>34</v>
      </c>
      <c r="U32" s="78" t="s">
        <v>3</v>
      </c>
      <c r="V32" s="75" t="s">
        <v>34</v>
      </c>
      <c r="W32" s="75" t="s">
        <v>34</v>
      </c>
      <c r="X32" s="78" t="s">
        <v>3</v>
      </c>
      <c r="Y32" s="75" t="s">
        <v>34</v>
      </c>
      <c r="Z32" s="75" t="s">
        <v>34</v>
      </c>
      <c r="AA32" s="78" t="s">
        <v>3</v>
      </c>
      <c r="AB32" s="77">
        <v>15.6</v>
      </c>
      <c r="AC32" s="75" t="s">
        <v>34</v>
      </c>
      <c r="AD32" s="78" t="s">
        <v>3</v>
      </c>
      <c r="AE32" s="75" t="s">
        <v>34</v>
      </c>
      <c r="AF32" s="75" t="s">
        <v>34</v>
      </c>
      <c r="AG32" s="78" t="s">
        <v>3</v>
      </c>
      <c r="AH32" s="75" t="s">
        <v>34</v>
      </c>
      <c r="AI32" s="75" t="s">
        <v>34</v>
      </c>
      <c r="AJ32" s="78" t="s">
        <v>3</v>
      </c>
      <c r="AK32" s="75" t="s">
        <v>34</v>
      </c>
      <c r="AL32" s="75" t="s">
        <v>34</v>
      </c>
      <c r="AM32" s="78" t="s">
        <v>3</v>
      </c>
      <c r="AN32" s="75" t="s">
        <v>34</v>
      </c>
      <c r="AO32" s="85" t="s">
        <v>34</v>
      </c>
    </row>
    <row r="33" spans="1:41" ht="12" customHeight="1">
      <c r="A33" s="54" t="s">
        <v>131</v>
      </c>
      <c r="B33" s="62" t="s">
        <v>3</v>
      </c>
      <c r="C33" s="75" t="s">
        <v>34</v>
      </c>
      <c r="D33" s="75" t="s">
        <v>34</v>
      </c>
      <c r="E33" s="76" t="s">
        <v>3</v>
      </c>
      <c r="F33" s="76"/>
      <c r="G33" s="75" t="s">
        <v>34</v>
      </c>
      <c r="H33" s="75" t="s">
        <v>34</v>
      </c>
      <c r="I33" s="76" t="s">
        <v>3</v>
      </c>
      <c r="J33" s="77">
        <v>82.7</v>
      </c>
      <c r="K33" s="75" t="s">
        <v>34</v>
      </c>
      <c r="L33" s="76" t="s">
        <v>3</v>
      </c>
      <c r="M33" s="77">
        <v>99.3</v>
      </c>
      <c r="N33" s="75" t="s">
        <v>34</v>
      </c>
      <c r="O33" s="76" t="s">
        <v>3</v>
      </c>
      <c r="P33" s="77">
        <v>92.9</v>
      </c>
      <c r="Q33" s="75" t="s">
        <v>34</v>
      </c>
      <c r="R33" s="74" t="s">
        <v>3</v>
      </c>
      <c r="S33" s="77">
        <v>40.9</v>
      </c>
      <c r="T33" s="75" t="s">
        <v>34</v>
      </c>
      <c r="U33" s="78" t="s">
        <v>3</v>
      </c>
      <c r="V33" s="75" t="s">
        <v>34</v>
      </c>
      <c r="W33" s="75" t="s">
        <v>34</v>
      </c>
      <c r="X33" s="78" t="s">
        <v>3</v>
      </c>
      <c r="Y33" s="75" t="s">
        <v>34</v>
      </c>
      <c r="Z33" s="75" t="s">
        <v>34</v>
      </c>
      <c r="AA33" s="78" t="s">
        <v>3</v>
      </c>
      <c r="AB33" s="77">
        <v>17.3</v>
      </c>
      <c r="AC33" s="75" t="s">
        <v>34</v>
      </c>
      <c r="AD33" s="78" t="s">
        <v>3</v>
      </c>
      <c r="AE33" s="75" t="s">
        <v>34</v>
      </c>
      <c r="AF33" s="75" t="s">
        <v>34</v>
      </c>
      <c r="AG33" s="78" t="s">
        <v>3</v>
      </c>
      <c r="AH33" s="75" t="s">
        <v>34</v>
      </c>
      <c r="AI33" s="75" t="s">
        <v>34</v>
      </c>
      <c r="AJ33" s="78" t="s">
        <v>3</v>
      </c>
      <c r="AK33" s="75" t="s">
        <v>34</v>
      </c>
      <c r="AL33" s="75" t="s">
        <v>34</v>
      </c>
      <c r="AM33" s="78" t="s">
        <v>3</v>
      </c>
      <c r="AN33" s="75" t="s">
        <v>34</v>
      </c>
      <c r="AO33" s="85" t="s">
        <v>34</v>
      </c>
    </row>
    <row r="34" spans="1:41" ht="12" customHeight="1">
      <c r="A34" s="54" t="s">
        <v>132</v>
      </c>
      <c r="B34" s="62" t="s">
        <v>3</v>
      </c>
      <c r="C34" s="75" t="s">
        <v>34</v>
      </c>
      <c r="D34" s="75" t="s">
        <v>34</v>
      </c>
      <c r="E34" s="76" t="s">
        <v>3</v>
      </c>
      <c r="F34" s="76"/>
      <c r="G34" s="75" t="s">
        <v>34</v>
      </c>
      <c r="H34" s="75" t="s">
        <v>34</v>
      </c>
      <c r="I34" s="76" t="s">
        <v>3</v>
      </c>
      <c r="J34" s="77">
        <v>83.3</v>
      </c>
      <c r="K34" s="75" t="s">
        <v>34</v>
      </c>
      <c r="L34" s="76" t="s">
        <v>3</v>
      </c>
      <c r="M34" s="77">
        <v>99</v>
      </c>
      <c r="N34" s="75" t="s">
        <v>34</v>
      </c>
      <c r="O34" s="76" t="s">
        <v>3</v>
      </c>
      <c r="P34" s="77">
        <v>93.1</v>
      </c>
      <c r="Q34" s="75" t="s">
        <v>34</v>
      </c>
      <c r="R34" s="74" t="s">
        <v>3</v>
      </c>
      <c r="S34" s="77">
        <v>41.6</v>
      </c>
      <c r="T34" s="75" t="s">
        <v>34</v>
      </c>
      <c r="U34" s="78" t="s">
        <v>3</v>
      </c>
      <c r="V34" s="75" t="s">
        <v>34</v>
      </c>
      <c r="W34" s="75" t="s">
        <v>34</v>
      </c>
      <c r="X34" s="78" t="s">
        <v>3</v>
      </c>
      <c r="Y34" s="75" t="s">
        <v>34</v>
      </c>
      <c r="Z34" s="75" t="s">
        <v>34</v>
      </c>
      <c r="AA34" s="78" t="s">
        <v>3</v>
      </c>
      <c r="AB34" s="77">
        <v>16.8</v>
      </c>
      <c r="AC34" s="75" t="s">
        <v>34</v>
      </c>
      <c r="AD34" s="78" t="s">
        <v>3</v>
      </c>
      <c r="AE34" s="75" t="s">
        <v>34</v>
      </c>
      <c r="AF34" s="75" t="s">
        <v>34</v>
      </c>
      <c r="AG34" s="78" t="s">
        <v>3</v>
      </c>
      <c r="AH34" s="75" t="s">
        <v>34</v>
      </c>
      <c r="AI34" s="75" t="s">
        <v>34</v>
      </c>
      <c r="AJ34" s="78" t="s">
        <v>3</v>
      </c>
      <c r="AK34" s="77">
        <v>5.2</v>
      </c>
      <c r="AL34" s="75" t="s">
        <v>34</v>
      </c>
      <c r="AM34" s="78" t="s">
        <v>3</v>
      </c>
      <c r="AN34" s="77">
        <v>2.6</v>
      </c>
      <c r="AO34" s="85" t="s">
        <v>34</v>
      </c>
    </row>
    <row r="35" spans="2:41" ht="12" customHeight="1">
      <c r="B35" s="62" t="s">
        <v>3</v>
      </c>
      <c r="C35" s="77"/>
      <c r="D35" s="70"/>
      <c r="E35" s="76" t="s">
        <v>3</v>
      </c>
      <c r="F35" s="76"/>
      <c r="G35" s="77"/>
      <c r="H35" s="70"/>
      <c r="I35" s="76" t="s">
        <v>3</v>
      </c>
      <c r="J35" s="77"/>
      <c r="K35" s="70"/>
      <c r="L35" s="76" t="s">
        <v>3</v>
      </c>
      <c r="M35" s="77"/>
      <c r="N35" s="70"/>
      <c r="O35" s="76" t="s">
        <v>3</v>
      </c>
      <c r="P35" s="77"/>
      <c r="Q35" s="70"/>
      <c r="R35" s="74" t="s">
        <v>3</v>
      </c>
      <c r="S35" s="77"/>
      <c r="T35" s="70"/>
      <c r="U35" s="78" t="s">
        <v>3</v>
      </c>
      <c r="V35" s="70"/>
      <c r="W35" s="70"/>
      <c r="X35" s="78" t="s">
        <v>3</v>
      </c>
      <c r="Y35" s="70"/>
      <c r="Z35" s="70"/>
      <c r="AA35" s="78" t="s">
        <v>3</v>
      </c>
      <c r="AB35" s="77"/>
      <c r="AC35" s="70"/>
      <c r="AD35" s="78" t="s">
        <v>3</v>
      </c>
      <c r="AE35" s="77"/>
      <c r="AF35" s="70"/>
      <c r="AG35" s="78" t="s">
        <v>3</v>
      </c>
      <c r="AH35" s="77"/>
      <c r="AI35" s="70"/>
      <c r="AJ35" s="78" t="s">
        <v>3</v>
      </c>
      <c r="AK35" s="77"/>
      <c r="AL35" s="70"/>
      <c r="AM35" s="78" t="s">
        <v>3</v>
      </c>
      <c r="AN35" s="77"/>
      <c r="AO35" s="83"/>
    </row>
    <row r="36" spans="1:41" ht="12" customHeight="1">
      <c r="A36" s="54" t="s">
        <v>133</v>
      </c>
      <c r="B36" s="62" t="s">
        <v>3</v>
      </c>
      <c r="C36" s="77">
        <v>55.5</v>
      </c>
      <c r="D36" s="75" t="s">
        <v>34</v>
      </c>
      <c r="E36" s="76" t="s">
        <v>3</v>
      </c>
      <c r="F36" s="76"/>
      <c r="G36" s="77">
        <v>10.6</v>
      </c>
      <c r="H36" s="75" t="s">
        <v>34</v>
      </c>
      <c r="I36" s="76" t="s">
        <v>3</v>
      </c>
      <c r="J36" s="77">
        <v>84.9</v>
      </c>
      <c r="K36" s="75" t="s">
        <v>34</v>
      </c>
      <c r="L36" s="76" t="s">
        <v>3</v>
      </c>
      <c r="M36" s="77">
        <v>99.4</v>
      </c>
      <c r="N36" s="75" t="s">
        <v>34</v>
      </c>
      <c r="O36" s="76" t="s">
        <v>3</v>
      </c>
      <c r="P36" s="77">
        <v>93.2</v>
      </c>
      <c r="Q36" s="75" t="s">
        <v>34</v>
      </c>
      <c r="R36" s="74" t="s">
        <v>3</v>
      </c>
      <c r="S36" s="77">
        <v>46.3</v>
      </c>
      <c r="T36" s="75" t="s">
        <v>34</v>
      </c>
      <c r="U36" s="78" t="s">
        <v>3</v>
      </c>
      <c r="V36" s="75" t="s">
        <v>34</v>
      </c>
      <c r="W36" s="75" t="s">
        <v>34</v>
      </c>
      <c r="X36" s="78" t="s">
        <v>3</v>
      </c>
      <c r="Y36" s="75" t="s">
        <v>34</v>
      </c>
      <c r="Z36" s="75" t="s">
        <v>34</v>
      </c>
      <c r="AA36" s="78" t="s">
        <v>3</v>
      </c>
      <c r="AB36" s="77">
        <v>19</v>
      </c>
      <c r="AC36" s="75" t="s">
        <v>34</v>
      </c>
      <c r="AD36" s="78" t="s">
        <v>3</v>
      </c>
      <c r="AE36" s="77">
        <v>27.6</v>
      </c>
      <c r="AF36" s="75" t="s">
        <v>34</v>
      </c>
      <c r="AG36" s="78" t="s">
        <v>3</v>
      </c>
      <c r="AH36" s="77">
        <v>13.2</v>
      </c>
      <c r="AI36" s="75" t="s">
        <v>34</v>
      </c>
      <c r="AJ36" s="78" t="s">
        <v>3</v>
      </c>
      <c r="AK36" s="77">
        <v>6.1</v>
      </c>
      <c r="AL36" s="75" t="s">
        <v>34</v>
      </c>
      <c r="AM36" s="78" t="s">
        <v>3</v>
      </c>
      <c r="AN36" s="77">
        <v>3.2</v>
      </c>
      <c r="AO36" s="85" t="s">
        <v>34</v>
      </c>
    </row>
    <row r="37" spans="1:41" ht="12" customHeight="1">
      <c r="A37" s="54" t="s">
        <v>134</v>
      </c>
      <c r="B37" s="62" t="s">
        <v>3</v>
      </c>
      <c r="C37" s="77">
        <v>56.1</v>
      </c>
      <c r="D37" s="75" t="s">
        <v>34</v>
      </c>
      <c r="E37" s="76" t="s">
        <v>3</v>
      </c>
      <c r="F37" s="76"/>
      <c r="G37" s="77">
        <v>12.5</v>
      </c>
      <c r="H37" s="75" t="s">
        <v>34</v>
      </c>
      <c r="I37" s="76" t="s">
        <v>3</v>
      </c>
      <c r="J37" s="77">
        <v>85.8</v>
      </c>
      <c r="K37" s="75" t="s">
        <v>34</v>
      </c>
      <c r="L37" s="76" t="s">
        <v>3</v>
      </c>
      <c r="M37" s="77">
        <v>99.3</v>
      </c>
      <c r="N37" s="75" t="s">
        <v>34</v>
      </c>
      <c r="O37" s="76" t="s">
        <v>3</v>
      </c>
      <c r="P37" s="77">
        <v>93.7</v>
      </c>
      <c r="Q37" s="75" t="s">
        <v>34</v>
      </c>
      <c r="R37" s="74" t="s">
        <v>3</v>
      </c>
      <c r="S37" s="77">
        <v>47.2</v>
      </c>
      <c r="T37" s="75" t="s">
        <v>34</v>
      </c>
      <c r="U37" s="78" t="s">
        <v>3</v>
      </c>
      <c r="V37" s="75" t="s">
        <v>34</v>
      </c>
      <c r="W37" s="75" t="s">
        <v>34</v>
      </c>
      <c r="X37" s="78" t="s">
        <v>3</v>
      </c>
      <c r="Y37" s="75" t="s">
        <v>34</v>
      </c>
      <c r="Z37" s="75" t="s">
        <v>34</v>
      </c>
      <c r="AA37" s="78" t="s">
        <v>3</v>
      </c>
      <c r="AB37" s="77">
        <v>19.9</v>
      </c>
      <c r="AC37" s="75" t="s">
        <v>34</v>
      </c>
      <c r="AD37" s="78" t="s">
        <v>3</v>
      </c>
      <c r="AE37" s="77">
        <v>29.9</v>
      </c>
      <c r="AF37" s="75" t="s">
        <v>34</v>
      </c>
      <c r="AG37" s="78" t="s">
        <v>3</v>
      </c>
      <c r="AH37" s="77">
        <v>13.2</v>
      </c>
      <c r="AI37" s="75" t="s">
        <v>34</v>
      </c>
      <c r="AJ37" s="78" t="s">
        <v>3</v>
      </c>
      <c r="AK37" s="77">
        <v>6.5</v>
      </c>
      <c r="AL37" s="75" t="s">
        <v>34</v>
      </c>
      <c r="AM37" s="78" t="s">
        <v>3</v>
      </c>
      <c r="AN37" s="77">
        <v>2.7</v>
      </c>
      <c r="AO37" s="85" t="s">
        <v>34</v>
      </c>
    </row>
    <row r="38" spans="1:41" ht="12" customHeight="1">
      <c r="A38" s="54" t="s">
        <v>135</v>
      </c>
      <c r="B38" s="62" t="s">
        <v>3</v>
      </c>
      <c r="C38" s="77">
        <v>56.6</v>
      </c>
      <c r="D38" s="75" t="s">
        <v>34</v>
      </c>
      <c r="E38" s="76" t="s">
        <v>3</v>
      </c>
      <c r="F38" s="76"/>
      <c r="G38" s="77">
        <v>14.2</v>
      </c>
      <c r="H38" s="75" t="s">
        <v>34</v>
      </c>
      <c r="I38" s="76" t="s">
        <v>3</v>
      </c>
      <c r="J38" s="77">
        <v>87.4</v>
      </c>
      <c r="K38" s="75" t="s">
        <v>34</v>
      </c>
      <c r="L38" s="76" t="s">
        <v>3</v>
      </c>
      <c r="M38" s="77">
        <v>99.3</v>
      </c>
      <c r="N38" s="75" t="s">
        <v>34</v>
      </c>
      <c r="O38" s="76" t="s">
        <v>3</v>
      </c>
      <c r="P38" s="77">
        <v>93.7</v>
      </c>
      <c r="Q38" s="75" t="s">
        <v>34</v>
      </c>
      <c r="R38" s="74" t="s">
        <v>3</v>
      </c>
      <c r="S38" s="77">
        <v>47.6</v>
      </c>
      <c r="T38" s="75" t="s">
        <v>34</v>
      </c>
      <c r="U38" s="78" t="s">
        <v>3</v>
      </c>
      <c r="V38" s="75" t="s">
        <v>34</v>
      </c>
      <c r="W38" s="75" t="s">
        <v>34</v>
      </c>
      <c r="X38" s="78" t="s">
        <v>3</v>
      </c>
      <c r="Y38" s="75" t="s">
        <v>34</v>
      </c>
      <c r="Z38" s="75" t="s">
        <v>34</v>
      </c>
      <c r="AA38" s="78" t="s">
        <v>3</v>
      </c>
      <c r="AB38" s="77">
        <v>22</v>
      </c>
      <c r="AC38" s="75" t="s">
        <v>34</v>
      </c>
      <c r="AD38" s="78" t="s">
        <v>3</v>
      </c>
      <c r="AE38" s="77">
        <v>33.3</v>
      </c>
      <c r="AF38" s="75" t="s">
        <v>34</v>
      </c>
      <c r="AG38" s="78" t="s">
        <v>3</v>
      </c>
      <c r="AH38" s="77">
        <v>13.6</v>
      </c>
      <c r="AI38" s="75" t="s">
        <v>34</v>
      </c>
      <c r="AJ38" s="78" t="s">
        <v>3</v>
      </c>
      <c r="AK38" s="77">
        <v>6.6</v>
      </c>
      <c r="AL38" s="75" t="s">
        <v>34</v>
      </c>
      <c r="AM38" s="78" t="s">
        <v>3</v>
      </c>
      <c r="AN38" s="77">
        <v>4</v>
      </c>
      <c r="AO38" s="85" t="s">
        <v>34</v>
      </c>
    </row>
    <row r="39" spans="1:41" ht="12" customHeight="1">
      <c r="A39" s="54" t="s">
        <v>136</v>
      </c>
      <c r="B39" s="62" t="s">
        <v>3</v>
      </c>
      <c r="C39" s="77">
        <v>56.7</v>
      </c>
      <c r="D39" s="75" t="s">
        <v>34</v>
      </c>
      <c r="E39" s="76" t="s">
        <v>3</v>
      </c>
      <c r="F39" s="76"/>
      <c r="G39" s="77">
        <v>15.7</v>
      </c>
      <c r="H39" s="75" t="s">
        <v>34</v>
      </c>
      <c r="I39" s="76" t="s">
        <v>3</v>
      </c>
      <c r="J39" s="77">
        <v>87.6</v>
      </c>
      <c r="K39" s="75" t="s">
        <v>34</v>
      </c>
      <c r="L39" s="76" t="s">
        <v>3</v>
      </c>
      <c r="M39" s="77">
        <v>99.1</v>
      </c>
      <c r="N39" s="75" t="s">
        <v>34</v>
      </c>
      <c r="O39" s="76" t="s">
        <v>3</v>
      </c>
      <c r="P39" s="77">
        <v>94.2</v>
      </c>
      <c r="Q39" s="75" t="s">
        <v>34</v>
      </c>
      <c r="R39" s="74" t="s">
        <v>3</v>
      </c>
      <c r="S39" s="77">
        <v>50.4</v>
      </c>
      <c r="T39" s="75" t="s">
        <v>34</v>
      </c>
      <c r="U39" s="78" t="s">
        <v>3</v>
      </c>
      <c r="V39" s="75" t="s">
        <v>34</v>
      </c>
      <c r="W39" s="75" t="s">
        <v>34</v>
      </c>
      <c r="X39" s="78" t="s">
        <v>3</v>
      </c>
      <c r="Y39" s="75" t="s">
        <v>34</v>
      </c>
      <c r="Z39" s="75" t="s">
        <v>34</v>
      </c>
      <c r="AA39" s="78" t="s">
        <v>3</v>
      </c>
      <c r="AB39" s="77">
        <v>21.4</v>
      </c>
      <c r="AC39" s="75" t="s">
        <v>34</v>
      </c>
      <c r="AD39" s="78" t="s">
        <v>3</v>
      </c>
      <c r="AE39" s="77">
        <v>31.2</v>
      </c>
      <c r="AF39" s="75" t="s">
        <v>34</v>
      </c>
      <c r="AG39" s="78" t="s">
        <v>3</v>
      </c>
      <c r="AH39" s="77">
        <v>13.8</v>
      </c>
      <c r="AI39" s="75" t="s">
        <v>34</v>
      </c>
      <c r="AJ39" s="78" t="s">
        <v>3</v>
      </c>
      <c r="AK39" s="77">
        <v>7</v>
      </c>
      <c r="AL39" s="75" t="s">
        <v>34</v>
      </c>
      <c r="AM39" s="78" t="s">
        <v>3</v>
      </c>
      <c r="AN39" s="77">
        <v>3.9</v>
      </c>
      <c r="AO39" s="85" t="s">
        <v>34</v>
      </c>
    </row>
    <row r="40" spans="1:41" ht="12" customHeight="1">
      <c r="A40" s="54" t="s">
        <v>137</v>
      </c>
      <c r="B40" s="62" t="s">
        <v>3</v>
      </c>
      <c r="C40" s="77">
        <v>57</v>
      </c>
      <c r="D40" s="75" t="s">
        <v>34</v>
      </c>
      <c r="E40" s="76" t="s">
        <v>3</v>
      </c>
      <c r="F40" s="76"/>
      <c r="G40" s="77">
        <v>16.1</v>
      </c>
      <c r="H40" s="75" t="s">
        <v>34</v>
      </c>
      <c r="I40" s="76" t="s">
        <v>3</v>
      </c>
      <c r="J40" s="77">
        <v>88.4</v>
      </c>
      <c r="K40" s="75" t="s">
        <v>34</v>
      </c>
      <c r="L40" s="76" t="s">
        <v>3</v>
      </c>
      <c r="M40" s="77">
        <v>99.2</v>
      </c>
      <c r="N40" s="75" t="s">
        <v>34</v>
      </c>
      <c r="O40" s="76" t="s">
        <v>3</v>
      </c>
      <c r="P40" s="77">
        <v>94</v>
      </c>
      <c r="Q40" s="75" t="s">
        <v>34</v>
      </c>
      <c r="R40" s="74" t="s">
        <v>3</v>
      </c>
      <c r="S40" s="77">
        <v>50.2</v>
      </c>
      <c r="T40" s="75" t="s">
        <v>34</v>
      </c>
      <c r="U40" s="78" t="s">
        <v>3</v>
      </c>
      <c r="V40" s="75" t="s">
        <v>34</v>
      </c>
      <c r="W40" s="75" t="s">
        <v>34</v>
      </c>
      <c r="X40" s="78" t="s">
        <v>3</v>
      </c>
      <c r="Y40" s="75" t="s">
        <v>34</v>
      </c>
      <c r="Z40" s="75" t="s">
        <v>34</v>
      </c>
      <c r="AA40" s="78" t="s">
        <v>3</v>
      </c>
      <c r="AB40" s="77">
        <v>23</v>
      </c>
      <c r="AC40" s="75" t="s">
        <v>34</v>
      </c>
      <c r="AD40" s="78" t="s">
        <v>3</v>
      </c>
      <c r="AE40" s="77">
        <v>34.1</v>
      </c>
      <c r="AF40" s="75" t="s">
        <v>34</v>
      </c>
      <c r="AG40" s="78" t="s">
        <v>3</v>
      </c>
      <c r="AH40" s="77">
        <v>15.4</v>
      </c>
      <c r="AI40" s="75" t="s">
        <v>34</v>
      </c>
      <c r="AJ40" s="78" t="s">
        <v>3</v>
      </c>
      <c r="AK40" s="77">
        <v>7.9</v>
      </c>
      <c r="AL40" s="75" t="s">
        <v>34</v>
      </c>
      <c r="AM40" s="78" t="s">
        <v>3</v>
      </c>
      <c r="AN40" s="77">
        <v>4.8</v>
      </c>
      <c r="AO40" s="85" t="s">
        <v>34</v>
      </c>
    </row>
    <row r="41" spans="2:41" ht="12" customHeight="1">
      <c r="B41" s="62" t="s">
        <v>3</v>
      </c>
      <c r="C41" s="70"/>
      <c r="D41" s="70"/>
      <c r="E41" s="76" t="s">
        <v>3</v>
      </c>
      <c r="F41" s="76"/>
      <c r="G41" s="70"/>
      <c r="H41" s="70"/>
      <c r="I41" s="76" t="s">
        <v>3</v>
      </c>
      <c r="J41" s="70"/>
      <c r="K41" s="70"/>
      <c r="L41" s="76" t="s">
        <v>3</v>
      </c>
      <c r="M41" s="70"/>
      <c r="N41" s="70"/>
      <c r="O41" s="76" t="s">
        <v>3</v>
      </c>
      <c r="P41" s="70"/>
      <c r="Q41" s="70"/>
      <c r="R41" s="74" t="s">
        <v>3</v>
      </c>
      <c r="S41" s="70"/>
      <c r="T41" s="70"/>
      <c r="U41" s="78" t="s">
        <v>3</v>
      </c>
      <c r="V41" s="70"/>
      <c r="W41" s="70"/>
      <c r="X41" s="78" t="s">
        <v>3</v>
      </c>
      <c r="Y41" s="70"/>
      <c r="Z41" s="70"/>
      <c r="AA41" s="78" t="s">
        <v>3</v>
      </c>
      <c r="AB41" s="70"/>
      <c r="AC41" s="70"/>
      <c r="AD41" s="78" t="s">
        <v>3</v>
      </c>
      <c r="AE41" s="70"/>
      <c r="AF41" s="70"/>
      <c r="AG41" s="78" t="s">
        <v>3</v>
      </c>
      <c r="AH41" s="70"/>
      <c r="AI41" s="70"/>
      <c r="AJ41" s="78" t="s">
        <v>3</v>
      </c>
      <c r="AK41" s="70"/>
      <c r="AL41" s="70"/>
      <c r="AM41" s="78" t="s">
        <v>3</v>
      </c>
      <c r="AN41" s="70"/>
      <c r="AO41" s="60"/>
    </row>
    <row r="42" spans="1:41" ht="12" customHeight="1">
      <c r="A42" s="58" t="s">
        <v>37</v>
      </c>
      <c r="B42" s="62" t="s">
        <v>3</v>
      </c>
      <c r="C42" s="77">
        <v>56.410892621048504</v>
      </c>
      <c r="D42" s="79">
        <v>-0.2163810105121976</v>
      </c>
      <c r="E42" s="62" t="s">
        <v>3</v>
      </c>
      <c r="F42" s="62"/>
      <c r="G42" s="77">
        <v>20.47612013261859</v>
      </c>
      <c r="H42" s="79">
        <v>-0.731586966513102</v>
      </c>
      <c r="I42" s="62" t="s">
        <v>3</v>
      </c>
      <c r="J42" s="77">
        <v>89.51780150274212</v>
      </c>
      <c r="K42" s="79">
        <v>-0.5304903686164683</v>
      </c>
      <c r="L42" s="62" t="s">
        <v>3</v>
      </c>
      <c r="M42" s="77">
        <v>99.22948206818911</v>
      </c>
      <c r="N42" s="79">
        <v>-0.07840628087763205</v>
      </c>
      <c r="O42" s="62" t="s">
        <v>3</v>
      </c>
      <c r="P42" s="77">
        <v>94.13284694399375</v>
      </c>
      <c r="Q42" s="79">
        <v>-0.26755769576282745</v>
      </c>
      <c r="R42" s="65" t="s">
        <v>3</v>
      </c>
      <c r="S42" s="77">
        <v>47.74478298361598</v>
      </c>
      <c r="T42" s="79">
        <v>-0.8547071429648826</v>
      </c>
      <c r="U42" s="67" t="s">
        <v>3</v>
      </c>
      <c r="V42" s="77">
        <v>10.468927852831273</v>
      </c>
      <c r="W42" s="79">
        <v>-0.5238748383506537</v>
      </c>
      <c r="X42" s="67" t="s">
        <v>3</v>
      </c>
      <c r="Y42" s="77">
        <v>37.275855130784706</v>
      </c>
      <c r="Z42" s="79">
        <v>-0.8274099248498352</v>
      </c>
      <c r="AA42" s="67" t="s">
        <v>3</v>
      </c>
      <c r="AB42" s="80">
        <v>21.54058612286777</v>
      </c>
      <c r="AC42" s="79">
        <v>-0.4698987383189476</v>
      </c>
      <c r="AD42" s="67" t="s">
        <v>3</v>
      </c>
      <c r="AE42" s="80">
        <v>31.85029421379536</v>
      </c>
      <c r="AF42" s="79">
        <v>-0.8501894989412598</v>
      </c>
      <c r="AG42" s="67" t="s">
        <v>3</v>
      </c>
      <c r="AH42" s="80">
        <v>14.884318277754327</v>
      </c>
      <c r="AI42" s="79">
        <v>-0.5219014398275955</v>
      </c>
      <c r="AJ42" s="67" t="s">
        <v>3</v>
      </c>
      <c r="AK42" s="80">
        <v>7.533299669519146</v>
      </c>
      <c r="AL42" s="79">
        <v>-0.32525333010175334</v>
      </c>
      <c r="AM42" s="67" t="s">
        <v>3</v>
      </c>
      <c r="AN42" s="80">
        <v>4.160859849839113</v>
      </c>
      <c r="AO42" s="81">
        <v>-0.26947502774805837</v>
      </c>
    </row>
    <row r="43" spans="1:41" ht="12" customHeight="1">
      <c r="A43" s="58" t="s">
        <v>38</v>
      </c>
      <c r="B43" s="62" t="s">
        <v>3</v>
      </c>
      <c r="C43" s="77">
        <v>56.20768283361402</v>
      </c>
      <c r="D43" s="79">
        <v>-0.21477238090308765</v>
      </c>
      <c r="E43" s="62" t="s">
        <v>3</v>
      </c>
      <c r="F43" s="62"/>
      <c r="G43" s="77">
        <v>21.155498374019352</v>
      </c>
      <c r="H43" s="79">
        <v>-0.7483017616866968</v>
      </c>
      <c r="I43" s="62" t="s">
        <v>3</v>
      </c>
      <c r="J43" s="77">
        <v>91.60084558392799</v>
      </c>
      <c r="K43" s="79">
        <v>-0.49236606204482786</v>
      </c>
      <c r="L43" s="62" t="s">
        <v>3</v>
      </c>
      <c r="M43" s="77">
        <v>99.13466199889353</v>
      </c>
      <c r="N43" s="79">
        <v>-0.08318424111350516</v>
      </c>
      <c r="O43" s="62" t="s">
        <v>3</v>
      </c>
      <c r="P43" s="77">
        <v>94.49030386223248</v>
      </c>
      <c r="Q43" s="79">
        <v>-0.25725456157441895</v>
      </c>
      <c r="R43" s="65" t="s">
        <v>3</v>
      </c>
      <c r="S43" s="77">
        <v>49.19455361864961</v>
      </c>
      <c r="T43" s="79">
        <v>-0.8390859263402968</v>
      </c>
      <c r="U43" s="67" t="s">
        <v>3</v>
      </c>
      <c r="V43" s="77">
        <v>11.490730850729191</v>
      </c>
      <c r="W43" s="79">
        <v>-0.5352553199593109</v>
      </c>
      <c r="X43" s="67" t="s">
        <v>3</v>
      </c>
      <c r="Y43" s="77">
        <v>37.703822767920414</v>
      </c>
      <c r="Z43" s="79">
        <v>-0.8134224983456864</v>
      </c>
      <c r="AA43" s="67" t="s">
        <v>3</v>
      </c>
      <c r="AB43" s="80">
        <v>21.938347748272054</v>
      </c>
      <c r="AC43" s="79">
        <v>-0.4607245127463271</v>
      </c>
      <c r="AD43" s="67" t="s">
        <v>3</v>
      </c>
      <c r="AE43" s="80">
        <v>32.23817103620475</v>
      </c>
      <c r="AF43" s="79">
        <v>-0.8333899554384834</v>
      </c>
      <c r="AG43" s="67" t="s">
        <v>3</v>
      </c>
      <c r="AH43" s="80">
        <v>15.357303818925116</v>
      </c>
      <c r="AI43" s="79">
        <v>-0.5138722584497156</v>
      </c>
      <c r="AJ43" s="67" t="s">
        <v>3</v>
      </c>
      <c r="AK43" s="80">
        <v>7.992083815496233</v>
      </c>
      <c r="AL43" s="79">
        <v>-0.32732125300125126</v>
      </c>
      <c r="AM43" s="67" t="s">
        <v>3</v>
      </c>
      <c r="AN43" s="80">
        <v>4.886649328131773</v>
      </c>
      <c r="AO43" s="81">
        <v>-0.2865162672805438</v>
      </c>
    </row>
    <row r="44" spans="1:41" ht="12" customHeight="1">
      <c r="A44" s="58" t="s">
        <v>39</v>
      </c>
      <c r="B44" s="62" t="s">
        <v>3</v>
      </c>
      <c r="C44" s="77">
        <v>54.88147621546451</v>
      </c>
      <c r="D44" s="79">
        <v>-0.21455934502435686</v>
      </c>
      <c r="E44" s="62" t="s">
        <v>3</v>
      </c>
      <c r="F44" s="62"/>
      <c r="G44" s="77">
        <v>24.409407951920745</v>
      </c>
      <c r="H44" s="79">
        <v>-0.7987687684525839</v>
      </c>
      <c r="I44" s="62" t="s">
        <v>3</v>
      </c>
      <c r="J44" s="77">
        <v>91.92774269213095</v>
      </c>
      <c r="K44" s="79">
        <v>-0.5023478520760538</v>
      </c>
      <c r="L44" s="62" t="s">
        <v>3</v>
      </c>
      <c r="M44" s="77">
        <v>99.19200571832555</v>
      </c>
      <c r="N44" s="79">
        <v>-0.08173680989538057</v>
      </c>
      <c r="O44" s="62" t="s">
        <v>3</v>
      </c>
      <c r="P44" s="77">
        <v>93.32349776881227</v>
      </c>
      <c r="Q44" s="79">
        <v>-0.2785629691867526</v>
      </c>
      <c r="R44" s="65" t="s">
        <v>3</v>
      </c>
      <c r="S44" s="77">
        <v>46.34607343875636</v>
      </c>
      <c r="T44" s="79">
        <v>-0.8239699276972783</v>
      </c>
      <c r="U44" s="67" t="s">
        <v>3</v>
      </c>
      <c r="V44" s="77">
        <v>10.424443848834093</v>
      </c>
      <c r="W44" s="79">
        <v>-0.5049232133797864</v>
      </c>
      <c r="X44" s="67" t="s">
        <v>3</v>
      </c>
      <c r="Y44" s="77">
        <v>35.92162958992227</v>
      </c>
      <c r="Z44" s="79">
        <v>-0.7927529705501646</v>
      </c>
      <c r="AA44" s="67" t="s">
        <v>3</v>
      </c>
      <c r="AB44" s="80">
        <v>21.56891852725837</v>
      </c>
      <c r="AC44" s="79">
        <v>-0.44872080351534743</v>
      </c>
      <c r="AD44" s="67" t="s">
        <v>3</v>
      </c>
      <c r="AE44" s="80">
        <v>31.444941560756067</v>
      </c>
      <c r="AF44" s="79">
        <v>-0.794654425325943</v>
      </c>
      <c r="AG44" s="67" t="s">
        <v>3</v>
      </c>
      <c r="AH44" s="80">
        <v>14.809643770911238</v>
      </c>
      <c r="AI44" s="79">
        <v>-0.5029324801502815</v>
      </c>
      <c r="AJ44" s="67" t="s">
        <v>3</v>
      </c>
      <c r="AK44" s="80">
        <v>8.565439493576418</v>
      </c>
      <c r="AL44" s="79">
        <v>-0.32943789073127216</v>
      </c>
      <c r="AM44" s="67" t="s">
        <v>3</v>
      </c>
      <c r="AN44" s="80">
        <v>4.643570722057369</v>
      </c>
      <c r="AO44" s="81">
        <v>-0.27268834577513207</v>
      </c>
    </row>
    <row r="45" spans="1:41" ht="12" customHeight="1">
      <c r="A45" s="58" t="s">
        <v>40</v>
      </c>
      <c r="B45" s="62" t="s">
        <v>3</v>
      </c>
      <c r="C45" s="77">
        <v>53.45631856965786</v>
      </c>
      <c r="D45" s="79">
        <v>-0.21359712075314202</v>
      </c>
      <c r="E45" s="62" t="s">
        <v>3</v>
      </c>
      <c r="F45" s="62"/>
      <c r="G45" s="77">
        <v>24.16845245238381</v>
      </c>
      <c r="H45" s="79">
        <v>-0.7836115732234384</v>
      </c>
      <c r="I45" s="62" t="s">
        <v>3</v>
      </c>
      <c r="J45" s="77">
        <v>92.53457811013558</v>
      </c>
      <c r="K45" s="79">
        <v>-0.4906175805006621</v>
      </c>
      <c r="L45" s="62" t="s">
        <v>3</v>
      </c>
      <c r="M45" s="77">
        <v>99.20706361523266</v>
      </c>
      <c r="N45" s="79">
        <v>-0.08189655641923967</v>
      </c>
      <c r="O45" s="62" t="s">
        <v>3</v>
      </c>
      <c r="P45" s="77">
        <v>92.94138534399339</v>
      </c>
      <c r="Q45" s="79">
        <v>-0.2844402609154287</v>
      </c>
      <c r="R45" s="65" t="s">
        <v>3</v>
      </c>
      <c r="S45" s="77">
        <v>42.93407426778243</v>
      </c>
      <c r="T45" s="79">
        <v>-0.807880826998399</v>
      </c>
      <c r="U45" s="67" t="s">
        <v>3</v>
      </c>
      <c r="V45" s="77">
        <v>10.02092050209205</v>
      </c>
      <c r="W45" s="79">
        <v>-0.49009739905696637</v>
      </c>
      <c r="X45" s="67" t="s">
        <v>3</v>
      </c>
      <c r="Y45" s="77">
        <v>32.91315376569038</v>
      </c>
      <c r="Z45" s="79">
        <v>-0.7669397609590535</v>
      </c>
      <c r="AA45" s="67" t="s">
        <v>3</v>
      </c>
      <c r="AB45" s="80">
        <v>20.8013941779278</v>
      </c>
      <c r="AC45" s="79">
        <v>-0.4368461675599723</v>
      </c>
      <c r="AD45" s="67" t="s">
        <v>3</v>
      </c>
      <c r="AE45" s="80">
        <v>30.132911179773853</v>
      </c>
      <c r="AF45" s="79">
        <v>-0.7764825955043909</v>
      </c>
      <c r="AG45" s="67" t="s">
        <v>3</v>
      </c>
      <c r="AH45" s="80">
        <v>14.46337597861371</v>
      </c>
      <c r="AI45" s="79">
        <v>-0.49055348104090296</v>
      </c>
      <c r="AJ45" s="67" t="s">
        <v>3</v>
      </c>
      <c r="AK45" s="80">
        <v>8.515166340349642</v>
      </c>
      <c r="AL45" s="79">
        <v>-0.32135129619855013</v>
      </c>
      <c r="AM45" s="67" t="s">
        <v>3</v>
      </c>
      <c r="AN45" s="80">
        <v>4.548285333124069</v>
      </c>
      <c r="AO45" s="81">
        <v>-0.26345814679035884</v>
      </c>
    </row>
    <row r="46" spans="1:41" ht="12" customHeight="1">
      <c r="A46" s="58" t="s">
        <v>41</v>
      </c>
      <c r="B46" s="62" t="s">
        <v>3</v>
      </c>
      <c r="C46" s="77">
        <v>53.615878820949824</v>
      </c>
      <c r="D46" s="79">
        <v>-0.21232424055449428</v>
      </c>
      <c r="E46" s="62" t="s">
        <v>3</v>
      </c>
      <c r="F46" s="62"/>
      <c r="G46" s="77">
        <v>28.799919497762506</v>
      </c>
      <c r="H46" s="79">
        <v>-0.8308596093001018</v>
      </c>
      <c r="I46" s="62" t="s">
        <v>3</v>
      </c>
      <c r="J46" s="77">
        <v>94.17947431285796</v>
      </c>
      <c r="K46" s="79">
        <v>-0.4342493629111564</v>
      </c>
      <c r="L46" s="62" t="s">
        <v>3</v>
      </c>
      <c r="M46" s="77">
        <v>99.34614120274135</v>
      </c>
      <c r="N46" s="79">
        <v>-0.07510106247646922</v>
      </c>
      <c r="O46" s="62" t="s">
        <v>3</v>
      </c>
      <c r="P46" s="77">
        <v>92.92585721979535</v>
      </c>
      <c r="Q46" s="79">
        <v>-0.28309730494961444</v>
      </c>
      <c r="R46" s="65" t="s">
        <v>3</v>
      </c>
      <c r="S46" s="77">
        <v>43.14291741242649</v>
      </c>
      <c r="T46" s="79">
        <v>-0.7993185481049074</v>
      </c>
      <c r="U46" s="67" t="s">
        <v>3</v>
      </c>
      <c r="V46" s="77">
        <v>9.938609051393506</v>
      </c>
      <c r="W46" s="79">
        <v>-0.48284193191346475</v>
      </c>
      <c r="X46" s="67" t="s">
        <v>3</v>
      </c>
      <c r="Y46" s="77">
        <v>33.204321145487086</v>
      </c>
      <c r="Z46" s="79">
        <v>-0.7600538040567112</v>
      </c>
      <c r="AA46" s="67" t="s">
        <v>3</v>
      </c>
      <c r="AB46" s="80">
        <v>21.38499431953192</v>
      </c>
      <c r="AC46" s="79">
        <v>-0.43807075360749925</v>
      </c>
      <c r="AD46" s="67" t="s">
        <v>3</v>
      </c>
      <c r="AE46" s="80">
        <v>30.176290968238394</v>
      </c>
      <c r="AF46" s="79">
        <v>-0.7580131597929844</v>
      </c>
      <c r="AG46" s="67" t="s">
        <v>3</v>
      </c>
      <c r="AH46" s="80">
        <v>15.055632649127878</v>
      </c>
      <c r="AI46" s="79">
        <v>-0.5010864343799976</v>
      </c>
      <c r="AJ46" s="67" t="s">
        <v>3</v>
      </c>
      <c r="AK46" s="80">
        <v>9.590918842196155</v>
      </c>
      <c r="AL46" s="79">
        <v>-0.3333261170681845</v>
      </c>
      <c r="AM46" s="67" t="s">
        <v>3</v>
      </c>
      <c r="AN46" s="80">
        <v>5.656267367630492</v>
      </c>
      <c r="AO46" s="81">
        <v>-0.28574764708824096</v>
      </c>
    </row>
    <row r="47" spans="1:41" ht="12" customHeight="1">
      <c r="A47" s="58"/>
      <c r="B47" s="62" t="s">
        <v>3</v>
      </c>
      <c r="C47" s="77"/>
      <c r="D47" s="79"/>
      <c r="E47" s="62" t="s">
        <v>3</v>
      </c>
      <c r="F47" s="62"/>
      <c r="G47" s="77"/>
      <c r="H47" s="79"/>
      <c r="I47" s="62" t="s">
        <v>3</v>
      </c>
      <c r="J47" s="77"/>
      <c r="K47" s="79"/>
      <c r="L47" s="62" t="s">
        <v>3</v>
      </c>
      <c r="M47" s="77"/>
      <c r="N47" s="79"/>
      <c r="O47" s="62" t="s">
        <v>3</v>
      </c>
      <c r="P47" s="77"/>
      <c r="Q47" s="79"/>
      <c r="R47" s="65" t="s">
        <v>3</v>
      </c>
      <c r="S47" s="77"/>
      <c r="T47" s="79"/>
      <c r="U47" s="67" t="s">
        <v>3</v>
      </c>
      <c r="V47" s="77"/>
      <c r="W47" s="79"/>
      <c r="X47" s="67" t="s">
        <v>3</v>
      </c>
      <c r="Y47" s="77"/>
      <c r="Z47" s="79"/>
      <c r="AA47" s="67" t="s">
        <v>3</v>
      </c>
      <c r="AB47" s="80"/>
      <c r="AC47" s="79"/>
      <c r="AD47" s="67" t="s">
        <v>3</v>
      </c>
      <c r="AE47" s="80"/>
      <c r="AF47" s="79"/>
      <c r="AG47" s="67" t="s">
        <v>3</v>
      </c>
      <c r="AH47" s="80"/>
      <c r="AI47" s="79"/>
      <c r="AJ47" s="67" t="s">
        <v>3</v>
      </c>
      <c r="AK47" s="80"/>
      <c r="AL47" s="79"/>
      <c r="AM47" s="67" t="s">
        <v>3</v>
      </c>
      <c r="AN47" s="80"/>
      <c r="AO47" s="81"/>
    </row>
    <row r="48" spans="1:41" ht="12" customHeight="1">
      <c r="A48" s="58" t="s">
        <v>42</v>
      </c>
      <c r="B48" s="62" t="s">
        <v>3</v>
      </c>
      <c r="C48" s="77">
        <v>53.74349964209439</v>
      </c>
      <c r="D48" s="79">
        <v>-0.21129488286220321</v>
      </c>
      <c r="E48" s="62" t="s">
        <v>3</v>
      </c>
      <c r="F48" s="62"/>
      <c r="G48" s="77">
        <v>31.477962168475347</v>
      </c>
      <c r="H48" s="79">
        <v>-0.8704755788770729</v>
      </c>
      <c r="I48" s="62" t="s">
        <v>3</v>
      </c>
      <c r="J48" s="77">
        <v>94.74618407750197</v>
      </c>
      <c r="K48" s="79">
        <v>-0.4096783700821389</v>
      </c>
      <c r="L48" s="62" t="s">
        <v>3</v>
      </c>
      <c r="M48" s="77">
        <v>99.29049009024635</v>
      </c>
      <c r="N48" s="79">
        <v>-0.0792733869927016</v>
      </c>
      <c r="O48" s="62" t="s">
        <v>3</v>
      </c>
      <c r="P48" s="77">
        <v>93.63109230771157</v>
      </c>
      <c r="Q48" s="79">
        <v>-0.2691903953054147</v>
      </c>
      <c r="R48" s="65" t="s">
        <v>3</v>
      </c>
      <c r="S48" s="77">
        <v>46.92757314650712</v>
      </c>
      <c r="T48" s="79">
        <v>-0.795215514130357</v>
      </c>
      <c r="U48" s="67" t="s">
        <v>3</v>
      </c>
      <c r="V48" s="77">
        <v>10.247608455584304</v>
      </c>
      <c r="W48" s="79">
        <v>-0.4832485944491122</v>
      </c>
      <c r="X48" s="67" t="s">
        <v>3</v>
      </c>
      <c r="Y48" s="77">
        <v>36.679977153536534</v>
      </c>
      <c r="Z48" s="79">
        <v>-0.7679295555305473</v>
      </c>
      <c r="AA48" s="67" t="s">
        <v>3</v>
      </c>
      <c r="AB48" s="80">
        <v>22.442105187490867</v>
      </c>
      <c r="AC48" s="79">
        <v>-0.43944520497457845</v>
      </c>
      <c r="AD48" s="67" t="s">
        <v>3</v>
      </c>
      <c r="AE48" s="80">
        <v>31.206650149954363</v>
      </c>
      <c r="AF48" s="79">
        <v>-0.755195149753033</v>
      </c>
      <c r="AG48" s="67" t="s">
        <v>3</v>
      </c>
      <c r="AH48" s="80">
        <v>16.156787342735427</v>
      </c>
      <c r="AI48" s="79">
        <v>-0.50801098771625</v>
      </c>
      <c r="AJ48" s="67" t="s">
        <v>3</v>
      </c>
      <c r="AK48" s="80">
        <v>10.083869199863727</v>
      </c>
      <c r="AL48" s="79">
        <v>-0.3330664966026346</v>
      </c>
      <c r="AM48" s="67" t="s">
        <v>3</v>
      </c>
      <c r="AN48" s="80">
        <v>6.633495652901615</v>
      </c>
      <c r="AO48" s="81">
        <v>-0.3032865248607831</v>
      </c>
    </row>
    <row r="49" spans="1:41" ht="12" customHeight="1">
      <c r="A49" s="58" t="s">
        <v>43</v>
      </c>
      <c r="B49" s="62" t="s">
        <v>3</v>
      </c>
      <c r="C49" s="77">
        <v>53.06234279556802</v>
      </c>
      <c r="D49" s="79">
        <v>-0.2109922390180144</v>
      </c>
      <c r="E49" s="62" t="s">
        <v>3</v>
      </c>
      <c r="F49" s="62"/>
      <c r="G49" s="77">
        <v>31.263572730600973</v>
      </c>
      <c r="H49" s="79">
        <v>-0.8987948748487454</v>
      </c>
      <c r="I49" s="62" t="s">
        <v>3</v>
      </c>
      <c r="J49" s="77">
        <v>95.54589370878502</v>
      </c>
      <c r="K49" s="79">
        <v>-0.37724942992640104</v>
      </c>
      <c r="L49" s="62" t="s">
        <v>3</v>
      </c>
      <c r="M49" s="77">
        <v>99.17692731479208</v>
      </c>
      <c r="N49" s="79">
        <v>-0.08636483537220577</v>
      </c>
      <c r="O49" s="62" t="s">
        <v>3</v>
      </c>
      <c r="P49" s="77">
        <v>93.69120464615015</v>
      </c>
      <c r="Q49" s="79">
        <v>-0.2685159868516983</v>
      </c>
      <c r="R49" s="65" t="s">
        <v>3</v>
      </c>
      <c r="S49" s="77">
        <v>46.24049413849953</v>
      </c>
      <c r="T49" s="79">
        <v>-0.7883973208374905</v>
      </c>
      <c r="U49" s="67" t="s">
        <v>3</v>
      </c>
      <c r="V49" s="77">
        <v>10.198516224658349</v>
      </c>
      <c r="W49" s="79">
        <v>-0.478538103712059</v>
      </c>
      <c r="X49" s="67" t="s">
        <v>3</v>
      </c>
      <c r="Y49" s="77">
        <v>36.0419901867931</v>
      </c>
      <c r="Z49" s="79">
        <v>-0.7592033664474543</v>
      </c>
      <c r="AA49" s="67" t="s">
        <v>3</v>
      </c>
      <c r="AB49" s="80">
        <v>23.329215278887645</v>
      </c>
      <c r="AC49" s="79">
        <v>-0.44060870244864614</v>
      </c>
      <c r="AD49" s="67" t="s">
        <v>3</v>
      </c>
      <c r="AE49" s="80">
        <v>32.03437459992319</v>
      </c>
      <c r="AF49" s="79">
        <v>-0.7535832221544695</v>
      </c>
      <c r="AG49" s="67" t="s">
        <v>3</v>
      </c>
      <c r="AH49" s="80">
        <v>17.125191605839415</v>
      </c>
      <c r="AI49" s="79">
        <v>-0.5136360142315735</v>
      </c>
      <c r="AJ49" s="67" t="s">
        <v>3</v>
      </c>
      <c r="AK49" s="80">
        <v>10.039790181417725</v>
      </c>
      <c r="AL49" s="79">
        <v>-0.32657805112313515</v>
      </c>
      <c r="AM49" s="67" t="s">
        <v>3</v>
      </c>
      <c r="AN49" s="80">
        <v>5.981241632020295</v>
      </c>
      <c r="AO49" s="81">
        <v>-0.2841372582517663</v>
      </c>
    </row>
    <row r="50" spans="1:41" ht="12" customHeight="1">
      <c r="A50" s="58" t="s">
        <v>44</v>
      </c>
      <c r="B50" s="62" t="s">
        <v>3</v>
      </c>
      <c r="C50" s="77">
        <v>52.502747926934845</v>
      </c>
      <c r="D50" s="79">
        <v>-0.21326324831520635</v>
      </c>
      <c r="E50" s="62" t="s">
        <v>3</v>
      </c>
      <c r="F50" s="62"/>
      <c r="G50" s="77">
        <v>32.03607926154286</v>
      </c>
      <c r="H50" s="79">
        <v>-0.9300261780909616</v>
      </c>
      <c r="I50" s="62" t="s">
        <v>3</v>
      </c>
      <c r="J50" s="77">
        <v>95.76053688126149</v>
      </c>
      <c r="K50" s="79">
        <v>-0.3808205251132169</v>
      </c>
      <c r="L50" s="62" t="s">
        <v>3</v>
      </c>
      <c r="M50" s="77">
        <v>99.42943012429072</v>
      </c>
      <c r="N50" s="79">
        <v>-0.07350767680391121</v>
      </c>
      <c r="O50" s="62" t="s">
        <v>3</v>
      </c>
      <c r="P50" s="77">
        <v>93.65083222771679</v>
      </c>
      <c r="Q50" s="79">
        <v>-0.27028847173774717</v>
      </c>
      <c r="R50" s="65" t="s">
        <v>3</v>
      </c>
      <c r="S50" s="77">
        <v>46.15566188197767</v>
      </c>
      <c r="T50" s="79">
        <v>-0.7972617578743825</v>
      </c>
      <c r="U50" s="67" t="s">
        <v>3</v>
      </c>
      <c r="V50" s="77">
        <v>10.421138510612195</v>
      </c>
      <c r="W50" s="79">
        <v>-0.48862847633288164</v>
      </c>
      <c r="X50" s="67" t="s">
        <v>3</v>
      </c>
      <c r="Y50" s="77">
        <v>35.7345356397988</v>
      </c>
      <c r="Z50" s="79">
        <v>-0.7663926240130444</v>
      </c>
      <c r="AA50" s="67" t="s">
        <v>3</v>
      </c>
      <c r="AB50" s="80">
        <v>22.888467153284672</v>
      </c>
      <c r="AC50" s="79">
        <v>-0.43799342144965514</v>
      </c>
      <c r="AD50" s="67" t="s">
        <v>3</v>
      </c>
      <c r="AE50" s="80">
        <v>31.785707133917395</v>
      </c>
      <c r="AF50" s="79">
        <v>-0.7521493876908114</v>
      </c>
      <c r="AG50" s="67" t="s">
        <v>3</v>
      </c>
      <c r="AH50" s="80">
        <v>16.53556747095621</v>
      </c>
      <c r="AI50" s="79">
        <v>-0.5070713783909302</v>
      </c>
      <c r="AJ50" s="67" t="s">
        <v>3</v>
      </c>
      <c r="AK50" s="80">
        <v>10.82449475939545</v>
      </c>
      <c r="AL50" s="79">
        <v>-0.33746191585575963</v>
      </c>
      <c r="AM50" s="67" t="s">
        <v>3</v>
      </c>
      <c r="AN50" s="80">
        <v>6.873577691344189</v>
      </c>
      <c r="AO50" s="81">
        <v>-0.2966014521895739</v>
      </c>
    </row>
    <row r="51" spans="1:41" ht="12" customHeight="1">
      <c r="A51" s="58" t="s">
        <v>45</v>
      </c>
      <c r="B51" s="62" t="s">
        <v>3</v>
      </c>
      <c r="C51" s="77">
        <v>51.20714033977685</v>
      </c>
      <c r="D51" s="79">
        <v>-0.21331713967585264</v>
      </c>
      <c r="E51" s="62" t="s">
        <v>3</v>
      </c>
      <c r="F51" s="62"/>
      <c r="G51" s="77">
        <v>34.24154854069181</v>
      </c>
      <c r="H51" s="79">
        <v>-0.9449068074034177</v>
      </c>
      <c r="I51" s="62" t="s">
        <v>3</v>
      </c>
      <c r="J51" s="77">
        <v>95.27213877416536</v>
      </c>
      <c r="K51" s="79">
        <v>-0.41439558475427996</v>
      </c>
      <c r="L51" s="62" t="s">
        <v>3</v>
      </c>
      <c r="M51" s="77">
        <v>99.13980050523627</v>
      </c>
      <c r="N51" s="79">
        <v>-0.09082232243637203</v>
      </c>
      <c r="O51" s="62" t="s">
        <v>3</v>
      </c>
      <c r="P51" s="77">
        <v>93.72388305664062</v>
      </c>
      <c r="Q51" s="79">
        <v>-0.27045339448826017</v>
      </c>
      <c r="R51" s="65" t="s">
        <v>3</v>
      </c>
      <c r="S51" s="77">
        <v>45.38048571078131</v>
      </c>
      <c r="T51" s="79">
        <v>-0.796111013612331</v>
      </c>
      <c r="U51" s="67" t="s">
        <v>3</v>
      </c>
      <c r="V51" s="77">
        <v>9.829130381454679</v>
      </c>
      <c r="W51" s="79">
        <v>-0.4760535655456279</v>
      </c>
      <c r="X51" s="67" t="s">
        <v>3</v>
      </c>
      <c r="Y51" s="77">
        <v>35.551355329326626</v>
      </c>
      <c r="Z51" s="79">
        <v>-0.7654205547509961</v>
      </c>
      <c r="AA51" s="67" t="s">
        <v>3</v>
      </c>
      <c r="AB51" s="80">
        <v>21.77396634862009</v>
      </c>
      <c r="AC51" s="79">
        <v>-0.4267935176280671</v>
      </c>
      <c r="AD51" s="67" t="s">
        <v>3</v>
      </c>
      <c r="AE51" s="80">
        <v>29.49751606524963</v>
      </c>
      <c r="AF51" s="79">
        <v>-0.7319659212003466</v>
      </c>
      <c r="AG51" s="67" t="s">
        <v>3</v>
      </c>
      <c r="AH51" s="80">
        <v>16.292561279375438</v>
      </c>
      <c r="AI51" s="79">
        <v>-0.499355729706147</v>
      </c>
      <c r="AJ51" s="67" t="s">
        <v>3</v>
      </c>
      <c r="AK51" s="80">
        <v>9.375604603763978</v>
      </c>
      <c r="AL51" s="79">
        <v>-0.31371363632441984</v>
      </c>
      <c r="AM51" s="67" t="s">
        <v>3</v>
      </c>
      <c r="AN51" s="80">
        <v>6.375139020785101</v>
      </c>
      <c r="AO51" s="81">
        <v>-0.28160411183942136</v>
      </c>
    </row>
    <row r="52" spans="1:41" ht="12" customHeight="1">
      <c r="A52" s="58" t="s">
        <v>46</v>
      </c>
      <c r="B52" s="62" t="s">
        <v>3</v>
      </c>
      <c r="C52" s="77">
        <v>50.34993500723998</v>
      </c>
      <c r="D52" s="79">
        <v>-0.21296832915624364</v>
      </c>
      <c r="E52" s="62" t="s">
        <v>3</v>
      </c>
      <c r="F52" s="62"/>
      <c r="G52" s="77">
        <v>35.08702064315924</v>
      </c>
      <c r="H52" s="79">
        <v>-0.9470150368258332</v>
      </c>
      <c r="I52" s="62" t="s">
        <v>3</v>
      </c>
      <c r="J52" s="77">
        <v>95.75362118000032</v>
      </c>
      <c r="K52" s="79">
        <v>-0.3997936927619299</v>
      </c>
      <c r="L52" s="62" t="s">
        <v>3</v>
      </c>
      <c r="M52" s="77">
        <v>99.17354465551279</v>
      </c>
      <c r="N52" s="79">
        <v>-0.08988276731389609</v>
      </c>
      <c r="O52" s="62" t="s">
        <v>3</v>
      </c>
      <c r="P52" s="77">
        <v>93.58017629407351</v>
      </c>
      <c r="Q52" s="79">
        <v>-0.2766174279380379</v>
      </c>
      <c r="R52" s="65" t="s">
        <v>3</v>
      </c>
      <c r="S52" s="77">
        <v>44.95944728512296</v>
      </c>
      <c r="T52" s="79">
        <v>-0.7924983964864146</v>
      </c>
      <c r="U52" s="67" t="s">
        <v>3</v>
      </c>
      <c r="V52" s="77">
        <v>10.330374969564158</v>
      </c>
      <c r="W52" s="79">
        <v>-0.4848721466275227</v>
      </c>
      <c r="X52" s="67" t="s">
        <v>3</v>
      </c>
      <c r="Y52" s="77">
        <v>34.6290723155588</v>
      </c>
      <c r="Z52" s="79">
        <v>-0.7579826587631802</v>
      </c>
      <c r="AA52" s="67" t="s">
        <v>3</v>
      </c>
      <c r="AB52" s="80">
        <v>21.71057186234818</v>
      </c>
      <c r="AC52" s="79">
        <v>-0.4234650654723241</v>
      </c>
      <c r="AD52" s="67" t="s">
        <v>3</v>
      </c>
      <c r="AE52" s="80">
        <v>30.202135802469137</v>
      </c>
      <c r="AF52" s="79">
        <v>-0.7365822544795744</v>
      </c>
      <c r="AG52" s="67" t="s">
        <v>3</v>
      </c>
      <c r="AH52" s="80">
        <v>15.811638078902229</v>
      </c>
      <c r="AI52" s="79">
        <v>-0.4878530824917391</v>
      </c>
      <c r="AJ52" s="67" t="s">
        <v>3</v>
      </c>
      <c r="AK52" s="80">
        <v>9.593371085942705</v>
      </c>
      <c r="AL52" s="79">
        <v>-0.31321066859370483</v>
      </c>
      <c r="AM52" s="67" t="s">
        <v>3</v>
      </c>
      <c r="AN52" s="80">
        <v>6.383409270109955</v>
      </c>
      <c r="AO52" s="81">
        <v>-0.2758096354556312</v>
      </c>
    </row>
    <row r="53" spans="1:41" ht="12" customHeight="1">
      <c r="A53" s="58"/>
      <c r="B53" s="62" t="s">
        <v>3</v>
      </c>
      <c r="C53" s="77"/>
      <c r="D53" s="79"/>
      <c r="E53" s="62" t="s">
        <v>3</v>
      </c>
      <c r="F53" s="62"/>
      <c r="G53" s="77"/>
      <c r="H53" s="79"/>
      <c r="I53" s="62" t="s">
        <v>3</v>
      </c>
      <c r="J53" s="77"/>
      <c r="K53" s="79"/>
      <c r="L53" s="62" t="s">
        <v>3</v>
      </c>
      <c r="M53" s="77"/>
      <c r="N53" s="79"/>
      <c r="O53" s="62" t="s">
        <v>3</v>
      </c>
      <c r="P53" s="77"/>
      <c r="Q53" s="79"/>
      <c r="R53" s="65" t="s">
        <v>3</v>
      </c>
      <c r="S53" s="77"/>
      <c r="T53" s="79"/>
      <c r="U53" s="67" t="s">
        <v>3</v>
      </c>
      <c r="V53" s="77"/>
      <c r="W53" s="79"/>
      <c r="X53" s="67" t="s">
        <v>3</v>
      </c>
      <c r="Y53" s="77"/>
      <c r="Z53" s="79"/>
      <c r="AA53" s="67" t="s">
        <v>3</v>
      </c>
      <c r="AB53" s="80"/>
      <c r="AC53" s="79"/>
      <c r="AD53" s="67" t="s">
        <v>3</v>
      </c>
      <c r="AE53" s="80"/>
      <c r="AF53" s="79"/>
      <c r="AG53" s="67" t="s">
        <v>3</v>
      </c>
      <c r="AH53" s="80"/>
      <c r="AI53" s="79"/>
      <c r="AJ53" s="67" t="s">
        <v>3</v>
      </c>
      <c r="AK53" s="80"/>
      <c r="AL53" s="79"/>
      <c r="AM53" s="67" t="s">
        <v>3</v>
      </c>
      <c r="AN53" s="80"/>
      <c r="AO53" s="81"/>
    </row>
    <row r="54" spans="1:41" ht="12" customHeight="1">
      <c r="A54" s="58" t="s">
        <v>47</v>
      </c>
      <c r="B54" s="62" t="s">
        <v>3</v>
      </c>
      <c r="C54" s="77">
        <v>49.68020403625627</v>
      </c>
      <c r="D54" s="79">
        <v>-0.21248039437489427</v>
      </c>
      <c r="E54" s="62" t="s">
        <v>3</v>
      </c>
      <c r="F54" s="62"/>
      <c r="G54" s="77">
        <v>36.68268902019621</v>
      </c>
      <c r="H54" s="79">
        <v>-0.9469903288623159</v>
      </c>
      <c r="I54" s="62" t="s">
        <v>3</v>
      </c>
      <c r="J54" s="77">
        <v>95.70209535993804</v>
      </c>
      <c r="K54" s="79">
        <v>-0.4017475120702303</v>
      </c>
      <c r="L54" s="62" t="s">
        <v>3</v>
      </c>
      <c r="M54" s="77">
        <v>99.26131285131584</v>
      </c>
      <c r="N54" s="79">
        <v>-0.08575382807776324</v>
      </c>
      <c r="O54" s="62" t="s">
        <v>3</v>
      </c>
      <c r="P54" s="77">
        <v>93.41088957093989</v>
      </c>
      <c r="Q54" s="79">
        <v>-0.2851039125841785</v>
      </c>
      <c r="R54" s="65" t="s">
        <v>3</v>
      </c>
      <c r="S54" s="77">
        <v>46.42625</v>
      </c>
      <c r="T54" s="79">
        <v>-0.797143691100898</v>
      </c>
      <c r="U54" s="67" t="s">
        <v>3</v>
      </c>
      <c r="V54" s="77">
        <v>10.477414215686274</v>
      </c>
      <c r="W54" s="79">
        <v>-0.4895219304859549</v>
      </c>
      <c r="X54" s="67" t="s">
        <v>3</v>
      </c>
      <c r="Y54" s="77">
        <v>35.94883578431373</v>
      </c>
      <c r="Z54" s="79">
        <v>-0.7669811953560947</v>
      </c>
      <c r="AA54" s="67" t="s">
        <v>3</v>
      </c>
      <c r="AB54" s="80">
        <v>22.26685027541312</v>
      </c>
      <c r="AC54" s="79">
        <v>-0.42507675956933666</v>
      </c>
      <c r="AD54" s="67" t="s">
        <v>3</v>
      </c>
      <c r="AE54" s="80">
        <v>31.008074457593686</v>
      </c>
      <c r="AF54" s="79">
        <v>-0.7414748547573209</v>
      </c>
      <c r="AG54" s="67" t="s">
        <v>3</v>
      </c>
      <c r="AH54" s="80">
        <v>16.287021420138302</v>
      </c>
      <c r="AI54" s="79">
        <v>-0.4895931970288093</v>
      </c>
      <c r="AJ54" s="67" t="s">
        <v>3</v>
      </c>
      <c r="AK54" s="80">
        <v>9.269632714880727</v>
      </c>
      <c r="AL54" s="79">
        <v>-0.30444309837776695</v>
      </c>
      <c r="AM54" s="67" t="s">
        <v>3</v>
      </c>
      <c r="AN54" s="80">
        <v>6.448771233436461</v>
      </c>
      <c r="AO54" s="81">
        <v>-0.2709541096096948</v>
      </c>
    </row>
    <row r="55" spans="1:41" ht="12" customHeight="1">
      <c r="A55" s="58" t="s">
        <v>48</v>
      </c>
      <c r="B55" s="62" t="s">
        <v>3</v>
      </c>
      <c r="C55" s="77">
        <v>48.94327845214097</v>
      </c>
      <c r="D55" s="79">
        <v>-0.2089649346711079</v>
      </c>
      <c r="E55" s="62" t="s">
        <v>3</v>
      </c>
      <c r="F55" s="62"/>
      <c r="G55" s="77">
        <v>36.01806018125037</v>
      </c>
      <c r="H55" s="79">
        <v>-0.924107649442399</v>
      </c>
      <c r="I55" s="62" t="s">
        <v>3</v>
      </c>
      <c r="J55" s="77">
        <v>94.00443817525267</v>
      </c>
      <c r="K55" s="79">
        <v>-0.4620601166086307</v>
      </c>
      <c r="L55" s="62" t="s">
        <v>3</v>
      </c>
      <c r="M55" s="77">
        <v>99.2358971541725</v>
      </c>
      <c r="N55" s="79">
        <v>-0.08669585697119414</v>
      </c>
      <c r="O55" s="62" t="s">
        <v>3</v>
      </c>
      <c r="P55" s="77">
        <v>94.12730844793712</v>
      </c>
      <c r="Q55" s="79">
        <v>-0.27157429026984375</v>
      </c>
      <c r="R55" s="65" t="s">
        <v>3</v>
      </c>
      <c r="S55" s="77">
        <v>48.99792975970425</v>
      </c>
      <c r="T55" s="79">
        <v>-0.8012395387384215</v>
      </c>
      <c r="U55" s="67" t="s">
        <v>3</v>
      </c>
      <c r="V55" s="77">
        <v>11.492507701786815</v>
      </c>
      <c r="W55" s="79">
        <v>-0.5111837317223992</v>
      </c>
      <c r="X55" s="67" t="s">
        <v>3</v>
      </c>
      <c r="Y55" s="77">
        <v>37.505422057917436</v>
      </c>
      <c r="Z55" s="79">
        <v>-0.7759751304148611</v>
      </c>
      <c r="AA55" s="67" t="s">
        <v>3</v>
      </c>
      <c r="AB55" s="80">
        <v>22.541611510791366</v>
      </c>
      <c r="AC55" s="79">
        <v>-0.417828005499864</v>
      </c>
      <c r="AD55" s="67" t="s">
        <v>3</v>
      </c>
      <c r="AE55" s="80">
        <v>31.598218768679022</v>
      </c>
      <c r="AF55" s="79">
        <v>-0.7339321292730521</v>
      </c>
      <c r="AG55" s="67" t="s">
        <v>3</v>
      </c>
      <c r="AH55" s="80">
        <v>16.473648378053664</v>
      </c>
      <c r="AI55" s="79">
        <v>-0.47933180337200987</v>
      </c>
      <c r="AJ55" s="67" t="s">
        <v>3</v>
      </c>
      <c r="AK55" s="80">
        <v>8.968923154701718</v>
      </c>
      <c r="AL55" s="79">
        <v>-0.28999038861705123</v>
      </c>
      <c r="AM55" s="67" t="s">
        <v>3</v>
      </c>
      <c r="AN55" s="80">
        <v>6.866555348735355</v>
      </c>
      <c r="AO55" s="81">
        <v>-0.2701621074289876</v>
      </c>
    </row>
    <row r="56" spans="1:41" ht="12" customHeight="1">
      <c r="A56" s="58" t="s">
        <v>49</v>
      </c>
      <c r="B56" s="62" t="s">
        <v>3</v>
      </c>
      <c r="C56" s="77">
        <v>48.58465993313138</v>
      </c>
      <c r="D56" s="79">
        <v>-0.21945985570511264</v>
      </c>
      <c r="E56" s="62" t="s">
        <v>3</v>
      </c>
      <c r="F56" s="62"/>
      <c r="G56" s="77">
        <v>36.40734591999058</v>
      </c>
      <c r="H56" s="79">
        <v>-0.9590943725451725</v>
      </c>
      <c r="I56" s="62" t="s">
        <v>3</v>
      </c>
      <c r="J56" s="77">
        <v>94.9815554511646</v>
      </c>
      <c r="K56" s="79">
        <v>-0.4441861534851428</v>
      </c>
      <c r="L56" s="62" t="s">
        <v>3</v>
      </c>
      <c r="M56" s="77">
        <v>99.15152474956669</v>
      </c>
      <c r="N56" s="79">
        <v>-0.09658290372474986</v>
      </c>
      <c r="O56" s="62" t="s">
        <v>3</v>
      </c>
      <c r="P56" s="77">
        <v>94.42602711864406</v>
      </c>
      <c r="Q56" s="79">
        <v>-0.2863522974247214</v>
      </c>
      <c r="R56" s="65" t="s">
        <v>3</v>
      </c>
      <c r="S56" s="77">
        <v>47.81964352486601</v>
      </c>
      <c r="T56" s="79">
        <v>-0.8453891884379545</v>
      </c>
      <c r="U56" s="67" t="s">
        <v>3</v>
      </c>
      <c r="V56" s="77">
        <v>11.316141094353734</v>
      </c>
      <c r="W56" s="79">
        <v>-0.5361316787950509</v>
      </c>
      <c r="X56" s="67" t="s">
        <v>3</v>
      </c>
      <c r="Y56" s="77">
        <v>36.50350243051228</v>
      </c>
      <c r="Z56" s="79">
        <v>-0.8147833669134273</v>
      </c>
      <c r="AA56" s="67" t="s">
        <v>3</v>
      </c>
      <c r="AB56" s="80">
        <v>23.515257167555106</v>
      </c>
      <c r="AC56" s="79">
        <v>-0.4455116032713317</v>
      </c>
      <c r="AD56" s="67" t="s">
        <v>3</v>
      </c>
      <c r="AE56" s="80">
        <v>33.990942472460226</v>
      </c>
      <c r="AF56" s="79">
        <v>-0.7944027492140913</v>
      </c>
      <c r="AG56" s="67" t="s">
        <v>3</v>
      </c>
      <c r="AH56" s="80">
        <v>16.751142021654942</v>
      </c>
      <c r="AI56" s="79">
        <v>-0.5032490874978572</v>
      </c>
      <c r="AJ56" s="67" t="s">
        <v>3</v>
      </c>
      <c r="AK56" s="80">
        <v>9.560140343941491</v>
      </c>
      <c r="AL56" s="79">
        <v>-0.3133416571367872</v>
      </c>
      <c r="AM56" s="67" t="s">
        <v>3</v>
      </c>
      <c r="AN56" s="80">
        <v>6.301306374674762</v>
      </c>
      <c r="AO56" s="81">
        <v>-0.27119134086105995</v>
      </c>
    </row>
    <row r="57" spans="1:41" ht="12" customHeight="1">
      <c r="A57" s="58" t="s">
        <v>50</v>
      </c>
      <c r="B57" s="62" t="s">
        <v>3</v>
      </c>
      <c r="C57" s="77">
        <v>48.35623847215017</v>
      </c>
      <c r="D57" s="79">
        <v>-0.22258145540226637</v>
      </c>
      <c r="E57" s="62" t="s">
        <v>3</v>
      </c>
      <c r="F57" s="62"/>
      <c r="G57" s="77">
        <v>37.545225750604715</v>
      </c>
      <c r="H57" s="79">
        <v>-0.9421329661706518</v>
      </c>
      <c r="I57" s="62" t="s">
        <v>3</v>
      </c>
      <c r="J57" s="77">
        <v>95.44889578925671</v>
      </c>
      <c r="K57" s="79">
        <v>-0.42011389259661186</v>
      </c>
      <c r="L57" s="62" t="s">
        <v>3</v>
      </c>
      <c r="M57" s="77">
        <v>99.21402860442149</v>
      </c>
      <c r="N57" s="79">
        <v>-0.0937635831350506</v>
      </c>
      <c r="O57" s="62" t="s">
        <v>3</v>
      </c>
      <c r="P57" s="77">
        <v>94.99221621381845</v>
      </c>
      <c r="Q57" s="79">
        <v>-0.27439854950078013</v>
      </c>
      <c r="R57" s="65" t="s">
        <v>3</v>
      </c>
      <c r="S57" s="77">
        <v>50.36894743573347</v>
      </c>
      <c r="T57" s="79">
        <v>-0.8571384384592636</v>
      </c>
      <c r="U57" s="67" t="s">
        <v>3</v>
      </c>
      <c r="V57" s="77">
        <v>12.769932216395958</v>
      </c>
      <c r="W57" s="79">
        <v>-0.572163555971001</v>
      </c>
      <c r="X57" s="67" t="s">
        <v>3</v>
      </c>
      <c r="Y57" s="77">
        <v>37.59901521933751</v>
      </c>
      <c r="Z57" s="79">
        <v>-0.830379746283827</v>
      </c>
      <c r="AA57" s="67" t="s">
        <v>3</v>
      </c>
      <c r="AB57" s="80">
        <v>22.735205433264294</v>
      </c>
      <c r="AC57" s="79">
        <v>-0.4409451110836981</v>
      </c>
      <c r="AD57" s="67" t="s">
        <v>3</v>
      </c>
      <c r="AE57" s="80">
        <v>32.45533026495833</v>
      </c>
      <c r="AF57" s="79">
        <v>-0.7916002830955933</v>
      </c>
      <c r="AG57" s="67" t="s">
        <v>3</v>
      </c>
      <c r="AH57" s="80">
        <v>16.59308284860871</v>
      </c>
      <c r="AI57" s="79">
        <v>-0.49998304519180264</v>
      </c>
      <c r="AJ57" s="67" t="s">
        <v>3</v>
      </c>
      <c r="AK57" s="80">
        <v>9.589804405988762</v>
      </c>
      <c r="AL57" s="79">
        <v>-0.3109461180940963</v>
      </c>
      <c r="AM57" s="67" t="s">
        <v>3</v>
      </c>
      <c r="AN57" s="80">
        <v>6.418091008964853</v>
      </c>
      <c r="AO57" s="81">
        <v>-0.27131053558516566</v>
      </c>
    </row>
    <row r="58" spans="1:41" ht="12" customHeight="1">
      <c r="A58" s="58" t="s">
        <v>51</v>
      </c>
      <c r="B58" s="62" t="s">
        <v>3</v>
      </c>
      <c r="C58" s="77">
        <v>47.86409834494274</v>
      </c>
      <c r="D58" s="79">
        <v>-0.22219594612569576</v>
      </c>
      <c r="E58" s="62" t="s">
        <v>3</v>
      </c>
      <c r="F58" s="62"/>
      <c r="G58" s="77">
        <v>36.27979031988585</v>
      </c>
      <c r="H58" s="79">
        <v>-0.9223310621926007</v>
      </c>
      <c r="I58" s="62" t="s">
        <v>3</v>
      </c>
      <c r="J58" s="77">
        <v>94.54074320804699</v>
      </c>
      <c r="K58" s="79">
        <v>-0.4514746101082334</v>
      </c>
      <c r="L58" s="62" t="s">
        <v>3</v>
      </c>
      <c r="M58" s="77">
        <v>99.22624395314499</v>
      </c>
      <c r="N58" s="79">
        <v>-0.0939009498568441</v>
      </c>
      <c r="O58" s="62" t="s">
        <v>3</v>
      </c>
      <c r="P58" s="77">
        <v>94.71362356657282</v>
      </c>
      <c r="Q58" s="79">
        <v>-0.2810788975448898</v>
      </c>
      <c r="R58" s="65" t="s">
        <v>3</v>
      </c>
      <c r="S58" s="77">
        <v>50.13575659666129</v>
      </c>
      <c r="T58" s="79">
        <v>-0.879429143173593</v>
      </c>
      <c r="U58" s="67" t="s">
        <v>3</v>
      </c>
      <c r="V58" s="77">
        <v>11.534383414108778</v>
      </c>
      <c r="W58" s="79">
        <v>-0.5618454862731663</v>
      </c>
      <c r="X58" s="67" t="s">
        <v>3</v>
      </c>
      <c r="Y58" s="77">
        <v>38.60137318255251</v>
      </c>
      <c r="Z58" s="79">
        <v>-0.8562747866182168</v>
      </c>
      <c r="AA58" s="67" t="s">
        <v>3</v>
      </c>
      <c r="AB58" s="80">
        <v>23.71621608503616</v>
      </c>
      <c r="AC58" s="79">
        <v>-0.44920230820866697</v>
      </c>
      <c r="AD58" s="67" t="s">
        <v>3</v>
      </c>
      <c r="AE58" s="80">
        <v>33.911282824475435</v>
      </c>
      <c r="AF58" s="79">
        <v>-0.8044052856388689</v>
      </c>
      <c r="AG58" s="67" t="s">
        <v>3</v>
      </c>
      <c r="AH58" s="80">
        <v>17.29874248655489</v>
      </c>
      <c r="AI58" s="79">
        <v>-0.5099052428342329</v>
      </c>
      <c r="AJ58" s="67" t="s">
        <v>3</v>
      </c>
      <c r="AK58" s="80">
        <v>9.076384421224843</v>
      </c>
      <c r="AL58" s="79">
        <v>-0.3005420449291186</v>
      </c>
      <c r="AM58" s="67" t="s">
        <v>3</v>
      </c>
      <c r="AN58" s="80">
        <v>6.284447468570743</v>
      </c>
      <c r="AO58" s="81">
        <v>-0.26527452541400176</v>
      </c>
    </row>
    <row r="59" spans="1:41" ht="12" customHeight="1">
      <c r="A59" s="58"/>
      <c r="B59" s="62" t="s">
        <v>3</v>
      </c>
      <c r="C59" s="77"/>
      <c r="D59" s="79"/>
      <c r="E59" s="62" t="s">
        <v>3</v>
      </c>
      <c r="F59" s="62"/>
      <c r="G59" s="77"/>
      <c r="H59" s="79"/>
      <c r="I59" s="62" t="s">
        <v>3</v>
      </c>
      <c r="J59" s="77"/>
      <c r="K59" s="79"/>
      <c r="L59" s="62" t="s">
        <v>3</v>
      </c>
      <c r="M59" s="77"/>
      <c r="N59" s="79"/>
      <c r="O59" s="62" t="s">
        <v>3</v>
      </c>
      <c r="P59" s="77"/>
      <c r="Q59" s="79"/>
      <c r="R59" s="65" t="s">
        <v>3</v>
      </c>
      <c r="S59" s="77"/>
      <c r="T59" s="79"/>
      <c r="U59" s="67" t="s">
        <v>3</v>
      </c>
      <c r="V59" s="77"/>
      <c r="W59" s="79"/>
      <c r="X59" s="67" t="s">
        <v>3</v>
      </c>
      <c r="Y59" s="77"/>
      <c r="Z59" s="79"/>
      <c r="AA59" s="67" t="s">
        <v>3</v>
      </c>
      <c r="AB59" s="80"/>
      <c r="AC59" s="79"/>
      <c r="AD59" s="67" t="s">
        <v>3</v>
      </c>
      <c r="AE59" s="80"/>
      <c r="AF59" s="79"/>
      <c r="AG59" s="67" t="s">
        <v>3</v>
      </c>
      <c r="AH59" s="80"/>
      <c r="AI59" s="79"/>
      <c r="AJ59" s="67" t="s">
        <v>3</v>
      </c>
      <c r="AK59" s="80"/>
      <c r="AL59" s="79"/>
      <c r="AM59" s="67" t="s">
        <v>3</v>
      </c>
      <c r="AN59" s="80"/>
      <c r="AO59" s="81"/>
    </row>
    <row r="60" spans="1:41" ht="12" customHeight="1">
      <c r="A60" s="58" t="s">
        <v>52</v>
      </c>
      <c r="B60" s="62" t="s">
        <v>3</v>
      </c>
      <c r="C60" s="77">
        <v>48.344413532025186</v>
      </c>
      <c r="D60" s="79">
        <v>-0.22203620046514</v>
      </c>
      <c r="E60" s="62" t="s">
        <v>3</v>
      </c>
      <c r="F60" s="62"/>
      <c r="G60" s="77">
        <v>38.942262567164</v>
      </c>
      <c r="H60" s="79">
        <v>-0.9351869975003164</v>
      </c>
      <c r="I60" s="62" t="s">
        <v>3</v>
      </c>
      <c r="J60" s="77">
        <v>96.12433289026816</v>
      </c>
      <c r="K60" s="79">
        <v>-0.37610341609594633</v>
      </c>
      <c r="L60" s="62" t="s">
        <v>3</v>
      </c>
      <c r="M60" s="77">
        <v>99.23873106062663</v>
      </c>
      <c r="N60" s="79">
        <v>-0.09316432413044762</v>
      </c>
      <c r="O60" s="62" t="s">
        <v>3</v>
      </c>
      <c r="P60" s="77">
        <v>94.931147641798</v>
      </c>
      <c r="Q60" s="79">
        <v>-0.2736597166419247</v>
      </c>
      <c r="R60" s="65" t="s">
        <v>3</v>
      </c>
      <c r="S60" s="77">
        <v>51.58423098278734</v>
      </c>
      <c r="T60" s="79">
        <v>-0.8925518260906661</v>
      </c>
      <c r="U60" s="67" t="s">
        <v>3</v>
      </c>
      <c r="V60" s="77">
        <v>11.226693503609106</v>
      </c>
      <c r="W60" s="79">
        <v>-0.5638306449012804</v>
      </c>
      <c r="X60" s="67" t="s">
        <v>3</v>
      </c>
      <c r="Y60" s="77">
        <v>40.357537479178234</v>
      </c>
      <c r="Z60" s="79">
        <v>-0.8762371416459189</v>
      </c>
      <c r="AA60" s="67" t="s">
        <v>3</v>
      </c>
      <c r="AB60" s="80">
        <v>23.974756501656795</v>
      </c>
      <c r="AC60" s="79">
        <v>-0.4585656776245755</v>
      </c>
      <c r="AD60" s="67" t="s">
        <v>3</v>
      </c>
      <c r="AE60" s="80">
        <v>35.261218908712074</v>
      </c>
      <c r="AF60" s="79">
        <v>-0.8265078509225853</v>
      </c>
      <c r="AG60" s="67" t="s">
        <v>3</v>
      </c>
      <c r="AH60" s="80">
        <v>16.893398153443908</v>
      </c>
      <c r="AI60" s="79">
        <v>-0.5134187221166244</v>
      </c>
      <c r="AJ60" s="67" t="s">
        <v>3</v>
      </c>
      <c r="AK60" s="80">
        <v>9.225696532628364</v>
      </c>
      <c r="AL60" s="79">
        <v>-0.3023880816411569</v>
      </c>
      <c r="AM60" s="67" t="s">
        <v>3</v>
      </c>
      <c r="AN60" s="80">
        <v>6.124933058841687</v>
      </c>
      <c r="AO60" s="81">
        <v>-0.25776941862485886</v>
      </c>
    </row>
    <row r="61" spans="1:41" ht="12" customHeight="1">
      <c r="A61" s="58" t="s">
        <v>53</v>
      </c>
      <c r="B61" s="62" t="s">
        <v>3</v>
      </c>
      <c r="C61" s="77">
        <v>48.18563211378169</v>
      </c>
      <c r="D61" s="79">
        <v>-0.22138044597993783</v>
      </c>
      <c r="E61" s="62" t="s">
        <v>3</v>
      </c>
      <c r="F61" s="62"/>
      <c r="G61" s="77">
        <v>38.93405424437622</v>
      </c>
      <c r="H61" s="79">
        <v>-0.9329637991496257</v>
      </c>
      <c r="I61" s="62" t="s">
        <v>3</v>
      </c>
      <c r="J61" s="77">
        <v>95.27957769362125</v>
      </c>
      <c r="K61" s="79">
        <v>-0.4048161707169751</v>
      </c>
      <c r="L61" s="62" t="s">
        <v>3</v>
      </c>
      <c r="M61" s="77">
        <v>99.20034640263333</v>
      </c>
      <c r="N61" s="79">
        <v>-0.09515782977247228</v>
      </c>
      <c r="O61" s="62" t="s">
        <v>3</v>
      </c>
      <c r="P61" s="77">
        <v>94.88578154448162</v>
      </c>
      <c r="Q61" s="79">
        <v>-0.276220748319667</v>
      </c>
      <c r="R61" s="65" t="s">
        <v>3</v>
      </c>
      <c r="S61" s="77">
        <v>54.571923890063424</v>
      </c>
      <c r="T61" s="79">
        <v>-0.8960639437835185</v>
      </c>
      <c r="U61" s="67" t="s">
        <v>3</v>
      </c>
      <c r="V61" s="77">
        <v>13.11275546159267</v>
      </c>
      <c r="W61" s="79">
        <v>-0.6074593078965722</v>
      </c>
      <c r="X61" s="67" t="s">
        <v>3</v>
      </c>
      <c r="Y61" s="77">
        <v>41.459168428470754</v>
      </c>
      <c r="Z61" s="79">
        <v>-0.8866085900404042</v>
      </c>
      <c r="AA61" s="67" t="s">
        <v>3</v>
      </c>
      <c r="AB61" s="80">
        <v>23.608683112736262</v>
      </c>
      <c r="AC61" s="79">
        <v>-0.46199280504633655</v>
      </c>
      <c r="AD61" s="67" t="s">
        <v>3</v>
      </c>
      <c r="AE61" s="80">
        <v>33.02969556944822</v>
      </c>
      <c r="AF61" s="79">
        <v>-0.8311548199717103</v>
      </c>
      <c r="AG61" s="67" t="s">
        <v>3</v>
      </c>
      <c r="AH61" s="80">
        <v>17.860295215191975</v>
      </c>
      <c r="AI61" s="79">
        <v>-0.528729613385172</v>
      </c>
      <c r="AJ61" s="67" t="s">
        <v>3</v>
      </c>
      <c r="AK61" s="80">
        <v>8.802264421473684</v>
      </c>
      <c r="AL61" s="79">
        <v>-0.2937474492735979</v>
      </c>
      <c r="AM61" s="67" t="s">
        <v>3</v>
      </c>
      <c r="AN61" s="80">
        <v>5.991643406668132</v>
      </c>
      <c r="AO61" s="81">
        <v>-0.25113935582190633</v>
      </c>
    </row>
    <row r="62" spans="1:41" ht="12" customHeight="1">
      <c r="A62" s="58" t="s">
        <v>54</v>
      </c>
      <c r="B62" s="62" t="s">
        <v>3</v>
      </c>
      <c r="C62" s="77">
        <v>48.630089269825</v>
      </c>
      <c r="D62" s="79">
        <v>-0.2214388046754307</v>
      </c>
      <c r="E62" s="62" t="s">
        <v>3</v>
      </c>
      <c r="F62" s="62"/>
      <c r="G62" s="77">
        <v>38.29675686100159</v>
      </c>
      <c r="H62" s="79">
        <v>-0.9339476718110603</v>
      </c>
      <c r="I62" s="62" t="s">
        <v>3</v>
      </c>
      <c r="J62" s="77">
        <v>95.11649163922355</v>
      </c>
      <c r="K62" s="79">
        <v>-0.40987956635939493</v>
      </c>
      <c r="L62" s="62" t="s">
        <v>3</v>
      </c>
      <c r="M62" s="77">
        <v>99.52817604133428</v>
      </c>
      <c r="N62" s="79">
        <v>-0.07249385154882215</v>
      </c>
      <c r="O62" s="62" t="s">
        <v>3</v>
      </c>
      <c r="P62" s="77">
        <v>94.95762270895369</v>
      </c>
      <c r="Q62" s="79">
        <v>-0.27786923009881925</v>
      </c>
      <c r="R62" s="65" t="s">
        <v>3</v>
      </c>
      <c r="S62" s="77">
        <v>55.61928324091453</v>
      </c>
      <c r="T62" s="79">
        <v>-0.8900663310984492</v>
      </c>
      <c r="U62" s="67" t="s">
        <v>3</v>
      </c>
      <c r="V62" s="77">
        <v>13.09196577252531</v>
      </c>
      <c r="W62" s="79">
        <v>-0.6042893178515736</v>
      </c>
      <c r="X62" s="67" t="s">
        <v>3</v>
      </c>
      <c r="Y62" s="77">
        <v>42.52733143491063</v>
      </c>
      <c r="Z62" s="79">
        <v>-0.885680882527906</v>
      </c>
      <c r="AA62" s="67" t="s">
        <v>3</v>
      </c>
      <c r="AB62" s="80">
        <v>25.50418854339382</v>
      </c>
      <c r="AC62" s="79">
        <v>-0.4820336156752892</v>
      </c>
      <c r="AD62" s="67" t="s">
        <v>3</v>
      </c>
      <c r="AE62" s="80">
        <v>38.71355085964511</v>
      </c>
      <c r="AF62" s="79">
        <v>-0.8776624058834108</v>
      </c>
      <c r="AG62" s="67" t="s">
        <v>3</v>
      </c>
      <c r="AH62" s="80">
        <v>17.521278453274068</v>
      </c>
      <c r="AI62" s="79">
        <v>-0.5324849906423731</v>
      </c>
      <c r="AJ62" s="67" t="s">
        <v>3</v>
      </c>
      <c r="AK62" s="80">
        <v>9.041508787888098</v>
      </c>
      <c r="AL62" s="79">
        <v>-0.2974894079639303</v>
      </c>
      <c r="AM62" s="67" t="s">
        <v>3</v>
      </c>
      <c r="AN62" s="80">
        <v>5.847258526381812</v>
      </c>
      <c r="AO62" s="81">
        <v>-0.24532699303153752</v>
      </c>
    </row>
    <row r="63" spans="1:41" ht="12" customHeight="1">
      <c r="A63" s="58" t="s">
        <v>55</v>
      </c>
      <c r="B63" s="62" t="s">
        <v>3</v>
      </c>
      <c r="C63" s="77">
        <v>48.66635376747754</v>
      </c>
      <c r="D63" s="79">
        <v>-0.23724888191369142</v>
      </c>
      <c r="E63" s="62" t="s">
        <v>3</v>
      </c>
      <c r="F63" s="62"/>
      <c r="G63" s="77">
        <v>38.2226195485175</v>
      </c>
      <c r="H63" s="79">
        <v>-1.0059493180364705</v>
      </c>
      <c r="I63" s="62" t="s">
        <v>3</v>
      </c>
      <c r="J63" s="77">
        <v>95.97041574502552</v>
      </c>
      <c r="K63" s="79">
        <v>-0.4064907799653006</v>
      </c>
      <c r="L63" s="62" t="s">
        <v>3</v>
      </c>
      <c r="M63" s="77">
        <v>99.66572103105592</v>
      </c>
      <c r="N63" s="79">
        <v>-0.06581013845936357</v>
      </c>
      <c r="O63" s="62" t="s">
        <v>3</v>
      </c>
      <c r="P63" s="77">
        <v>95.09152108256504</v>
      </c>
      <c r="Q63" s="79">
        <v>-0.30449361606746855</v>
      </c>
      <c r="R63" s="65" t="s">
        <v>3</v>
      </c>
      <c r="S63" s="77">
        <v>55.64980984318575</v>
      </c>
      <c r="T63" s="79">
        <v>-0.9601271528816598</v>
      </c>
      <c r="U63" s="67" t="s">
        <v>3</v>
      </c>
      <c r="V63" s="77">
        <v>13.884381366551596</v>
      </c>
      <c r="W63" s="79">
        <v>-0.6682722022545251</v>
      </c>
      <c r="X63" s="67" t="s">
        <v>3</v>
      </c>
      <c r="Y63" s="77">
        <v>41.765428476634156</v>
      </c>
      <c r="Z63" s="79">
        <v>-0.9531210896854042</v>
      </c>
      <c r="AA63" s="67" t="s">
        <v>3</v>
      </c>
      <c r="AB63" s="80">
        <v>26.11592851002904</v>
      </c>
      <c r="AC63" s="79">
        <v>-0.5339388265341745</v>
      </c>
      <c r="AD63" s="67" t="s">
        <v>3</v>
      </c>
      <c r="AE63" s="80">
        <v>39.05382019251271</v>
      </c>
      <c r="AF63" s="79">
        <v>-0.9642642732850555</v>
      </c>
      <c r="AG63" s="67" t="s">
        <v>3</v>
      </c>
      <c r="AH63" s="80">
        <v>18.245989151824134</v>
      </c>
      <c r="AI63" s="79">
        <v>-0.5953649293694732</v>
      </c>
      <c r="AJ63" s="67" t="s">
        <v>3</v>
      </c>
      <c r="AK63" s="80">
        <v>8.340400853237842</v>
      </c>
      <c r="AL63" s="79">
        <v>-0.31296228202666626</v>
      </c>
      <c r="AM63" s="67" t="s">
        <v>3</v>
      </c>
      <c r="AN63" s="80">
        <v>5.933994120321487</v>
      </c>
      <c r="AO63" s="81">
        <v>-0.2664292011422147</v>
      </c>
    </row>
    <row r="64" spans="1:41" ht="12" customHeight="1">
      <c r="A64" s="58" t="s">
        <v>56</v>
      </c>
      <c r="B64" s="62" t="s">
        <v>3</v>
      </c>
      <c r="C64" s="77">
        <v>49.04508816113399</v>
      </c>
      <c r="D64" s="79">
        <v>-0.2214020056814522</v>
      </c>
      <c r="E64" s="62" t="s">
        <v>3</v>
      </c>
      <c r="F64" s="62"/>
      <c r="G64" s="77">
        <v>39.130378419896374</v>
      </c>
      <c r="H64" s="79">
        <v>-1.0043221884505242</v>
      </c>
      <c r="I64" s="62" t="s">
        <v>3</v>
      </c>
      <c r="J64" s="77">
        <v>95.15434555310213</v>
      </c>
      <c r="K64" s="79">
        <v>-0.4436600498489509</v>
      </c>
      <c r="L64" s="62" t="s">
        <v>3</v>
      </c>
      <c r="M64" s="77">
        <v>99.32153071296293</v>
      </c>
      <c r="N64" s="79">
        <v>-0.09268928409831621</v>
      </c>
      <c r="O64" s="62" t="s">
        <v>3</v>
      </c>
      <c r="P64" s="77">
        <v>95.71578374713205</v>
      </c>
      <c r="Q64" s="79">
        <v>-0.2896330653208908</v>
      </c>
      <c r="R64" s="65" t="s">
        <v>3</v>
      </c>
      <c r="S64" s="77">
        <v>56.03197020830656</v>
      </c>
      <c r="T64" s="79">
        <v>-0.9548829527344431</v>
      </c>
      <c r="U64" s="67" t="s">
        <v>3</v>
      </c>
      <c r="V64" s="77">
        <v>14.385669947661848</v>
      </c>
      <c r="W64" s="79">
        <v>-0.675152636546129</v>
      </c>
      <c r="X64" s="67" t="s">
        <v>3</v>
      </c>
      <c r="Y64" s="77">
        <v>41.646300260644715</v>
      </c>
      <c r="Z64" s="79">
        <v>-0.9483881127836052</v>
      </c>
      <c r="AA64" s="67" t="s">
        <v>3</v>
      </c>
      <c r="AB64" s="80">
        <v>27.022096317470368</v>
      </c>
      <c r="AC64" s="79">
        <v>-0.5478488322336238</v>
      </c>
      <c r="AD64" s="67" t="s">
        <v>3</v>
      </c>
      <c r="AE64" s="80">
        <v>38.52354012115734</v>
      </c>
      <c r="AF64" s="79">
        <v>-0.9720818151518814</v>
      </c>
      <c r="AG64" s="67" t="s">
        <v>3</v>
      </c>
      <c r="AH64" s="80">
        <v>19.929253782298904</v>
      </c>
      <c r="AI64" s="79">
        <v>-0.6266159670251762</v>
      </c>
      <c r="AJ64" s="67" t="s">
        <v>3</v>
      </c>
      <c r="AK64" s="80">
        <v>9.303985863993155</v>
      </c>
      <c r="AL64" s="79">
        <v>-0.3303621376616605</v>
      </c>
      <c r="AM64" s="67" t="s">
        <v>3</v>
      </c>
      <c r="AN64" s="80">
        <v>5.728463007648956</v>
      </c>
      <c r="AO64" s="81">
        <v>-0.25987389560802593</v>
      </c>
    </row>
    <row r="65" spans="1:41" ht="12" customHeight="1">
      <c r="A65" s="58"/>
      <c r="B65" s="62" t="s">
        <v>3</v>
      </c>
      <c r="C65" s="77"/>
      <c r="D65" s="79"/>
      <c r="E65" s="62" t="s">
        <v>3</v>
      </c>
      <c r="F65" s="62"/>
      <c r="G65" s="77"/>
      <c r="H65" s="79"/>
      <c r="I65" s="62" t="s">
        <v>3</v>
      </c>
      <c r="J65" s="77"/>
      <c r="K65" s="79"/>
      <c r="L65" s="62" t="s">
        <v>3</v>
      </c>
      <c r="M65" s="77"/>
      <c r="N65" s="79"/>
      <c r="O65" s="62" t="s">
        <v>3</v>
      </c>
      <c r="P65" s="77"/>
      <c r="Q65" s="79"/>
      <c r="R65" s="65" t="s">
        <v>3</v>
      </c>
      <c r="S65" s="77"/>
      <c r="T65" s="79"/>
      <c r="U65" s="67" t="s">
        <v>3</v>
      </c>
      <c r="V65" s="77"/>
      <c r="W65" s="79"/>
      <c r="X65" s="67" t="s">
        <v>3</v>
      </c>
      <c r="Y65" s="77"/>
      <c r="Z65" s="79"/>
      <c r="AA65" s="67" t="s">
        <v>3</v>
      </c>
      <c r="AB65" s="80"/>
      <c r="AC65" s="79"/>
      <c r="AD65" s="67" t="s">
        <v>3</v>
      </c>
      <c r="AE65" s="80"/>
      <c r="AF65" s="79"/>
      <c r="AG65" s="67" t="s">
        <v>3</v>
      </c>
      <c r="AH65" s="80"/>
      <c r="AI65" s="79"/>
      <c r="AJ65" s="67" t="s">
        <v>3</v>
      </c>
      <c r="AK65" s="80"/>
      <c r="AL65" s="79"/>
      <c r="AM65" s="67" t="s">
        <v>3</v>
      </c>
      <c r="AN65" s="80"/>
      <c r="AO65" s="81"/>
    </row>
    <row r="66" spans="1:41" ht="12" customHeight="1">
      <c r="A66" s="58" t="s">
        <v>57</v>
      </c>
      <c r="B66" s="62" t="s">
        <v>3</v>
      </c>
      <c r="C66" s="77">
        <v>50.2054444209239</v>
      </c>
      <c r="D66" s="79">
        <v>-0.22915232556294146</v>
      </c>
      <c r="E66" s="62" t="s">
        <v>3</v>
      </c>
      <c r="F66" s="62"/>
      <c r="G66" s="77">
        <v>44.39877501757672</v>
      </c>
      <c r="H66" s="79">
        <v>-0.9856374232652563</v>
      </c>
      <c r="I66" s="62" t="s">
        <v>3</v>
      </c>
      <c r="J66" s="77">
        <v>96.46378981161129</v>
      </c>
      <c r="K66" s="79">
        <v>-0.36500443840774904</v>
      </c>
      <c r="L66" s="62" t="s">
        <v>3</v>
      </c>
      <c r="M66" s="77">
        <v>99.64740863631742</v>
      </c>
      <c r="N66" s="79">
        <v>-0.06390475134926285</v>
      </c>
      <c r="O66" s="62" t="s">
        <v>3</v>
      </c>
      <c r="P66" s="77">
        <v>95.7797668884603</v>
      </c>
      <c r="Q66" s="79">
        <v>-0.2784920795221991</v>
      </c>
      <c r="R66" s="65" t="s">
        <v>3</v>
      </c>
      <c r="S66" s="77">
        <v>57.24513023782559</v>
      </c>
      <c r="T66" s="79">
        <v>-0.9371543852397142</v>
      </c>
      <c r="U66" s="67" t="s">
        <v>3</v>
      </c>
      <c r="V66" s="77">
        <v>14.50416194790487</v>
      </c>
      <c r="W66" s="79">
        <v>-0.6670645799435576</v>
      </c>
      <c r="X66" s="67" t="s">
        <v>3</v>
      </c>
      <c r="Y66" s="77">
        <v>42.74096828992072</v>
      </c>
      <c r="Z66" s="79">
        <v>-0.9371157823876342</v>
      </c>
      <c r="AA66" s="67" t="s">
        <v>3</v>
      </c>
      <c r="AB66" s="80">
        <v>28.576235182356918</v>
      </c>
      <c r="AC66" s="79">
        <v>-0.5393053413495528</v>
      </c>
      <c r="AD66" s="67" t="s">
        <v>3</v>
      </c>
      <c r="AE66" s="80">
        <v>39.71064461775796</v>
      </c>
      <c r="AF66" s="79">
        <v>-0.9191687366513804</v>
      </c>
      <c r="AG66" s="67" t="s">
        <v>3</v>
      </c>
      <c r="AH66" s="80">
        <v>21.034653465346533</v>
      </c>
      <c r="AI66" s="79">
        <v>-0.6300935535443941</v>
      </c>
      <c r="AJ66" s="67" t="s">
        <v>3</v>
      </c>
      <c r="AK66" s="80">
        <v>9.722384922352306</v>
      </c>
      <c r="AL66" s="79">
        <v>-0.32783490417142935</v>
      </c>
      <c r="AM66" s="67" t="s">
        <v>3</v>
      </c>
      <c r="AN66" s="80">
        <v>5.840330581015181</v>
      </c>
      <c r="AO66" s="81">
        <v>-0.2521423941105228</v>
      </c>
    </row>
    <row r="67" spans="1:41" ht="12" customHeight="1">
      <c r="A67" s="58" t="s">
        <v>58</v>
      </c>
      <c r="B67" s="62" t="s">
        <v>3</v>
      </c>
      <c r="C67" s="77">
        <v>50.73567114800329</v>
      </c>
      <c r="D67" s="79">
        <v>-0.2214196195807634</v>
      </c>
      <c r="E67" s="62" t="s">
        <v>3</v>
      </c>
      <c r="F67" s="62"/>
      <c r="G67" s="77">
        <v>40.50561462474808</v>
      </c>
      <c r="H67" s="79">
        <v>-0.9635480464871897</v>
      </c>
      <c r="I67" s="62" t="s">
        <v>3</v>
      </c>
      <c r="J67" s="77">
        <v>95.39526847421584</v>
      </c>
      <c r="K67" s="79">
        <v>-0.4127391246381171</v>
      </c>
      <c r="L67" s="62" t="s">
        <v>3</v>
      </c>
      <c r="M67" s="77">
        <v>99.64894836263039</v>
      </c>
      <c r="N67" s="79">
        <v>-0.0632252997161206</v>
      </c>
      <c r="O67" s="62" t="s">
        <v>3</v>
      </c>
      <c r="P67" s="77">
        <v>96.03742554910457</v>
      </c>
      <c r="Q67" s="79">
        <v>-0.2691412145562426</v>
      </c>
      <c r="R67" s="65" t="s">
        <v>3</v>
      </c>
      <c r="S67" s="77">
        <v>59.55970888355342</v>
      </c>
      <c r="T67" s="79">
        <v>-0.9571727912925581</v>
      </c>
      <c r="U67" s="67" t="s">
        <v>3</v>
      </c>
      <c r="V67" s="77">
        <v>15.60358643457383</v>
      </c>
      <c r="W67" s="79">
        <v>-0.7077520505908377</v>
      </c>
      <c r="X67" s="67" t="s">
        <v>3</v>
      </c>
      <c r="Y67" s="77">
        <v>43.95612244897959</v>
      </c>
      <c r="Z67" s="79">
        <v>-0.968011908480463</v>
      </c>
      <c r="AA67" s="67" t="s">
        <v>3</v>
      </c>
      <c r="AB67" s="80">
        <v>30.18547407943522</v>
      </c>
      <c r="AC67" s="79">
        <v>-0.5461636112149643</v>
      </c>
      <c r="AD67" s="67" t="s">
        <v>3</v>
      </c>
      <c r="AE67" s="80">
        <v>41.990417011875174</v>
      </c>
      <c r="AF67" s="79">
        <v>-0.9233580175763743</v>
      </c>
      <c r="AG67" s="67" t="s">
        <v>3</v>
      </c>
      <c r="AH67" s="80">
        <v>22.17015543126238</v>
      </c>
      <c r="AI67" s="79">
        <v>-0.6403701205448354</v>
      </c>
      <c r="AJ67" s="67" t="s">
        <v>3</v>
      </c>
      <c r="AK67" s="80">
        <v>10.18360701253727</v>
      </c>
      <c r="AL67" s="79">
        <v>-0.33977288995705096</v>
      </c>
      <c r="AM67" s="67" t="s">
        <v>3</v>
      </c>
      <c r="AN67" s="80">
        <v>6.209431239005909</v>
      </c>
      <c r="AO67" s="81">
        <v>-0.25804014311194673</v>
      </c>
    </row>
    <row r="68" spans="1:41" ht="12" customHeight="1">
      <c r="A68" s="58" t="s">
        <v>59</v>
      </c>
      <c r="B68" s="62" t="s">
        <v>3</v>
      </c>
      <c r="C68" s="77">
        <v>51.40889000746893</v>
      </c>
      <c r="D68" s="79">
        <v>-0.2213659997394842</v>
      </c>
      <c r="E68" s="62" t="s">
        <v>3</v>
      </c>
      <c r="F68" s="62"/>
      <c r="G68" s="77">
        <v>39.718099766708264</v>
      </c>
      <c r="H68" s="79">
        <v>-0.9517702225101252</v>
      </c>
      <c r="I68" s="62" t="s">
        <v>3</v>
      </c>
      <c r="J68" s="77">
        <v>95.46889030214463</v>
      </c>
      <c r="K68" s="79">
        <v>-0.407629682241308</v>
      </c>
      <c r="L68" s="62" t="s">
        <v>3</v>
      </c>
      <c r="M68" s="77">
        <v>99.37586082593087</v>
      </c>
      <c r="N68" s="79">
        <v>-0.08354493500442545</v>
      </c>
      <c r="O68" s="62" t="s">
        <v>3</v>
      </c>
      <c r="P68" s="77">
        <v>96.66109800291315</v>
      </c>
      <c r="Q68" s="79">
        <v>-0.2453775804178682</v>
      </c>
      <c r="R68" s="65" t="s">
        <v>3</v>
      </c>
      <c r="S68" s="77">
        <v>61.39969395562357</v>
      </c>
      <c r="T68" s="79">
        <v>-0.9588045812487543</v>
      </c>
      <c r="U68" s="67" t="s">
        <v>3</v>
      </c>
      <c r="V68" s="77">
        <v>17.147834736036728</v>
      </c>
      <c r="W68" s="79">
        <v>-0.7423491221297974</v>
      </c>
      <c r="X68" s="67" t="s">
        <v>3</v>
      </c>
      <c r="Y68" s="77">
        <v>44.25185921958684</v>
      </c>
      <c r="Z68" s="79">
        <v>-0.9782110814708307</v>
      </c>
      <c r="AA68" s="67" t="s">
        <v>3</v>
      </c>
      <c r="AB68" s="80">
        <v>31.58236873232437</v>
      </c>
      <c r="AC68" s="79">
        <v>-0.5556064101123445</v>
      </c>
      <c r="AD68" s="67" t="s">
        <v>3</v>
      </c>
      <c r="AE68" s="80">
        <v>43.97017722254503</v>
      </c>
      <c r="AF68" s="79">
        <v>-0.9524511725666991</v>
      </c>
      <c r="AG68" s="67" t="s">
        <v>3</v>
      </c>
      <c r="AH68" s="80">
        <v>23.729183166037387</v>
      </c>
      <c r="AI68" s="79">
        <v>-0.6499801529963202</v>
      </c>
      <c r="AJ68" s="67" t="s">
        <v>3</v>
      </c>
      <c r="AK68" s="80">
        <v>9.778573857509034</v>
      </c>
      <c r="AL68" s="79">
        <v>-0.3386489289829299</v>
      </c>
      <c r="AM68" s="67" t="s">
        <v>3</v>
      </c>
      <c r="AN68" s="80">
        <v>6.065416449374286</v>
      </c>
      <c r="AO68" s="81">
        <v>-0.2552835332386154</v>
      </c>
    </row>
    <row r="69" spans="1:41" ht="12" customHeight="1">
      <c r="A69" s="58" t="s">
        <v>60</v>
      </c>
      <c r="B69" s="62" t="s">
        <v>3</v>
      </c>
      <c r="C69" s="77">
        <v>51.831542479128714</v>
      </c>
      <c r="D69" s="79">
        <v>-0.2210659635959362</v>
      </c>
      <c r="E69" s="62" t="s">
        <v>3</v>
      </c>
      <c r="F69" s="62"/>
      <c r="G69" s="77">
        <v>40.44480139786539</v>
      </c>
      <c r="H69" s="79">
        <v>-0.9316779267018228</v>
      </c>
      <c r="I69" s="62" t="s">
        <v>3</v>
      </c>
      <c r="J69" s="77">
        <v>95.38202341180838</v>
      </c>
      <c r="K69" s="79">
        <v>-0.4098632948239758</v>
      </c>
      <c r="L69" s="62" t="s">
        <v>3</v>
      </c>
      <c r="M69" s="77">
        <v>99.49750246910352</v>
      </c>
      <c r="N69" s="79">
        <v>-0.07456008881266192</v>
      </c>
      <c r="O69" s="62" t="s">
        <v>3</v>
      </c>
      <c r="P69" s="77">
        <v>96.4867262118263</v>
      </c>
      <c r="Q69" s="79">
        <v>-0.24919921439982146</v>
      </c>
      <c r="R69" s="65" t="s">
        <v>3</v>
      </c>
      <c r="S69" s="77">
        <v>61.61298149833182</v>
      </c>
      <c r="T69" s="79">
        <v>-0.9535165850537713</v>
      </c>
      <c r="U69" s="67" t="s">
        <v>3</v>
      </c>
      <c r="V69" s="77">
        <v>17.242356687898088</v>
      </c>
      <c r="W69" s="79">
        <v>-0.7406317361498885</v>
      </c>
      <c r="X69" s="67" t="s">
        <v>3</v>
      </c>
      <c r="Y69" s="77">
        <v>44.37062481043373</v>
      </c>
      <c r="Z69" s="79">
        <v>-0.9740916286348436</v>
      </c>
      <c r="AA69" s="67" t="s">
        <v>3</v>
      </c>
      <c r="AB69" s="80">
        <v>30.780941918145672</v>
      </c>
      <c r="AC69" s="79">
        <v>-0.5554369149265856</v>
      </c>
      <c r="AD69" s="67" t="s">
        <v>3</v>
      </c>
      <c r="AE69" s="80">
        <v>42.73531558935361</v>
      </c>
      <c r="AF69" s="79">
        <v>-0.9713224668862267</v>
      </c>
      <c r="AG69" s="67" t="s">
        <v>3</v>
      </c>
      <c r="AH69" s="80">
        <v>23.59037383676024</v>
      </c>
      <c r="AI69" s="79">
        <v>-0.6465258608729135</v>
      </c>
      <c r="AJ69" s="67" t="s">
        <v>3</v>
      </c>
      <c r="AK69" s="80">
        <v>10.197422030872625</v>
      </c>
      <c r="AL69" s="79">
        <v>-0.3491098705415947</v>
      </c>
      <c r="AM69" s="67" t="s">
        <v>3</v>
      </c>
      <c r="AN69" s="80">
        <v>5.907037323401019</v>
      </c>
      <c r="AO69" s="81">
        <v>-0.2527574700666476</v>
      </c>
    </row>
    <row r="70" spans="1:41" ht="12" customHeight="1">
      <c r="A70" s="58" t="s">
        <v>61</v>
      </c>
      <c r="B70" s="62" t="s">
        <v>3</v>
      </c>
      <c r="C70" s="77">
        <v>53.340626929695446</v>
      </c>
      <c r="D70" s="79">
        <v>-0.2087041846417437</v>
      </c>
      <c r="E70" s="62" t="s">
        <v>3</v>
      </c>
      <c r="F70" s="62" t="s">
        <v>163</v>
      </c>
      <c r="G70" s="77">
        <v>47.28864175318589</v>
      </c>
      <c r="H70" s="79">
        <v>-0.8688696261328009</v>
      </c>
      <c r="I70" s="62" t="s">
        <v>3</v>
      </c>
      <c r="J70" s="77">
        <v>96.69028447640605</v>
      </c>
      <c r="K70" s="79">
        <v>-0.31645106934802425</v>
      </c>
      <c r="L70" s="62" t="s">
        <v>3</v>
      </c>
      <c r="M70" s="77">
        <v>99.35003054902812</v>
      </c>
      <c r="N70" s="79">
        <v>-0.07754242094674332</v>
      </c>
      <c r="O70" s="62" t="s">
        <v>3</v>
      </c>
      <c r="P70" s="77">
        <v>96.61831286588436</v>
      </c>
      <c r="Q70" s="79">
        <v>-0.2184782195415126</v>
      </c>
      <c r="R70" s="65" t="s">
        <v>3</v>
      </c>
      <c r="S70" s="77">
        <v>60.17168588060132</v>
      </c>
      <c r="T70" s="79">
        <v>-0.8671528716963033</v>
      </c>
      <c r="U70" s="67" t="s">
        <v>3</v>
      </c>
      <c r="V70" s="77">
        <v>16.24347446522359</v>
      </c>
      <c r="W70" s="79">
        <v>-0.6533597954916022</v>
      </c>
      <c r="X70" s="67" t="s">
        <v>3</v>
      </c>
      <c r="Y70" s="77">
        <v>43.92821141537773</v>
      </c>
      <c r="Z70" s="79">
        <v>-0.87911882551622</v>
      </c>
      <c r="AA70" s="67" t="s">
        <v>3</v>
      </c>
      <c r="AB70" s="80">
        <v>31.99098119045751</v>
      </c>
      <c r="AC70" s="79">
        <v>-0.5089308385772079</v>
      </c>
      <c r="AD70" s="67" t="s">
        <v>3</v>
      </c>
      <c r="AE70" s="80">
        <v>44.878321033976825</v>
      </c>
      <c r="AF70" s="79">
        <v>-0.8788406703321437</v>
      </c>
      <c r="AG70" s="67" t="s">
        <v>3</v>
      </c>
      <c r="AH70" s="80">
        <v>24.048747520843015</v>
      </c>
      <c r="AI70" s="79">
        <v>-0.5928351441105186</v>
      </c>
      <c r="AJ70" s="67" t="s">
        <v>3</v>
      </c>
      <c r="AK70" s="80">
        <v>10.8061574465631</v>
      </c>
      <c r="AL70" s="79">
        <v>-0.3311153676146929</v>
      </c>
      <c r="AM70" s="67" t="s">
        <v>3</v>
      </c>
      <c r="AN70" s="80">
        <v>6.687744848729103</v>
      </c>
      <c r="AO70" s="81">
        <v>-0.24888711129552119</v>
      </c>
    </row>
    <row r="71" spans="1:41" ht="12" customHeight="1">
      <c r="A71" s="58"/>
      <c r="B71" s="62" t="s">
        <v>3</v>
      </c>
      <c r="C71" s="77"/>
      <c r="D71" s="79"/>
      <c r="E71" s="62" t="s">
        <v>3</v>
      </c>
      <c r="F71" s="62"/>
      <c r="G71" s="77"/>
      <c r="H71" s="79"/>
      <c r="I71" s="62" t="s">
        <v>3</v>
      </c>
      <c r="J71" s="77"/>
      <c r="K71" s="79"/>
      <c r="L71" s="62" t="s">
        <v>3</v>
      </c>
      <c r="M71" s="77"/>
      <c r="N71" s="79"/>
      <c r="O71" s="62" t="s">
        <v>3</v>
      </c>
      <c r="P71" s="77"/>
      <c r="Q71" s="79"/>
      <c r="R71" s="65" t="s">
        <v>3</v>
      </c>
      <c r="S71" s="77"/>
      <c r="T71" s="79"/>
      <c r="U71" s="67" t="s">
        <v>3</v>
      </c>
      <c r="V71" s="77"/>
      <c r="W71" s="79"/>
      <c r="X71" s="67" t="s">
        <v>3</v>
      </c>
      <c r="Y71" s="77"/>
      <c r="Z71" s="79"/>
      <c r="AA71" s="67" t="s">
        <v>3</v>
      </c>
      <c r="AB71" s="80"/>
      <c r="AC71" s="79"/>
      <c r="AD71" s="67" t="s">
        <v>3</v>
      </c>
      <c r="AE71" s="80"/>
      <c r="AF71" s="79"/>
      <c r="AG71" s="67" t="s">
        <v>3</v>
      </c>
      <c r="AH71" s="80"/>
      <c r="AI71" s="79"/>
      <c r="AJ71" s="67" t="s">
        <v>3</v>
      </c>
      <c r="AK71" s="80"/>
      <c r="AL71" s="79"/>
      <c r="AM71" s="67" t="s">
        <v>3</v>
      </c>
      <c r="AN71" s="80"/>
      <c r="AO71" s="81"/>
    </row>
    <row r="72" spans="1:41" ht="12" customHeight="1">
      <c r="A72" s="58" t="s">
        <v>62</v>
      </c>
      <c r="B72" s="62" t="s">
        <v>3</v>
      </c>
      <c r="C72" s="77">
        <v>53.727612773306</v>
      </c>
      <c r="D72" s="79">
        <v>-0.2085433254957056</v>
      </c>
      <c r="E72" s="62" t="s">
        <v>3</v>
      </c>
      <c r="F72" s="62" t="s">
        <v>163</v>
      </c>
      <c r="G72" s="77">
        <v>48.74153083876121</v>
      </c>
      <c r="H72" s="79">
        <v>-0.8693466118828662</v>
      </c>
      <c r="I72" s="62" t="s">
        <v>3</v>
      </c>
      <c r="J72" s="77">
        <v>96.0192433942283</v>
      </c>
      <c r="K72" s="79">
        <v>-0.34138030914894235</v>
      </c>
      <c r="L72" s="62" t="s">
        <v>3</v>
      </c>
      <c r="M72" s="77">
        <v>98.90571983597208</v>
      </c>
      <c r="N72" s="79">
        <v>-0.09972789875740054</v>
      </c>
      <c r="O72" s="62" t="s">
        <v>3</v>
      </c>
      <c r="P72" s="77">
        <v>96.26368254934603</v>
      </c>
      <c r="Q72" s="79">
        <v>-0.22696949852040893</v>
      </c>
      <c r="R72" s="65" t="s">
        <v>3</v>
      </c>
      <c r="S72" s="77">
        <v>59.37976688292744</v>
      </c>
      <c r="T72" s="79">
        <v>-0.8545902939682221</v>
      </c>
      <c r="U72" s="67" t="s">
        <v>3</v>
      </c>
      <c r="V72" s="77">
        <v>16.294147066587016</v>
      </c>
      <c r="W72" s="79">
        <v>-0.6426303538567016</v>
      </c>
      <c r="X72" s="67" t="s">
        <v>3</v>
      </c>
      <c r="Y72" s="77">
        <v>43.085619816340426</v>
      </c>
      <c r="Z72" s="79">
        <v>-0.8616773631848681</v>
      </c>
      <c r="AA72" s="67" t="s">
        <v>3</v>
      </c>
      <c r="AB72" s="80">
        <v>31.466040509856985</v>
      </c>
      <c r="AC72" s="79">
        <v>-0.5152742926376757</v>
      </c>
      <c r="AD72" s="67" t="s">
        <v>3</v>
      </c>
      <c r="AE72" s="80">
        <v>44.90552632723549</v>
      </c>
      <c r="AF72" s="79">
        <v>-0.8946755209909545</v>
      </c>
      <c r="AG72" s="67" t="s">
        <v>3</v>
      </c>
      <c r="AH72" s="80">
        <v>23.209866388026448</v>
      </c>
      <c r="AI72" s="79">
        <v>-0.5951803749627608</v>
      </c>
      <c r="AJ72" s="67" t="s">
        <v>3</v>
      </c>
      <c r="AK72" s="80">
        <v>11.624365436963428</v>
      </c>
      <c r="AL72" s="79">
        <v>-0.3427216943142032</v>
      </c>
      <c r="AM72" s="67" t="s">
        <v>3</v>
      </c>
      <c r="AN72" s="80">
        <v>5.9476061854137035</v>
      </c>
      <c r="AO72" s="81">
        <v>-0.23765499135237508</v>
      </c>
    </row>
    <row r="73" spans="1:41" ht="12" customHeight="1">
      <c r="A73" s="58" t="s">
        <v>63</v>
      </c>
      <c r="B73" s="62" t="s">
        <v>3</v>
      </c>
      <c r="C73" s="77">
        <v>54.09513726618089</v>
      </c>
      <c r="D73" s="79">
        <v>-0.21741524650352614</v>
      </c>
      <c r="E73" s="62" t="s">
        <v>3</v>
      </c>
      <c r="F73" s="62" t="s">
        <v>163</v>
      </c>
      <c r="G73" s="77">
        <v>48.32531727175462</v>
      </c>
      <c r="H73" s="79">
        <v>-0.9116828945971835</v>
      </c>
      <c r="I73" s="62" t="s">
        <v>3</v>
      </c>
      <c r="J73" s="77">
        <v>94.03396489562584</v>
      </c>
      <c r="K73" s="79">
        <v>-0.42693438684812646</v>
      </c>
      <c r="L73" s="62" t="s">
        <v>3</v>
      </c>
      <c r="M73" s="77">
        <v>97.71335766635714</v>
      </c>
      <c r="N73" s="79">
        <v>-0.14867039215372674</v>
      </c>
      <c r="O73" s="62" t="s">
        <v>3</v>
      </c>
      <c r="P73" s="77">
        <v>95.41008330657412</v>
      </c>
      <c r="Q73" s="79">
        <v>-0.2584059763605369</v>
      </c>
      <c r="R73" s="65" t="s">
        <v>3</v>
      </c>
      <c r="S73" s="77">
        <v>61.53652586584769</v>
      </c>
      <c r="T73" s="79">
        <v>-0.8719105137619205</v>
      </c>
      <c r="U73" s="67" t="s">
        <v>3</v>
      </c>
      <c r="V73" s="77">
        <v>16.66665536829024</v>
      </c>
      <c r="W73" s="79">
        <v>-0.6679051734316501</v>
      </c>
      <c r="X73" s="67" t="s">
        <v>3</v>
      </c>
      <c r="Y73" s="77">
        <v>44.86985693950574</v>
      </c>
      <c r="Z73" s="79">
        <v>-0.8913598654386425</v>
      </c>
      <c r="AA73" s="67" t="s">
        <v>3</v>
      </c>
      <c r="AB73" s="80">
        <v>32.50504741070736</v>
      </c>
      <c r="AC73" s="79">
        <v>-0.5482005123888777</v>
      </c>
      <c r="AD73" s="67" t="s">
        <v>3</v>
      </c>
      <c r="AE73" s="80">
        <v>44.36376080563439</v>
      </c>
      <c r="AF73" s="79">
        <v>-0.9273148907488106</v>
      </c>
      <c r="AG73" s="67" t="s">
        <v>3</v>
      </c>
      <c r="AH73" s="80">
        <v>24.821457531619288</v>
      </c>
      <c r="AI73" s="79">
        <v>-0.6490199782173611</v>
      </c>
      <c r="AJ73" s="67" t="s">
        <v>3</v>
      </c>
      <c r="AK73" s="80">
        <v>11.930955667167197</v>
      </c>
      <c r="AL73" s="79">
        <v>-0.3621279537252459</v>
      </c>
      <c r="AM73" s="67" t="s">
        <v>3</v>
      </c>
      <c r="AN73" s="80">
        <v>6.0889277417214265</v>
      </c>
      <c r="AO73" s="81">
        <v>-0.2533195361611129</v>
      </c>
    </row>
    <row r="74" spans="1:41" ht="12" customHeight="1">
      <c r="A74" s="58" t="s">
        <v>64</v>
      </c>
      <c r="B74" s="62" t="s">
        <v>3</v>
      </c>
      <c r="C74" s="77">
        <v>55.60372244210693</v>
      </c>
      <c r="D74" s="79">
        <v>-0.21703119344293326</v>
      </c>
      <c r="E74" s="62" t="s">
        <v>3</v>
      </c>
      <c r="F74" s="62" t="s">
        <v>163</v>
      </c>
      <c r="G74" s="77">
        <v>52.55600279421816</v>
      </c>
      <c r="H74" s="79">
        <v>-0.9231261341336462</v>
      </c>
      <c r="I74" s="62" t="s">
        <v>3</v>
      </c>
      <c r="J74" s="77">
        <v>96.54671933366589</v>
      </c>
      <c r="K74" s="79">
        <v>-0.3319848951341466</v>
      </c>
      <c r="L74" s="62" t="s">
        <v>3</v>
      </c>
      <c r="M74" s="77">
        <v>99.11267879306084</v>
      </c>
      <c r="N74" s="79">
        <v>-0.09277544826050275</v>
      </c>
      <c r="O74" s="62" t="s">
        <v>3</v>
      </c>
      <c r="P74" s="77">
        <v>96.58919743769823</v>
      </c>
      <c r="Q74" s="79">
        <v>-0.2220977096278018</v>
      </c>
      <c r="R74" s="65" t="s">
        <v>3</v>
      </c>
      <c r="S74" s="77">
        <v>61.45738402977984</v>
      </c>
      <c r="T74" s="79">
        <v>-0.8647329890270212</v>
      </c>
      <c r="U74" s="67" t="s">
        <v>3</v>
      </c>
      <c r="V74" s="77">
        <v>16.73022711327547</v>
      </c>
      <c r="W74" s="79">
        <v>-0.6631610441072968</v>
      </c>
      <c r="X74" s="67" t="s">
        <v>3</v>
      </c>
      <c r="Y74" s="77">
        <v>44.72715691650437</v>
      </c>
      <c r="Z74" s="79">
        <v>-0.8834173957407429</v>
      </c>
      <c r="AA74" s="67" t="s">
        <v>3</v>
      </c>
      <c r="AB74" s="80">
        <v>34.272370047908545</v>
      </c>
      <c r="AC74" s="79">
        <v>-0.5528070185472914</v>
      </c>
      <c r="AD74" s="67" t="s">
        <v>3</v>
      </c>
      <c r="AE74" s="80">
        <v>45.8938653545968</v>
      </c>
      <c r="AF74" s="79">
        <v>-0.9141149559429085</v>
      </c>
      <c r="AG74" s="67" t="s">
        <v>3</v>
      </c>
      <c r="AH74" s="80">
        <v>26.422850030961037</v>
      </c>
      <c r="AI74" s="79">
        <v>-0.6647404352663272</v>
      </c>
      <c r="AJ74" s="67" t="s">
        <v>3</v>
      </c>
      <c r="AK74" s="80">
        <v>11.801856290237955</v>
      </c>
      <c r="AL74" s="79">
        <v>-0.3617794632985182</v>
      </c>
      <c r="AM74" s="67" t="s">
        <v>3</v>
      </c>
      <c r="AN74" s="80">
        <v>5.672668517003394</v>
      </c>
      <c r="AO74" s="81">
        <v>-0.24905651727043157</v>
      </c>
    </row>
    <row r="75" spans="1:41" ht="12" customHeight="1">
      <c r="A75" s="58" t="s">
        <v>65</v>
      </c>
      <c r="B75" s="62" t="s">
        <v>3</v>
      </c>
      <c r="C75" s="77">
        <v>55.76153285936051</v>
      </c>
      <c r="D75" s="79">
        <v>-0.2168809203866043</v>
      </c>
      <c r="E75" s="62" t="s">
        <v>3</v>
      </c>
      <c r="F75" s="62" t="s">
        <v>163</v>
      </c>
      <c r="G75" s="77">
        <v>52.10381998749121</v>
      </c>
      <c r="H75" s="79">
        <v>-0.9228314520660128</v>
      </c>
      <c r="I75" s="62" t="s">
        <v>3</v>
      </c>
      <c r="J75" s="77">
        <v>95.55101797009596</v>
      </c>
      <c r="K75" s="79">
        <v>-0.3743975238887297</v>
      </c>
      <c r="L75" s="62" t="s">
        <v>3</v>
      </c>
      <c r="M75" s="77">
        <v>98.90360868776425</v>
      </c>
      <c r="N75" s="79">
        <v>-0.10248293065525747</v>
      </c>
      <c r="O75" s="62" t="s">
        <v>3</v>
      </c>
      <c r="P75" s="77">
        <v>96.14867338994456</v>
      </c>
      <c r="Q75" s="79">
        <v>-0.2362743104918214</v>
      </c>
      <c r="R75" s="65" t="s">
        <v>3</v>
      </c>
      <c r="S75" s="77">
        <v>62.1907894228972</v>
      </c>
      <c r="T75" s="79">
        <v>-0.8396099731389972</v>
      </c>
      <c r="U75" s="67" t="s">
        <v>3</v>
      </c>
      <c r="V75" s="77">
        <v>15.745772207497986</v>
      </c>
      <c r="W75" s="79">
        <v>-0.6306575253562614</v>
      </c>
      <c r="X75" s="67" t="s">
        <v>3</v>
      </c>
      <c r="Y75" s="77">
        <v>46.44501721539921</v>
      </c>
      <c r="Z75" s="79">
        <v>-0.8635455590120986</v>
      </c>
      <c r="AA75" s="67" t="s">
        <v>3</v>
      </c>
      <c r="AB75" s="80">
        <v>32.967703433807856</v>
      </c>
      <c r="AC75" s="79">
        <v>-0.5453256122369158</v>
      </c>
      <c r="AD75" s="67" t="s">
        <v>3</v>
      </c>
      <c r="AE75" s="80">
        <v>44.8325308593584</v>
      </c>
      <c r="AF75" s="79">
        <v>-0.9064751764222932</v>
      </c>
      <c r="AG75" s="67" t="s">
        <v>3</v>
      </c>
      <c r="AH75" s="80">
        <v>24.89012968282515</v>
      </c>
      <c r="AI75" s="79">
        <v>-0.6502638274968371</v>
      </c>
      <c r="AJ75" s="67" t="s">
        <v>3</v>
      </c>
      <c r="AK75" s="80">
        <v>11.901975373167755</v>
      </c>
      <c r="AL75" s="79">
        <v>-0.36524411337072676</v>
      </c>
      <c r="AM75" s="67" t="s">
        <v>3</v>
      </c>
      <c r="AN75" s="80">
        <v>6.615432837011552</v>
      </c>
      <c r="AO75" s="81">
        <v>-0.27063603346140663</v>
      </c>
    </row>
    <row r="76" spans="1:41" ht="12" customHeight="1">
      <c r="A76" s="58" t="s">
        <v>66</v>
      </c>
      <c r="B76" s="62" t="s">
        <v>3</v>
      </c>
      <c r="C76" s="77">
        <v>55.961302236588764</v>
      </c>
      <c r="D76" s="79">
        <v>-0.21666095715510608</v>
      </c>
      <c r="E76" s="62" t="s">
        <v>3</v>
      </c>
      <c r="F76" s="62" t="s">
        <v>163</v>
      </c>
      <c r="G76" s="77">
        <v>54.21012064870306</v>
      </c>
      <c r="H76" s="79">
        <v>-0.9266597718160415</v>
      </c>
      <c r="I76" s="62" t="s">
        <v>3</v>
      </c>
      <c r="J76" s="77">
        <v>96.01257171593622</v>
      </c>
      <c r="K76" s="79">
        <v>-0.3590748485334173</v>
      </c>
      <c r="L76" s="62" t="s">
        <v>3</v>
      </c>
      <c r="M76" s="77">
        <v>98.68139186002759</v>
      </c>
      <c r="N76" s="79">
        <v>-0.11141490593458092</v>
      </c>
      <c r="O76" s="62" t="s">
        <v>3</v>
      </c>
      <c r="P76" s="77">
        <v>95.8415661708495</v>
      </c>
      <c r="Q76" s="79">
        <v>-0.24278663493616293</v>
      </c>
      <c r="R76" s="65" t="s">
        <v>3</v>
      </c>
      <c r="S76" s="77">
        <v>60.60047120967479</v>
      </c>
      <c r="T76" s="79">
        <v>-0.8415111509147694</v>
      </c>
      <c r="U76" s="67" t="s">
        <v>3</v>
      </c>
      <c r="V76" s="77">
        <v>16.535443323071082</v>
      </c>
      <c r="W76" s="79">
        <v>-0.6397868769485082</v>
      </c>
      <c r="X76" s="67" t="s">
        <v>3</v>
      </c>
      <c r="Y76" s="77">
        <v>44.0650278866037</v>
      </c>
      <c r="Z76" s="79">
        <v>-0.854997999068771</v>
      </c>
      <c r="AA76" s="67" t="s">
        <v>3</v>
      </c>
      <c r="AB76" s="80">
        <v>32.79710800420069</v>
      </c>
      <c r="AC76" s="79">
        <v>-0.5378376595960797</v>
      </c>
      <c r="AD76" s="67" t="s">
        <v>3</v>
      </c>
      <c r="AE76" s="80">
        <v>45.250262971341996</v>
      </c>
      <c r="AF76" s="79">
        <v>-0.9031274804439812</v>
      </c>
      <c r="AG76" s="67" t="s">
        <v>3</v>
      </c>
      <c r="AH76" s="80">
        <v>24.54184681485595</v>
      </c>
      <c r="AI76" s="79">
        <v>-0.6357405365890686</v>
      </c>
      <c r="AJ76" s="67" t="s">
        <v>3</v>
      </c>
      <c r="AK76" s="80">
        <v>11.05516106566517</v>
      </c>
      <c r="AL76" s="79">
        <v>-0.3572678123189086</v>
      </c>
      <c r="AM76" s="67" t="s">
        <v>3</v>
      </c>
      <c r="AN76" s="80">
        <v>6.227923995935057</v>
      </c>
      <c r="AO76" s="81">
        <v>-0.2663534322734888</v>
      </c>
    </row>
    <row r="77" spans="1:41" ht="12" customHeight="1">
      <c r="A77" s="58" t="s">
        <v>67</v>
      </c>
      <c r="B77" s="62" t="s">
        <v>3</v>
      </c>
      <c r="C77" s="77">
        <v>55.8931138269061</v>
      </c>
      <c r="D77" s="79">
        <v>-0.21662593439543606</v>
      </c>
      <c r="E77" s="62" t="s">
        <v>3</v>
      </c>
      <c r="F77" s="62" t="s">
        <v>163</v>
      </c>
      <c r="G77" s="77">
        <v>52.060310843483116</v>
      </c>
      <c r="H77" s="79">
        <v>-0.9299841747825076</v>
      </c>
      <c r="I77" s="62" t="s">
        <v>3</v>
      </c>
      <c r="J77" s="77">
        <v>95.58036906509533</v>
      </c>
      <c r="K77" s="79">
        <v>-0.3794203042631843</v>
      </c>
      <c r="L77" s="62" t="s">
        <v>3</v>
      </c>
      <c r="M77" s="77">
        <v>98.21084050422361</v>
      </c>
      <c r="N77" s="79">
        <v>-0.12896208937298873</v>
      </c>
      <c r="O77" s="62" t="s">
        <v>3</v>
      </c>
      <c r="P77" s="77">
        <v>95.74627711291426</v>
      </c>
      <c r="Q77" s="79">
        <v>-0.24631488015800113</v>
      </c>
      <c r="R77" s="65" t="s">
        <v>3</v>
      </c>
      <c r="S77" s="77">
        <v>61.23133555179693</v>
      </c>
      <c r="T77" s="79">
        <v>-0.8360828257469067</v>
      </c>
      <c r="U77" s="67" t="s">
        <v>3</v>
      </c>
      <c r="V77" s="77">
        <v>16.493242246305645</v>
      </c>
      <c r="W77" s="79">
        <v>-0.6368480836042173</v>
      </c>
      <c r="X77" s="67" t="s">
        <v>3</v>
      </c>
      <c r="Y77" s="77">
        <v>44.73809330549129</v>
      </c>
      <c r="Z77" s="79">
        <v>-0.8532448673231161</v>
      </c>
      <c r="AA77" s="67" t="s">
        <v>3</v>
      </c>
      <c r="AB77" s="80">
        <v>32.481567565642116</v>
      </c>
      <c r="AC77" s="79">
        <v>-0.5283326200009031</v>
      </c>
      <c r="AD77" s="67" t="s">
        <v>3</v>
      </c>
      <c r="AE77" s="80">
        <v>44.1449641817095</v>
      </c>
      <c r="AF77" s="79">
        <v>-0.8820539680022933</v>
      </c>
      <c r="AG77" s="67" t="s">
        <v>3</v>
      </c>
      <c r="AH77" s="80">
        <v>24.596015186570938</v>
      </c>
      <c r="AI77" s="79">
        <v>-0.6290084352769828</v>
      </c>
      <c r="AJ77" s="67" t="s">
        <v>3</v>
      </c>
      <c r="AK77" s="80">
        <v>11.413581732330615</v>
      </c>
      <c r="AL77" s="79">
        <v>-0.36701823496367303</v>
      </c>
      <c r="AM77" s="67" t="s">
        <v>3</v>
      </c>
      <c r="AN77" s="80">
        <v>6.651018922028855</v>
      </c>
      <c r="AO77" s="81">
        <v>-0.2751445865043252</v>
      </c>
    </row>
    <row r="78" spans="1:41" ht="12" customHeight="1">
      <c r="A78" s="58" t="s">
        <v>68</v>
      </c>
      <c r="B78" s="62" t="s">
        <v>3</v>
      </c>
      <c r="C78" s="77">
        <v>56.308435674138146</v>
      </c>
      <c r="D78" s="79">
        <v>-0.2158612883219349</v>
      </c>
      <c r="E78" s="62" t="s">
        <v>3</v>
      </c>
      <c r="F78" s="62" t="s">
        <v>163</v>
      </c>
      <c r="G78" s="77">
        <v>52.40059599243243</v>
      </c>
      <c r="H78" s="79">
        <v>-0.9271784584114154</v>
      </c>
      <c r="I78" s="62" t="s">
        <v>3</v>
      </c>
      <c r="J78" s="77">
        <v>95.29269302969587</v>
      </c>
      <c r="K78" s="79">
        <v>-0.39166844180811006</v>
      </c>
      <c r="L78" s="62" t="s">
        <v>3</v>
      </c>
      <c r="M78" s="77">
        <v>98.3259782059228</v>
      </c>
      <c r="N78" s="79">
        <v>-0.12452046465867374</v>
      </c>
      <c r="O78" s="62" t="s">
        <v>3</v>
      </c>
      <c r="P78" s="77">
        <v>95.76632544046925</v>
      </c>
      <c r="Q78" s="79">
        <v>-0.24456507194780966</v>
      </c>
      <c r="R78" s="65" t="s">
        <v>3</v>
      </c>
      <c r="S78" s="77">
        <v>61.000143143394816</v>
      </c>
      <c r="T78" s="79">
        <v>-0.8289552222789456</v>
      </c>
      <c r="U78" s="67" t="s">
        <v>3</v>
      </c>
      <c r="V78" s="77">
        <v>17.09339411522141</v>
      </c>
      <c r="W78" s="79">
        <v>-0.639797972236443</v>
      </c>
      <c r="X78" s="67" t="s">
        <v>3</v>
      </c>
      <c r="Y78" s="77">
        <v>43.906749028173394</v>
      </c>
      <c r="Z78" s="79">
        <v>-0.84344173091095</v>
      </c>
      <c r="AA78" s="67" t="s">
        <v>3</v>
      </c>
      <c r="AB78" s="80">
        <v>33.93150575841098</v>
      </c>
      <c r="AC78" s="79">
        <v>-0.529409092905572</v>
      </c>
      <c r="AD78" s="67" t="s">
        <v>3</v>
      </c>
      <c r="AE78" s="80">
        <v>45.98453891008741</v>
      </c>
      <c r="AF78" s="79">
        <v>-0.8651046110148254</v>
      </c>
      <c r="AG78" s="67" t="s">
        <v>3</v>
      </c>
      <c r="AH78" s="80">
        <v>25.383422433025498</v>
      </c>
      <c r="AI78" s="79">
        <v>-0.6361836983265394</v>
      </c>
      <c r="AJ78" s="67" t="s">
        <v>3</v>
      </c>
      <c r="AK78" s="80">
        <v>11.810115130715388</v>
      </c>
      <c r="AL78" s="79">
        <v>-0.37525188521814185</v>
      </c>
      <c r="AM78" s="67" t="s">
        <v>3</v>
      </c>
      <c r="AN78" s="80">
        <v>6.870431688698559</v>
      </c>
      <c r="AO78" s="81">
        <v>-0.2787107876896656</v>
      </c>
    </row>
    <row r="79" spans="1:41" ht="12" customHeight="1">
      <c r="A79" s="58" t="s">
        <v>138</v>
      </c>
      <c r="B79" s="62" t="s">
        <v>3</v>
      </c>
      <c r="C79" s="77">
        <v>56.10135743746149</v>
      </c>
      <c r="D79" s="79">
        <v>-0.21470546366623514</v>
      </c>
      <c r="E79" s="62" t="s">
        <v>3</v>
      </c>
      <c r="F79" s="62" t="s">
        <v>163</v>
      </c>
      <c r="G79" s="77">
        <v>54.52532881885662</v>
      </c>
      <c r="H79" s="79">
        <v>-0.9383701096735797</v>
      </c>
      <c r="I79" s="62" t="s">
        <v>3</v>
      </c>
      <c r="J79" s="77">
        <v>95.19678922837907</v>
      </c>
      <c r="K79" s="79">
        <v>-0.40178933902145386</v>
      </c>
      <c r="L79" s="62" t="s">
        <v>3</v>
      </c>
      <c r="M79" s="77">
        <v>98.27057567092706</v>
      </c>
      <c r="N79" s="79">
        <v>-0.12635837283708357</v>
      </c>
      <c r="O79" s="62" t="s">
        <v>3</v>
      </c>
      <c r="P79" s="77">
        <v>96.38206388206389</v>
      </c>
      <c r="Q79" s="79">
        <v>-0.22525990059493106</v>
      </c>
      <c r="R79" s="65" t="s">
        <v>3</v>
      </c>
      <c r="S79" s="77">
        <v>63.32363728341976</v>
      </c>
      <c r="T79" s="79">
        <v>-0.8341664465160576</v>
      </c>
      <c r="U79" s="67" t="s">
        <v>3</v>
      </c>
      <c r="V79" s="77">
        <v>18.034652839256353</v>
      </c>
      <c r="W79" s="79">
        <v>-0.6654963772394724</v>
      </c>
      <c r="X79" s="67" t="s">
        <v>3</v>
      </c>
      <c r="Y79" s="77">
        <v>45.2889844441634</v>
      </c>
      <c r="Z79" s="79">
        <v>-0.8616092250848743</v>
      </c>
      <c r="AA79" s="67" t="s">
        <v>3</v>
      </c>
      <c r="AB79" s="80">
        <v>34.42269153691999</v>
      </c>
      <c r="AC79" s="79">
        <v>-0.524202587623118</v>
      </c>
      <c r="AD79" s="67" t="s">
        <v>3</v>
      </c>
      <c r="AE79" s="80">
        <v>47.80752813348855</v>
      </c>
      <c r="AF79" s="79">
        <v>-0.8744133333448704</v>
      </c>
      <c r="AG79" s="67" t="s">
        <v>3</v>
      </c>
      <c r="AH79" s="80">
        <v>25.60102301790281</v>
      </c>
      <c r="AI79" s="79">
        <v>-0.6202198566374929</v>
      </c>
      <c r="AJ79" s="67" t="s">
        <v>3</v>
      </c>
      <c r="AK79" s="80">
        <v>12.105176120390276</v>
      </c>
      <c r="AL79" s="79">
        <v>-0.3727512641981236</v>
      </c>
      <c r="AM79" s="67" t="s">
        <v>3</v>
      </c>
      <c r="AN79" s="80">
        <v>6.6116108735191474</v>
      </c>
      <c r="AO79" s="81">
        <v>-0.2681483417238904</v>
      </c>
    </row>
    <row r="80" spans="1:41" ht="12" customHeight="1">
      <c r="A80" s="82" t="s">
        <v>2</v>
      </c>
      <c r="B80" s="62" t="s">
        <v>3</v>
      </c>
      <c r="C80" s="70" t="s">
        <v>2</v>
      </c>
      <c r="D80" s="61"/>
      <c r="E80" s="62" t="s">
        <v>3</v>
      </c>
      <c r="F80" s="70" t="s">
        <v>2</v>
      </c>
      <c r="G80" s="70" t="s">
        <v>2</v>
      </c>
      <c r="H80" s="61"/>
      <c r="I80" s="62" t="s">
        <v>3</v>
      </c>
      <c r="J80" s="70" t="s">
        <v>2</v>
      </c>
      <c r="K80" s="61"/>
      <c r="L80" s="62" t="s">
        <v>3</v>
      </c>
      <c r="M80" s="70" t="s">
        <v>2</v>
      </c>
      <c r="N80" s="61"/>
      <c r="O80" s="62" t="s">
        <v>3</v>
      </c>
      <c r="P80" s="70" t="s">
        <v>2</v>
      </c>
      <c r="Q80" s="61"/>
      <c r="R80" s="65" t="s">
        <v>3</v>
      </c>
      <c r="S80" s="70" t="s">
        <v>2</v>
      </c>
      <c r="T80" s="61"/>
      <c r="U80" s="67" t="s">
        <v>3</v>
      </c>
      <c r="V80" s="70" t="s">
        <v>2</v>
      </c>
      <c r="W80" s="61"/>
      <c r="X80" s="67" t="s">
        <v>3</v>
      </c>
      <c r="Y80" s="70" t="s">
        <v>2</v>
      </c>
      <c r="Z80" s="61"/>
      <c r="AA80" s="67" t="s">
        <v>3</v>
      </c>
      <c r="AB80" s="70" t="s">
        <v>2</v>
      </c>
      <c r="AC80" s="61"/>
      <c r="AD80" s="67" t="s">
        <v>3</v>
      </c>
      <c r="AE80" s="70" t="s">
        <v>2</v>
      </c>
      <c r="AF80" s="61"/>
      <c r="AG80" s="67" t="s">
        <v>3</v>
      </c>
      <c r="AH80" s="70" t="s">
        <v>2</v>
      </c>
      <c r="AI80" s="61"/>
      <c r="AJ80" s="67" t="s">
        <v>3</v>
      </c>
      <c r="AK80" s="70" t="s">
        <v>2</v>
      </c>
      <c r="AL80" s="61"/>
      <c r="AM80" s="67" t="s">
        <v>3</v>
      </c>
      <c r="AN80" s="83" t="s">
        <v>2</v>
      </c>
      <c r="AO80" s="60"/>
    </row>
    <row r="81" spans="1:2" ht="12" customHeight="1">
      <c r="A81" s="84" t="s">
        <v>158</v>
      </c>
      <c r="B81" s="54"/>
    </row>
    <row r="82" spans="1:2" ht="12" customHeight="1">
      <c r="A82" s="54" t="s">
        <v>164</v>
      </c>
      <c r="B82" s="54"/>
    </row>
    <row r="83" spans="1:2" ht="12" customHeight="1">
      <c r="A83" s="54"/>
      <c r="B83" s="54"/>
    </row>
    <row r="84" spans="1:26" ht="12" customHeight="1">
      <c r="A84" s="86" t="s">
        <v>165</v>
      </c>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2"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ht="12"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2"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 ht="12" customHeight="1">
      <c r="A88" s="54"/>
      <c r="B88" s="54"/>
    </row>
    <row r="89" spans="1:2" ht="12" customHeight="1">
      <c r="A89" s="54" t="s">
        <v>159</v>
      </c>
      <c r="B89" s="54"/>
    </row>
    <row r="90" spans="1:2" ht="12" customHeight="1">
      <c r="A90" s="54" t="s">
        <v>160</v>
      </c>
      <c r="B90" s="54"/>
    </row>
  </sheetData>
  <mergeCells count="1">
    <mergeCell ref="A84:Z87"/>
  </mergeCells>
  <printOptions/>
  <pageMargins left="0.75" right="0.75" top="1" bottom="1" header="0.5"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ERTSNYDER</dc:creator>
  <cp:keywords/>
  <dc:description/>
  <cp:lastModifiedBy>Christopher Stahnke</cp:lastModifiedBy>
  <cp:lastPrinted>2004-08-11T16:54:18Z</cp:lastPrinted>
  <dcterms:created xsi:type="dcterms:W3CDTF">2003-06-17T20:43:37Z</dcterms:created>
  <dcterms:modified xsi:type="dcterms:W3CDTF">2004-10-04T19:03:00Z</dcterms:modified>
  <cp:category/>
  <cp:version/>
  <cp:contentType/>
  <cp:contentStatus/>
</cp:coreProperties>
</file>