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" yWindow="108" windowWidth="9696" windowHeight="7296" tabRatio="601" activeTab="0"/>
  </bookViews>
  <sheets>
    <sheet name="Table 2" sheetId="1" r:id="rId1"/>
  </sheets>
  <definedNames>
    <definedName name="_xlnm.Print_Titles" localSheetId="0">'Table 2'!$A:$A,'Table 2'!$1:$6</definedName>
  </definedNames>
  <calcPr fullCalcOnLoad="1"/>
</workbook>
</file>

<file path=xl/sharedStrings.xml><?xml version="1.0" encoding="utf-8"?>
<sst xmlns="http://schemas.openxmlformats.org/spreadsheetml/2006/main" count="438" uniqueCount="150">
  <si>
    <t>Total</t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</si>
  <si>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</si>
  <si>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</si>
  <si>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</si>
  <si>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</si>
  <si>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</si>
  <si>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</si>
  <si>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</si>
  <si>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</si>
  <si>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</si>
  <si>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>1911-20</t>
  </si>
  <si>
    <t>1921-30</t>
  </si>
  <si>
    <t>1931-40</t>
  </si>
  <si>
    <t>1941-50</t>
  </si>
  <si>
    <t>1951-60</t>
  </si>
  <si>
    <t>1961-70</t>
  </si>
  <si>
    <t>1971-80</t>
  </si>
  <si>
    <t>1981-90</t>
  </si>
  <si>
    <t>1991-93</t>
  </si>
  <si>
    <t>1820-1998</t>
  </si>
  <si>
    <t>Europe</t>
  </si>
  <si>
    <t>Austria-Hungary</t>
  </si>
  <si>
    <t xml:space="preserve">  Austria</t>
  </si>
  <si>
    <t xml:space="preserve">  Hungary </t>
  </si>
  <si>
    <t>Belgium</t>
  </si>
  <si>
    <t xml:space="preserve">Czechoslovakia </t>
  </si>
  <si>
    <t>Denmark</t>
  </si>
  <si>
    <t>France</t>
  </si>
  <si>
    <t>Germany</t>
  </si>
  <si>
    <t>Greece</t>
  </si>
  <si>
    <t>-</t>
  </si>
  <si>
    <t>Italy</t>
  </si>
  <si>
    <t>Netherlands</t>
  </si>
  <si>
    <t>Norway-Sweden</t>
  </si>
  <si>
    <t xml:space="preserve">  Norway</t>
  </si>
  <si>
    <t xml:space="preserve">  Sweden</t>
  </si>
  <si>
    <t xml:space="preserve">Poland </t>
  </si>
  <si>
    <t>Portugal</t>
  </si>
  <si>
    <t>Romania</t>
  </si>
  <si>
    <t xml:space="preserve">Soviet Union </t>
  </si>
  <si>
    <t>Spain</t>
  </si>
  <si>
    <t>Switzerland</t>
  </si>
  <si>
    <t xml:space="preserve">Yugoslavia </t>
  </si>
  <si>
    <t>Other Europe</t>
  </si>
  <si>
    <t xml:space="preserve">Asia </t>
  </si>
  <si>
    <t xml:space="preserve">Hong Kong </t>
  </si>
  <si>
    <t xml:space="preserve">India </t>
  </si>
  <si>
    <t xml:space="preserve">Iran </t>
  </si>
  <si>
    <t xml:space="preserve">Israel </t>
  </si>
  <si>
    <t>Japan</t>
  </si>
  <si>
    <t>Korea</t>
  </si>
  <si>
    <t>Philippines</t>
  </si>
  <si>
    <t>Turkey</t>
  </si>
  <si>
    <t>Vietnam</t>
  </si>
  <si>
    <t>Other Asia</t>
  </si>
  <si>
    <t>America</t>
  </si>
  <si>
    <t>Caribbean</t>
  </si>
  <si>
    <t>Cuba</t>
  </si>
  <si>
    <t>Dominican Republic</t>
  </si>
  <si>
    <t>Haiti</t>
  </si>
  <si>
    <t>Jamaica</t>
  </si>
  <si>
    <t>Other Caribbean</t>
  </si>
  <si>
    <t>Central America</t>
  </si>
  <si>
    <t>El Salvador</t>
  </si>
  <si>
    <t>Other Central America</t>
  </si>
  <si>
    <t>South America</t>
  </si>
  <si>
    <t>Argentina</t>
  </si>
  <si>
    <t>Columbia</t>
  </si>
  <si>
    <t>Ecuador</t>
  </si>
  <si>
    <t>Other South America</t>
  </si>
  <si>
    <t>Other America</t>
  </si>
  <si>
    <t>Africa</t>
  </si>
  <si>
    <t xml:space="preserve">Oceania </t>
  </si>
  <si>
    <t>NOTE:  From 1820-67, figures represent alien passengers arrived at seaports; from 1868-91and 1895-97, immigrant aliens arrived; from</t>
  </si>
  <si>
    <t>Land arrivals were not completely enumerated until 1908.</t>
  </si>
  <si>
    <t xml:space="preserve">See Glossary for fiscal year definitions.  For this table, fiscal year 1843 covers 9 months ending September 1843; </t>
  </si>
  <si>
    <t xml:space="preserve"> fiscal years 1832 and 1850 cover 15 months ending</t>
  </si>
  <si>
    <t xml:space="preserve">December 31 of the respective years; and fiscal year 1868 covers 6 months ending </t>
  </si>
  <si>
    <t>June 30, 1868.</t>
  </si>
  <si>
    <t>- Represents zero.</t>
  </si>
  <si>
    <t>1991-94</t>
  </si>
  <si>
    <t>Region and country of</t>
  </si>
  <si>
    <t>1991-95</t>
  </si>
  <si>
    <t>1820-1999</t>
  </si>
  <si>
    <t>All countries</t>
  </si>
  <si>
    <t>1892-94 and 1898-1999, immigrant aliens admitted for permanent residence.  From 1892-1903, aliens entering by cabin class were not counted as immigrants.</t>
  </si>
  <si>
    <r>
      <t>last residence</t>
    </r>
    <r>
      <rPr>
        <vertAlign val="superscript"/>
        <sz val="10"/>
        <rFont val="Arial"/>
        <family val="2"/>
      </rPr>
      <t xml:space="preserve"> 1</t>
    </r>
  </si>
  <si>
    <r>
      <t>Ireland</t>
    </r>
    <r>
      <rPr>
        <vertAlign val="superscript"/>
        <sz val="10"/>
        <rFont val="Arial"/>
        <family val="2"/>
      </rPr>
      <t xml:space="preserve"> 5 </t>
    </r>
  </si>
  <si>
    <r>
      <t xml:space="preserve">United Kingdom </t>
    </r>
    <r>
      <rPr>
        <vertAlign val="superscript"/>
        <sz val="10"/>
        <rFont val="Arial"/>
        <family val="2"/>
      </rPr>
      <t>5, 8</t>
    </r>
  </si>
  <si>
    <r>
      <t xml:space="preserve">China  </t>
    </r>
    <r>
      <rPr>
        <vertAlign val="superscript"/>
        <sz val="10"/>
        <rFont val="Arial"/>
        <family val="2"/>
      </rPr>
      <t>10</t>
    </r>
  </si>
  <si>
    <r>
      <t xml:space="preserve">Mexico </t>
    </r>
    <r>
      <rPr>
        <vertAlign val="superscript"/>
        <sz val="10"/>
        <rFont val="Arial"/>
        <family val="2"/>
      </rPr>
      <t>18</t>
    </r>
  </si>
  <si>
    <r>
      <t xml:space="preserve">Not Specified </t>
    </r>
    <r>
      <rPr>
        <vertAlign val="superscript"/>
        <sz val="10"/>
        <rFont val="Arial"/>
        <family val="2"/>
      </rPr>
      <t>22</t>
    </r>
  </si>
  <si>
    <r>
      <t xml:space="preserve">Canada &amp; Newfoundland </t>
    </r>
    <r>
      <rPr>
        <vertAlign val="superscript"/>
        <sz val="10"/>
        <rFont val="Arial"/>
        <family val="2"/>
      </rPr>
      <t>17, 18</t>
    </r>
  </si>
  <si>
    <t>2</t>
  </si>
  <si>
    <t>3</t>
  </si>
  <si>
    <t>24</t>
  </si>
  <si>
    <t>23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</si>
  <si>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</si>
  <si>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</si>
  <si>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</si>
  <si>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</si>
  <si>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</si>
  <si>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</si>
  <si>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</si>
  <si>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</si>
  <si>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</si>
  <si>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</si>
  <si>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</si>
  <si>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</si>
  <si>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</si>
  <si>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19</t>
  </si>
  <si>
    <t>25</t>
  </si>
  <si>
    <t>1991-99</t>
  </si>
  <si>
    <r>
      <t xml:space="preserve">2 </t>
    </r>
    <r>
      <rPr>
        <sz val="10"/>
        <rFont val="Arial"/>
        <family val="2"/>
      </rPr>
      <t xml:space="preserve"> Data for Austria and Hungary not reported until 1861.</t>
    </r>
  </si>
  <si>
    <r>
      <t xml:space="preserve">3  </t>
    </r>
    <r>
      <rPr>
        <sz val="10"/>
        <rFont val="Arial"/>
        <family val="2"/>
      </rPr>
      <t>Data for Austria and Hungary not reported separately for all years during the period.</t>
    </r>
  </si>
  <si>
    <r>
      <t xml:space="preserve">6 </t>
    </r>
    <r>
      <rPr>
        <sz val="10"/>
        <rFont val="Arial"/>
        <family val="2"/>
      </rPr>
      <t xml:space="preserve"> Data for Norway and Sweden not separately until 1871.</t>
    </r>
  </si>
  <si>
    <r>
      <t xml:space="preserve">7 </t>
    </r>
    <r>
      <rPr>
        <sz val="10"/>
        <rFont val="Arial"/>
        <family val="2"/>
      </rPr>
      <t xml:space="preserve"> No data available for Romania until 1880.</t>
    </r>
  </si>
  <si>
    <r>
      <t xml:space="preserve">8  </t>
    </r>
    <r>
      <rPr>
        <sz val="10"/>
        <rFont val="Arial"/>
        <family val="2"/>
      </rPr>
      <t>Since 1925, data for United Kingdom refer to England, Scotland, Wales, and Northern Ireland.</t>
    </r>
  </si>
  <si>
    <r>
      <t>10</t>
    </r>
    <r>
      <rPr>
        <sz val="10"/>
        <rFont val="Arial"/>
        <family val="2"/>
      </rPr>
      <t xml:space="preserve"> Beginning in 1957, China includes Taiwan.  As of January 1, 1979, the United States has recognized the People's Republic of China.</t>
    </r>
  </si>
  <si>
    <r>
      <t xml:space="preserve">11  </t>
    </r>
    <r>
      <rPr>
        <sz val="10"/>
        <rFont val="Arial"/>
        <family val="2"/>
      </rPr>
      <t>Data not reported separately until 1952.</t>
    </r>
  </si>
  <si>
    <t xml:space="preserve">   Data for specified countries are included with countries to which they belonged prior to World War I.</t>
  </si>
  <si>
    <r>
      <t>4</t>
    </r>
    <r>
      <rPr>
        <sz val="10"/>
        <rFont val="Arial"/>
        <family val="2"/>
      </rPr>
      <t xml:space="preserve">  No data available for Czechoslovakia until 1920.</t>
    </r>
  </si>
  <si>
    <r>
      <t xml:space="preserve">5   </t>
    </r>
    <r>
      <rPr>
        <sz val="10"/>
        <rFont val="Arial"/>
        <family val="2"/>
      </rPr>
      <t>Prior to 1926, data for Northern Ireland included in Ireland.</t>
    </r>
  </si>
  <si>
    <t xml:space="preserve">   changes in lists of countries, and lack of data for specified countries for various periods, </t>
  </si>
  <si>
    <t xml:space="preserve">   permanent residence; and data for 1980-83 refer to country of birth.  Because of changes in boundaries,</t>
  </si>
  <si>
    <r>
      <t xml:space="preserve">9 </t>
    </r>
    <r>
      <rPr>
        <sz val="10"/>
        <rFont val="Arial"/>
        <family val="2"/>
      </rPr>
      <t xml:space="preserve"> In 1920, a separate enumeration was made for the Kingdom of Serbs, Croats, and Slovenes.  Since 1922, the Serb, Croat, </t>
    </r>
  </si>
  <si>
    <t xml:space="preserve">   and Slovene Kingdom recorded as Yugoslavia.</t>
  </si>
  <si>
    <r>
      <t xml:space="preserve">12 </t>
    </r>
    <r>
      <rPr>
        <sz val="10"/>
        <rFont val="Arial"/>
        <family val="2"/>
      </rPr>
      <t xml:space="preserve"> Data not reported separately until 1925.</t>
    </r>
  </si>
  <si>
    <r>
      <t xml:space="preserve">14 </t>
    </r>
    <r>
      <rPr>
        <sz val="10"/>
        <rFont val="Arial"/>
        <family val="2"/>
      </rPr>
      <t xml:space="preserve"> Data not available for Japan until 1861.</t>
    </r>
  </si>
  <si>
    <r>
      <t xml:space="preserve">13  </t>
    </r>
    <r>
      <rPr>
        <sz val="10"/>
        <rFont val="Arial"/>
        <family val="2"/>
      </rPr>
      <t>Data not reported separately until 1949.</t>
    </r>
  </si>
  <si>
    <r>
      <t xml:space="preserve">15 </t>
    </r>
    <r>
      <rPr>
        <sz val="10"/>
        <rFont val="Arial"/>
        <family val="2"/>
      </rPr>
      <t xml:space="preserve"> Data not reported separately until 1948.</t>
    </r>
  </si>
  <si>
    <r>
      <t xml:space="preserve">16 </t>
    </r>
    <r>
      <rPr>
        <sz val="10"/>
        <rFont val="Arial"/>
        <family val="2"/>
      </rPr>
      <t xml:space="preserve"> Prior to 1934, Philippines reported as insular travel.</t>
    </r>
  </si>
  <si>
    <r>
      <t>17</t>
    </r>
    <r>
      <rPr>
        <sz val="10"/>
        <rFont val="Arial"/>
        <family val="2"/>
      </rPr>
      <t xml:space="preserve">  Prior to 1920, Canada and Newfoundland recorded as British North America.  From 1820-98, figures include all British North America </t>
    </r>
  </si>
  <si>
    <t xml:space="preserve">    possessions.</t>
  </si>
  <si>
    <r>
      <t xml:space="preserve">18 </t>
    </r>
    <r>
      <rPr>
        <sz val="10"/>
        <rFont val="Arial"/>
        <family val="2"/>
      </rPr>
      <t xml:space="preserve"> Land arrivals not completely enumerated until 1908.</t>
    </r>
  </si>
  <si>
    <r>
      <t>19</t>
    </r>
    <r>
      <rPr>
        <sz val="10"/>
        <rFont val="Arial"/>
        <family val="2"/>
      </rPr>
      <t xml:space="preserve">  No data available for Mexico from 1886-94.</t>
    </r>
  </si>
  <si>
    <r>
      <t xml:space="preserve">20 </t>
    </r>
    <r>
      <rPr>
        <sz val="10"/>
        <rFont val="Arial"/>
        <family val="2"/>
      </rPr>
      <t xml:space="preserve"> Data not reported separately until 1932.</t>
    </r>
  </si>
  <si>
    <r>
      <t xml:space="preserve">21  </t>
    </r>
    <r>
      <rPr>
        <sz val="10"/>
        <rFont val="Arial"/>
        <family val="2"/>
      </rPr>
      <t>Data for Jamaica not collected until 1953.  In prior years, consolidated under British West Indies, which is included in "Other Caribbean."</t>
    </r>
  </si>
  <si>
    <r>
      <t xml:space="preserve">22 </t>
    </r>
    <r>
      <rPr>
        <sz val="10"/>
        <rFont val="Arial"/>
        <family val="2"/>
      </rPr>
      <t xml:space="preserve"> Included in countries "Not Specified" until 1925.</t>
    </r>
  </si>
  <si>
    <r>
      <t>23</t>
    </r>
    <r>
      <rPr>
        <sz val="10"/>
        <rFont val="Arial"/>
        <family val="2"/>
      </rPr>
      <t xml:space="preserve">  From 1899-1919, data for Poland included in Austria-Hungary, Germany, and the Soviet Union.</t>
    </r>
  </si>
  <si>
    <r>
      <t>24</t>
    </r>
    <r>
      <rPr>
        <sz val="10"/>
        <rFont val="Arial"/>
        <family val="2"/>
      </rPr>
      <t xml:space="preserve">  From 1938-45, data for Austria included in Germany.</t>
    </r>
  </si>
  <si>
    <r>
      <t xml:space="preserve">25  </t>
    </r>
    <r>
      <rPr>
        <sz val="10"/>
        <rFont val="Arial"/>
        <family val="2"/>
      </rPr>
      <t>Includes 32,897 persons returning in 1906 to their homes in the United States.</t>
    </r>
  </si>
  <si>
    <t>1820-2000</t>
  </si>
  <si>
    <t>TABLE 2.  IMMIGRATION BY REGION AND SELECTED COUNTRY OF LAST RESIDENCE:  FISCAL YEARS 1820-2000</t>
  </si>
  <si>
    <t>179 years,</t>
  </si>
  <si>
    <t>180 years,</t>
  </si>
  <si>
    <t>181 years,</t>
  </si>
  <si>
    <r>
      <t xml:space="preserve">1 </t>
    </r>
    <r>
      <rPr>
        <sz val="10"/>
        <rFont val="Arial"/>
        <family val="2"/>
      </rPr>
      <t xml:space="preserve"> Data for years prior to 1906 relate to country whence alien came; data from 1906-79 and 1984-2000 are for country of last </t>
    </r>
  </si>
  <si>
    <t xml:space="preserve">   data for certain countries, especially for the total period 1820-2000, are not comparable throughout.</t>
  </si>
  <si>
    <t>1991-2000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</si>
</sst>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2"/>
    </font>
    <font>
      <vertAlign val="superscript"/>
      <sz val="10"/>
      <name val="Geneva"/>
      <family val="0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5" fillId="0" borderId="0" xfId="15" applyNumberFormat="1" applyBorder="1" applyAlignment="1">
      <alignment/>
    </xf>
    <xf numFmtId="0" fontId="0" fillId="0" borderId="0" xfId="0" applyBorder="1" applyAlignment="1">
      <alignment horizontal="right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3" fontId="5" fillId="0" borderId="0" xfId="15" applyNumberFormat="1" applyFont="1" applyAlignment="1">
      <alignment horizontal="right"/>
    </xf>
    <xf numFmtId="164" fontId="5" fillId="0" borderId="0" xfId="15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3" fontId="4" fillId="0" borderId="0" xfId="15" applyNumberFormat="1" applyFont="1" applyAlignment="1">
      <alignment horizontal="right"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4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15" applyNumberFormat="1" applyFont="1" applyBorder="1" applyAlignment="1" applyProtection="1">
      <alignment/>
      <protection locked="0"/>
    </xf>
    <xf numFmtId="164" fontId="4" fillId="0" borderId="0" xfId="15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 quotePrefix="1">
      <alignment horizontal="right"/>
      <protection/>
    </xf>
    <xf numFmtId="37" fontId="6" fillId="0" borderId="0" xfId="0" applyNumberFormat="1" applyFont="1" applyBorder="1" applyAlignment="1" applyProtection="1" quotePrefix="1">
      <alignment/>
      <protection/>
    </xf>
    <xf numFmtId="0" fontId="7" fillId="0" borderId="0" xfId="0" applyFont="1" applyAlignment="1" quotePrefix="1">
      <alignment/>
    </xf>
    <xf numFmtId="37" fontId="6" fillId="0" borderId="0" xfId="0" applyNumberFormat="1" applyFont="1" applyBorder="1" applyAlignment="1" applyProtection="1" quotePrefix="1">
      <alignment/>
      <protection locked="0"/>
    </xf>
    <xf numFmtId="37" fontId="6" fillId="0" borderId="0" xfId="0" applyNumberFormat="1" applyFont="1" applyBorder="1" applyAlignment="1" applyProtection="1" quotePrefix="1">
      <alignment horizontal="right"/>
      <protection locked="0"/>
    </xf>
    <xf numFmtId="37" fontId="6" fillId="0" borderId="1" xfId="0" applyNumberFormat="1" applyFont="1" applyBorder="1" applyAlignment="1" applyProtection="1" quotePrefix="1">
      <alignment/>
      <protection/>
    </xf>
    <xf numFmtId="164" fontId="0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2"/>
  <sheetViews>
    <sheetView tabSelected="1" workbookViewId="0" topLeftCell="A1">
      <selection activeCell="AO7" sqref="AO7"/>
    </sheetView>
  </sheetViews>
  <sheetFormatPr defaultColWidth="9.00390625" defaultRowHeight="12.75"/>
  <cols>
    <col min="1" max="1" width="32.50390625" style="2" customWidth="1"/>
    <col min="2" max="2" width="9.00390625" style="2" customWidth="1"/>
    <col min="3" max="3" width="10.625" style="2" customWidth="1"/>
    <col min="4" max="4" width="10.50390625" style="2" customWidth="1"/>
    <col min="5" max="6" width="12.375" style="2" customWidth="1"/>
    <col min="7" max="7" width="12.125" style="2" customWidth="1"/>
    <col min="8" max="8" width="2.875" style="2" customWidth="1"/>
    <col min="9" max="9" width="12.125" style="2" customWidth="1"/>
    <col min="10" max="10" width="2.875" style="2" customWidth="1"/>
    <col min="11" max="11" width="12.50390625" style="2" customWidth="1"/>
    <col min="12" max="12" width="2.875" style="2" customWidth="1"/>
    <col min="13" max="13" width="12.50390625" style="2" customWidth="1"/>
    <col min="14" max="14" width="3.50390625" style="68" customWidth="1"/>
    <col min="15" max="15" width="12.00390625" style="2" customWidth="1"/>
    <col min="16" max="16" width="2.875" style="2" customWidth="1"/>
    <col min="17" max="17" width="12.125" style="2" customWidth="1"/>
    <col min="18" max="18" width="2.875" style="2" customWidth="1"/>
    <col min="19" max="19" width="12.50390625" style="2" customWidth="1"/>
    <col min="20" max="20" width="2.875" style="2" customWidth="1"/>
    <col min="21" max="21" width="11.625" style="2" customWidth="1"/>
    <col min="22" max="22" width="2.875" style="2" customWidth="1"/>
    <col min="23" max="23" width="11.625" style="2" customWidth="1"/>
    <col min="24" max="24" width="2.875" style="2" customWidth="1"/>
    <col min="25" max="25" width="12.50390625" style="2" customWidth="1"/>
    <col min="26" max="26" width="2.875" style="2" customWidth="1"/>
    <col min="27" max="32" width="12.50390625" style="2" customWidth="1"/>
    <col min="33" max="37" width="10.50390625" style="2" customWidth="1"/>
    <col min="38" max="38" width="11.625" style="44" customWidth="1"/>
    <col min="39" max="40" width="11.625" style="79" customWidth="1"/>
    <col min="41" max="41" width="11.625" style="44" customWidth="1"/>
    <col min="42" max="42" width="13.50390625" style="2" customWidth="1"/>
    <col min="43" max="43" width="13.50390625" style="35" customWidth="1"/>
    <col min="44" max="44" width="3.50390625" style="0" customWidth="1"/>
    <col min="45" max="45" width="13.125" style="2" customWidth="1"/>
    <col min="46" max="16384" width="8.625" style="2" customWidth="1"/>
  </cols>
  <sheetData>
    <row r="1" spans="1:50" ht="12.75">
      <c r="A1" s="10" t="s">
        <v>143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3"/>
      <c r="N1" s="56"/>
      <c r="O1" s="13"/>
      <c r="P1" s="12"/>
      <c r="Q1" s="13"/>
      <c r="R1" s="12"/>
      <c r="S1" s="13"/>
      <c r="T1" s="12"/>
      <c r="U1" s="13"/>
      <c r="V1" s="12"/>
      <c r="W1" s="13"/>
      <c r="X1" s="12"/>
      <c r="Y1" s="13"/>
      <c r="Z1" s="12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"/>
      <c r="AS1" s="1"/>
      <c r="AT1" s="1"/>
      <c r="AU1" s="1"/>
      <c r="AV1" s="1"/>
      <c r="AW1" s="1"/>
      <c r="AX1" s="1"/>
    </row>
    <row r="2" spans="1:50" ht="12.75">
      <c r="A2" s="13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3"/>
      <c r="N2" s="56"/>
      <c r="O2" s="13"/>
      <c r="P2" s="12"/>
      <c r="Q2" s="13"/>
      <c r="R2" s="12"/>
      <c r="S2" s="13"/>
      <c r="T2" s="12"/>
      <c r="U2" s="13"/>
      <c r="V2" s="12"/>
      <c r="W2" s="13"/>
      <c r="X2" s="12"/>
      <c r="Y2" s="13"/>
      <c r="Z2" s="12"/>
      <c r="AA2" s="11"/>
      <c r="AB2" s="11"/>
      <c r="AC2" s="11"/>
      <c r="AD2" s="11"/>
      <c r="AE2" s="11"/>
      <c r="AF2" s="11"/>
      <c r="AG2" s="32"/>
      <c r="AH2" s="11"/>
      <c r="AI2" s="11"/>
      <c r="AJ2" s="11"/>
      <c r="AK2" s="11"/>
      <c r="AL2" s="11"/>
      <c r="AM2" s="11"/>
      <c r="AN2" s="11"/>
      <c r="AO2" s="11"/>
      <c r="AP2" s="11"/>
      <c r="AQ2" s="1"/>
      <c r="AS2" s="1"/>
      <c r="AT2" s="1"/>
      <c r="AU2" s="1"/>
      <c r="AV2" s="1"/>
      <c r="AW2" s="1"/>
      <c r="AX2" s="1"/>
    </row>
    <row r="3" spans="1:45" s="35" customFormat="1" ht="12.75">
      <c r="A3" s="5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5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34" t="s">
        <v>0</v>
      </c>
      <c r="AQ3" s="34" t="s">
        <v>0</v>
      </c>
      <c r="AR3"/>
      <c r="AS3" s="34" t="s">
        <v>0</v>
      </c>
    </row>
    <row r="4" spans="1:45" s="35" customFormat="1" ht="12.75">
      <c r="A4" s="53" t="s">
        <v>81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39" t="s">
        <v>144</v>
      </c>
      <c r="AQ4" s="39" t="s">
        <v>145</v>
      </c>
      <c r="AR4"/>
      <c r="AS4" s="39" t="s">
        <v>146</v>
      </c>
    </row>
    <row r="5" spans="1:45" s="39" customFormat="1" ht="15">
      <c r="A5" s="36" t="s">
        <v>86</v>
      </c>
      <c r="B5" s="37">
        <v>1820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/>
      <c r="I5" s="37" t="s">
        <v>6</v>
      </c>
      <c r="J5" s="37"/>
      <c r="K5" s="37" t="s">
        <v>7</v>
      </c>
      <c r="L5" s="37"/>
      <c r="M5" s="37" t="s">
        <v>8</v>
      </c>
      <c r="N5" s="59"/>
      <c r="O5" s="37" t="s">
        <v>9</v>
      </c>
      <c r="P5" s="37"/>
      <c r="Q5" s="37" t="s">
        <v>10</v>
      </c>
      <c r="R5" s="37"/>
      <c r="S5" s="37" t="s">
        <v>11</v>
      </c>
      <c r="T5" s="37"/>
      <c r="U5" s="37" t="s">
        <v>12</v>
      </c>
      <c r="V5" s="37"/>
      <c r="W5" s="37" t="s">
        <v>13</v>
      </c>
      <c r="X5" s="37"/>
      <c r="Y5" s="37" t="s">
        <v>14</v>
      </c>
      <c r="Z5" s="37"/>
      <c r="AA5" s="37" t="s">
        <v>15</v>
      </c>
      <c r="AB5" s="37" t="s">
        <v>16</v>
      </c>
      <c r="AC5" s="37" t="s">
        <v>17</v>
      </c>
      <c r="AD5" s="37" t="s">
        <v>18</v>
      </c>
      <c r="AE5" s="37" t="s">
        <v>80</v>
      </c>
      <c r="AF5" s="37" t="s">
        <v>82</v>
      </c>
      <c r="AG5" s="37">
        <v>1994</v>
      </c>
      <c r="AH5" s="37">
        <v>1995</v>
      </c>
      <c r="AI5" s="37">
        <v>1996</v>
      </c>
      <c r="AJ5" s="37">
        <v>1997</v>
      </c>
      <c r="AK5" s="37">
        <v>1998</v>
      </c>
      <c r="AL5" s="37">
        <v>1999</v>
      </c>
      <c r="AM5" s="37" t="s">
        <v>112</v>
      </c>
      <c r="AN5" s="37">
        <v>2000</v>
      </c>
      <c r="AO5" s="37" t="s">
        <v>149</v>
      </c>
      <c r="AP5" s="38" t="s">
        <v>19</v>
      </c>
      <c r="AQ5" s="38" t="s">
        <v>83</v>
      </c>
      <c r="AR5"/>
      <c r="AS5" s="38" t="s">
        <v>142</v>
      </c>
    </row>
    <row r="6" spans="1:45" ht="12.75">
      <c r="A6" s="15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60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9"/>
      <c r="AB6" s="9"/>
      <c r="AC6" s="9"/>
      <c r="AD6" s="9"/>
      <c r="AE6" s="9"/>
      <c r="AF6" s="9"/>
      <c r="AG6" s="13"/>
      <c r="AH6" s="13"/>
      <c r="AI6" s="13"/>
      <c r="AJ6" s="13"/>
      <c r="AK6" s="13"/>
      <c r="AL6" s="13"/>
      <c r="AM6" s="78"/>
      <c r="AN6" s="78"/>
      <c r="AO6" s="32"/>
      <c r="AP6" s="55"/>
      <c r="AQ6" s="47"/>
      <c r="AS6" s="55"/>
    </row>
    <row r="7" spans="1:45" ht="12.75">
      <c r="A7" s="13" t="s">
        <v>84</v>
      </c>
      <c r="B7" s="9">
        <f>SUM(B8,B33,B45,B63:B65)</f>
        <v>8385</v>
      </c>
      <c r="C7" s="9">
        <f aca="true" t="shared" si="0" ref="C7:AS7">SUM(C8,C33,C45,C63:C65)</f>
        <v>143439</v>
      </c>
      <c r="D7" s="9">
        <f t="shared" si="0"/>
        <v>599125</v>
      </c>
      <c r="E7" s="9">
        <f t="shared" si="0"/>
        <v>1713251</v>
      </c>
      <c r="F7" s="9">
        <f t="shared" si="0"/>
        <v>2598214</v>
      </c>
      <c r="G7" s="9">
        <f t="shared" si="0"/>
        <v>2314824</v>
      </c>
      <c r="H7" s="9"/>
      <c r="I7" s="9">
        <f t="shared" si="0"/>
        <v>2812191</v>
      </c>
      <c r="J7" s="9"/>
      <c r="K7" s="9">
        <f t="shared" si="0"/>
        <v>5246613</v>
      </c>
      <c r="L7" s="9"/>
      <c r="M7" s="9">
        <f t="shared" si="0"/>
        <v>3687564</v>
      </c>
      <c r="N7" s="61"/>
      <c r="O7" s="9">
        <f t="shared" si="0"/>
        <v>8795386</v>
      </c>
      <c r="P7" s="9"/>
      <c r="Q7" s="9">
        <f t="shared" si="0"/>
        <v>5735811</v>
      </c>
      <c r="R7" s="9"/>
      <c r="S7" s="9">
        <f t="shared" si="0"/>
        <v>4107209</v>
      </c>
      <c r="T7" s="9"/>
      <c r="U7" s="9">
        <f t="shared" si="0"/>
        <v>528431</v>
      </c>
      <c r="V7" s="9"/>
      <c r="W7" s="9">
        <f t="shared" si="0"/>
        <v>1035039</v>
      </c>
      <c r="X7" s="9"/>
      <c r="Y7" s="9">
        <f t="shared" si="0"/>
        <v>2515479</v>
      </c>
      <c r="Z7" s="9"/>
      <c r="AA7" s="9">
        <f t="shared" si="0"/>
        <v>3321677</v>
      </c>
      <c r="AB7" s="9">
        <f t="shared" si="0"/>
        <v>4493314</v>
      </c>
      <c r="AC7" s="9">
        <f t="shared" si="0"/>
        <v>7338062</v>
      </c>
      <c r="AD7" s="9">
        <f t="shared" si="0"/>
        <v>3705436</v>
      </c>
      <c r="AE7" s="9">
        <f t="shared" si="0"/>
        <v>4509852</v>
      </c>
      <c r="AF7" s="9">
        <f t="shared" si="0"/>
        <v>5230313</v>
      </c>
      <c r="AG7" s="9">
        <f t="shared" si="0"/>
        <v>804416</v>
      </c>
      <c r="AH7" s="9">
        <f t="shared" si="0"/>
        <v>720461</v>
      </c>
      <c r="AI7" s="9">
        <f t="shared" si="0"/>
        <v>915900</v>
      </c>
      <c r="AJ7" s="9">
        <f t="shared" si="0"/>
        <v>798378</v>
      </c>
      <c r="AK7" s="9">
        <f>SUM(AK8,AK33,AK45,AK63:AK65)</f>
        <v>654451</v>
      </c>
      <c r="AL7" s="9">
        <f>SUM(AL8,AL33,AL45,AL63:AL65)</f>
        <v>646568</v>
      </c>
      <c r="AM7" s="40">
        <f>SUM(AM8,AM33,AM45,AM63,AM64,AM65)</f>
        <v>8245610</v>
      </c>
      <c r="AN7" s="9">
        <f>SUM(AN8,AN33,AN45,AN63:AN65)</f>
        <v>849807</v>
      </c>
      <c r="AO7" s="9">
        <f>AM7+AN7</f>
        <v>9095417</v>
      </c>
      <c r="AP7" s="9">
        <f t="shared" si="0"/>
        <v>64593056</v>
      </c>
      <c r="AQ7" s="9">
        <f t="shared" si="0"/>
        <v>65239624</v>
      </c>
      <c r="AS7" s="9">
        <f t="shared" si="0"/>
        <v>66089431</v>
      </c>
    </row>
    <row r="8" spans="1:45" ht="12.75">
      <c r="A8" s="13" t="s">
        <v>20</v>
      </c>
      <c r="B8" s="17">
        <f>SUM(B12,B14:B21,B24:B25,B27:B30,B32)</f>
        <v>7690</v>
      </c>
      <c r="C8" s="17">
        <f>SUM(C12,C14:C21,C24:C25,C27:C30,C32)</f>
        <v>98797</v>
      </c>
      <c r="D8" s="17">
        <f>SUM(D12,D14:D21,D24:D25,D27:D30,D32)</f>
        <v>495681</v>
      </c>
      <c r="E8" s="17">
        <f>SUM(E12,E14:E21,E24:E25,E27:E30,E32)</f>
        <v>1597442</v>
      </c>
      <c r="F8" s="17">
        <f>SUM(F12,F14:F21,F24:F25,F27:F30,F32)</f>
        <v>2452577</v>
      </c>
      <c r="G8" s="17">
        <f>SUM(G9,G12,G14:G21,G24:G25,G27:G30,G32)</f>
        <v>2065141</v>
      </c>
      <c r="H8" s="17"/>
      <c r="I8" s="17">
        <f>SUM(I9,I12,I14:I21,I24:I30,I32)</f>
        <v>2271925</v>
      </c>
      <c r="J8" s="17"/>
      <c r="K8" s="17">
        <f>SUM(K9,K12,K14:K21,K24:K30,K32)</f>
        <v>4735484</v>
      </c>
      <c r="L8" s="17"/>
      <c r="M8" s="17">
        <f>SUM(M9,M12,M14:M21,M24:M30,M32)</f>
        <v>3555352</v>
      </c>
      <c r="N8" s="62"/>
      <c r="O8" s="17">
        <f>SUM(O9,O12,O14:O21,O25:O30,O32)</f>
        <v>8056040</v>
      </c>
      <c r="P8" s="17"/>
      <c r="Q8" s="17">
        <f>SUM(Q9,Q12:Q21,Q24:Q32)</f>
        <v>4321887</v>
      </c>
      <c r="R8" s="17"/>
      <c r="S8" s="17">
        <f>SUM(S9,S12:S21,S24:S32)</f>
        <v>2463194</v>
      </c>
      <c r="T8" s="17"/>
      <c r="U8" s="17">
        <f>SUM(U9,U12:U21,U24:U32)</f>
        <v>347566</v>
      </c>
      <c r="V8" s="17"/>
      <c r="W8" s="17">
        <f>SUM(W9,W12:W21,W24:W32)</f>
        <v>621147</v>
      </c>
      <c r="X8" s="17"/>
      <c r="Y8" s="17">
        <f>SUM(Y9,Y12:Y21,Y24:Y32)</f>
        <v>1325727</v>
      </c>
      <c r="Z8" s="17"/>
      <c r="AA8" s="17">
        <f aca="true" t="shared" si="1" ref="AA8:AJ8">SUM(AA9,AA12:AA21,AA24:AA32)</f>
        <v>1123492</v>
      </c>
      <c r="AB8" s="17">
        <f t="shared" si="1"/>
        <v>800368</v>
      </c>
      <c r="AC8" s="17">
        <f t="shared" si="1"/>
        <v>761550</v>
      </c>
      <c r="AD8" s="17">
        <f t="shared" si="1"/>
        <v>465642</v>
      </c>
      <c r="AE8" s="17">
        <f t="shared" si="1"/>
        <v>631921</v>
      </c>
      <c r="AF8" s="17">
        <f>SUM(AF9,AF12:AF21,AF24:AF32)</f>
        <v>764835</v>
      </c>
      <c r="AG8" s="17">
        <f t="shared" si="1"/>
        <v>166279</v>
      </c>
      <c r="AH8" s="17">
        <f t="shared" si="1"/>
        <v>132914</v>
      </c>
      <c r="AI8" s="17">
        <f t="shared" si="1"/>
        <v>151898</v>
      </c>
      <c r="AJ8" s="17">
        <f t="shared" si="1"/>
        <v>122358</v>
      </c>
      <c r="AK8" s="17">
        <f aca="true" t="shared" si="2" ref="AK8:AQ8">SUM(AK9,AK12:AK21,AK24:AK32)</f>
        <v>92911</v>
      </c>
      <c r="AL8" s="40">
        <f t="shared" si="2"/>
        <v>94373</v>
      </c>
      <c r="AM8" s="40">
        <f t="shared" si="2"/>
        <v>1226375</v>
      </c>
      <c r="AN8" s="40">
        <f t="shared" si="2"/>
        <v>133362</v>
      </c>
      <c r="AO8" s="9">
        <f aca="true" t="shared" si="3" ref="AO8:AO65">AM8+AN8</f>
        <v>1359737</v>
      </c>
      <c r="AP8" s="45">
        <f t="shared" si="2"/>
        <v>38233062</v>
      </c>
      <c r="AQ8" s="45">
        <f t="shared" si="2"/>
        <v>38327435</v>
      </c>
      <c r="AS8" s="45">
        <f>SUM(AS9,AS12:AS21,AS24:AS32)</f>
        <v>38460797</v>
      </c>
    </row>
    <row r="9" spans="1:96" ht="15">
      <c r="A9" s="11" t="s">
        <v>21</v>
      </c>
      <c r="B9" s="71" t="s">
        <v>93</v>
      </c>
      <c r="C9" s="71" t="s">
        <v>93</v>
      </c>
      <c r="D9" s="71" t="s">
        <v>93</v>
      </c>
      <c r="E9" s="71" t="s">
        <v>93</v>
      </c>
      <c r="F9" s="71" t="s">
        <v>93</v>
      </c>
      <c r="G9" s="20">
        <v>7800</v>
      </c>
      <c r="H9" s="20"/>
      <c r="I9" s="20">
        <f>SUM(I10,I11)</f>
        <v>72969</v>
      </c>
      <c r="J9" s="20"/>
      <c r="K9" s="20">
        <f>K10+K11</f>
        <v>353719</v>
      </c>
      <c r="L9" s="20"/>
      <c r="M9" s="20">
        <v>592707</v>
      </c>
      <c r="N9" s="74" t="s">
        <v>96</v>
      </c>
      <c r="O9" s="20">
        <v>2145266</v>
      </c>
      <c r="P9" s="74" t="s">
        <v>96</v>
      </c>
      <c r="Q9" s="20">
        <f>Q10+Q11</f>
        <v>896342</v>
      </c>
      <c r="R9" s="74" t="s">
        <v>96</v>
      </c>
      <c r="S9" s="20">
        <f>S10+S11</f>
        <v>63548</v>
      </c>
      <c r="T9" s="20"/>
      <c r="U9" s="20">
        <f>U10+U11</f>
        <v>11424</v>
      </c>
      <c r="V9" s="20"/>
      <c r="W9" s="20">
        <f>W10+W11</f>
        <v>28329</v>
      </c>
      <c r="X9" s="20"/>
      <c r="Y9" s="20">
        <f>Y10+Y11</f>
        <v>103743</v>
      </c>
      <c r="Z9" s="20"/>
      <c r="AA9" s="20">
        <f aca="true" t="shared" si="4" ref="AA9:AJ9">AA10+AA11</f>
        <v>26022</v>
      </c>
      <c r="AB9" s="20">
        <f t="shared" si="4"/>
        <v>16028</v>
      </c>
      <c r="AC9" s="20">
        <f t="shared" si="4"/>
        <v>24885</v>
      </c>
      <c r="AD9" s="20">
        <f t="shared" si="4"/>
        <v>11303</v>
      </c>
      <c r="AE9" s="7">
        <f aca="true" t="shared" si="5" ref="AE9:AF24">AD9+AG9</f>
        <v>13426</v>
      </c>
      <c r="AF9" s="7">
        <f t="shared" si="5"/>
        <v>15616</v>
      </c>
      <c r="AG9" s="20">
        <f t="shared" si="4"/>
        <v>2123</v>
      </c>
      <c r="AH9" s="20">
        <f t="shared" si="4"/>
        <v>2190</v>
      </c>
      <c r="AI9" s="20">
        <f t="shared" si="4"/>
        <v>2325</v>
      </c>
      <c r="AJ9" s="20">
        <f t="shared" si="4"/>
        <v>1964</v>
      </c>
      <c r="AK9" s="21">
        <f>SUM(AK10:AK11)</f>
        <v>1435</v>
      </c>
      <c r="AL9" s="41">
        <f>SUM(AL10:AL11)</f>
        <v>1518</v>
      </c>
      <c r="AM9" s="41">
        <f>SUM(AF9,AI9,AJ9:AL9)</f>
        <v>22858</v>
      </c>
      <c r="AN9" s="81">
        <f>SUM(AN10:AN11)</f>
        <v>2024</v>
      </c>
      <c r="AO9" s="7">
        <f t="shared" si="3"/>
        <v>24882</v>
      </c>
      <c r="AP9" s="46">
        <f aca="true" t="shared" si="6" ref="AP9:AP32">SUM(B9:AC9,AF9,AI9:AK9)</f>
        <v>4364122</v>
      </c>
      <c r="AQ9" s="48">
        <f aca="true" t="shared" si="7" ref="AQ9:AQ32">+AL9+AP9</f>
        <v>4365640</v>
      </c>
      <c r="AS9" s="48">
        <f aca="true" t="shared" si="8" ref="AS9:AS32">+AN9+AQ9</f>
        <v>4367664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45" ht="15">
      <c r="A10" s="11" t="s">
        <v>22</v>
      </c>
      <c r="B10" s="71" t="s">
        <v>93</v>
      </c>
      <c r="C10" s="71" t="s">
        <v>93</v>
      </c>
      <c r="D10" s="71" t="s">
        <v>93</v>
      </c>
      <c r="E10" s="71" t="s">
        <v>93</v>
      </c>
      <c r="F10" s="71" t="s">
        <v>93</v>
      </c>
      <c r="G10" s="20">
        <v>7124</v>
      </c>
      <c r="H10" s="72" t="s">
        <v>94</v>
      </c>
      <c r="I10" s="20">
        <v>63009</v>
      </c>
      <c r="J10" s="20"/>
      <c r="K10" s="20">
        <v>226038</v>
      </c>
      <c r="L10" s="20"/>
      <c r="M10" s="20">
        <v>234081</v>
      </c>
      <c r="N10" s="72" t="s">
        <v>94</v>
      </c>
      <c r="O10" s="20">
        <v>668209</v>
      </c>
      <c r="P10" s="72" t="s">
        <v>94</v>
      </c>
      <c r="Q10" s="20">
        <v>453649</v>
      </c>
      <c r="R10" s="20"/>
      <c r="S10" s="20">
        <v>32868</v>
      </c>
      <c r="T10" s="20"/>
      <c r="U10" s="20">
        <v>3563</v>
      </c>
      <c r="V10" s="72" t="s">
        <v>95</v>
      </c>
      <c r="W10" s="20">
        <v>24860</v>
      </c>
      <c r="X10" s="72" t="s">
        <v>95</v>
      </c>
      <c r="Y10" s="20">
        <v>67106</v>
      </c>
      <c r="Z10" s="20"/>
      <c r="AA10" s="22">
        <v>20621</v>
      </c>
      <c r="AB10" s="22">
        <v>9478</v>
      </c>
      <c r="AC10" s="23">
        <v>18340</v>
      </c>
      <c r="AD10" s="22">
        <v>8286</v>
      </c>
      <c r="AE10" s="7">
        <f t="shared" si="5"/>
        <v>9600</v>
      </c>
      <c r="AF10" s="7">
        <f t="shared" si="5"/>
        <v>10940</v>
      </c>
      <c r="AG10" s="7">
        <v>1314</v>
      </c>
      <c r="AH10" s="7">
        <v>1340</v>
      </c>
      <c r="AI10" s="7">
        <v>1182</v>
      </c>
      <c r="AJ10" s="7">
        <v>1044</v>
      </c>
      <c r="AK10" s="24">
        <v>610</v>
      </c>
      <c r="AL10" s="42">
        <v>727</v>
      </c>
      <c r="AM10" s="41">
        <f aca="true" t="shared" si="9" ref="AM10:AM65">SUM(AF10,AI10,AJ10:AL10)</f>
        <v>14503</v>
      </c>
      <c r="AN10">
        <v>997</v>
      </c>
      <c r="AO10" s="7">
        <f t="shared" si="3"/>
        <v>15500</v>
      </c>
      <c r="AP10" s="46">
        <f t="shared" si="6"/>
        <v>1842722</v>
      </c>
      <c r="AQ10" s="49">
        <f t="shared" si="7"/>
        <v>1843449</v>
      </c>
      <c r="AR10" s="73" t="s">
        <v>94</v>
      </c>
      <c r="AS10" s="48">
        <f t="shared" si="8"/>
        <v>1844446</v>
      </c>
    </row>
    <row r="11" spans="1:45" ht="15">
      <c r="A11" s="11" t="s">
        <v>23</v>
      </c>
      <c r="B11" s="71" t="s">
        <v>93</v>
      </c>
      <c r="C11" s="71" t="s">
        <v>93</v>
      </c>
      <c r="D11" s="71" t="s">
        <v>93</v>
      </c>
      <c r="E11" s="71" t="s">
        <v>93</v>
      </c>
      <c r="F11" s="71" t="s">
        <v>93</v>
      </c>
      <c r="G11" s="20">
        <v>484</v>
      </c>
      <c r="H11" s="72" t="s">
        <v>94</v>
      </c>
      <c r="I11" s="20">
        <v>9960</v>
      </c>
      <c r="J11" s="20"/>
      <c r="K11" s="20">
        <v>127681</v>
      </c>
      <c r="L11" s="20"/>
      <c r="M11" s="20">
        <v>181288</v>
      </c>
      <c r="N11" s="72" t="s">
        <v>94</v>
      </c>
      <c r="O11" s="20">
        <v>808511</v>
      </c>
      <c r="P11" s="72" t="s">
        <v>94</v>
      </c>
      <c r="Q11" s="20">
        <v>442693</v>
      </c>
      <c r="R11" s="20"/>
      <c r="S11" s="20">
        <v>30680</v>
      </c>
      <c r="T11" s="20"/>
      <c r="U11" s="20">
        <v>7861</v>
      </c>
      <c r="V11" s="20"/>
      <c r="W11" s="20">
        <v>3469</v>
      </c>
      <c r="X11" s="20"/>
      <c r="Y11" s="20">
        <v>36637</v>
      </c>
      <c r="Z11" s="20"/>
      <c r="AA11" s="22">
        <v>5401</v>
      </c>
      <c r="AB11" s="22">
        <v>6550</v>
      </c>
      <c r="AC11" s="23">
        <v>6545</v>
      </c>
      <c r="AD11" s="22">
        <v>3017</v>
      </c>
      <c r="AE11" s="7">
        <f t="shared" si="5"/>
        <v>3826</v>
      </c>
      <c r="AF11" s="7">
        <f t="shared" si="5"/>
        <v>4676</v>
      </c>
      <c r="AG11" s="7">
        <v>809</v>
      </c>
      <c r="AH11" s="7">
        <v>850</v>
      </c>
      <c r="AI11" s="7">
        <v>1143</v>
      </c>
      <c r="AJ11" s="7">
        <v>920</v>
      </c>
      <c r="AK11" s="24">
        <v>825</v>
      </c>
      <c r="AL11" s="42">
        <v>791</v>
      </c>
      <c r="AM11" s="41">
        <f t="shared" si="9"/>
        <v>8355</v>
      </c>
      <c r="AN11" s="81">
        <v>1027</v>
      </c>
      <c r="AO11" s="7">
        <f t="shared" si="3"/>
        <v>9382</v>
      </c>
      <c r="AP11" s="46">
        <f t="shared" si="6"/>
        <v>1675324</v>
      </c>
      <c r="AQ11" s="49">
        <f t="shared" si="7"/>
        <v>1676115</v>
      </c>
      <c r="AR11" s="73" t="s">
        <v>94</v>
      </c>
      <c r="AS11" s="48">
        <f t="shared" si="8"/>
        <v>1677142</v>
      </c>
    </row>
    <row r="12" spans="1:45" ht="12.75">
      <c r="A12" s="11" t="s">
        <v>24</v>
      </c>
      <c r="B12" s="20">
        <v>1</v>
      </c>
      <c r="C12" s="20">
        <v>27</v>
      </c>
      <c r="D12" s="20">
        <v>22</v>
      </c>
      <c r="E12" s="20">
        <v>5074</v>
      </c>
      <c r="F12" s="20">
        <v>4738</v>
      </c>
      <c r="G12" s="20">
        <v>6734</v>
      </c>
      <c r="H12" s="20"/>
      <c r="I12" s="20">
        <v>7221</v>
      </c>
      <c r="J12" s="20"/>
      <c r="K12" s="20">
        <v>20177</v>
      </c>
      <c r="L12" s="20"/>
      <c r="M12" s="20">
        <v>18167</v>
      </c>
      <c r="N12" s="63"/>
      <c r="O12" s="20">
        <v>41635</v>
      </c>
      <c r="P12" s="20"/>
      <c r="Q12" s="20">
        <v>33746</v>
      </c>
      <c r="R12" s="20"/>
      <c r="S12" s="20">
        <v>15846</v>
      </c>
      <c r="T12" s="20"/>
      <c r="U12" s="20">
        <v>4817</v>
      </c>
      <c r="V12" s="20"/>
      <c r="W12" s="20">
        <v>12189</v>
      </c>
      <c r="X12" s="20"/>
      <c r="Y12" s="20">
        <v>18575</v>
      </c>
      <c r="Z12" s="20"/>
      <c r="AA12" s="22">
        <v>9192</v>
      </c>
      <c r="AB12" s="22">
        <v>5329</v>
      </c>
      <c r="AC12" s="23">
        <v>7066</v>
      </c>
      <c r="AD12" s="22">
        <v>2434</v>
      </c>
      <c r="AE12" s="7">
        <f t="shared" si="5"/>
        <v>3055</v>
      </c>
      <c r="AF12" s="7">
        <f t="shared" si="5"/>
        <v>3749</v>
      </c>
      <c r="AG12" s="7">
        <v>621</v>
      </c>
      <c r="AH12" s="7">
        <v>694</v>
      </c>
      <c r="AI12" s="7">
        <v>802</v>
      </c>
      <c r="AJ12" s="7">
        <v>633</v>
      </c>
      <c r="AK12" s="24">
        <v>557</v>
      </c>
      <c r="AL12" s="42">
        <v>522</v>
      </c>
      <c r="AM12" s="41">
        <f t="shared" si="9"/>
        <v>6263</v>
      </c>
      <c r="AN12">
        <v>827</v>
      </c>
      <c r="AO12" s="7">
        <f t="shared" si="3"/>
        <v>7090</v>
      </c>
      <c r="AP12" s="46">
        <f t="shared" si="6"/>
        <v>216297</v>
      </c>
      <c r="AQ12" s="49">
        <f t="shared" si="7"/>
        <v>216819</v>
      </c>
      <c r="AS12" s="48">
        <f t="shared" si="8"/>
        <v>217646</v>
      </c>
    </row>
    <row r="13" spans="1:45" ht="15">
      <c r="A13" s="11" t="s">
        <v>25</v>
      </c>
      <c r="B13" s="71" t="s">
        <v>97</v>
      </c>
      <c r="C13" s="71" t="s">
        <v>97</v>
      </c>
      <c r="D13" s="71" t="s">
        <v>97</v>
      </c>
      <c r="E13" s="71" t="s">
        <v>97</v>
      </c>
      <c r="F13" s="71" t="s">
        <v>97</v>
      </c>
      <c r="G13" s="71" t="s">
        <v>97</v>
      </c>
      <c r="H13" s="19"/>
      <c r="I13" s="71" t="s">
        <v>97</v>
      </c>
      <c r="J13" s="19"/>
      <c r="K13" s="71" t="s">
        <v>97</v>
      </c>
      <c r="L13" s="71"/>
      <c r="M13" s="71" t="s">
        <v>97</v>
      </c>
      <c r="N13" s="71"/>
      <c r="O13" s="71" t="s">
        <v>97</v>
      </c>
      <c r="P13" s="19"/>
      <c r="Q13" s="20">
        <v>3426</v>
      </c>
      <c r="R13" s="71" t="s">
        <v>97</v>
      </c>
      <c r="S13" s="20">
        <v>102194</v>
      </c>
      <c r="T13" s="20"/>
      <c r="U13" s="20">
        <v>14393</v>
      </c>
      <c r="V13" s="20"/>
      <c r="W13" s="20">
        <v>8347</v>
      </c>
      <c r="X13" s="20"/>
      <c r="Y13" s="20">
        <v>918</v>
      </c>
      <c r="Z13" s="20"/>
      <c r="AA13" s="22">
        <v>3273</v>
      </c>
      <c r="AB13" s="22">
        <v>6023</v>
      </c>
      <c r="AC13" s="23">
        <v>7227</v>
      </c>
      <c r="AD13" s="22">
        <v>2291</v>
      </c>
      <c r="AE13" s="7">
        <f t="shared" si="5"/>
        <v>3050</v>
      </c>
      <c r="AF13" s="7">
        <f t="shared" si="5"/>
        <v>4107</v>
      </c>
      <c r="AG13" s="7">
        <v>759</v>
      </c>
      <c r="AH13" s="7">
        <v>1057</v>
      </c>
      <c r="AI13" s="7">
        <v>1299</v>
      </c>
      <c r="AJ13" s="7">
        <v>1169</v>
      </c>
      <c r="AK13" s="24">
        <v>931</v>
      </c>
      <c r="AL13" s="42">
        <v>895</v>
      </c>
      <c r="AM13" s="41">
        <f t="shared" si="9"/>
        <v>8401</v>
      </c>
      <c r="AN13" s="81">
        <v>1415</v>
      </c>
      <c r="AO13" s="7">
        <f t="shared" si="3"/>
        <v>9816</v>
      </c>
      <c r="AP13" s="46">
        <f t="shared" si="6"/>
        <v>153307</v>
      </c>
      <c r="AQ13" s="49">
        <f t="shared" si="7"/>
        <v>154202</v>
      </c>
      <c r="AS13" s="48">
        <f t="shared" si="8"/>
        <v>155617</v>
      </c>
    </row>
    <row r="14" spans="1:45" ht="12.75">
      <c r="A14" s="11" t="s">
        <v>26</v>
      </c>
      <c r="B14" s="20">
        <v>20</v>
      </c>
      <c r="C14" s="20">
        <v>169</v>
      </c>
      <c r="D14" s="20">
        <v>1063</v>
      </c>
      <c r="E14" s="20">
        <v>539</v>
      </c>
      <c r="F14" s="20">
        <v>3749</v>
      </c>
      <c r="G14" s="20">
        <v>17094</v>
      </c>
      <c r="H14" s="20"/>
      <c r="I14" s="20">
        <v>31771</v>
      </c>
      <c r="J14" s="20"/>
      <c r="K14" s="20">
        <v>88132</v>
      </c>
      <c r="L14" s="20"/>
      <c r="M14" s="20">
        <v>50231</v>
      </c>
      <c r="N14" s="63"/>
      <c r="O14" s="20">
        <v>65285</v>
      </c>
      <c r="P14" s="20"/>
      <c r="Q14" s="20">
        <v>41983</v>
      </c>
      <c r="R14" s="20"/>
      <c r="S14" s="20">
        <v>32430</v>
      </c>
      <c r="T14" s="20"/>
      <c r="U14" s="20">
        <v>2559</v>
      </c>
      <c r="V14" s="20"/>
      <c r="W14" s="20">
        <v>5393</v>
      </c>
      <c r="X14" s="20"/>
      <c r="Y14" s="20">
        <v>10984</v>
      </c>
      <c r="Z14" s="20"/>
      <c r="AA14" s="22">
        <v>9201</v>
      </c>
      <c r="AB14" s="22">
        <v>4439</v>
      </c>
      <c r="AC14" s="23">
        <v>5370</v>
      </c>
      <c r="AD14" s="22">
        <v>2160</v>
      </c>
      <c r="AE14" s="7">
        <f t="shared" si="5"/>
        <v>2799</v>
      </c>
      <c r="AF14" s="7">
        <f t="shared" si="5"/>
        <v>3387</v>
      </c>
      <c r="AG14" s="7">
        <v>639</v>
      </c>
      <c r="AH14" s="7">
        <v>588</v>
      </c>
      <c r="AI14" s="7">
        <v>795</v>
      </c>
      <c r="AJ14" s="7">
        <v>507</v>
      </c>
      <c r="AK14" s="24">
        <v>447</v>
      </c>
      <c r="AL14" s="42">
        <v>387</v>
      </c>
      <c r="AM14" s="41">
        <f t="shared" si="9"/>
        <v>5523</v>
      </c>
      <c r="AN14">
        <v>556</v>
      </c>
      <c r="AO14" s="7">
        <f t="shared" si="3"/>
        <v>6079</v>
      </c>
      <c r="AP14" s="46">
        <f t="shared" si="6"/>
        <v>375548</v>
      </c>
      <c r="AQ14" s="49">
        <f t="shared" si="7"/>
        <v>375935</v>
      </c>
      <c r="AS14" s="48">
        <f t="shared" si="8"/>
        <v>376491</v>
      </c>
    </row>
    <row r="15" spans="1:45" ht="12.75">
      <c r="A15" s="11" t="s">
        <v>27</v>
      </c>
      <c r="B15" s="20">
        <v>371</v>
      </c>
      <c r="C15" s="20">
        <v>8497</v>
      </c>
      <c r="D15" s="20">
        <v>45575</v>
      </c>
      <c r="E15" s="20">
        <v>77262</v>
      </c>
      <c r="F15" s="20">
        <v>76358</v>
      </c>
      <c r="G15" s="20">
        <v>35986</v>
      </c>
      <c r="H15" s="20"/>
      <c r="I15" s="20">
        <v>72206</v>
      </c>
      <c r="J15" s="20"/>
      <c r="K15" s="20">
        <v>50464</v>
      </c>
      <c r="L15" s="20"/>
      <c r="M15" s="20">
        <v>30770</v>
      </c>
      <c r="N15" s="63"/>
      <c r="O15" s="20">
        <v>73379</v>
      </c>
      <c r="P15" s="20"/>
      <c r="Q15" s="20">
        <v>61897</v>
      </c>
      <c r="R15" s="20"/>
      <c r="S15" s="20">
        <v>49610</v>
      </c>
      <c r="T15" s="20"/>
      <c r="U15" s="20">
        <v>12623</v>
      </c>
      <c r="V15" s="20"/>
      <c r="W15" s="20">
        <v>38809</v>
      </c>
      <c r="X15" s="20"/>
      <c r="Y15" s="20">
        <v>51121</v>
      </c>
      <c r="Z15" s="20"/>
      <c r="AA15" s="22">
        <v>45237</v>
      </c>
      <c r="AB15" s="22">
        <v>25069</v>
      </c>
      <c r="AC15" s="23">
        <v>32353</v>
      </c>
      <c r="AD15" s="22">
        <v>12429</v>
      </c>
      <c r="AE15" s="7">
        <f t="shared" si="5"/>
        <v>16021</v>
      </c>
      <c r="AF15" s="7">
        <f t="shared" si="5"/>
        <v>19199</v>
      </c>
      <c r="AG15" s="7">
        <v>3592</v>
      </c>
      <c r="AH15" s="7">
        <v>3178</v>
      </c>
      <c r="AI15" s="7">
        <v>3896</v>
      </c>
      <c r="AJ15" s="7">
        <v>3007</v>
      </c>
      <c r="AK15" s="24">
        <v>2961</v>
      </c>
      <c r="AL15" s="42">
        <v>2664</v>
      </c>
      <c r="AM15" s="41">
        <f t="shared" si="9"/>
        <v>31727</v>
      </c>
      <c r="AN15" s="81">
        <v>4093</v>
      </c>
      <c r="AO15" s="7">
        <f t="shared" si="3"/>
        <v>35820</v>
      </c>
      <c r="AP15" s="46">
        <f t="shared" si="6"/>
        <v>816650</v>
      </c>
      <c r="AQ15" s="49">
        <f t="shared" si="7"/>
        <v>819314</v>
      </c>
      <c r="AS15" s="48">
        <f t="shared" si="8"/>
        <v>823407</v>
      </c>
    </row>
    <row r="16" spans="1:45" ht="15">
      <c r="A16" s="25" t="s">
        <v>28</v>
      </c>
      <c r="B16" s="20">
        <v>968</v>
      </c>
      <c r="C16" s="20">
        <v>6761</v>
      </c>
      <c r="D16" s="20">
        <v>152454</v>
      </c>
      <c r="E16" s="20">
        <v>434626</v>
      </c>
      <c r="F16" s="20">
        <v>951667</v>
      </c>
      <c r="G16" s="20">
        <v>787468</v>
      </c>
      <c r="H16" s="20"/>
      <c r="I16" s="20">
        <v>718182</v>
      </c>
      <c r="J16" s="20"/>
      <c r="K16" s="20">
        <v>1452970</v>
      </c>
      <c r="L16" s="20"/>
      <c r="M16" s="20">
        <v>505152</v>
      </c>
      <c r="N16" s="75" t="s">
        <v>96</v>
      </c>
      <c r="O16" s="20">
        <v>341498</v>
      </c>
      <c r="P16" s="74" t="s">
        <v>96</v>
      </c>
      <c r="Q16" s="20">
        <v>143945</v>
      </c>
      <c r="R16" s="74" t="s">
        <v>96</v>
      </c>
      <c r="S16" s="20">
        <v>412202</v>
      </c>
      <c r="T16" s="20"/>
      <c r="U16" s="20">
        <v>114058</v>
      </c>
      <c r="V16" s="72" t="s">
        <v>95</v>
      </c>
      <c r="W16" s="20">
        <v>226578</v>
      </c>
      <c r="X16" s="72" t="s">
        <v>95</v>
      </c>
      <c r="Y16" s="20">
        <v>477765</v>
      </c>
      <c r="Z16" s="20"/>
      <c r="AA16" s="22">
        <v>190796</v>
      </c>
      <c r="AB16" s="22">
        <v>74414</v>
      </c>
      <c r="AC16" s="23">
        <v>91961</v>
      </c>
      <c r="AD16" s="22">
        <v>33727</v>
      </c>
      <c r="AE16" s="7">
        <f t="shared" si="5"/>
        <v>42667</v>
      </c>
      <c r="AF16" s="7">
        <f t="shared" si="5"/>
        <v>50563</v>
      </c>
      <c r="AG16" s="7">
        <v>8940</v>
      </c>
      <c r="AH16" s="7">
        <v>7896</v>
      </c>
      <c r="AI16" s="7">
        <v>8365</v>
      </c>
      <c r="AJ16" s="7">
        <v>6941</v>
      </c>
      <c r="AK16" s="24">
        <v>6923</v>
      </c>
      <c r="AL16" s="42">
        <v>7442</v>
      </c>
      <c r="AM16" s="41">
        <f t="shared" si="9"/>
        <v>80234</v>
      </c>
      <c r="AN16" s="81">
        <v>12372</v>
      </c>
      <c r="AO16" s="7">
        <f t="shared" si="3"/>
        <v>92606</v>
      </c>
      <c r="AP16" s="46">
        <f t="shared" si="6"/>
        <v>7156257</v>
      </c>
      <c r="AQ16" s="49">
        <f t="shared" si="7"/>
        <v>7163699</v>
      </c>
      <c r="AS16" s="48">
        <f t="shared" si="8"/>
        <v>7176071</v>
      </c>
    </row>
    <row r="17" spans="1:45" ht="12.75">
      <c r="A17" s="11" t="s">
        <v>29</v>
      </c>
      <c r="B17" s="19" t="s">
        <v>30</v>
      </c>
      <c r="C17" s="20">
        <v>20</v>
      </c>
      <c r="D17" s="20">
        <v>49</v>
      </c>
      <c r="E17" s="20">
        <v>16</v>
      </c>
      <c r="F17" s="20">
        <v>31</v>
      </c>
      <c r="G17" s="20">
        <v>72</v>
      </c>
      <c r="H17" s="20"/>
      <c r="I17" s="20">
        <v>210</v>
      </c>
      <c r="J17" s="20"/>
      <c r="K17" s="20">
        <v>2308</v>
      </c>
      <c r="L17" s="20"/>
      <c r="M17" s="20">
        <v>15979</v>
      </c>
      <c r="N17" s="63"/>
      <c r="O17" s="20">
        <v>167519</v>
      </c>
      <c r="P17" s="20"/>
      <c r="Q17" s="20">
        <v>184201</v>
      </c>
      <c r="R17" s="20"/>
      <c r="S17" s="20">
        <v>51084</v>
      </c>
      <c r="T17" s="20"/>
      <c r="U17" s="20">
        <v>9119</v>
      </c>
      <c r="V17" s="20"/>
      <c r="W17" s="20">
        <v>8973</v>
      </c>
      <c r="X17" s="20"/>
      <c r="Y17" s="20">
        <v>47608</v>
      </c>
      <c r="Z17" s="20"/>
      <c r="AA17" s="22">
        <v>85969</v>
      </c>
      <c r="AB17" s="22">
        <v>92369</v>
      </c>
      <c r="AC17" s="23">
        <v>38377</v>
      </c>
      <c r="AD17" s="22">
        <v>7557</v>
      </c>
      <c r="AE17" s="7">
        <f t="shared" si="5"/>
        <v>10096</v>
      </c>
      <c r="AF17" s="7">
        <f t="shared" si="5"/>
        <v>12500</v>
      </c>
      <c r="AG17" s="7">
        <v>2539</v>
      </c>
      <c r="AH17" s="7">
        <v>2404</v>
      </c>
      <c r="AI17" s="7">
        <v>2394</v>
      </c>
      <c r="AJ17" s="7">
        <v>1483</v>
      </c>
      <c r="AK17" s="24">
        <v>1183</v>
      </c>
      <c r="AL17" s="42">
        <v>4061</v>
      </c>
      <c r="AM17" s="41">
        <f t="shared" si="9"/>
        <v>21621</v>
      </c>
      <c r="AN17" s="81">
        <v>5138</v>
      </c>
      <c r="AO17" s="7">
        <f t="shared" si="3"/>
        <v>26759</v>
      </c>
      <c r="AP17" s="46">
        <f t="shared" si="6"/>
        <v>721464</v>
      </c>
      <c r="AQ17" s="49">
        <f t="shared" si="7"/>
        <v>725525</v>
      </c>
      <c r="AS17" s="48">
        <f t="shared" si="8"/>
        <v>730663</v>
      </c>
    </row>
    <row r="18" spans="1:45" ht="15">
      <c r="A18" s="11" t="s">
        <v>87</v>
      </c>
      <c r="B18" s="20">
        <v>3614</v>
      </c>
      <c r="C18" s="20">
        <v>50724</v>
      </c>
      <c r="D18" s="20">
        <v>207381</v>
      </c>
      <c r="E18" s="20">
        <v>780719</v>
      </c>
      <c r="F18" s="20">
        <v>914119</v>
      </c>
      <c r="G18" s="20">
        <v>435778</v>
      </c>
      <c r="H18" s="20"/>
      <c r="I18" s="20">
        <v>436871</v>
      </c>
      <c r="J18" s="20"/>
      <c r="K18" s="20">
        <v>655482</v>
      </c>
      <c r="L18" s="20"/>
      <c r="M18" s="20">
        <v>388416</v>
      </c>
      <c r="N18" s="63"/>
      <c r="O18" s="20">
        <v>339065</v>
      </c>
      <c r="P18" s="20"/>
      <c r="Q18" s="20">
        <v>146181</v>
      </c>
      <c r="R18" s="20"/>
      <c r="S18" s="20">
        <v>211234</v>
      </c>
      <c r="T18" s="20"/>
      <c r="U18" s="20">
        <v>10973</v>
      </c>
      <c r="V18" s="20"/>
      <c r="W18" s="20">
        <v>19789</v>
      </c>
      <c r="X18" s="20"/>
      <c r="Y18" s="20">
        <v>48362</v>
      </c>
      <c r="Z18" s="20"/>
      <c r="AA18" s="22">
        <v>32966</v>
      </c>
      <c r="AB18" s="22">
        <v>11490</v>
      </c>
      <c r="AC18" s="23">
        <v>31969</v>
      </c>
      <c r="AD18" s="22">
        <v>30039</v>
      </c>
      <c r="AE18" s="7">
        <f t="shared" si="5"/>
        <v>46564</v>
      </c>
      <c r="AF18" s="7">
        <f t="shared" si="5"/>
        <v>51415</v>
      </c>
      <c r="AG18" s="7">
        <v>16525</v>
      </c>
      <c r="AH18" s="7">
        <v>4851</v>
      </c>
      <c r="AI18" s="7">
        <v>1611</v>
      </c>
      <c r="AJ18" s="7">
        <v>932</v>
      </c>
      <c r="AK18" s="24">
        <v>907</v>
      </c>
      <c r="AL18" s="42">
        <v>806</v>
      </c>
      <c r="AM18" s="41">
        <f t="shared" si="9"/>
        <v>55671</v>
      </c>
      <c r="AN18" s="81">
        <v>1279</v>
      </c>
      <c r="AO18" s="7">
        <f t="shared" si="3"/>
        <v>56950</v>
      </c>
      <c r="AP18" s="46">
        <f t="shared" si="6"/>
        <v>4779998</v>
      </c>
      <c r="AQ18" s="49">
        <f t="shared" si="7"/>
        <v>4780804</v>
      </c>
      <c r="AS18" s="48">
        <f t="shared" si="8"/>
        <v>4782083</v>
      </c>
    </row>
    <row r="19" spans="1:45" ht="12.75">
      <c r="A19" s="11" t="s">
        <v>31</v>
      </c>
      <c r="B19" s="20">
        <v>30</v>
      </c>
      <c r="C19" s="20">
        <v>409</v>
      </c>
      <c r="D19" s="20">
        <v>2253</v>
      </c>
      <c r="E19" s="20">
        <v>1870</v>
      </c>
      <c r="F19" s="20">
        <v>9231</v>
      </c>
      <c r="G19" s="20">
        <v>11725</v>
      </c>
      <c r="H19" s="20"/>
      <c r="I19" s="20">
        <v>55759</v>
      </c>
      <c r="J19" s="20"/>
      <c r="K19" s="20">
        <v>307309</v>
      </c>
      <c r="L19" s="20"/>
      <c r="M19" s="20">
        <v>651893</v>
      </c>
      <c r="N19" s="63"/>
      <c r="O19" s="20">
        <v>2045877</v>
      </c>
      <c r="P19" s="20"/>
      <c r="Q19" s="20">
        <v>1109524</v>
      </c>
      <c r="R19" s="20"/>
      <c r="S19" s="20">
        <v>455315</v>
      </c>
      <c r="T19" s="20"/>
      <c r="U19" s="20">
        <v>68028</v>
      </c>
      <c r="V19" s="20"/>
      <c r="W19" s="20">
        <v>57661</v>
      </c>
      <c r="X19" s="20"/>
      <c r="Y19" s="20">
        <v>185491</v>
      </c>
      <c r="Z19" s="20"/>
      <c r="AA19" s="22">
        <v>214111</v>
      </c>
      <c r="AB19" s="22">
        <v>129368</v>
      </c>
      <c r="AC19" s="23">
        <v>67254</v>
      </c>
      <c r="AD19" s="22">
        <v>46177</v>
      </c>
      <c r="AE19" s="7">
        <f t="shared" si="5"/>
        <v>48841</v>
      </c>
      <c r="AF19" s="7">
        <f t="shared" si="5"/>
        <v>51435</v>
      </c>
      <c r="AG19" s="7">
        <v>2664</v>
      </c>
      <c r="AH19" s="7">
        <v>2594</v>
      </c>
      <c r="AI19" s="7">
        <v>2755</v>
      </c>
      <c r="AJ19" s="7">
        <v>2190</v>
      </c>
      <c r="AK19" s="24">
        <v>1966</v>
      </c>
      <c r="AL19" s="42">
        <v>1681</v>
      </c>
      <c r="AM19" s="41">
        <f t="shared" si="9"/>
        <v>60027</v>
      </c>
      <c r="AN19" s="81">
        <v>2695</v>
      </c>
      <c r="AO19" s="7">
        <f t="shared" si="3"/>
        <v>62722</v>
      </c>
      <c r="AP19" s="46">
        <f t="shared" si="6"/>
        <v>5431454</v>
      </c>
      <c r="AQ19" s="49">
        <f t="shared" si="7"/>
        <v>5433135</v>
      </c>
      <c r="AS19" s="48">
        <f t="shared" si="8"/>
        <v>5435830</v>
      </c>
    </row>
    <row r="20" spans="1:49" ht="12.75">
      <c r="A20" s="11" t="s">
        <v>32</v>
      </c>
      <c r="B20" s="20">
        <v>49</v>
      </c>
      <c r="C20" s="20">
        <v>1078</v>
      </c>
      <c r="D20" s="20">
        <v>1412</v>
      </c>
      <c r="E20" s="20">
        <v>8251</v>
      </c>
      <c r="F20" s="20">
        <v>10789</v>
      </c>
      <c r="G20" s="20">
        <v>9102</v>
      </c>
      <c r="H20" s="20"/>
      <c r="I20" s="20">
        <v>16541</v>
      </c>
      <c r="J20" s="20"/>
      <c r="K20" s="20">
        <v>53701</v>
      </c>
      <c r="L20" s="20"/>
      <c r="M20" s="20">
        <v>26758</v>
      </c>
      <c r="N20" s="63"/>
      <c r="O20" s="20">
        <v>48262</v>
      </c>
      <c r="P20" s="20"/>
      <c r="Q20" s="20">
        <v>43718</v>
      </c>
      <c r="R20" s="20"/>
      <c r="S20" s="20">
        <v>26948</v>
      </c>
      <c r="T20" s="20"/>
      <c r="U20" s="20">
        <v>7150</v>
      </c>
      <c r="V20" s="20"/>
      <c r="W20" s="20">
        <v>14860</v>
      </c>
      <c r="X20" s="20"/>
      <c r="Y20" s="20">
        <v>52277</v>
      </c>
      <c r="Z20" s="20"/>
      <c r="AA20" s="22">
        <v>30606</v>
      </c>
      <c r="AB20" s="22">
        <v>10492</v>
      </c>
      <c r="AC20" s="23">
        <v>12238</v>
      </c>
      <c r="AD20" s="22">
        <v>4532</v>
      </c>
      <c r="AE20" s="7">
        <f t="shared" si="5"/>
        <v>5891</v>
      </c>
      <c r="AF20" s="7">
        <f t="shared" si="5"/>
        <v>7175</v>
      </c>
      <c r="AG20" s="23">
        <v>1359</v>
      </c>
      <c r="AH20" s="23">
        <v>1284</v>
      </c>
      <c r="AI20" s="22">
        <v>1553</v>
      </c>
      <c r="AJ20" s="22">
        <v>1197</v>
      </c>
      <c r="AK20" s="24">
        <v>1036</v>
      </c>
      <c r="AL20" s="42">
        <v>881</v>
      </c>
      <c r="AM20" s="41">
        <f t="shared" si="9"/>
        <v>11842</v>
      </c>
      <c r="AN20" s="81">
        <v>1466</v>
      </c>
      <c r="AO20" s="7">
        <f t="shared" si="3"/>
        <v>13308</v>
      </c>
      <c r="AP20" s="46">
        <f t="shared" si="6"/>
        <v>385193</v>
      </c>
      <c r="AQ20" s="49">
        <f t="shared" si="7"/>
        <v>386074</v>
      </c>
      <c r="AS20" s="48">
        <f t="shared" si="8"/>
        <v>387540</v>
      </c>
      <c r="AT20" s="4"/>
      <c r="AU20" s="4"/>
      <c r="AV20" s="4"/>
      <c r="AW20" s="4"/>
    </row>
    <row r="21" spans="1:45" ht="12.75">
      <c r="A21" s="11" t="s">
        <v>33</v>
      </c>
      <c r="B21" s="20">
        <v>3</v>
      </c>
      <c r="C21" s="20">
        <v>91</v>
      </c>
      <c r="D21" s="20">
        <v>1201</v>
      </c>
      <c r="E21" s="20">
        <v>13903</v>
      </c>
      <c r="F21" s="20">
        <v>20931</v>
      </c>
      <c r="G21" s="20">
        <v>109298</v>
      </c>
      <c r="H21" s="20"/>
      <c r="I21" s="20">
        <f>I22+I23</f>
        <v>211245</v>
      </c>
      <c r="J21" s="20"/>
      <c r="K21" s="20">
        <f>K22+K23</f>
        <v>568362</v>
      </c>
      <c r="L21" s="20"/>
      <c r="M21" s="20">
        <f>M22+M23</f>
        <v>321281</v>
      </c>
      <c r="N21" s="63"/>
      <c r="O21" s="20">
        <f>O22+O23</f>
        <v>440039</v>
      </c>
      <c r="P21" s="20"/>
      <c r="Q21" s="20">
        <f>Q22+Q23</f>
        <v>161469</v>
      </c>
      <c r="R21" s="20"/>
      <c r="S21" s="20">
        <f>S22+S23</f>
        <v>165780</v>
      </c>
      <c r="T21" s="20"/>
      <c r="U21" s="20">
        <f>U22+U23</f>
        <v>8700</v>
      </c>
      <c r="V21" s="20"/>
      <c r="W21" s="20">
        <f>W22+W23</f>
        <v>20765</v>
      </c>
      <c r="X21" s="20"/>
      <c r="Y21" s="20">
        <f>Y22+Y23</f>
        <v>44632</v>
      </c>
      <c r="Z21" s="20"/>
      <c r="AA21" s="22">
        <v>32600</v>
      </c>
      <c r="AB21" s="22">
        <v>10472</v>
      </c>
      <c r="AC21" s="22">
        <v>15182</v>
      </c>
      <c r="AD21" s="22">
        <v>6345</v>
      </c>
      <c r="AE21" s="7">
        <f t="shared" si="5"/>
        <v>8149</v>
      </c>
      <c r="AF21" s="7">
        <f t="shared" si="5"/>
        <v>9756</v>
      </c>
      <c r="AG21" s="22">
        <f>+AG22+AG23</f>
        <v>1804</v>
      </c>
      <c r="AH21" s="22">
        <f>+AH22+AH23</f>
        <v>1607</v>
      </c>
      <c r="AI21" s="22">
        <f>+AI22+AI23</f>
        <v>2015</v>
      </c>
      <c r="AJ21" s="22">
        <f>+AJ22+AJ23</f>
        <v>1517</v>
      </c>
      <c r="AK21" s="21">
        <v>1344</v>
      </c>
      <c r="AL21" s="41">
        <f>SUM(AL22:AL23)</f>
        <v>1284</v>
      </c>
      <c r="AM21" s="41">
        <f t="shared" si="9"/>
        <v>15916</v>
      </c>
      <c r="AN21" s="81">
        <v>1977</v>
      </c>
      <c r="AO21" s="7">
        <f t="shared" si="3"/>
        <v>17893</v>
      </c>
      <c r="AP21" s="46">
        <f t="shared" si="6"/>
        <v>2160586</v>
      </c>
      <c r="AQ21" s="49">
        <f t="shared" si="7"/>
        <v>2161870</v>
      </c>
      <c r="AS21" s="48">
        <f t="shared" si="8"/>
        <v>2163847</v>
      </c>
    </row>
    <row r="22" spans="1:45" ht="15">
      <c r="A22" s="11" t="s">
        <v>34</v>
      </c>
      <c r="B22" s="71" t="s">
        <v>98</v>
      </c>
      <c r="C22" s="71" t="s">
        <v>98</v>
      </c>
      <c r="D22" s="71" t="s">
        <v>98</v>
      </c>
      <c r="E22" s="71" t="s">
        <v>98</v>
      </c>
      <c r="F22" s="71" t="s">
        <v>98</v>
      </c>
      <c r="G22" s="71" t="s">
        <v>98</v>
      </c>
      <c r="H22" s="19"/>
      <c r="I22" s="20">
        <v>95323</v>
      </c>
      <c r="J22" s="19"/>
      <c r="K22" s="20">
        <v>176586</v>
      </c>
      <c r="L22" s="19"/>
      <c r="M22" s="20">
        <v>95015</v>
      </c>
      <c r="N22" s="64"/>
      <c r="O22" s="20">
        <v>190505</v>
      </c>
      <c r="P22" s="19"/>
      <c r="Q22" s="20">
        <v>66395</v>
      </c>
      <c r="R22" s="19"/>
      <c r="S22" s="20">
        <v>68531</v>
      </c>
      <c r="T22" s="19"/>
      <c r="U22" s="20">
        <v>4740</v>
      </c>
      <c r="V22" s="19"/>
      <c r="W22" s="20">
        <v>10100</v>
      </c>
      <c r="X22" s="19"/>
      <c r="Y22" s="20">
        <v>22935</v>
      </c>
      <c r="Z22" s="19"/>
      <c r="AA22" s="22">
        <v>15484</v>
      </c>
      <c r="AB22" s="22">
        <v>3941</v>
      </c>
      <c r="AC22" s="22">
        <v>4164</v>
      </c>
      <c r="AD22" s="22">
        <v>2057</v>
      </c>
      <c r="AE22" s="7">
        <f t="shared" si="5"/>
        <v>2572</v>
      </c>
      <c r="AF22" s="7">
        <f t="shared" si="5"/>
        <v>3037</v>
      </c>
      <c r="AG22" s="7">
        <v>515</v>
      </c>
      <c r="AH22" s="7">
        <v>465</v>
      </c>
      <c r="AI22" s="7">
        <v>552</v>
      </c>
      <c r="AJ22" s="7">
        <v>391</v>
      </c>
      <c r="AK22" s="24">
        <v>327</v>
      </c>
      <c r="AL22" s="42">
        <v>358</v>
      </c>
      <c r="AM22" s="41">
        <f t="shared" si="9"/>
        <v>4665</v>
      </c>
      <c r="AN22">
        <v>513</v>
      </c>
      <c r="AO22" s="7">
        <f t="shared" si="3"/>
        <v>5178</v>
      </c>
      <c r="AP22" s="46">
        <f t="shared" si="6"/>
        <v>758026</v>
      </c>
      <c r="AQ22" s="49">
        <f t="shared" si="7"/>
        <v>758384</v>
      </c>
      <c r="AR22" s="73" t="s">
        <v>98</v>
      </c>
      <c r="AS22" s="48">
        <f t="shared" si="8"/>
        <v>758897</v>
      </c>
    </row>
    <row r="23" spans="1:45" ht="15">
      <c r="A23" s="11" t="s">
        <v>35</v>
      </c>
      <c r="B23" s="71" t="s">
        <v>98</v>
      </c>
      <c r="C23" s="71" t="s">
        <v>98</v>
      </c>
      <c r="D23" s="71" t="s">
        <v>98</v>
      </c>
      <c r="E23" s="71" t="s">
        <v>98</v>
      </c>
      <c r="F23" s="71" t="s">
        <v>98</v>
      </c>
      <c r="G23" s="71" t="s">
        <v>98</v>
      </c>
      <c r="H23" s="19"/>
      <c r="I23" s="20">
        <v>115922</v>
      </c>
      <c r="J23" s="19"/>
      <c r="K23" s="20">
        <v>391776</v>
      </c>
      <c r="L23" s="19"/>
      <c r="M23" s="20">
        <v>226266</v>
      </c>
      <c r="N23" s="64"/>
      <c r="O23" s="20">
        <v>249534</v>
      </c>
      <c r="P23" s="19"/>
      <c r="Q23" s="20">
        <v>95074</v>
      </c>
      <c r="R23" s="19"/>
      <c r="S23" s="20">
        <v>97249</v>
      </c>
      <c r="T23" s="19"/>
      <c r="U23" s="20">
        <v>3960</v>
      </c>
      <c r="V23" s="19"/>
      <c r="W23" s="20">
        <v>10665</v>
      </c>
      <c r="X23" s="19"/>
      <c r="Y23" s="20">
        <v>21697</v>
      </c>
      <c r="Z23" s="19"/>
      <c r="AA23" s="22">
        <v>17116</v>
      </c>
      <c r="AB23" s="22">
        <v>6531</v>
      </c>
      <c r="AC23" s="22">
        <v>11018</v>
      </c>
      <c r="AD23" s="22">
        <v>4288</v>
      </c>
      <c r="AE23" s="7">
        <f t="shared" si="5"/>
        <v>5577</v>
      </c>
      <c r="AF23" s="7">
        <f t="shared" si="5"/>
        <v>6719</v>
      </c>
      <c r="AG23" s="7">
        <v>1289</v>
      </c>
      <c r="AH23" s="7">
        <v>1142</v>
      </c>
      <c r="AI23" s="7">
        <v>1463</v>
      </c>
      <c r="AJ23" s="7">
        <v>1126</v>
      </c>
      <c r="AK23" s="24">
        <v>1017</v>
      </c>
      <c r="AL23" s="42">
        <v>926</v>
      </c>
      <c r="AM23" s="41">
        <f t="shared" si="9"/>
        <v>11251</v>
      </c>
      <c r="AN23" s="81">
        <v>1464</v>
      </c>
      <c r="AO23" s="7">
        <f t="shared" si="3"/>
        <v>12715</v>
      </c>
      <c r="AP23" s="46">
        <f t="shared" si="6"/>
        <v>1257133</v>
      </c>
      <c r="AQ23" s="49">
        <f t="shared" si="7"/>
        <v>1258059</v>
      </c>
      <c r="AR23" s="73" t="s">
        <v>98</v>
      </c>
      <c r="AS23" s="48">
        <f t="shared" si="8"/>
        <v>1259523</v>
      </c>
    </row>
    <row r="24" spans="1:45" ht="15">
      <c r="A24" s="11" t="s">
        <v>36</v>
      </c>
      <c r="B24" s="20">
        <v>5</v>
      </c>
      <c r="C24" s="20">
        <v>16</v>
      </c>
      <c r="D24" s="20">
        <v>369</v>
      </c>
      <c r="E24" s="20">
        <v>105</v>
      </c>
      <c r="F24" s="20">
        <v>1164</v>
      </c>
      <c r="G24" s="20">
        <v>2027</v>
      </c>
      <c r="H24" s="20"/>
      <c r="I24" s="20">
        <v>12970</v>
      </c>
      <c r="J24" s="20"/>
      <c r="K24" s="20">
        <v>51806</v>
      </c>
      <c r="L24" s="20"/>
      <c r="M24" s="20">
        <v>96720</v>
      </c>
      <c r="N24" s="75" t="s">
        <v>96</v>
      </c>
      <c r="O24" s="75" t="s">
        <v>96</v>
      </c>
      <c r="P24" s="20"/>
      <c r="Q24" s="20">
        <v>4813</v>
      </c>
      <c r="R24" s="74" t="s">
        <v>96</v>
      </c>
      <c r="S24" s="20">
        <v>227734</v>
      </c>
      <c r="T24" s="20"/>
      <c r="U24" s="20">
        <v>17026</v>
      </c>
      <c r="V24" s="20"/>
      <c r="W24" s="20">
        <v>7571</v>
      </c>
      <c r="X24" s="20"/>
      <c r="Y24" s="20">
        <v>9985</v>
      </c>
      <c r="Z24" s="20"/>
      <c r="AA24" s="22">
        <v>53539</v>
      </c>
      <c r="AB24" s="22">
        <v>37234</v>
      </c>
      <c r="AC24" s="22">
        <v>83252</v>
      </c>
      <c r="AD24" s="22">
        <v>68885</v>
      </c>
      <c r="AE24" s="7">
        <f t="shared" si="5"/>
        <v>96482</v>
      </c>
      <c r="AF24" s="7">
        <f t="shared" si="5"/>
        <v>110052</v>
      </c>
      <c r="AG24" s="7">
        <v>27597</v>
      </c>
      <c r="AH24" s="7">
        <v>13570</v>
      </c>
      <c r="AI24" s="7">
        <v>15504</v>
      </c>
      <c r="AJ24" s="7">
        <v>11729</v>
      </c>
      <c r="AK24" s="24">
        <v>8202</v>
      </c>
      <c r="AL24" s="42">
        <v>8487</v>
      </c>
      <c r="AM24" s="41">
        <f t="shared" si="9"/>
        <v>153974</v>
      </c>
      <c r="AN24" s="81">
        <v>9773</v>
      </c>
      <c r="AO24" s="7">
        <f t="shared" si="3"/>
        <v>163747</v>
      </c>
      <c r="AP24" s="46">
        <f t="shared" si="6"/>
        <v>751823</v>
      </c>
      <c r="AQ24" s="49">
        <f t="shared" si="7"/>
        <v>760310</v>
      </c>
      <c r="AS24" s="48">
        <f t="shared" si="8"/>
        <v>770083</v>
      </c>
    </row>
    <row r="25" spans="1:45" ht="12.75">
      <c r="A25" s="11" t="s">
        <v>37</v>
      </c>
      <c r="B25" s="20">
        <v>35</v>
      </c>
      <c r="C25" s="20">
        <v>145</v>
      </c>
      <c r="D25" s="20">
        <v>829</v>
      </c>
      <c r="E25" s="20">
        <v>550</v>
      </c>
      <c r="F25" s="20">
        <v>1055</v>
      </c>
      <c r="G25" s="20">
        <v>2658</v>
      </c>
      <c r="H25" s="20"/>
      <c r="I25" s="20">
        <v>14082</v>
      </c>
      <c r="J25" s="20"/>
      <c r="K25" s="20">
        <v>16978</v>
      </c>
      <c r="L25" s="20"/>
      <c r="M25" s="20">
        <v>27508</v>
      </c>
      <c r="N25" s="63"/>
      <c r="O25" s="20">
        <v>69149</v>
      </c>
      <c r="P25" s="20"/>
      <c r="Q25" s="20">
        <v>89732</v>
      </c>
      <c r="R25" s="20"/>
      <c r="S25" s="20">
        <v>29994</v>
      </c>
      <c r="T25" s="20"/>
      <c r="U25" s="20">
        <v>3329</v>
      </c>
      <c r="V25" s="20"/>
      <c r="W25" s="20">
        <v>7423</v>
      </c>
      <c r="X25" s="20"/>
      <c r="Y25" s="20">
        <v>19588</v>
      </c>
      <c r="Z25" s="20"/>
      <c r="AA25" s="22">
        <v>76065</v>
      </c>
      <c r="AB25" s="22">
        <v>101710</v>
      </c>
      <c r="AC25" s="22">
        <v>40431</v>
      </c>
      <c r="AD25" s="22">
        <v>9425</v>
      </c>
      <c r="AE25" s="7">
        <f aca="true" t="shared" si="10" ref="AE25:AF32">AD25+AG25</f>
        <v>11588</v>
      </c>
      <c r="AF25" s="7">
        <f t="shared" si="10"/>
        <v>14199</v>
      </c>
      <c r="AG25" s="7">
        <v>2163</v>
      </c>
      <c r="AH25" s="7">
        <v>2611</v>
      </c>
      <c r="AI25" s="7">
        <v>3024</v>
      </c>
      <c r="AJ25" s="7">
        <v>1690</v>
      </c>
      <c r="AK25" s="24">
        <v>1523</v>
      </c>
      <c r="AL25" s="42">
        <v>1078</v>
      </c>
      <c r="AM25" s="41">
        <f t="shared" si="9"/>
        <v>21514</v>
      </c>
      <c r="AN25" s="81">
        <v>1402</v>
      </c>
      <c r="AO25" s="7">
        <f t="shared" si="3"/>
        <v>22916</v>
      </c>
      <c r="AP25" s="46">
        <f t="shared" si="6"/>
        <v>521697</v>
      </c>
      <c r="AQ25" s="49">
        <f t="shared" si="7"/>
        <v>522775</v>
      </c>
      <c r="AS25" s="48">
        <f t="shared" si="8"/>
        <v>524177</v>
      </c>
    </row>
    <row r="26" spans="1:45" ht="15">
      <c r="A26" s="11" t="s">
        <v>38</v>
      </c>
      <c r="B26" s="71" t="s">
        <v>99</v>
      </c>
      <c r="C26" s="71" t="s">
        <v>99</v>
      </c>
      <c r="D26" s="71" t="s">
        <v>99</v>
      </c>
      <c r="E26" s="71" t="s">
        <v>99</v>
      </c>
      <c r="F26" s="71" t="s">
        <v>99</v>
      </c>
      <c r="G26" s="71" t="s">
        <v>99</v>
      </c>
      <c r="H26" s="19"/>
      <c r="I26" s="20">
        <v>11</v>
      </c>
      <c r="J26" s="71" t="s">
        <v>99</v>
      </c>
      <c r="K26" s="20">
        <v>6348</v>
      </c>
      <c r="L26" s="15"/>
      <c r="M26" s="20">
        <v>12750</v>
      </c>
      <c r="N26" s="65"/>
      <c r="O26" s="20">
        <v>53008</v>
      </c>
      <c r="P26" s="15"/>
      <c r="Q26" s="20">
        <v>13311</v>
      </c>
      <c r="R26" s="15"/>
      <c r="S26" s="20">
        <v>67646</v>
      </c>
      <c r="T26" s="15"/>
      <c r="U26" s="20">
        <v>3871</v>
      </c>
      <c r="V26" s="15"/>
      <c r="W26" s="20">
        <v>1076</v>
      </c>
      <c r="X26" s="15"/>
      <c r="Y26" s="20">
        <v>1039</v>
      </c>
      <c r="Z26" s="15"/>
      <c r="AA26" s="22">
        <v>2531</v>
      </c>
      <c r="AB26" s="22">
        <v>12393</v>
      </c>
      <c r="AC26" s="22">
        <v>30857</v>
      </c>
      <c r="AD26" s="22">
        <v>16210</v>
      </c>
      <c r="AE26" s="7">
        <f t="shared" si="10"/>
        <v>19142</v>
      </c>
      <c r="AF26" s="7">
        <f t="shared" si="10"/>
        <v>23707</v>
      </c>
      <c r="AG26" s="7">
        <v>2932</v>
      </c>
      <c r="AH26" s="7">
        <v>4565</v>
      </c>
      <c r="AI26" s="7">
        <v>5449</v>
      </c>
      <c r="AJ26" s="7">
        <v>5276</v>
      </c>
      <c r="AK26" s="24">
        <v>4833</v>
      </c>
      <c r="AL26" s="42">
        <v>5417</v>
      </c>
      <c r="AM26" s="41">
        <f t="shared" si="9"/>
        <v>44682</v>
      </c>
      <c r="AN26" s="81">
        <v>6521</v>
      </c>
      <c r="AO26" s="7">
        <f t="shared" si="3"/>
        <v>51203</v>
      </c>
      <c r="AP26" s="46">
        <f t="shared" si="6"/>
        <v>244106</v>
      </c>
      <c r="AQ26" s="49">
        <f t="shared" si="7"/>
        <v>249523</v>
      </c>
      <c r="AS26" s="48">
        <f t="shared" si="8"/>
        <v>256044</v>
      </c>
    </row>
    <row r="27" spans="1:45" ht="15">
      <c r="A27" s="11" t="s">
        <v>39</v>
      </c>
      <c r="B27" s="20">
        <v>14</v>
      </c>
      <c r="C27" s="20">
        <v>75</v>
      </c>
      <c r="D27" s="20">
        <v>277</v>
      </c>
      <c r="E27" s="20">
        <v>551</v>
      </c>
      <c r="F27" s="20">
        <v>457</v>
      </c>
      <c r="G27" s="20">
        <v>2512</v>
      </c>
      <c r="H27" s="20"/>
      <c r="I27" s="20">
        <v>39284</v>
      </c>
      <c r="J27" s="20"/>
      <c r="K27" s="20">
        <v>213282</v>
      </c>
      <c r="L27" s="20"/>
      <c r="M27" s="20">
        <v>505290</v>
      </c>
      <c r="N27" s="75" t="s">
        <v>96</v>
      </c>
      <c r="O27" s="20">
        <v>1597306</v>
      </c>
      <c r="P27" s="74" t="s">
        <v>96</v>
      </c>
      <c r="Q27" s="20">
        <v>921201</v>
      </c>
      <c r="R27" s="74" t="s">
        <v>96</v>
      </c>
      <c r="S27" s="20">
        <v>61742</v>
      </c>
      <c r="T27" s="20"/>
      <c r="U27" s="20">
        <v>1370</v>
      </c>
      <c r="V27" s="20"/>
      <c r="W27" s="20">
        <v>571</v>
      </c>
      <c r="X27" s="20"/>
      <c r="Y27" s="20">
        <v>671</v>
      </c>
      <c r="Z27" s="20"/>
      <c r="AA27" s="22">
        <v>2465</v>
      </c>
      <c r="AB27" s="22">
        <v>38961</v>
      </c>
      <c r="AC27" s="22">
        <v>57677</v>
      </c>
      <c r="AD27" s="22">
        <v>128575</v>
      </c>
      <c r="AE27" s="7">
        <f t="shared" si="10"/>
        <v>193077</v>
      </c>
      <c r="AF27" s="7">
        <f t="shared" si="10"/>
        <v>247210</v>
      </c>
      <c r="AG27" s="7">
        <v>64502</v>
      </c>
      <c r="AH27" s="7">
        <v>54133</v>
      </c>
      <c r="AI27" s="7">
        <v>61895</v>
      </c>
      <c r="AJ27" s="7">
        <v>48238</v>
      </c>
      <c r="AK27" s="24">
        <v>28984</v>
      </c>
      <c r="AL27" s="42">
        <v>32740</v>
      </c>
      <c r="AM27" s="41">
        <f t="shared" si="9"/>
        <v>419067</v>
      </c>
      <c r="AN27" s="81">
        <v>43807</v>
      </c>
      <c r="AO27" s="7">
        <f t="shared" si="3"/>
        <v>462874</v>
      </c>
      <c r="AP27" s="46">
        <f t="shared" si="6"/>
        <v>3830033</v>
      </c>
      <c r="AQ27" s="49">
        <f t="shared" si="7"/>
        <v>3862773</v>
      </c>
      <c r="AS27" s="48">
        <f t="shared" si="8"/>
        <v>3906580</v>
      </c>
    </row>
    <row r="28" spans="1:45" ht="12.75">
      <c r="A28" s="11" t="s">
        <v>40</v>
      </c>
      <c r="B28" s="20">
        <v>139</v>
      </c>
      <c r="C28" s="20">
        <v>2477</v>
      </c>
      <c r="D28" s="20">
        <v>2125</v>
      </c>
      <c r="E28" s="20">
        <v>2209</v>
      </c>
      <c r="F28" s="20">
        <v>9298</v>
      </c>
      <c r="G28" s="20">
        <v>6697</v>
      </c>
      <c r="H28" s="20"/>
      <c r="I28" s="20">
        <v>5266</v>
      </c>
      <c r="J28" s="20"/>
      <c r="K28" s="20">
        <v>4419</v>
      </c>
      <c r="L28" s="20"/>
      <c r="M28" s="20">
        <v>8731</v>
      </c>
      <c r="N28" s="63"/>
      <c r="O28" s="20">
        <v>27935</v>
      </c>
      <c r="P28" s="20"/>
      <c r="Q28" s="20">
        <v>68611</v>
      </c>
      <c r="R28" s="20"/>
      <c r="S28" s="20">
        <v>28958</v>
      </c>
      <c r="T28" s="20"/>
      <c r="U28" s="20">
        <v>3258</v>
      </c>
      <c r="V28" s="20"/>
      <c r="W28" s="20">
        <v>2898</v>
      </c>
      <c r="X28" s="20"/>
      <c r="Y28" s="20">
        <v>7894</v>
      </c>
      <c r="Z28" s="20"/>
      <c r="AA28" s="22">
        <v>44659</v>
      </c>
      <c r="AB28" s="22">
        <v>39141</v>
      </c>
      <c r="AC28" s="22">
        <v>20433</v>
      </c>
      <c r="AD28" s="22">
        <v>6495</v>
      </c>
      <c r="AE28" s="7">
        <f t="shared" si="10"/>
        <v>8251</v>
      </c>
      <c r="AF28" s="7">
        <f t="shared" si="10"/>
        <v>9915</v>
      </c>
      <c r="AG28" s="7">
        <v>1756</v>
      </c>
      <c r="AH28" s="7">
        <v>1664</v>
      </c>
      <c r="AI28" s="7">
        <v>1970</v>
      </c>
      <c r="AJ28" s="7">
        <v>1607</v>
      </c>
      <c r="AK28" s="24">
        <v>1185</v>
      </c>
      <c r="AL28" s="42">
        <v>1074</v>
      </c>
      <c r="AM28" s="41">
        <f t="shared" si="9"/>
        <v>15751</v>
      </c>
      <c r="AN28" s="81">
        <v>1406</v>
      </c>
      <c r="AO28" s="7">
        <f t="shared" si="3"/>
        <v>17157</v>
      </c>
      <c r="AP28" s="46">
        <f t="shared" si="6"/>
        <v>299825</v>
      </c>
      <c r="AQ28" s="49">
        <f t="shared" si="7"/>
        <v>300899</v>
      </c>
      <c r="AS28" s="48">
        <f t="shared" si="8"/>
        <v>302305</v>
      </c>
    </row>
    <row r="29" spans="1:45" ht="12.75">
      <c r="A29" s="11" t="s">
        <v>41</v>
      </c>
      <c r="B29" s="20">
        <v>31</v>
      </c>
      <c r="C29" s="20">
        <v>3226</v>
      </c>
      <c r="D29" s="20">
        <v>4821</v>
      </c>
      <c r="E29" s="20">
        <v>4644</v>
      </c>
      <c r="F29" s="20">
        <v>25011</v>
      </c>
      <c r="G29" s="20">
        <v>23286</v>
      </c>
      <c r="H29" s="20"/>
      <c r="I29" s="20">
        <v>28293</v>
      </c>
      <c r="J29" s="20"/>
      <c r="K29" s="20">
        <v>81988</v>
      </c>
      <c r="L29" s="20"/>
      <c r="M29" s="20">
        <v>31179</v>
      </c>
      <c r="N29" s="63"/>
      <c r="O29" s="20">
        <v>34922</v>
      </c>
      <c r="P29" s="20"/>
      <c r="Q29" s="20">
        <v>23091</v>
      </c>
      <c r="R29" s="20"/>
      <c r="S29" s="20">
        <v>29676</v>
      </c>
      <c r="T29" s="20"/>
      <c r="U29" s="20">
        <v>5512</v>
      </c>
      <c r="V29" s="20"/>
      <c r="W29" s="20">
        <v>10547</v>
      </c>
      <c r="X29" s="20"/>
      <c r="Y29" s="20">
        <v>17675</v>
      </c>
      <c r="Z29" s="20"/>
      <c r="AA29" s="22">
        <v>18453</v>
      </c>
      <c r="AB29" s="22">
        <v>8235</v>
      </c>
      <c r="AC29" s="22">
        <v>8849</v>
      </c>
      <c r="AD29" s="22">
        <v>3569</v>
      </c>
      <c r="AE29" s="7">
        <f t="shared" si="10"/>
        <v>4752</v>
      </c>
      <c r="AF29" s="7">
        <f t="shared" si="10"/>
        <v>5871</v>
      </c>
      <c r="AG29" s="7">
        <v>1183</v>
      </c>
      <c r="AH29" s="7">
        <v>1119</v>
      </c>
      <c r="AI29" s="7">
        <v>1344</v>
      </c>
      <c r="AJ29" s="7">
        <v>1302</v>
      </c>
      <c r="AK29" s="24">
        <v>1090</v>
      </c>
      <c r="AL29" s="42">
        <v>885</v>
      </c>
      <c r="AM29" s="41">
        <f t="shared" si="9"/>
        <v>10492</v>
      </c>
      <c r="AN29" s="81">
        <v>1349</v>
      </c>
      <c r="AO29" s="7">
        <f t="shared" si="3"/>
        <v>11841</v>
      </c>
      <c r="AP29" s="46">
        <f t="shared" si="6"/>
        <v>369046</v>
      </c>
      <c r="AQ29" s="49">
        <f t="shared" si="7"/>
        <v>369931</v>
      </c>
      <c r="AS29" s="48">
        <f t="shared" si="8"/>
        <v>371280</v>
      </c>
    </row>
    <row r="30" spans="1:45" ht="15">
      <c r="A30" s="11" t="s">
        <v>88</v>
      </c>
      <c r="B30" s="20">
        <v>2410</v>
      </c>
      <c r="C30" s="20">
        <v>25079</v>
      </c>
      <c r="D30" s="20">
        <v>75810</v>
      </c>
      <c r="E30" s="20">
        <v>267044</v>
      </c>
      <c r="F30" s="20">
        <v>423974</v>
      </c>
      <c r="G30" s="20">
        <v>606896</v>
      </c>
      <c r="H30" s="20"/>
      <c r="I30" s="20">
        <v>548043</v>
      </c>
      <c r="J30" s="20"/>
      <c r="K30" s="20">
        <v>807357</v>
      </c>
      <c r="L30" s="20"/>
      <c r="M30" s="20">
        <v>271538</v>
      </c>
      <c r="N30" s="63"/>
      <c r="O30" s="20">
        <v>525950</v>
      </c>
      <c r="P30" s="20"/>
      <c r="Q30" s="20">
        <v>341408</v>
      </c>
      <c r="R30" s="20"/>
      <c r="S30" s="20">
        <v>339570</v>
      </c>
      <c r="T30" s="20"/>
      <c r="U30" s="20">
        <v>31572</v>
      </c>
      <c r="V30" s="20"/>
      <c r="W30" s="20">
        <v>139306</v>
      </c>
      <c r="X30" s="20"/>
      <c r="Y30" s="20">
        <v>202824</v>
      </c>
      <c r="Z30" s="20"/>
      <c r="AA30" s="22">
        <v>213822</v>
      </c>
      <c r="AB30" s="22">
        <v>137374</v>
      </c>
      <c r="AC30" s="22">
        <v>159173</v>
      </c>
      <c r="AD30" s="22">
        <v>59114</v>
      </c>
      <c r="AE30" s="7">
        <f t="shared" si="10"/>
        <v>76780</v>
      </c>
      <c r="AF30" s="7">
        <f t="shared" si="10"/>
        <v>90987</v>
      </c>
      <c r="AG30" s="7">
        <v>17666</v>
      </c>
      <c r="AH30" s="7">
        <v>14207</v>
      </c>
      <c r="AI30" s="7">
        <v>15564</v>
      </c>
      <c r="AJ30" s="7">
        <v>11950</v>
      </c>
      <c r="AK30" s="24">
        <v>10170</v>
      </c>
      <c r="AL30" s="42">
        <v>8663</v>
      </c>
      <c r="AM30" s="41">
        <f t="shared" si="9"/>
        <v>137334</v>
      </c>
      <c r="AN30" s="81">
        <v>14532</v>
      </c>
      <c r="AO30" s="7">
        <f t="shared" si="3"/>
        <v>151866</v>
      </c>
      <c r="AP30" s="46">
        <f t="shared" si="6"/>
        <v>5247821</v>
      </c>
      <c r="AQ30" s="49">
        <f t="shared" si="7"/>
        <v>5256484</v>
      </c>
      <c r="AS30" s="48">
        <f t="shared" si="8"/>
        <v>5271016</v>
      </c>
    </row>
    <row r="31" spans="1:45" ht="15">
      <c r="A31" s="11" t="s">
        <v>42</v>
      </c>
      <c r="B31" s="71" t="s">
        <v>100</v>
      </c>
      <c r="C31" s="71" t="s">
        <v>100</v>
      </c>
      <c r="D31" s="71" t="s">
        <v>100</v>
      </c>
      <c r="E31" s="71" t="s">
        <v>100</v>
      </c>
      <c r="F31" s="71" t="s">
        <v>100</v>
      </c>
      <c r="G31" s="71" t="s">
        <v>100</v>
      </c>
      <c r="H31" s="19"/>
      <c r="I31" s="71" t="s">
        <v>100</v>
      </c>
      <c r="J31" s="19"/>
      <c r="K31" s="71" t="s">
        <v>100</v>
      </c>
      <c r="L31" s="71"/>
      <c r="M31" s="71" t="s">
        <v>100</v>
      </c>
      <c r="N31" s="71"/>
      <c r="O31" s="71" t="s">
        <v>100</v>
      </c>
      <c r="P31" s="19"/>
      <c r="Q31" s="20">
        <v>1888</v>
      </c>
      <c r="R31" s="71" t="s">
        <v>100</v>
      </c>
      <c r="S31" s="20">
        <v>49064</v>
      </c>
      <c r="T31" s="15"/>
      <c r="U31" s="20">
        <v>5835</v>
      </c>
      <c r="V31" s="15"/>
      <c r="W31" s="20">
        <v>1576</v>
      </c>
      <c r="X31" s="15"/>
      <c r="Y31" s="20">
        <v>8225</v>
      </c>
      <c r="Z31" s="15"/>
      <c r="AA31" s="22">
        <v>20381</v>
      </c>
      <c r="AB31" s="22">
        <v>30540</v>
      </c>
      <c r="AC31" s="22">
        <v>18762</v>
      </c>
      <c r="AD31" s="22">
        <v>8324</v>
      </c>
      <c r="AE31" s="7">
        <f t="shared" si="10"/>
        <v>11507</v>
      </c>
      <c r="AF31" s="7">
        <f t="shared" si="10"/>
        <v>19335</v>
      </c>
      <c r="AG31" s="7">
        <v>3183</v>
      </c>
      <c r="AH31" s="7">
        <v>7828</v>
      </c>
      <c r="AI31" s="7">
        <v>10755</v>
      </c>
      <c r="AJ31" s="7">
        <v>9913</v>
      </c>
      <c r="AK31" s="24">
        <v>7264</v>
      </c>
      <c r="AL31" s="42">
        <v>7077</v>
      </c>
      <c r="AM31" s="41">
        <f t="shared" si="9"/>
        <v>54344</v>
      </c>
      <c r="AN31" s="81">
        <v>12213</v>
      </c>
      <c r="AO31" s="7">
        <f t="shared" si="3"/>
        <v>66557</v>
      </c>
      <c r="AP31" s="46">
        <f t="shared" si="6"/>
        <v>183538</v>
      </c>
      <c r="AQ31" s="49">
        <f t="shared" si="7"/>
        <v>190615</v>
      </c>
      <c r="AS31" s="48">
        <f t="shared" si="8"/>
        <v>202828</v>
      </c>
    </row>
    <row r="32" spans="1:45" ht="12.75">
      <c r="A32" s="11" t="s">
        <v>43</v>
      </c>
      <c r="B32" s="19" t="s">
        <v>30</v>
      </c>
      <c r="C32" s="20">
        <f>98797-SUM(C12,C14:C21,C24:C25,C27:C30)</f>
        <v>3</v>
      </c>
      <c r="D32" s="20">
        <f>495681-SUM(D12,D14:D21,D24:D25,D27:D30)</f>
        <v>40</v>
      </c>
      <c r="E32" s="20">
        <f>1597442-SUM(E12,E14:E21,E24:E25,E27:E30)</f>
        <v>79</v>
      </c>
      <c r="F32" s="20">
        <f>2452577-SUM(F12,F14:F21,F24:F25,F27:F30)</f>
        <v>5</v>
      </c>
      <c r="G32" s="20">
        <f>2065141-SUM(G9,G12,G14:G21,G24:G25,G27:G30)</f>
        <v>8</v>
      </c>
      <c r="H32" s="20"/>
      <c r="I32" s="20">
        <f>2271925-SUM(I9,I12,I14:I21,I24:I30)</f>
        <v>1001</v>
      </c>
      <c r="J32" s="20"/>
      <c r="K32" s="20">
        <f>4735484-SUM(K9,K12,K14:K21,K24:K30)</f>
        <v>682</v>
      </c>
      <c r="L32" s="20"/>
      <c r="M32" s="20">
        <f>3555352-SUM(M9,M12,M14:M21,M24:M30)</f>
        <v>282</v>
      </c>
      <c r="N32" s="63"/>
      <c r="O32" s="20">
        <f>8056040-SUM(O9,O12,O14:O21,O25:O30)</f>
        <v>39945</v>
      </c>
      <c r="P32" s="20"/>
      <c r="Q32" s="20">
        <f>4321887-SUM(Q9,Q12:Q21,Q24:Q31)</f>
        <v>31400</v>
      </c>
      <c r="R32" s="20"/>
      <c r="S32" s="20">
        <f>2463194-SUM(S9,S12:S21,S24:S31)</f>
        <v>42619</v>
      </c>
      <c r="T32" s="20"/>
      <c r="U32" s="20">
        <f>347566-SUM(U9,U12:U21,U24:U31)</f>
        <v>11949</v>
      </c>
      <c r="V32" s="20"/>
      <c r="W32" s="20">
        <f>621147-SUM(W9,W12:W21,W24:W31)</f>
        <v>8486</v>
      </c>
      <c r="X32" s="20"/>
      <c r="Y32" s="20">
        <f>1325727-SUM(Y9,Y12:Y21,Y24:Y31)</f>
        <v>16350</v>
      </c>
      <c r="Z32" s="20"/>
      <c r="AA32" s="22">
        <v>11604</v>
      </c>
      <c r="AB32" s="22">
        <v>9287</v>
      </c>
      <c r="AC32" s="22">
        <v>8234</v>
      </c>
      <c r="AD32" s="22">
        <v>6051</v>
      </c>
      <c r="AE32" s="7">
        <f t="shared" si="10"/>
        <v>9783</v>
      </c>
      <c r="AF32" s="7">
        <f t="shared" si="10"/>
        <v>14657</v>
      </c>
      <c r="AG32" s="7">
        <f>166279-SUM(AG9,AG12:AG21,AG24:AG31)</f>
        <v>3732</v>
      </c>
      <c r="AH32" s="7">
        <f>132914-SUM(AH9,AH12:AH21,AH24:AH31)</f>
        <v>4874</v>
      </c>
      <c r="AI32" s="7">
        <f>151898-SUM(AI9,AI12:AI21,AI24:AI31)</f>
        <v>8583</v>
      </c>
      <c r="AJ32" s="7">
        <f>122358-SUM(AJ9,AJ12:AJ21,AJ24:AJ31)</f>
        <v>9113</v>
      </c>
      <c r="AK32" s="24">
        <v>9970</v>
      </c>
      <c r="AL32" s="42">
        <v>6811</v>
      </c>
      <c r="AM32" s="41">
        <f t="shared" si="9"/>
        <v>49134</v>
      </c>
      <c r="AN32" s="82">
        <v>8517</v>
      </c>
      <c r="AO32" s="7">
        <f t="shared" si="3"/>
        <v>57651</v>
      </c>
      <c r="AP32" s="46">
        <f t="shared" si="6"/>
        <v>224297</v>
      </c>
      <c r="AQ32" s="49">
        <f t="shared" si="7"/>
        <v>231108</v>
      </c>
      <c r="AS32" s="48">
        <f t="shared" si="8"/>
        <v>239625</v>
      </c>
    </row>
    <row r="33" spans="1:45" ht="12.75">
      <c r="A33" s="13" t="s">
        <v>44</v>
      </c>
      <c r="B33" s="17">
        <f>SUM(B34,B36,B42,B44)</f>
        <v>6</v>
      </c>
      <c r="C33" s="17">
        <f>SUM(C34,C36,C42,C44)</f>
        <v>30</v>
      </c>
      <c r="D33" s="17">
        <f>SUM(D34,D36,D42,D44)</f>
        <v>55</v>
      </c>
      <c r="E33" s="17">
        <f>SUM(E34,E36,E42,E44)</f>
        <v>141</v>
      </c>
      <c r="F33" s="17">
        <f>SUM(F34,F36,F42,F44)</f>
        <v>41538</v>
      </c>
      <c r="G33" s="17">
        <f>SUM(G34,G36,G39,G42,G44)</f>
        <v>64759</v>
      </c>
      <c r="H33" s="17"/>
      <c r="I33" s="17">
        <f>SUM(I34,I36,I39,I42,I44)</f>
        <v>124160</v>
      </c>
      <c r="J33" s="17"/>
      <c r="K33" s="17">
        <f>SUM(K34,K36,K39,K42,K44)</f>
        <v>69942</v>
      </c>
      <c r="L33" s="17"/>
      <c r="M33" s="17">
        <f>SUM(M34,M36,M39,M42,M44)</f>
        <v>74862</v>
      </c>
      <c r="N33" s="62"/>
      <c r="O33" s="17">
        <f>SUM(O34,O36,O39,O42,O44)</f>
        <v>323543</v>
      </c>
      <c r="P33" s="17"/>
      <c r="Q33" s="17">
        <f>SUM(Q34,Q36,Q39,Q42,Q44)</f>
        <v>247236</v>
      </c>
      <c r="R33" s="17"/>
      <c r="S33" s="17">
        <f>SUM(S34,S36:S37,S39,S42,S44)</f>
        <v>112059</v>
      </c>
      <c r="T33" s="17"/>
      <c r="U33" s="17">
        <f>SUM(U34,U36:U37,U39,U41:U42,U44)</f>
        <v>16595</v>
      </c>
      <c r="V33" s="17"/>
      <c r="W33" s="17">
        <f>SUM(W34,W36:W42,W44)</f>
        <v>37028</v>
      </c>
      <c r="X33" s="17"/>
      <c r="Y33" s="17">
        <f>SUM(Y34:Y44)</f>
        <v>153249</v>
      </c>
      <c r="Z33" s="17"/>
      <c r="AA33" s="17">
        <f aca="true" t="shared" si="11" ref="AA33:AJ33">SUM(AA34:AA44)</f>
        <v>427642</v>
      </c>
      <c r="AB33" s="17">
        <f t="shared" si="11"/>
        <v>1588178</v>
      </c>
      <c r="AC33" s="17">
        <f t="shared" si="11"/>
        <v>2738157</v>
      </c>
      <c r="AD33" s="17">
        <f t="shared" si="11"/>
        <v>1032384</v>
      </c>
      <c r="AE33" s="17">
        <f t="shared" si="11"/>
        <v>1314833</v>
      </c>
      <c r="AF33" s="17">
        <f>SUM(AF34:AF44)</f>
        <v>1574817</v>
      </c>
      <c r="AG33" s="17">
        <f t="shared" si="11"/>
        <v>282449</v>
      </c>
      <c r="AH33" s="17">
        <f t="shared" si="11"/>
        <v>259984</v>
      </c>
      <c r="AI33" s="17">
        <f t="shared" si="11"/>
        <v>300574</v>
      </c>
      <c r="AJ33" s="17">
        <f t="shared" si="11"/>
        <v>258561</v>
      </c>
      <c r="AK33" s="17">
        <f aca="true" t="shared" si="12" ref="AK33:AS33">SUM(AK34:AK44)</f>
        <v>212799</v>
      </c>
      <c r="AL33" s="40">
        <f t="shared" si="12"/>
        <v>193061</v>
      </c>
      <c r="AM33" s="40">
        <f t="shared" si="12"/>
        <v>2539812</v>
      </c>
      <c r="AN33" s="40">
        <f t="shared" si="12"/>
        <v>255860</v>
      </c>
      <c r="AO33" s="9">
        <f t="shared" si="3"/>
        <v>2795672</v>
      </c>
      <c r="AP33" s="40">
        <f t="shared" si="12"/>
        <v>8365931</v>
      </c>
      <c r="AQ33" s="40">
        <f t="shared" si="12"/>
        <v>8558992</v>
      </c>
      <c r="AS33" s="40">
        <f t="shared" si="12"/>
        <v>8814852</v>
      </c>
    </row>
    <row r="34" spans="1:45" ht="15">
      <c r="A34" s="11" t="s">
        <v>89</v>
      </c>
      <c r="B34" s="20">
        <v>1</v>
      </c>
      <c r="C34" s="20">
        <v>2</v>
      </c>
      <c r="D34" s="20">
        <v>8</v>
      </c>
      <c r="E34" s="20">
        <v>35</v>
      </c>
      <c r="F34" s="20">
        <v>41397</v>
      </c>
      <c r="G34" s="20">
        <v>64301</v>
      </c>
      <c r="H34" s="20"/>
      <c r="I34" s="20">
        <v>123201</v>
      </c>
      <c r="J34" s="20"/>
      <c r="K34" s="20">
        <v>61711</v>
      </c>
      <c r="L34" s="20"/>
      <c r="M34" s="20">
        <v>14799</v>
      </c>
      <c r="N34" s="63"/>
      <c r="O34" s="20">
        <v>20605</v>
      </c>
      <c r="P34" s="20"/>
      <c r="Q34" s="20">
        <v>21278</v>
      </c>
      <c r="R34" s="20"/>
      <c r="S34" s="20">
        <v>29907</v>
      </c>
      <c r="T34" s="20"/>
      <c r="U34" s="20">
        <v>4928</v>
      </c>
      <c r="V34" s="20"/>
      <c r="W34" s="20">
        <v>16709</v>
      </c>
      <c r="X34" s="20"/>
      <c r="Y34" s="20">
        <v>9657</v>
      </c>
      <c r="Z34" s="20"/>
      <c r="AA34" s="22">
        <v>34764</v>
      </c>
      <c r="AB34" s="22">
        <v>124326</v>
      </c>
      <c r="AC34" s="7">
        <v>346747</v>
      </c>
      <c r="AD34" s="7">
        <v>111324</v>
      </c>
      <c r="AE34" s="7">
        <f aca="true" t="shared" si="13" ref="AE34:AF44">AD34+AG34</f>
        <v>170191</v>
      </c>
      <c r="AF34" s="7">
        <f t="shared" si="13"/>
        <v>211303</v>
      </c>
      <c r="AG34" s="7">
        <v>58867</v>
      </c>
      <c r="AH34" s="7">
        <v>41112</v>
      </c>
      <c r="AI34" s="7">
        <v>50981</v>
      </c>
      <c r="AJ34" s="7">
        <v>44356</v>
      </c>
      <c r="AK34" s="24">
        <v>41034</v>
      </c>
      <c r="AL34" s="42">
        <v>29579</v>
      </c>
      <c r="AM34" s="41">
        <f t="shared" si="9"/>
        <v>377253</v>
      </c>
      <c r="AN34" s="81">
        <v>41861</v>
      </c>
      <c r="AO34" s="7">
        <f t="shared" si="3"/>
        <v>419114</v>
      </c>
      <c r="AP34" s="46">
        <f aca="true" t="shared" si="14" ref="AP34:AP44">SUM(B34:AC34,AF34,AI34:AK34)</f>
        <v>1262050</v>
      </c>
      <c r="AQ34" s="49">
        <f aca="true" t="shared" si="15" ref="AQ34:AQ44">+AL34+AP34</f>
        <v>1291629</v>
      </c>
      <c r="AS34" s="48">
        <f aca="true" t="shared" si="16" ref="AS34:AS44">+AN34+AQ34</f>
        <v>1333490</v>
      </c>
    </row>
    <row r="35" spans="1:45" ht="15">
      <c r="A35" s="11" t="s">
        <v>45</v>
      </c>
      <c r="B35" s="71" t="s">
        <v>101</v>
      </c>
      <c r="C35" s="71" t="s">
        <v>101</v>
      </c>
      <c r="D35" s="71" t="s">
        <v>101</v>
      </c>
      <c r="E35" s="71" t="s">
        <v>101</v>
      </c>
      <c r="F35" s="71" t="s">
        <v>101</v>
      </c>
      <c r="G35" s="71" t="s">
        <v>101</v>
      </c>
      <c r="H35" s="19"/>
      <c r="I35" s="71" t="s">
        <v>101</v>
      </c>
      <c r="J35" s="19"/>
      <c r="K35" s="71" t="s">
        <v>101</v>
      </c>
      <c r="L35" s="71"/>
      <c r="M35" s="71" t="s">
        <v>101</v>
      </c>
      <c r="N35" s="71"/>
      <c r="O35" s="71" t="s">
        <v>101</v>
      </c>
      <c r="P35" s="19"/>
      <c r="Q35" s="71" t="s">
        <v>101</v>
      </c>
      <c r="R35" s="19"/>
      <c r="S35" s="71" t="s">
        <v>101</v>
      </c>
      <c r="T35" s="19"/>
      <c r="U35" s="71" t="s">
        <v>101</v>
      </c>
      <c r="V35" s="19"/>
      <c r="W35" s="71" t="s">
        <v>101</v>
      </c>
      <c r="X35" s="19"/>
      <c r="Y35" s="20">
        <v>15541</v>
      </c>
      <c r="Z35" s="71" t="s">
        <v>101</v>
      </c>
      <c r="AA35" s="19">
        <v>75007</v>
      </c>
      <c r="AB35" s="22">
        <v>113467</v>
      </c>
      <c r="AC35" s="7">
        <v>98215</v>
      </c>
      <c r="AD35" s="7">
        <v>46723</v>
      </c>
      <c r="AE35" s="7">
        <f t="shared" si="13"/>
        <v>58676</v>
      </c>
      <c r="AF35" s="7">
        <f t="shared" si="13"/>
        <v>69375</v>
      </c>
      <c r="AG35" s="7">
        <v>11953</v>
      </c>
      <c r="AH35" s="7">
        <v>10699</v>
      </c>
      <c r="AI35" s="7">
        <v>11319</v>
      </c>
      <c r="AJ35" s="7">
        <v>7974</v>
      </c>
      <c r="AK35" s="24">
        <v>7379</v>
      </c>
      <c r="AL35" s="42">
        <v>6533</v>
      </c>
      <c r="AM35" s="41">
        <f t="shared" si="9"/>
        <v>102580</v>
      </c>
      <c r="AN35" s="81">
        <v>7199</v>
      </c>
      <c r="AO35" s="7">
        <f t="shared" si="3"/>
        <v>109779</v>
      </c>
      <c r="AP35" s="46">
        <f t="shared" si="14"/>
        <v>398277</v>
      </c>
      <c r="AQ35" s="49">
        <f t="shared" si="15"/>
        <v>404810</v>
      </c>
      <c r="AR35" s="73" t="s">
        <v>101</v>
      </c>
      <c r="AS35" s="48">
        <f t="shared" si="16"/>
        <v>412009</v>
      </c>
    </row>
    <row r="36" spans="1:45" ht="12.75">
      <c r="A36" s="11" t="s">
        <v>46</v>
      </c>
      <c r="B36" s="20">
        <v>1</v>
      </c>
      <c r="C36" s="20">
        <v>8</v>
      </c>
      <c r="D36" s="20">
        <v>39</v>
      </c>
      <c r="E36" s="20">
        <v>36</v>
      </c>
      <c r="F36" s="20">
        <v>43</v>
      </c>
      <c r="G36" s="20">
        <v>69</v>
      </c>
      <c r="H36" s="20"/>
      <c r="I36" s="20">
        <v>163</v>
      </c>
      <c r="J36" s="20"/>
      <c r="K36" s="20">
        <v>269</v>
      </c>
      <c r="L36" s="20"/>
      <c r="M36" s="20">
        <v>68</v>
      </c>
      <c r="N36" s="63"/>
      <c r="O36" s="20">
        <v>4713</v>
      </c>
      <c r="P36" s="20"/>
      <c r="Q36" s="20">
        <v>2082</v>
      </c>
      <c r="R36" s="20"/>
      <c r="S36" s="20">
        <v>1886</v>
      </c>
      <c r="T36" s="20"/>
      <c r="U36" s="20">
        <v>496</v>
      </c>
      <c r="V36" s="20"/>
      <c r="W36" s="20">
        <v>1761</v>
      </c>
      <c r="X36" s="20"/>
      <c r="Y36" s="20">
        <v>1973</v>
      </c>
      <c r="Z36" s="20"/>
      <c r="AA36" s="22">
        <v>27189</v>
      </c>
      <c r="AB36" s="22">
        <v>164134</v>
      </c>
      <c r="AC36" s="7">
        <v>250786</v>
      </c>
      <c r="AD36" s="7">
        <v>116201</v>
      </c>
      <c r="AE36" s="7">
        <f t="shared" si="13"/>
        <v>149374</v>
      </c>
      <c r="AF36" s="7">
        <f t="shared" si="13"/>
        <v>182434</v>
      </c>
      <c r="AG36" s="7">
        <v>33173</v>
      </c>
      <c r="AH36" s="7">
        <v>33060</v>
      </c>
      <c r="AI36" s="7">
        <v>42819</v>
      </c>
      <c r="AJ36" s="7">
        <v>36092</v>
      </c>
      <c r="AK36" s="24">
        <v>34288</v>
      </c>
      <c r="AL36" s="42">
        <v>28355</v>
      </c>
      <c r="AM36" s="41">
        <f t="shared" si="9"/>
        <v>323988</v>
      </c>
      <c r="AN36" s="81">
        <v>39072</v>
      </c>
      <c r="AO36" s="7">
        <f t="shared" si="3"/>
        <v>363060</v>
      </c>
      <c r="AP36" s="46">
        <f t="shared" si="14"/>
        <v>751349</v>
      </c>
      <c r="AQ36" s="49">
        <f t="shared" si="15"/>
        <v>779704</v>
      </c>
      <c r="AS36" s="48">
        <f t="shared" si="16"/>
        <v>818776</v>
      </c>
    </row>
    <row r="37" spans="1:45" ht="15">
      <c r="A37" s="11" t="s">
        <v>47</v>
      </c>
      <c r="B37" s="71" t="s">
        <v>102</v>
      </c>
      <c r="C37" s="71" t="s">
        <v>102</v>
      </c>
      <c r="D37" s="71" t="s">
        <v>102</v>
      </c>
      <c r="E37" s="71" t="s">
        <v>102</v>
      </c>
      <c r="F37" s="71" t="s">
        <v>102</v>
      </c>
      <c r="G37" s="71" t="s">
        <v>102</v>
      </c>
      <c r="H37" s="19"/>
      <c r="I37" s="71" t="s">
        <v>102</v>
      </c>
      <c r="J37" s="19"/>
      <c r="K37" s="71" t="s">
        <v>102</v>
      </c>
      <c r="L37" s="19"/>
      <c r="M37" s="71" t="s">
        <v>102</v>
      </c>
      <c r="N37" s="64"/>
      <c r="O37" s="71" t="s">
        <v>102</v>
      </c>
      <c r="P37" s="19"/>
      <c r="Q37" s="71" t="s">
        <v>102</v>
      </c>
      <c r="R37" s="19"/>
      <c r="S37" s="20">
        <v>241</v>
      </c>
      <c r="T37" s="71"/>
      <c r="U37" s="20">
        <v>195</v>
      </c>
      <c r="V37" s="20"/>
      <c r="W37" s="20">
        <v>1380</v>
      </c>
      <c r="X37" s="20"/>
      <c r="Y37" s="20">
        <v>3388</v>
      </c>
      <c r="Z37" s="20"/>
      <c r="AA37" s="22">
        <v>10339</v>
      </c>
      <c r="AB37" s="22">
        <v>45136</v>
      </c>
      <c r="AC37" s="7">
        <v>116172</v>
      </c>
      <c r="AD37" s="7">
        <v>25830</v>
      </c>
      <c r="AE37" s="7">
        <f t="shared" si="13"/>
        <v>32828</v>
      </c>
      <c r="AF37" s="7">
        <f t="shared" si="13"/>
        <v>38474</v>
      </c>
      <c r="AG37" s="7">
        <v>6998</v>
      </c>
      <c r="AH37" s="7">
        <v>5646</v>
      </c>
      <c r="AI37" s="7">
        <v>7299</v>
      </c>
      <c r="AJ37" s="7">
        <v>6291</v>
      </c>
      <c r="AK37" s="24">
        <v>4945</v>
      </c>
      <c r="AL37" s="42">
        <v>5042</v>
      </c>
      <c r="AM37" s="41">
        <f t="shared" si="9"/>
        <v>62051</v>
      </c>
      <c r="AN37" s="81">
        <v>6505</v>
      </c>
      <c r="AO37" s="7">
        <f t="shared" si="3"/>
        <v>68556</v>
      </c>
      <c r="AP37" s="46">
        <f t="shared" si="14"/>
        <v>233860</v>
      </c>
      <c r="AQ37" s="49">
        <f t="shared" si="15"/>
        <v>238902</v>
      </c>
      <c r="AR37" s="73" t="s">
        <v>102</v>
      </c>
      <c r="AS37" s="48">
        <f t="shared" si="16"/>
        <v>245407</v>
      </c>
    </row>
    <row r="38" spans="1:45" ht="15">
      <c r="A38" s="11" t="s">
        <v>48</v>
      </c>
      <c r="B38" s="71" t="s">
        <v>103</v>
      </c>
      <c r="C38" s="71" t="s">
        <v>103</v>
      </c>
      <c r="D38" s="71" t="s">
        <v>103</v>
      </c>
      <c r="E38" s="71" t="s">
        <v>103</v>
      </c>
      <c r="F38" s="71" t="s">
        <v>103</v>
      </c>
      <c r="G38" s="71" t="s">
        <v>103</v>
      </c>
      <c r="H38" s="19"/>
      <c r="I38" s="71" t="s">
        <v>103</v>
      </c>
      <c r="J38" s="69"/>
      <c r="K38" s="71" t="s">
        <v>103</v>
      </c>
      <c r="L38" s="69"/>
      <c r="M38" s="71" t="s">
        <v>103</v>
      </c>
      <c r="N38" s="69"/>
      <c r="O38" s="71" t="s">
        <v>103</v>
      </c>
      <c r="P38" s="19"/>
      <c r="Q38" s="71" t="s">
        <v>103</v>
      </c>
      <c r="R38" s="19"/>
      <c r="S38" s="71" t="s">
        <v>103</v>
      </c>
      <c r="T38" s="19"/>
      <c r="U38" s="71" t="s">
        <v>103</v>
      </c>
      <c r="V38" s="19"/>
      <c r="W38" s="20">
        <v>476</v>
      </c>
      <c r="X38" s="71"/>
      <c r="Y38" s="20">
        <v>25476</v>
      </c>
      <c r="Z38" s="20"/>
      <c r="AA38" s="22">
        <v>29602</v>
      </c>
      <c r="AB38" s="22">
        <v>37713</v>
      </c>
      <c r="AC38" s="7">
        <v>44273</v>
      </c>
      <c r="AD38" s="7">
        <v>16270</v>
      </c>
      <c r="AE38" s="7">
        <f t="shared" si="13"/>
        <v>20252</v>
      </c>
      <c r="AF38" s="7">
        <f t="shared" si="13"/>
        <v>23440</v>
      </c>
      <c r="AG38" s="7">
        <v>3982</v>
      </c>
      <c r="AH38" s="7">
        <v>3188</v>
      </c>
      <c r="AI38" s="7">
        <v>4029</v>
      </c>
      <c r="AJ38" s="7">
        <v>2951</v>
      </c>
      <c r="AK38" s="24">
        <v>2546</v>
      </c>
      <c r="AL38" s="42">
        <v>2538</v>
      </c>
      <c r="AM38" s="41">
        <f t="shared" si="9"/>
        <v>35504</v>
      </c>
      <c r="AN38" s="81">
        <v>3893</v>
      </c>
      <c r="AO38" s="7">
        <f t="shared" si="3"/>
        <v>39397</v>
      </c>
      <c r="AP38" s="46">
        <f t="shared" si="14"/>
        <v>170506</v>
      </c>
      <c r="AQ38" s="49">
        <f t="shared" si="15"/>
        <v>173044</v>
      </c>
      <c r="AR38" s="73" t="s">
        <v>103</v>
      </c>
      <c r="AS38" s="48">
        <f t="shared" si="16"/>
        <v>176937</v>
      </c>
    </row>
    <row r="39" spans="1:45" ht="15">
      <c r="A39" s="11" t="s">
        <v>49</v>
      </c>
      <c r="B39" s="71" t="s">
        <v>104</v>
      </c>
      <c r="C39" s="71" t="s">
        <v>104</v>
      </c>
      <c r="D39" s="71" t="s">
        <v>104</v>
      </c>
      <c r="E39" s="71" t="s">
        <v>104</v>
      </c>
      <c r="F39" s="71" t="s">
        <v>104</v>
      </c>
      <c r="G39" s="20">
        <v>186</v>
      </c>
      <c r="H39" s="20"/>
      <c r="I39" s="20">
        <v>149</v>
      </c>
      <c r="J39" s="20"/>
      <c r="K39" s="20">
        <v>2270</v>
      </c>
      <c r="L39" s="20"/>
      <c r="M39" s="20">
        <v>25942</v>
      </c>
      <c r="N39" s="63"/>
      <c r="O39" s="20">
        <v>129797</v>
      </c>
      <c r="P39" s="20"/>
      <c r="Q39" s="20">
        <v>83837</v>
      </c>
      <c r="R39" s="20"/>
      <c r="S39" s="20">
        <v>33462</v>
      </c>
      <c r="T39" s="20"/>
      <c r="U39" s="20">
        <v>1948</v>
      </c>
      <c r="V39" s="20"/>
      <c r="W39" s="20">
        <v>1555</v>
      </c>
      <c r="X39" s="20"/>
      <c r="Y39" s="20">
        <v>46250</v>
      </c>
      <c r="Z39" s="20"/>
      <c r="AA39" s="22">
        <v>39988</v>
      </c>
      <c r="AB39" s="22">
        <v>49775</v>
      </c>
      <c r="AC39" s="7">
        <v>47085</v>
      </c>
      <c r="AD39" s="7">
        <v>25008</v>
      </c>
      <c r="AE39" s="7">
        <f t="shared" si="13"/>
        <v>31982</v>
      </c>
      <c r="AF39" s="7">
        <f t="shared" si="13"/>
        <v>37538</v>
      </c>
      <c r="AG39" s="7">
        <v>6974</v>
      </c>
      <c r="AH39" s="7">
        <v>5556</v>
      </c>
      <c r="AI39" s="7">
        <v>6617</v>
      </c>
      <c r="AJ39" s="7">
        <v>5640</v>
      </c>
      <c r="AK39" s="24">
        <v>5647</v>
      </c>
      <c r="AL39" s="42">
        <v>4770</v>
      </c>
      <c r="AM39" s="41">
        <f t="shared" si="9"/>
        <v>60212</v>
      </c>
      <c r="AN39" s="81">
        <v>7730</v>
      </c>
      <c r="AO39" s="7">
        <f t="shared" si="3"/>
        <v>67942</v>
      </c>
      <c r="AP39" s="46">
        <f t="shared" si="14"/>
        <v>517686</v>
      </c>
      <c r="AQ39" s="49">
        <f t="shared" si="15"/>
        <v>522456</v>
      </c>
      <c r="AR39" s="73" t="s">
        <v>104</v>
      </c>
      <c r="AS39" s="48">
        <f t="shared" si="16"/>
        <v>530186</v>
      </c>
    </row>
    <row r="40" spans="1:45" ht="15">
      <c r="A40" s="11" t="s">
        <v>50</v>
      </c>
      <c r="B40" s="71" t="s">
        <v>105</v>
      </c>
      <c r="C40" s="71" t="s">
        <v>105</v>
      </c>
      <c r="D40" s="71" t="s">
        <v>105</v>
      </c>
      <c r="E40" s="71" t="s">
        <v>105</v>
      </c>
      <c r="F40" s="71" t="s">
        <v>105</v>
      </c>
      <c r="G40" s="71" t="s">
        <v>105</v>
      </c>
      <c r="H40" s="19"/>
      <c r="I40" s="71" t="s">
        <v>105</v>
      </c>
      <c r="J40" s="19"/>
      <c r="K40" s="71" t="s">
        <v>105</v>
      </c>
      <c r="L40" s="19"/>
      <c r="M40" s="71" t="s">
        <v>105</v>
      </c>
      <c r="N40" s="64"/>
      <c r="O40" s="71" t="s">
        <v>105</v>
      </c>
      <c r="P40" s="19"/>
      <c r="Q40" s="71" t="s">
        <v>105</v>
      </c>
      <c r="R40" s="19"/>
      <c r="S40" s="71" t="s">
        <v>105</v>
      </c>
      <c r="T40" s="19"/>
      <c r="U40" s="71" t="s">
        <v>105</v>
      </c>
      <c r="V40" s="19"/>
      <c r="W40" s="20">
        <v>107</v>
      </c>
      <c r="X40" s="71"/>
      <c r="Y40" s="20">
        <v>6231</v>
      </c>
      <c r="Z40" s="20"/>
      <c r="AA40" s="22">
        <v>34526</v>
      </c>
      <c r="AB40" s="22">
        <v>267638</v>
      </c>
      <c r="AC40" s="7">
        <v>333746</v>
      </c>
      <c r="AD40" s="7">
        <v>61484</v>
      </c>
      <c r="AE40" s="7">
        <f t="shared" si="13"/>
        <v>76901</v>
      </c>
      <c r="AF40" s="7">
        <f t="shared" si="13"/>
        <v>91954</v>
      </c>
      <c r="AG40" s="7">
        <v>15417</v>
      </c>
      <c r="AH40" s="7">
        <v>15053</v>
      </c>
      <c r="AI40" s="7">
        <v>17380</v>
      </c>
      <c r="AJ40" s="7">
        <v>13626</v>
      </c>
      <c r="AK40" s="24">
        <v>13691</v>
      </c>
      <c r="AL40" s="42">
        <v>12301</v>
      </c>
      <c r="AM40" s="41">
        <f t="shared" si="9"/>
        <v>148952</v>
      </c>
      <c r="AN40" s="81">
        <v>15214</v>
      </c>
      <c r="AO40" s="7">
        <f t="shared" si="3"/>
        <v>164166</v>
      </c>
      <c r="AP40" s="46">
        <f t="shared" si="14"/>
        <v>778899</v>
      </c>
      <c r="AQ40" s="49">
        <f t="shared" si="15"/>
        <v>791200</v>
      </c>
      <c r="AR40" s="73" t="s">
        <v>105</v>
      </c>
      <c r="AS40" s="48">
        <f t="shared" si="16"/>
        <v>806414</v>
      </c>
    </row>
    <row r="41" spans="1:45" ht="15">
      <c r="A41" s="11" t="s">
        <v>51</v>
      </c>
      <c r="B41" s="71" t="s">
        <v>106</v>
      </c>
      <c r="C41" s="71" t="s">
        <v>106</v>
      </c>
      <c r="D41" s="71" t="s">
        <v>106</v>
      </c>
      <c r="E41" s="71" t="s">
        <v>106</v>
      </c>
      <c r="F41" s="71" t="s">
        <v>106</v>
      </c>
      <c r="G41" s="71" t="s">
        <v>106</v>
      </c>
      <c r="H41" s="19"/>
      <c r="I41" s="71" t="s">
        <v>106</v>
      </c>
      <c r="J41" s="19"/>
      <c r="K41" s="71" t="s">
        <v>106</v>
      </c>
      <c r="L41" s="19"/>
      <c r="M41" s="71" t="s">
        <v>106</v>
      </c>
      <c r="N41" s="64"/>
      <c r="O41" s="71" t="s">
        <v>106</v>
      </c>
      <c r="P41" s="19"/>
      <c r="Q41" s="71" t="s">
        <v>106</v>
      </c>
      <c r="R41" s="19"/>
      <c r="S41" s="71" t="s">
        <v>106</v>
      </c>
      <c r="T41" s="19"/>
      <c r="U41" s="20">
        <v>528</v>
      </c>
      <c r="V41" s="71"/>
      <c r="W41" s="20">
        <v>4691</v>
      </c>
      <c r="X41" s="15"/>
      <c r="Y41" s="20">
        <v>19307</v>
      </c>
      <c r="Z41" s="15"/>
      <c r="AA41" s="22">
        <v>98376</v>
      </c>
      <c r="AB41" s="22">
        <v>354987</v>
      </c>
      <c r="AC41" s="7">
        <v>548764</v>
      </c>
      <c r="AD41" s="7">
        <v>195634</v>
      </c>
      <c r="AE41" s="7">
        <f t="shared" si="13"/>
        <v>248466</v>
      </c>
      <c r="AF41" s="7">
        <f t="shared" si="13"/>
        <v>298162</v>
      </c>
      <c r="AG41" s="7">
        <v>52832</v>
      </c>
      <c r="AH41" s="7">
        <v>49696</v>
      </c>
      <c r="AI41" s="7">
        <v>54588</v>
      </c>
      <c r="AJ41" s="7">
        <v>47842</v>
      </c>
      <c r="AK41" s="24">
        <v>33176</v>
      </c>
      <c r="AL41" s="42">
        <v>29590</v>
      </c>
      <c r="AM41" s="41">
        <f t="shared" si="9"/>
        <v>463358</v>
      </c>
      <c r="AN41" s="81">
        <v>40587</v>
      </c>
      <c r="AO41" s="7">
        <f t="shared" si="3"/>
        <v>503945</v>
      </c>
      <c r="AP41" s="46">
        <f t="shared" si="14"/>
        <v>1460421</v>
      </c>
      <c r="AQ41" s="49">
        <f t="shared" si="15"/>
        <v>1490011</v>
      </c>
      <c r="AR41" s="73" t="s">
        <v>106</v>
      </c>
      <c r="AS41" s="48">
        <f t="shared" si="16"/>
        <v>1530598</v>
      </c>
    </row>
    <row r="42" spans="1:45" ht="12.75">
      <c r="A42" s="11" t="s">
        <v>52</v>
      </c>
      <c r="B42" s="20">
        <v>1</v>
      </c>
      <c r="C42" s="20">
        <v>20</v>
      </c>
      <c r="D42" s="20">
        <v>7</v>
      </c>
      <c r="E42" s="20">
        <v>59</v>
      </c>
      <c r="F42" s="20">
        <v>83</v>
      </c>
      <c r="G42" s="20">
        <v>131</v>
      </c>
      <c r="H42" s="20"/>
      <c r="I42" s="20">
        <v>404</v>
      </c>
      <c r="J42" s="20"/>
      <c r="K42" s="20">
        <v>3782</v>
      </c>
      <c r="L42" s="20"/>
      <c r="M42" s="20">
        <v>30425</v>
      </c>
      <c r="N42" s="63"/>
      <c r="O42" s="20">
        <v>157369</v>
      </c>
      <c r="P42" s="20"/>
      <c r="Q42" s="20">
        <v>134066</v>
      </c>
      <c r="R42" s="20"/>
      <c r="S42" s="20">
        <v>33824</v>
      </c>
      <c r="T42" s="20"/>
      <c r="U42" s="20">
        <v>1065</v>
      </c>
      <c r="V42" s="20"/>
      <c r="W42" s="20">
        <v>798</v>
      </c>
      <c r="X42" s="20"/>
      <c r="Y42" s="20">
        <v>3519</v>
      </c>
      <c r="Z42" s="20"/>
      <c r="AA42" s="22">
        <v>10142</v>
      </c>
      <c r="AB42" s="22">
        <v>13399</v>
      </c>
      <c r="AC42" s="7">
        <v>23233</v>
      </c>
      <c r="AD42" s="7">
        <v>10156</v>
      </c>
      <c r="AE42" s="7">
        <f t="shared" si="13"/>
        <v>14036</v>
      </c>
      <c r="AF42" s="7">
        <f t="shared" si="13"/>
        <v>18842</v>
      </c>
      <c r="AG42" s="7">
        <v>3880</v>
      </c>
      <c r="AH42" s="7">
        <v>4806</v>
      </c>
      <c r="AI42" s="7">
        <v>5573</v>
      </c>
      <c r="AJ42" s="7">
        <v>4596</v>
      </c>
      <c r="AK42" s="24">
        <v>4016</v>
      </c>
      <c r="AL42" s="42">
        <v>2472</v>
      </c>
      <c r="AM42" s="41">
        <f t="shared" si="9"/>
        <v>35499</v>
      </c>
      <c r="AN42" s="81">
        <v>2713</v>
      </c>
      <c r="AO42" s="7">
        <f t="shared" si="3"/>
        <v>38212</v>
      </c>
      <c r="AP42" s="46">
        <f t="shared" si="14"/>
        <v>445354</v>
      </c>
      <c r="AQ42" s="49">
        <f t="shared" si="15"/>
        <v>447826</v>
      </c>
      <c r="AS42" s="48">
        <f t="shared" si="16"/>
        <v>450539</v>
      </c>
    </row>
    <row r="43" spans="1:45" ht="15">
      <c r="A43" s="11" t="s">
        <v>53</v>
      </c>
      <c r="B43" s="71" t="s">
        <v>101</v>
      </c>
      <c r="C43" s="71" t="s">
        <v>101</v>
      </c>
      <c r="D43" s="71" t="s">
        <v>101</v>
      </c>
      <c r="E43" s="71" t="s">
        <v>101</v>
      </c>
      <c r="F43" s="71" t="s">
        <v>101</v>
      </c>
      <c r="G43" s="71" t="s">
        <v>101</v>
      </c>
      <c r="H43" s="19"/>
      <c r="I43" s="71" t="s">
        <v>101</v>
      </c>
      <c r="J43" s="19"/>
      <c r="K43" s="71" t="s">
        <v>101</v>
      </c>
      <c r="L43" s="19"/>
      <c r="M43" s="71" t="s">
        <v>101</v>
      </c>
      <c r="N43" s="64"/>
      <c r="O43" s="71" t="s">
        <v>101</v>
      </c>
      <c r="P43" s="19"/>
      <c r="Q43" s="71" t="s">
        <v>101</v>
      </c>
      <c r="R43" s="19"/>
      <c r="S43" s="71" t="s">
        <v>101</v>
      </c>
      <c r="T43" s="19"/>
      <c r="U43" s="71" t="s">
        <v>101</v>
      </c>
      <c r="V43" s="19"/>
      <c r="W43" s="71" t="s">
        <v>101</v>
      </c>
      <c r="X43" s="19"/>
      <c r="Y43" s="20">
        <v>335</v>
      </c>
      <c r="Z43" s="71" t="s">
        <v>101</v>
      </c>
      <c r="AA43" s="22">
        <v>4340</v>
      </c>
      <c r="AB43" s="22">
        <v>172820</v>
      </c>
      <c r="AC43" s="7">
        <v>280782</v>
      </c>
      <c r="AD43" s="7">
        <v>77913</v>
      </c>
      <c r="AE43" s="7">
        <f t="shared" si="13"/>
        <v>110300</v>
      </c>
      <c r="AF43" s="7">
        <f t="shared" si="13"/>
        <v>148064</v>
      </c>
      <c r="AG43" s="7">
        <v>32387</v>
      </c>
      <c r="AH43" s="7">
        <v>37764</v>
      </c>
      <c r="AI43" s="7">
        <v>39922</v>
      </c>
      <c r="AJ43" s="7">
        <v>37121</v>
      </c>
      <c r="AK43" s="24">
        <v>16534</v>
      </c>
      <c r="AL43" s="42">
        <v>19164</v>
      </c>
      <c r="AM43" s="41">
        <f t="shared" si="9"/>
        <v>260805</v>
      </c>
      <c r="AN43" s="81">
        <v>25340</v>
      </c>
      <c r="AO43" s="7">
        <f t="shared" si="3"/>
        <v>286145</v>
      </c>
      <c r="AP43" s="46">
        <f t="shared" si="14"/>
        <v>699918</v>
      </c>
      <c r="AQ43" s="49">
        <f t="shared" si="15"/>
        <v>719082</v>
      </c>
      <c r="AR43" s="73" t="s">
        <v>101</v>
      </c>
      <c r="AS43" s="48">
        <f t="shared" si="16"/>
        <v>744422</v>
      </c>
    </row>
    <row r="44" spans="1:45" ht="12.75">
      <c r="A44" s="11" t="s">
        <v>54</v>
      </c>
      <c r="B44" s="20">
        <f>6-SUM(B34,B36,B42)</f>
        <v>3</v>
      </c>
      <c r="C44" s="19" t="s">
        <v>30</v>
      </c>
      <c r="D44" s="20">
        <f>55-SUM(D34,D36,D42)</f>
        <v>1</v>
      </c>
      <c r="E44" s="20">
        <f>141-SUM(E34,E36,E42)</f>
        <v>11</v>
      </c>
      <c r="F44" s="20">
        <f>41538-SUM(F34,F36,F42)</f>
        <v>15</v>
      </c>
      <c r="G44" s="20">
        <f>64759-SUM(G34,G36,G39,G42)</f>
        <v>72</v>
      </c>
      <c r="H44" s="20"/>
      <c r="I44" s="20">
        <f>124160-SUM(I34,I36,I39,I42)</f>
        <v>243</v>
      </c>
      <c r="J44" s="20"/>
      <c r="K44" s="20">
        <f>69942-SUM(K34,K36,K39,K42)</f>
        <v>1910</v>
      </c>
      <c r="L44" s="20"/>
      <c r="M44" s="20">
        <f>74862-SUM(M34,M36,M39,M42)</f>
        <v>3628</v>
      </c>
      <c r="N44" s="63"/>
      <c r="O44" s="20">
        <f>323543-SUM(O34,O36,O39,O42)</f>
        <v>11059</v>
      </c>
      <c r="P44" s="20"/>
      <c r="Q44" s="20">
        <f>247236-SUM(Q34,Q36,Q39,Q42)</f>
        <v>5973</v>
      </c>
      <c r="R44" s="20"/>
      <c r="S44" s="20">
        <f>112059-SUM(S34,S36,S37,S39,S42)</f>
        <v>12739</v>
      </c>
      <c r="T44" s="20"/>
      <c r="U44" s="20">
        <f>16595-SUM(U34,U36,U37,U39,U41:U42)</f>
        <v>7435</v>
      </c>
      <c r="V44" s="20"/>
      <c r="W44" s="20">
        <f>37028-SUM(W34,W36:W42)</f>
        <v>9551</v>
      </c>
      <c r="X44" s="20"/>
      <c r="Y44" s="20">
        <f>153249-SUM(Y34:Y43)</f>
        <v>21572</v>
      </c>
      <c r="Z44" s="20"/>
      <c r="AA44" s="22">
        <v>63369</v>
      </c>
      <c r="AB44" s="22">
        <v>244783</v>
      </c>
      <c r="AC44" s="7">
        <v>648354</v>
      </c>
      <c r="AD44" s="7">
        <v>345841</v>
      </c>
      <c r="AE44" s="7">
        <f t="shared" si="13"/>
        <v>401827</v>
      </c>
      <c r="AF44" s="7">
        <f t="shared" si="13"/>
        <v>455231</v>
      </c>
      <c r="AG44" s="7">
        <f>282449-SUM(AG34:AG43)</f>
        <v>55986</v>
      </c>
      <c r="AH44" s="7">
        <f>259984-SUM(AH34:AH43)</f>
        <v>53404</v>
      </c>
      <c r="AI44" s="7">
        <f>300574-SUM(AI34:AI43)</f>
        <v>60047</v>
      </c>
      <c r="AJ44" s="7">
        <f>258561-SUM(AJ34:AJ43)</f>
        <v>52072</v>
      </c>
      <c r="AK44" s="21">
        <v>49543</v>
      </c>
      <c r="AL44" s="42">
        <v>52717</v>
      </c>
      <c r="AM44" s="41">
        <f t="shared" si="9"/>
        <v>669610</v>
      </c>
      <c r="AN44" s="82">
        <v>65746</v>
      </c>
      <c r="AO44" s="7">
        <f t="shared" si="3"/>
        <v>735356</v>
      </c>
      <c r="AP44" s="46">
        <f t="shared" si="14"/>
        <v>1647611</v>
      </c>
      <c r="AQ44" s="49">
        <f t="shared" si="15"/>
        <v>1700328</v>
      </c>
      <c r="AS44" s="48">
        <f t="shared" si="16"/>
        <v>1766074</v>
      </c>
    </row>
    <row r="45" spans="1:45" ht="12.75">
      <c r="A45" s="13" t="s">
        <v>55</v>
      </c>
      <c r="B45" s="17">
        <f aca="true" t="shared" si="17" ref="B45:G45">SUM(B46:B48,B54,B57)</f>
        <v>387</v>
      </c>
      <c r="C45" s="17">
        <f t="shared" si="17"/>
        <v>11564</v>
      </c>
      <c r="D45" s="17">
        <f t="shared" si="17"/>
        <v>33424</v>
      </c>
      <c r="E45" s="17">
        <f t="shared" si="17"/>
        <v>62469</v>
      </c>
      <c r="F45" s="17">
        <f t="shared" si="17"/>
        <v>74720</v>
      </c>
      <c r="G45" s="17">
        <f t="shared" si="17"/>
        <v>166607</v>
      </c>
      <c r="H45" s="17"/>
      <c r="I45" s="17">
        <f>SUM(I46:I48,I54,I57)</f>
        <v>404044</v>
      </c>
      <c r="J45" s="17"/>
      <c r="K45" s="17">
        <f>SUM(K46:K48,K54,K57)</f>
        <v>426967</v>
      </c>
      <c r="L45" s="17"/>
      <c r="M45" s="17">
        <f>SUM(M46:M48,M54,M57)</f>
        <v>38972</v>
      </c>
      <c r="N45" s="62"/>
      <c r="O45" s="17">
        <f>SUM(O46:O48,O54,O57)</f>
        <v>361888</v>
      </c>
      <c r="P45" s="17"/>
      <c r="Q45" s="17">
        <f>SUM(Q46:Q48,Q54,Q57)</f>
        <v>1143671</v>
      </c>
      <c r="R45" s="17"/>
      <c r="S45" s="17">
        <f>SUM(S46:S48,S54,S57,S62)</f>
        <v>1516716</v>
      </c>
      <c r="T45" s="17"/>
      <c r="U45" s="17">
        <f>SUM(U46:U48,U54,U57,U62)</f>
        <v>160037</v>
      </c>
      <c r="V45" s="17"/>
      <c r="W45" s="17">
        <f>SUM(W46:W48,W54,W57,W62)</f>
        <v>354804</v>
      </c>
      <c r="X45" s="17"/>
      <c r="Y45" s="17">
        <f>SUM(Y46:Y48,Y54,Y57,Y62)</f>
        <v>996944</v>
      </c>
      <c r="Z45" s="17"/>
      <c r="AA45" s="17">
        <f aca="true" t="shared" si="18" ref="AA45:AJ45">SUM(AA46:AA48,AA54,AA57,AA62)</f>
        <v>1716374</v>
      </c>
      <c r="AB45" s="17">
        <f t="shared" si="18"/>
        <v>1982735</v>
      </c>
      <c r="AC45" s="17">
        <f t="shared" si="18"/>
        <v>3615225</v>
      </c>
      <c r="AD45" s="17">
        <f t="shared" si="18"/>
        <v>2104250</v>
      </c>
      <c r="AE45" s="17">
        <f t="shared" si="18"/>
        <v>2429423</v>
      </c>
      <c r="AF45" s="17">
        <f>SUM(AF46:AF48,AF54,AF57,AF62)</f>
        <v>2711693</v>
      </c>
      <c r="AG45" s="17">
        <f t="shared" si="18"/>
        <v>325173</v>
      </c>
      <c r="AH45" s="17">
        <f t="shared" si="18"/>
        <v>282270</v>
      </c>
      <c r="AI45" s="17">
        <f t="shared" si="18"/>
        <v>407813</v>
      </c>
      <c r="AJ45" s="17">
        <f t="shared" si="18"/>
        <v>359619</v>
      </c>
      <c r="AK45" s="17">
        <f aca="true" t="shared" si="19" ref="AK45:AS45">SUM(AK46:AK48,AK54,AK57,AK62)</f>
        <v>298156</v>
      </c>
      <c r="AL45" s="40">
        <f t="shared" si="19"/>
        <v>312324</v>
      </c>
      <c r="AM45" s="40">
        <f t="shared" si="19"/>
        <v>4089605</v>
      </c>
      <c r="AN45" s="40">
        <f t="shared" si="19"/>
        <v>397201</v>
      </c>
      <c r="AO45" s="9">
        <f t="shared" si="3"/>
        <v>4486806</v>
      </c>
      <c r="AP45" s="40">
        <f t="shared" si="19"/>
        <v>16844829</v>
      </c>
      <c r="AQ45" s="40">
        <f t="shared" si="19"/>
        <v>17157153</v>
      </c>
      <c r="AS45" s="40">
        <f t="shared" si="19"/>
        <v>17554354</v>
      </c>
    </row>
    <row r="46" spans="1:45" ht="15">
      <c r="A46" s="11" t="s">
        <v>92</v>
      </c>
      <c r="B46" s="20">
        <v>209</v>
      </c>
      <c r="C46" s="20">
        <v>2277</v>
      </c>
      <c r="D46" s="20">
        <v>13624</v>
      </c>
      <c r="E46" s="20">
        <v>41723</v>
      </c>
      <c r="F46" s="20">
        <v>59309</v>
      </c>
      <c r="G46" s="20">
        <v>153878</v>
      </c>
      <c r="H46" s="20"/>
      <c r="I46" s="20">
        <v>383640</v>
      </c>
      <c r="J46" s="20"/>
      <c r="K46" s="20">
        <v>393304</v>
      </c>
      <c r="L46" s="20"/>
      <c r="M46" s="20">
        <v>3311</v>
      </c>
      <c r="N46" s="63"/>
      <c r="O46" s="20">
        <v>179226</v>
      </c>
      <c r="P46" s="20"/>
      <c r="Q46" s="20">
        <v>742185</v>
      </c>
      <c r="R46" s="20"/>
      <c r="S46" s="20">
        <v>924515</v>
      </c>
      <c r="T46" s="20"/>
      <c r="U46" s="20">
        <v>108527</v>
      </c>
      <c r="V46" s="20"/>
      <c r="W46" s="20">
        <v>171718</v>
      </c>
      <c r="X46" s="20"/>
      <c r="Y46" s="20">
        <v>377952</v>
      </c>
      <c r="Z46" s="20"/>
      <c r="AA46" s="22">
        <v>413310</v>
      </c>
      <c r="AB46" s="22">
        <v>169939</v>
      </c>
      <c r="AC46" s="7">
        <v>156938</v>
      </c>
      <c r="AD46" s="7">
        <v>65370</v>
      </c>
      <c r="AE46" s="7">
        <f>AD46+AG46</f>
        <v>87613</v>
      </c>
      <c r="AF46" s="7">
        <f>AE46+AH46</f>
        <v>105730</v>
      </c>
      <c r="AG46" s="7">
        <v>22243</v>
      </c>
      <c r="AH46" s="7">
        <v>18117</v>
      </c>
      <c r="AI46" s="7">
        <v>21751</v>
      </c>
      <c r="AJ46" s="7">
        <v>15788</v>
      </c>
      <c r="AK46" s="24">
        <v>14295</v>
      </c>
      <c r="AL46" s="42">
        <v>12948</v>
      </c>
      <c r="AM46" s="41">
        <f t="shared" si="9"/>
        <v>170512</v>
      </c>
      <c r="AN46" s="81">
        <v>21475</v>
      </c>
      <c r="AO46" s="7">
        <f t="shared" si="3"/>
        <v>191987</v>
      </c>
      <c r="AP46" s="46">
        <f>SUM(B46:AC46,AF46,AI46:AK46)</f>
        <v>4453149</v>
      </c>
      <c r="AQ46" s="49">
        <f>+AL46+AP46</f>
        <v>4466097</v>
      </c>
      <c r="AS46" s="48">
        <f>+AN46+AQ46</f>
        <v>4487572</v>
      </c>
    </row>
    <row r="47" spans="1:45" ht="15">
      <c r="A47" s="11" t="s">
        <v>90</v>
      </c>
      <c r="B47" s="20">
        <v>1</v>
      </c>
      <c r="C47" s="20">
        <v>4817</v>
      </c>
      <c r="D47" s="20">
        <v>6599</v>
      </c>
      <c r="E47" s="20">
        <v>3271</v>
      </c>
      <c r="F47" s="20">
        <v>3078</v>
      </c>
      <c r="G47" s="20">
        <v>2191</v>
      </c>
      <c r="H47" s="20"/>
      <c r="I47" s="20">
        <v>5162</v>
      </c>
      <c r="J47" s="20"/>
      <c r="K47" s="20">
        <v>1913</v>
      </c>
      <c r="L47" s="72" t="s">
        <v>110</v>
      </c>
      <c r="M47" s="20">
        <v>971</v>
      </c>
      <c r="N47" s="72" t="s">
        <v>110</v>
      </c>
      <c r="O47" s="20">
        <v>49642</v>
      </c>
      <c r="P47" s="20"/>
      <c r="Q47" s="20">
        <v>219004</v>
      </c>
      <c r="R47" s="20"/>
      <c r="S47" s="20">
        <v>459287</v>
      </c>
      <c r="T47" s="20"/>
      <c r="U47" s="20">
        <v>22319</v>
      </c>
      <c r="V47" s="20"/>
      <c r="W47" s="20">
        <v>60589</v>
      </c>
      <c r="X47" s="20"/>
      <c r="Y47" s="20">
        <v>299811</v>
      </c>
      <c r="Z47" s="20"/>
      <c r="AA47" s="22">
        <v>453937</v>
      </c>
      <c r="AB47" s="22">
        <v>640294</v>
      </c>
      <c r="AC47" s="7">
        <v>1655843</v>
      </c>
      <c r="AD47" s="7">
        <v>1288693</v>
      </c>
      <c r="AE47" s="7">
        <f>AD47+AG47</f>
        <v>1400108</v>
      </c>
      <c r="AF47" s="7">
        <f>AE47+AH47</f>
        <v>1490153</v>
      </c>
      <c r="AG47" s="7">
        <v>111415</v>
      </c>
      <c r="AH47" s="7">
        <v>90045</v>
      </c>
      <c r="AI47" s="7">
        <v>163743</v>
      </c>
      <c r="AJ47" s="7">
        <v>146680</v>
      </c>
      <c r="AK47" s="24">
        <v>130661</v>
      </c>
      <c r="AL47" s="42">
        <v>146436</v>
      </c>
      <c r="AM47" s="41">
        <f t="shared" si="9"/>
        <v>2077673</v>
      </c>
      <c r="AN47" s="81">
        <v>171748</v>
      </c>
      <c r="AO47" s="7">
        <f t="shared" si="3"/>
        <v>2249421</v>
      </c>
      <c r="AP47" s="46">
        <f>SUM(B47:AC47,AF47,AI47:AK47)</f>
        <v>5819966</v>
      </c>
      <c r="AQ47" s="49">
        <f>+AL47+AP47</f>
        <v>5966402</v>
      </c>
      <c r="AS47" s="48">
        <f>+AN47+AQ47</f>
        <v>6138150</v>
      </c>
    </row>
    <row r="48" spans="1:45" ht="12.75">
      <c r="A48" s="13" t="s">
        <v>56</v>
      </c>
      <c r="B48" s="17">
        <f>SUM(B53)</f>
        <v>164</v>
      </c>
      <c r="C48" s="17">
        <f aca="true" t="shared" si="20" ref="C48:O48">SUM(C53)</f>
        <v>3834</v>
      </c>
      <c r="D48" s="17">
        <f t="shared" si="20"/>
        <v>12301</v>
      </c>
      <c r="E48" s="17">
        <f t="shared" si="20"/>
        <v>13528</v>
      </c>
      <c r="F48" s="17">
        <f t="shared" si="20"/>
        <v>10660</v>
      </c>
      <c r="G48" s="17">
        <f t="shared" si="20"/>
        <v>9046</v>
      </c>
      <c r="H48" s="17"/>
      <c r="I48" s="17">
        <f t="shared" si="20"/>
        <v>13957</v>
      </c>
      <c r="J48" s="17"/>
      <c r="K48" s="17">
        <f t="shared" si="20"/>
        <v>29042</v>
      </c>
      <c r="L48" s="17"/>
      <c r="M48" s="17">
        <f t="shared" si="20"/>
        <v>33066</v>
      </c>
      <c r="N48" s="62"/>
      <c r="O48" s="17">
        <f t="shared" si="20"/>
        <v>107548</v>
      </c>
      <c r="P48" s="17"/>
      <c r="Q48" s="17">
        <f>SUM(Q53)</f>
        <v>123424</v>
      </c>
      <c r="R48" s="17"/>
      <c r="S48" s="17">
        <f>SUM(S49,S53)</f>
        <v>74899</v>
      </c>
      <c r="T48" s="17"/>
      <c r="U48" s="17">
        <f>SUM(U49:U51,U53)</f>
        <v>15502</v>
      </c>
      <c r="V48" s="17"/>
      <c r="W48" s="17">
        <f>SUM(W49:W51,W53)</f>
        <v>49725</v>
      </c>
      <c r="X48" s="17"/>
      <c r="Y48" s="17">
        <f>SUM(Y49:Y53)</f>
        <v>123091</v>
      </c>
      <c r="Z48" s="17"/>
      <c r="AA48" s="17">
        <f aca="true" t="shared" si="21" ref="AA48:AJ48">SUM(AA49:AA53)</f>
        <v>470213</v>
      </c>
      <c r="AB48" s="17">
        <f t="shared" si="21"/>
        <v>741126</v>
      </c>
      <c r="AC48" s="17">
        <f t="shared" si="21"/>
        <v>872051</v>
      </c>
      <c r="AD48" s="17">
        <f t="shared" si="21"/>
        <v>332721</v>
      </c>
      <c r="AE48" s="17">
        <f t="shared" si="21"/>
        <v>436471</v>
      </c>
      <c r="AF48" s="17">
        <f t="shared" si="21"/>
        <v>532492</v>
      </c>
      <c r="AG48" s="17">
        <f t="shared" si="21"/>
        <v>103750</v>
      </c>
      <c r="AH48" s="17">
        <f t="shared" si="21"/>
        <v>96021</v>
      </c>
      <c r="AI48" s="17">
        <f t="shared" si="21"/>
        <v>115991</v>
      </c>
      <c r="AJ48" s="17">
        <f t="shared" si="21"/>
        <v>101095</v>
      </c>
      <c r="AK48" s="17">
        <f aca="true" t="shared" si="22" ref="AK48:AS48">SUM(AK49:AK53)</f>
        <v>72948</v>
      </c>
      <c r="AL48" s="40">
        <f t="shared" si="22"/>
        <v>70386</v>
      </c>
      <c r="AM48" s="40">
        <f t="shared" si="22"/>
        <v>892912</v>
      </c>
      <c r="AN48" s="40">
        <f t="shared" si="22"/>
        <v>85875</v>
      </c>
      <c r="AO48" s="9">
        <f t="shared" si="3"/>
        <v>978787</v>
      </c>
      <c r="AP48" s="40">
        <f t="shared" si="22"/>
        <v>3525703</v>
      </c>
      <c r="AQ48" s="40">
        <f t="shared" si="22"/>
        <v>3596089</v>
      </c>
      <c r="AS48" s="40">
        <f t="shared" si="22"/>
        <v>3681964</v>
      </c>
    </row>
    <row r="49" spans="1:45" ht="15">
      <c r="A49" s="11" t="s">
        <v>57</v>
      </c>
      <c r="B49" s="71" t="s">
        <v>102</v>
      </c>
      <c r="C49" s="71" t="s">
        <v>102</v>
      </c>
      <c r="D49" s="71" t="s">
        <v>102</v>
      </c>
      <c r="E49" s="71" t="s">
        <v>102</v>
      </c>
      <c r="F49" s="71" t="s">
        <v>102</v>
      </c>
      <c r="G49" s="71" t="s">
        <v>102</v>
      </c>
      <c r="H49" s="19"/>
      <c r="I49" s="71" t="s">
        <v>102</v>
      </c>
      <c r="J49" s="19"/>
      <c r="K49" s="71" t="s">
        <v>102</v>
      </c>
      <c r="L49" s="19"/>
      <c r="M49" s="71" t="s">
        <v>102</v>
      </c>
      <c r="N49" s="64"/>
      <c r="O49" s="71" t="s">
        <v>102</v>
      </c>
      <c r="P49" s="19"/>
      <c r="Q49" s="71" t="s">
        <v>102</v>
      </c>
      <c r="R49" s="19"/>
      <c r="S49" s="20">
        <v>15901</v>
      </c>
      <c r="T49" s="72"/>
      <c r="U49" s="20">
        <v>9571</v>
      </c>
      <c r="V49" s="15"/>
      <c r="W49" s="20">
        <v>26313</v>
      </c>
      <c r="X49" s="15"/>
      <c r="Y49" s="20">
        <v>78948</v>
      </c>
      <c r="Z49" s="15"/>
      <c r="AA49" s="22">
        <v>208536</v>
      </c>
      <c r="AB49" s="22">
        <v>264863</v>
      </c>
      <c r="AC49" s="7">
        <v>144578</v>
      </c>
      <c r="AD49" s="7">
        <v>33340</v>
      </c>
      <c r="AE49" s="7">
        <f aca="true" t="shared" si="23" ref="AE49:AF53">AD49+AG49</f>
        <v>47556</v>
      </c>
      <c r="AF49" s="7">
        <f t="shared" si="23"/>
        <v>65217</v>
      </c>
      <c r="AG49" s="7">
        <v>14216</v>
      </c>
      <c r="AH49" s="7">
        <v>17661</v>
      </c>
      <c r="AI49" s="7">
        <v>26166</v>
      </c>
      <c r="AJ49" s="7">
        <v>29913</v>
      </c>
      <c r="AK49" s="24">
        <v>15415</v>
      </c>
      <c r="AL49" s="42">
        <v>13289</v>
      </c>
      <c r="AM49" s="41">
        <f t="shared" si="9"/>
        <v>150000</v>
      </c>
      <c r="AN49" s="81">
        <v>19322</v>
      </c>
      <c r="AO49" s="7">
        <f t="shared" si="3"/>
        <v>169322</v>
      </c>
      <c r="AP49" s="46">
        <f>SUM(B49:AC49,AF49,AI49:AK49)</f>
        <v>885421</v>
      </c>
      <c r="AQ49" s="49">
        <f>+AL49+AP49</f>
        <v>898710</v>
      </c>
      <c r="AR49" s="73" t="s">
        <v>102</v>
      </c>
      <c r="AS49" s="48">
        <f>+AN49+AQ49</f>
        <v>918032</v>
      </c>
    </row>
    <row r="50" spans="1:45" ht="15">
      <c r="A50" s="11" t="s">
        <v>58</v>
      </c>
      <c r="B50" s="71" t="s">
        <v>107</v>
      </c>
      <c r="C50" s="71" t="s">
        <v>107</v>
      </c>
      <c r="D50" s="71" t="s">
        <v>107</v>
      </c>
      <c r="E50" s="71" t="s">
        <v>107</v>
      </c>
      <c r="F50" s="71" t="s">
        <v>107</v>
      </c>
      <c r="G50" s="71" t="s">
        <v>107</v>
      </c>
      <c r="H50" s="19"/>
      <c r="I50" s="71" t="s">
        <v>107</v>
      </c>
      <c r="J50" s="19"/>
      <c r="K50" s="71" t="s">
        <v>107</v>
      </c>
      <c r="L50" s="19"/>
      <c r="M50" s="71" t="s">
        <v>107</v>
      </c>
      <c r="N50" s="64"/>
      <c r="O50" s="71" t="s">
        <v>107</v>
      </c>
      <c r="P50" s="19"/>
      <c r="Q50" s="71" t="s">
        <v>107</v>
      </c>
      <c r="R50" s="19"/>
      <c r="S50" s="71" t="s">
        <v>107</v>
      </c>
      <c r="T50" s="19"/>
      <c r="U50" s="20">
        <v>1150</v>
      </c>
      <c r="V50" s="71" t="s">
        <v>107</v>
      </c>
      <c r="W50" s="20">
        <v>5627</v>
      </c>
      <c r="X50" s="20"/>
      <c r="Y50" s="20">
        <v>9897</v>
      </c>
      <c r="Z50" s="20"/>
      <c r="AA50" s="22">
        <v>93292</v>
      </c>
      <c r="AB50" s="22">
        <v>148135</v>
      </c>
      <c r="AC50" s="7">
        <v>252035</v>
      </c>
      <c r="AD50" s="7">
        <v>128834</v>
      </c>
      <c r="AE50" s="7">
        <f t="shared" si="23"/>
        <v>180055</v>
      </c>
      <c r="AF50" s="7">
        <f t="shared" si="23"/>
        <v>218548</v>
      </c>
      <c r="AG50" s="7">
        <v>51221</v>
      </c>
      <c r="AH50" s="7">
        <v>38493</v>
      </c>
      <c r="AI50" s="7">
        <v>36284</v>
      </c>
      <c r="AJ50" s="7">
        <v>24966</v>
      </c>
      <c r="AK50" s="24">
        <v>20267</v>
      </c>
      <c r="AL50" s="42">
        <v>17745</v>
      </c>
      <c r="AM50" s="41">
        <f t="shared" si="9"/>
        <v>317810</v>
      </c>
      <c r="AN50" s="81">
        <v>17441</v>
      </c>
      <c r="AO50" s="7">
        <f t="shared" si="3"/>
        <v>335251</v>
      </c>
      <c r="AP50" s="46">
        <f>SUM(B50:AC50,AF50,AI50:AK50)</f>
        <v>810201</v>
      </c>
      <c r="AQ50" s="49">
        <f>+AL50+AP50</f>
        <v>827946</v>
      </c>
      <c r="AR50" s="73" t="s">
        <v>107</v>
      </c>
      <c r="AS50" s="48">
        <f>+AN50+AQ50</f>
        <v>845387</v>
      </c>
    </row>
    <row r="51" spans="1:45" ht="15">
      <c r="A51" s="11" t="s">
        <v>59</v>
      </c>
      <c r="B51" s="71" t="s">
        <v>107</v>
      </c>
      <c r="C51" s="71" t="s">
        <v>107</v>
      </c>
      <c r="D51" s="71" t="s">
        <v>107</v>
      </c>
      <c r="E51" s="71" t="s">
        <v>107</v>
      </c>
      <c r="F51" s="71" t="s">
        <v>107</v>
      </c>
      <c r="G51" s="71" t="s">
        <v>107</v>
      </c>
      <c r="H51" s="19"/>
      <c r="I51" s="71" t="s">
        <v>107</v>
      </c>
      <c r="J51" s="19"/>
      <c r="K51" s="71" t="s">
        <v>107</v>
      </c>
      <c r="L51" s="19"/>
      <c r="M51" s="71" t="s">
        <v>107</v>
      </c>
      <c r="N51" s="64"/>
      <c r="O51" s="71" t="s">
        <v>107</v>
      </c>
      <c r="P51" s="19"/>
      <c r="Q51" s="71" t="s">
        <v>107</v>
      </c>
      <c r="R51" s="19"/>
      <c r="S51" s="71" t="s">
        <v>107</v>
      </c>
      <c r="T51" s="19"/>
      <c r="U51" s="20">
        <v>191</v>
      </c>
      <c r="V51" s="71" t="s">
        <v>107</v>
      </c>
      <c r="W51" s="20">
        <v>911</v>
      </c>
      <c r="X51" s="20"/>
      <c r="Y51" s="20">
        <v>4442</v>
      </c>
      <c r="Z51" s="20"/>
      <c r="AA51" s="22">
        <v>34499</v>
      </c>
      <c r="AB51" s="22">
        <v>56335</v>
      </c>
      <c r="AC51" s="7">
        <v>138379</v>
      </c>
      <c r="AD51" s="7">
        <v>67701</v>
      </c>
      <c r="AE51" s="7">
        <f t="shared" si="23"/>
        <v>80867</v>
      </c>
      <c r="AF51" s="7">
        <f t="shared" si="23"/>
        <v>94739</v>
      </c>
      <c r="AG51" s="7">
        <v>13166</v>
      </c>
      <c r="AH51" s="7">
        <v>13872</v>
      </c>
      <c r="AI51" s="7">
        <v>18185</v>
      </c>
      <c r="AJ51" s="7">
        <v>14941</v>
      </c>
      <c r="AK51" s="24">
        <v>13316</v>
      </c>
      <c r="AL51" s="42">
        <v>16459</v>
      </c>
      <c r="AM51" s="41">
        <f t="shared" si="9"/>
        <v>157640</v>
      </c>
      <c r="AN51" s="81">
        <v>22004</v>
      </c>
      <c r="AO51" s="7">
        <f t="shared" si="3"/>
        <v>179644</v>
      </c>
      <c r="AP51" s="46">
        <f>SUM(B51:AC51,AF51,AI51:AK51)</f>
        <v>375938</v>
      </c>
      <c r="AQ51" s="49">
        <f>+AL51+AP51</f>
        <v>392397</v>
      </c>
      <c r="AR51" s="73" t="s">
        <v>107</v>
      </c>
      <c r="AS51" s="48">
        <f>+AN51+AQ51</f>
        <v>414401</v>
      </c>
    </row>
    <row r="52" spans="1:45" ht="15">
      <c r="A52" s="11" t="s">
        <v>60</v>
      </c>
      <c r="B52" s="71" t="s">
        <v>108</v>
      </c>
      <c r="C52" s="71" t="s">
        <v>108</v>
      </c>
      <c r="D52" s="71" t="s">
        <v>108</v>
      </c>
      <c r="E52" s="71" t="s">
        <v>108</v>
      </c>
      <c r="F52" s="71" t="s">
        <v>108</v>
      </c>
      <c r="G52" s="71" t="s">
        <v>108</v>
      </c>
      <c r="H52" s="19"/>
      <c r="I52" s="71" t="s">
        <v>108</v>
      </c>
      <c r="J52" s="19"/>
      <c r="K52" s="71" t="s">
        <v>108</v>
      </c>
      <c r="L52" s="19"/>
      <c r="M52" s="71" t="s">
        <v>108</v>
      </c>
      <c r="N52" s="64"/>
      <c r="O52" s="71" t="s">
        <v>108</v>
      </c>
      <c r="P52" s="19"/>
      <c r="Q52" s="71" t="s">
        <v>108</v>
      </c>
      <c r="R52" s="19"/>
      <c r="S52" s="71" t="s">
        <v>108</v>
      </c>
      <c r="T52" s="19"/>
      <c r="U52" s="71" t="s">
        <v>108</v>
      </c>
      <c r="V52" s="70"/>
      <c r="W52" s="71" t="s">
        <v>108</v>
      </c>
      <c r="X52" s="19"/>
      <c r="Y52" s="20">
        <v>8869</v>
      </c>
      <c r="Z52" s="71" t="s">
        <v>108</v>
      </c>
      <c r="AA52" s="22">
        <v>74906</v>
      </c>
      <c r="AB52" s="22">
        <v>137577</v>
      </c>
      <c r="AC52" s="7">
        <v>208148</v>
      </c>
      <c r="AD52" s="7">
        <v>58018</v>
      </c>
      <c r="AE52" s="7">
        <f t="shared" si="23"/>
        <v>71927</v>
      </c>
      <c r="AF52" s="7">
        <f t="shared" si="23"/>
        <v>87988</v>
      </c>
      <c r="AG52" s="7">
        <v>13909</v>
      </c>
      <c r="AH52" s="7">
        <v>16061</v>
      </c>
      <c r="AI52" s="7">
        <v>18732</v>
      </c>
      <c r="AJ52" s="7">
        <v>17585</v>
      </c>
      <c r="AK52" s="24">
        <v>14819</v>
      </c>
      <c r="AL52" s="42">
        <v>14449</v>
      </c>
      <c r="AM52" s="41">
        <f t="shared" si="9"/>
        <v>153573</v>
      </c>
      <c r="AN52" s="81">
        <v>15654</v>
      </c>
      <c r="AO52" s="7">
        <f t="shared" si="3"/>
        <v>169227</v>
      </c>
      <c r="AP52" s="46">
        <f>SUM(B52:AC52,AF52,AI52:AK52)</f>
        <v>568624</v>
      </c>
      <c r="AQ52" s="49">
        <f>+AL52+AP52</f>
        <v>583073</v>
      </c>
      <c r="AR52" s="73" t="s">
        <v>108</v>
      </c>
      <c r="AS52" s="48">
        <f>+AN52+AQ52</f>
        <v>598727</v>
      </c>
    </row>
    <row r="53" spans="1:45" ht="15">
      <c r="A53" s="11" t="s">
        <v>61</v>
      </c>
      <c r="B53" s="20">
        <v>164</v>
      </c>
      <c r="C53" s="20">
        <v>3834</v>
      </c>
      <c r="D53" s="20">
        <v>12301</v>
      </c>
      <c r="E53" s="20">
        <v>13528</v>
      </c>
      <c r="F53" s="20">
        <v>10660</v>
      </c>
      <c r="G53" s="20">
        <v>9046</v>
      </c>
      <c r="H53" s="20"/>
      <c r="I53" s="20">
        <v>13957</v>
      </c>
      <c r="J53" s="20"/>
      <c r="K53" s="20">
        <v>29042</v>
      </c>
      <c r="L53" s="20"/>
      <c r="M53" s="20">
        <v>33066</v>
      </c>
      <c r="N53" s="63"/>
      <c r="O53" s="20">
        <v>107548</v>
      </c>
      <c r="P53" s="20"/>
      <c r="Q53" s="20">
        <v>123424</v>
      </c>
      <c r="R53" s="20"/>
      <c r="S53" s="20">
        <v>58998</v>
      </c>
      <c r="T53" s="20"/>
      <c r="U53" s="20">
        <v>4590</v>
      </c>
      <c r="V53" s="20"/>
      <c r="W53" s="20">
        <f>49725-SUM(W49:W51)</f>
        <v>16874</v>
      </c>
      <c r="X53" s="20"/>
      <c r="Y53" s="20">
        <f>123091-SUM(Y49:Y52)</f>
        <v>20935</v>
      </c>
      <c r="Z53" s="71" t="s">
        <v>108</v>
      </c>
      <c r="AA53" s="22">
        <v>58980</v>
      </c>
      <c r="AB53" s="22">
        <v>134216</v>
      </c>
      <c r="AC53" s="7">
        <v>128911</v>
      </c>
      <c r="AD53" s="7">
        <v>44828</v>
      </c>
      <c r="AE53" s="7">
        <f t="shared" si="23"/>
        <v>56066</v>
      </c>
      <c r="AF53" s="7">
        <f t="shared" si="23"/>
        <v>66000</v>
      </c>
      <c r="AG53" s="7">
        <f>103750-SUM(AG49:AG52)</f>
        <v>11238</v>
      </c>
      <c r="AH53" s="7">
        <f>96021-SUM(AH49:AH52)</f>
        <v>9934</v>
      </c>
      <c r="AI53" s="7">
        <f>115991-SUM(AI49:AI52)</f>
        <v>16624</v>
      </c>
      <c r="AJ53" s="7">
        <f>101095-SUM(AJ49:AJ52)</f>
        <v>13690</v>
      </c>
      <c r="AK53" s="21">
        <v>9131</v>
      </c>
      <c r="AL53" s="42">
        <v>8444</v>
      </c>
      <c r="AM53" s="41">
        <f t="shared" si="9"/>
        <v>113889</v>
      </c>
      <c r="AN53" s="15">
        <v>11454</v>
      </c>
      <c r="AO53" s="7">
        <f t="shared" si="3"/>
        <v>125343</v>
      </c>
      <c r="AP53" s="46">
        <f>SUM(B53:AC53,AF53,AI53:AK53)</f>
        <v>885519</v>
      </c>
      <c r="AQ53" s="49">
        <f>+AL53+AP53</f>
        <v>893963</v>
      </c>
      <c r="AS53" s="48">
        <f>+AN53+AQ53</f>
        <v>905417</v>
      </c>
    </row>
    <row r="54" spans="1:45" ht="12.75">
      <c r="A54" s="13" t="s">
        <v>62</v>
      </c>
      <c r="B54" s="18">
        <f>SUM(B56)</f>
        <v>2</v>
      </c>
      <c r="C54" s="18">
        <f>SUM(C56)</f>
        <v>105</v>
      </c>
      <c r="D54" s="18">
        <f aca="true" t="shared" si="24" ref="D54:Q54">SUM(D56)</f>
        <v>44</v>
      </c>
      <c r="E54" s="18">
        <f t="shared" si="24"/>
        <v>368</v>
      </c>
      <c r="F54" s="18">
        <f t="shared" si="24"/>
        <v>449</v>
      </c>
      <c r="G54" s="18">
        <f t="shared" si="24"/>
        <v>95</v>
      </c>
      <c r="H54" s="18"/>
      <c r="I54" s="18">
        <f t="shared" si="24"/>
        <v>157</v>
      </c>
      <c r="J54" s="18"/>
      <c r="K54" s="18">
        <f t="shared" si="24"/>
        <v>404</v>
      </c>
      <c r="L54" s="18"/>
      <c r="M54" s="18">
        <f t="shared" si="24"/>
        <v>549</v>
      </c>
      <c r="N54" s="66"/>
      <c r="O54" s="18">
        <f t="shared" si="24"/>
        <v>8192</v>
      </c>
      <c r="P54" s="18"/>
      <c r="Q54" s="18">
        <f t="shared" si="24"/>
        <v>17159</v>
      </c>
      <c r="R54" s="18"/>
      <c r="S54" s="18">
        <f>SUM(S56)</f>
        <v>15769</v>
      </c>
      <c r="T54" s="18"/>
      <c r="U54" s="18">
        <f>SUM(U55:U56)</f>
        <v>5861</v>
      </c>
      <c r="V54" s="18"/>
      <c r="W54" s="18">
        <f>SUM(W55:W56)</f>
        <v>21665</v>
      </c>
      <c r="X54" s="18"/>
      <c r="Y54" s="18">
        <f>SUM(Y55:Y56)</f>
        <v>44751</v>
      </c>
      <c r="Z54" s="18"/>
      <c r="AA54" s="18">
        <f aca="true" t="shared" si="25" ref="AA54:AJ54">SUM(AA55:AA56)</f>
        <v>101330</v>
      </c>
      <c r="AB54" s="18">
        <f t="shared" si="25"/>
        <v>134640</v>
      </c>
      <c r="AC54" s="18">
        <f t="shared" si="25"/>
        <v>468088</v>
      </c>
      <c r="AD54" s="18">
        <f t="shared" si="25"/>
        <v>227335</v>
      </c>
      <c r="AE54" s="18">
        <f t="shared" si="25"/>
        <v>267591</v>
      </c>
      <c r="AF54" s="18">
        <f t="shared" si="25"/>
        <v>299611</v>
      </c>
      <c r="AG54" s="18">
        <f t="shared" si="25"/>
        <v>40256</v>
      </c>
      <c r="AH54" s="18">
        <f t="shared" si="25"/>
        <v>32020</v>
      </c>
      <c r="AI54" s="18">
        <f t="shared" si="25"/>
        <v>44336</v>
      </c>
      <c r="AJ54" s="18">
        <f t="shared" si="25"/>
        <v>43451</v>
      </c>
      <c r="AK54" s="26">
        <f aca="true" t="shared" si="26" ref="AK54:AS54">SUM(AK55:AK56)</f>
        <v>35368</v>
      </c>
      <c r="AL54" s="40">
        <f t="shared" si="26"/>
        <v>41441</v>
      </c>
      <c r="AM54" s="40">
        <f t="shared" si="26"/>
        <v>464207</v>
      </c>
      <c r="AN54" s="40">
        <f t="shared" si="26"/>
        <v>62708</v>
      </c>
      <c r="AO54" s="9">
        <f t="shared" si="3"/>
        <v>526915</v>
      </c>
      <c r="AP54" s="40">
        <f t="shared" si="26"/>
        <v>1242394</v>
      </c>
      <c r="AQ54" s="40">
        <f t="shared" si="26"/>
        <v>1283835</v>
      </c>
      <c r="AS54" s="40">
        <f t="shared" si="26"/>
        <v>1346543</v>
      </c>
    </row>
    <row r="55" spans="1:45" ht="15">
      <c r="A55" s="11" t="s">
        <v>63</v>
      </c>
      <c r="B55" s="71" t="s">
        <v>107</v>
      </c>
      <c r="C55" s="71" t="s">
        <v>107</v>
      </c>
      <c r="D55" s="71" t="s">
        <v>107</v>
      </c>
      <c r="E55" s="71" t="s">
        <v>107</v>
      </c>
      <c r="F55" s="71" t="s">
        <v>107</v>
      </c>
      <c r="G55" s="71" t="s">
        <v>107</v>
      </c>
      <c r="H55" s="19"/>
      <c r="I55" s="71" t="s">
        <v>107</v>
      </c>
      <c r="J55" s="19"/>
      <c r="K55" s="71" t="s">
        <v>107</v>
      </c>
      <c r="L55" s="19"/>
      <c r="M55" s="71" t="s">
        <v>107</v>
      </c>
      <c r="N55" s="64"/>
      <c r="O55" s="71" t="s">
        <v>107</v>
      </c>
      <c r="P55" s="19"/>
      <c r="Q55" s="71" t="s">
        <v>107</v>
      </c>
      <c r="R55" s="19"/>
      <c r="S55" s="71" t="s">
        <v>107</v>
      </c>
      <c r="T55" s="19"/>
      <c r="U55" s="20">
        <v>673</v>
      </c>
      <c r="V55" s="71" t="s">
        <v>107</v>
      </c>
      <c r="W55" s="20">
        <v>5132</v>
      </c>
      <c r="X55" s="20"/>
      <c r="Y55" s="20">
        <v>5895</v>
      </c>
      <c r="Z55" s="20"/>
      <c r="AA55" s="22">
        <v>14992</v>
      </c>
      <c r="AB55" s="22">
        <v>34436</v>
      </c>
      <c r="AC55" s="7">
        <v>213539</v>
      </c>
      <c r="AD55" s="7">
        <v>99794</v>
      </c>
      <c r="AE55" s="7">
        <f aca="true" t="shared" si="27" ref="AE55:AF65">AD55+AG55</f>
        <v>117463</v>
      </c>
      <c r="AF55" s="7">
        <f t="shared" si="27"/>
        <v>129133</v>
      </c>
      <c r="AG55" s="7">
        <v>17669</v>
      </c>
      <c r="AH55" s="7">
        <v>11670</v>
      </c>
      <c r="AI55" s="7">
        <v>17847</v>
      </c>
      <c r="AJ55" s="7">
        <v>17741</v>
      </c>
      <c r="AK55" s="24">
        <v>14329</v>
      </c>
      <c r="AL55" s="42">
        <v>14416</v>
      </c>
      <c r="AM55" s="41">
        <f t="shared" si="9"/>
        <v>193466</v>
      </c>
      <c r="AN55" s="81">
        <v>22332</v>
      </c>
      <c r="AO55" s="7">
        <f t="shared" si="3"/>
        <v>215798</v>
      </c>
      <c r="AP55" s="46">
        <f>SUM(B55:AC55,AF55,AI55:AK55)</f>
        <v>453717</v>
      </c>
      <c r="AQ55" s="49">
        <f>+AL55+AP55</f>
        <v>468133</v>
      </c>
      <c r="AR55" s="73" t="s">
        <v>107</v>
      </c>
      <c r="AS55" s="48">
        <f>+AN55+AQ55</f>
        <v>490465</v>
      </c>
    </row>
    <row r="56" spans="1:45" ht="12.75">
      <c r="A56" s="11" t="s">
        <v>64</v>
      </c>
      <c r="B56" s="20">
        <v>2</v>
      </c>
      <c r="C56" s="20">
        <v>105</v>
      </c>
      <c r="D56" s="20">
        <v>44</v>
      </c>
      <c r="E56" s="20">
        <v>368</v>
      </c>
      <c r="F56" s="20">
        <v>449</v>
      </c>
      <c r="G56" s="20">
        <v>95</v>
      </c>
      <c r="H56" s="20"/>
      <c r="I56" s="20">
        <v>157</v>
      </c>
      <c r="J56" s="20"/>
      <c r="K56" s="20">
        <v>404</v>
      </c>
      <c r="L56" s="20"/>
      <c r="M56" s="20">
        <v>549</v>
      </c>
      <c r="N56" s="63"/>
      <c r="O56" s="20">
        <v>8192</v>
      </c>
      <c r="P56" s="20"/>
      <c r="Q56" s="20">
        <v>17159</v>
      </c>
      <c r="R56" s="20"/>
      <c r="S56" s="20">
        <v>15769</v>
      </c>
      <c r="T56" s="20"/>
      <c r="U56" s="20">
        <f>5861-U55</f>
        <v>5188</v>
      </c>
      <c r="V56" s="20"/>
      <c r="W56" s="20">
        <f>21665-W55</f>
        <v>16533</v>
      </c>
      <c r="X56" s="20"/>
      <c r="Y56" s="20">
        <f>44751-Y55</f>
        <v>38856</v>
      </c>
      <c r="Z56" s="20"/>
      <c r="AA56" s="22">
        <f>101330-AA55</f>
        <v>86338</v>
      </c>
      <c r="AB56" s="22">
        <f>134640-AB55</f>
        <v>100204</v>
      </c>
      <c r="AC56" s="7">
        <f>468088-AC55</f>
        <v>254549</v>
      </c>
      <c r="AD56" s="7">
        <f>227335-AD55</f>
        <v>127541</v>
      </c>
      <c r="AE56" s="7">
        <f t="shared" si="27"/>
        <v>150128</v>
      </c>
      <c r="AF56" s="7">
        <f t="shared" si="27"/>
        <v>170478</v>
      </c>
      <c r="AG56" s="7">
        <f>40256-AG55</f>
        <v>22587</v>
      </c>
      <c r="AH56" s="7">
        <f>32020-AH55</f>
        <v>20350</v>
      </c>
      <c r="AI56" s="7">
        <f>44336-AI55</f>
        <v>26489</v>
      </c>
      <c r="AJ56" s="7">
        <f>43451-AJ55</f>
        <v>25710</v>
      </c>
      <c r="AK56" s="24">
        <f>35368-AK55</f>
        <v>21039</v>
      </c>
      <c r="AL56" s="42">
        <f>41441-AL55</f>
        <v>27025</v>
      </c>
      <c r="AM56" s="41">
        <f t="shared" si="9"/>
        <v>270741</v>
      </c>
      <c r="AN56" s="15">
        <v>40376</v>
      </c>
      <c r="AO56" s="7">
        <f t="shared" si="3"/>
        <v>311117</v>
      </c>
      <c r="AP56" s="46">
        <f>SUM(B56:AC56,AF56,AI56:AK56)</f>
        <v>788677</v>
      </c>
      <c r="AQ56" s="49">
        <f>+AL56+AP56</f>
        <v>815702</v>
      </c>
      <c r="AS56" s="48">
        <f>+AN56+AQ56</f>
        <v>856078</v>
      </c>
    </row>
    <row r="57" spans="1:45" ht="12.75">
      <c r="A57" s="13" t="s">
        <v>65</v>
      </c>
      <c r="B57" s="18">
        <f>SUM(B61)</f>
        <v>11</v>
      </c>
      <c r="C57" s="18">
        <f aca="true" t="shared" si="28" ref="C57:S57">SUM(C61)</f>
        <v>531</v>
      </c>
      <c r="D57" s="18">
        <f t="shared" si="28"/>
        <v>856</v>
      </c>
      <c r="E57" s="18">
        <f t="shared" si="28"/>
        <v>3579</v>
      </c>
      <c r="F57" s="18">
        <f t="shared" si="28"/>
        <v>1224</v>
      </c>
      <c r="G57" s="18">
        <f t="shared" si="28"/>
        <v>1397</v>
      </c>
      <c r="H57" s="18"/>
      <c r="I57" s="18">
        <f t="shared" si="28"/>
        <v>1128</v>
      </c>
      <c r="J57" s="18"/>
      <c r="K57" s="18">
        <f t="shared" si="28"/>
        <v>2304</v>
      </c>
      <c r="L57" s="18"/>
      <c r="M57" s="18">
        <f t="shared" si="28"/>
        <v>1075</v>
      </c>
      <c r="N57" s="66"/>
      <c r="O57" s="18">
        <f t="shared" si="28"/>
        <v>17280</v>
      </c>
      <c r="P57" s="18"/>
      <c r="Q57" s="18">
        <f t="shared" si="28"/>
        <v>41899</v>
      </c>
      <c r="R57" s="18"/>
      <c r="S57" s="18">
        <f t="shared" si="28"/>
        <v>42215</v>
      </c>
      <c r="T57" s="18"/>
      <c r="U57" s="18">
        <f>SUM(U58:U61)</f>
        <v>7803</v>
      </c>
      <c r="V57" s="18"/>
      <c r="W57" s="18">
        <f>SUM(W58:W61)</f>
        <v>21831</v>
      </c>
      <c r="X57" s="18"/>
      <c r="Y57" s="18">
        <f>SUM(Y58:Y61)</f>
        <v>91628</v>
      </c>
      <c r="Z57" s="18"/>
      <c r="AA57" s="18">
        <f aca="true" t="shared" si="29" ref="AA57:AJ57">SUM(AA58:AA61)</f>
        <v>257940</v>
      </c>
      <c r="AB57" s="18">
        <f t="shared" si="29"/>
        <v>295741</v>
      </c>
      <c r="AC57" s="18">
        <f t="shared" si="29"/>
        <v>461847</v>
      </c>
      <c r="AD57" s="18">
        <f t="shared" si="29"/>
        <v>190110</v>
      </c>
      <c r="AE57" s="9">
        <f t="shared" si="27"/>
        <v>237615</v>
      </c>
      <c r="AF57" s="9">
        <f t="shared" si="27"/>
        <v>283678</v>
      </c>
      <c r="AG57" s="18">
        <f t="shared" si="29"/>
        <v>47505</v>
      </c>
      <c r="AH57" s="18">
        <f t="shared" si="29"/>
        <v>46063</v>
      </c>
      <c r="AI57" s="18">
        <f t="shared" si="29"/>
        <v>61990</v>
      </c>
      <c r="AJ57" s="18">
        <f t="shared" si="29"/>
        <v>52600</v>
      </c>
      <c r="AK57" s="26">
        <f aca="true" t="shared" si="30" ref="AK57:AS57">SUM(AK58:AK61)</f>
        <v>44884</v>
      </c>
      <c r="AL57" s="40">
        <f t="shared" si="30"/>
        <v>41112</v>
      </c>
      <c r="AM57" s="40">
        <f t="shared" si="30"/>
        <v>484264</v>
      </c>
      <c r="AN57" s="40">
        <f t="shared" si="30"/>
        <v>55392</v>
      </c>
      <c r="AO57" s="9">
        <f t="shared" si="3"/>
        <v>539656</v>
      </c>
      <c r="AP57" s="40">
        <f t="shared" si="30"/>
        <v>1693441</v>
      </c>
      <c r="AQ57" s="40">
        <f t="shared" si="30"/>
        <v>1734553</v>
      </c>
      <c r="AS57" s="40">
        <f t="shared" si="30"/>
        <v>1789945</v>
      </c>
    </row>
    <row r="58" spans="1:45" ht="15">
      <c r="A58" s="11" t="s">
        <v>66</v>
      </c>
      <c r="B58" s="71" t="s">
        <v>107</v>
      </c>
      <c r="C58" s="71" t="s">
        <v>107</v>
      </c>
      <c r="D58" s="71" t="s">
        <v>107</v>
      </c>
      <c r="E58" s="71" t="s">
        <v>107</v>
      </c>
      <c r="F58" s="71" t="s">
        <v>107</v>
      </c>
      <c r="G58" s="71" t="s">
        <v>107</v>
      </c>
      <c r="H58" s="19"/>
      <c r="I58" s="71" t="s">
        <v>107</v>
      </c>
      <c r="J58" s="19"/>
      <c r="K58" s="71" t="s">
        <v>107</v>
      </c>
      <c r="L58" s="19"/>
      <c r="M58" s="71" t="s">
        <v>107</v>
      </c>
      <c r="N58" s="64"/>
      <c r="O58" s="71" t="s">
        <v>107</v>
      </c>
      <c r="P58" s="19"/>
      <c r="Q58" s="71" t="s">
        <v>107</v>
      </c>
      <c r="R58" s="19"/>
      <c r="S58" s="71" t="s">
        <v>107</v>
      </c>
      <c r="T58" s="19"/>
      <c r="U58" s="20">
        <v>1349</v>
      </c>
      <c r="V58" s="71" t="s">
        <v>107</v>
      </c>
      <c r="W58" s="20">
        <v>3338</v>
      </c>
      <c r="X58" s="20"/>
      <c r="Y58" s="20">
        <v>19486</v>
      </c>
      <c r="Z58" s="20"/>
      <c r="AA58" s="22">
        <v>49721</v>
      </c>
      <c r="AB58" s="22">
        <v>29897</v>
      </c>
      <c r="AC58" s="7">
        <v>27327</v>
      </c>
      <c r="AD58" s="7">
        <v>11286</v>
      </c>
      <c r="AE58" s="7">
        <f t="shared" si="27"/>
        <v>13760</v>
      </c>
      <c r="AF58" s="7">
        <f t="shared" si="27"/>
        <v>15999</v>
      </c>
      <c r="AG58" s="7">
        <v>2474</v>
      </c>
      <c r="AH58" s="7">
        <v>2239</v>
      </c>
      <c r="AI58" s="7">
        <v>2878</v>
      </c>
      <c r="AJ58" s="7">
        <v>2055</v>
      </c>
      <c r="AK58" s="24">
        <v>1649</v>
      </c>
      <c r="AL58" s="42">
        <v>1578</v>
      </c>
      <c r="AM58" s="41">
        <f t="shared" si="9"/>
        <v>24159</v>
      </c>
      <c r="AN58" s="81">
        <v>2485</v>
      </c>
      <c r="AO58" s="7">
        <f t="shared" si="3"/>
        <v>26644</v>
      </c>
      <c r="AP58" s="46">
        <f aca="true" t="shared" si="31" ref="AP58:AP65">SUM(B58:AC58,AF58,AI58:AK58)</f>
        <v>153699</v>
      </c>
      <c r="AQ58" s="49">
        <f aca="true" t="shared" si="32" ref="AQ58:AQ65">+AL58+AP58</f>
        <v>155277</v>
      </c>
      <c r="AR58" s="73" t="s">
        <v>107</v>
      </c>
      <c r="AS58" s="48">
        <f aca="true" t="shared" si="33" ref="AS58:AS65">+AN58+AQ58</f>
        <v>157762</v>
      </c>
    </row>
    <row r="59" spans="1:45" ht="15">
      <c r="A59" s="11" t="s">
        <v>67</v>
      </c>
      <c r="B59" s="71" t="s">
        <v>107</v>
      </c>
      <c r="C59" s="71" t="s">
        <v>107</v>
      </c>
      <c r="D59" s="71" t="s">
        <v>107</v>
      </c>
      <c r="E59" s="71" t="s">
        <v>107</v>
      </c>
      <c r="F59" s="71" t="s">
        <v>107</v>
      </c>
      <c r="G59" s="71" t="s">
        <v>107</v>
      </c>
      <c r="H59" s="19"/>
      <c r="I59" s="71" t="s">
        <v>107</v>
      </c>
      <c r="J59" s="19"/>
      <c r="K59" s="71" t="s">
        <v>107</v>
      </c>
      <c r="L59" s="19"/>
      <c r="M59" s="71" t="s">
        <v>107</v>
      </c>
      <c r="N59" s="64"/>
      <c r="O59" s="71" t="s">
        <v>107</v>
      </c>
      <c r="P59" s="19"/>
      <c r="Q59" s="71" t="s">
        <v>107</v>
      </c>
      <c r="R59" s="19"/>
      <c r="S59" s="71" t="s">
        <v>107</v>
      </c>
      <c r="T59" s="19"/>
      <c r="U59" s="20">
        <v>1223</v>
      </c>
      <c r="V59" s="71" t="s">
        <v>107</v>
      </c>
      <c r="W59" s="20">
        <v>3858</v>
      </c>
      <c r="X59" s="20"/>
      <c r="Y59" s="20">
        <v>18048</v>
      </c>
      <c r="Z59" s="20"/>
      <c r="AA59" s="22">
        <v>72028</v>
      </c>
      <c r="AB59" s="22">
        <v>77347</v>
      </c>
      <c r="AC59" s="7">
        <v>122849</v>
      </c>
      <c r="AD59" s="7">
        <v>44754</v>
      </c>
      <c r="AE59" s="7">
        <f t="shared" si="27"/>
        <v>55407</v>
      </c>
      <c r="AF59" s="7">
        <f t="shared" si="27"/>
        <v>66048</v>
      </c>
      <c r="AG59" s="7">
        <v>10653</v>
      </c>
      <c r="AH59" s="7">
        <v>10641</v>
      </c>
      <c r="AI59" s="7">
        <v>14078</v>
      </c>
      <c r="AJ59" s="7">
        <v>12795</v>
      </c>
      <c r="AK59" s="24">
        <v>11618</v>
      </c>
      <c r="AL59" s="42">
        <v>9769</v>
      </c>
      <c r="AM59" s="41">
        <f t="shared" si="9"/>
        <v>114308</v>
      </c>
      <c r="AN59" s="81">
        <v>14191</v>
      </c>
      <c r="AO59" s="7">
        <f t="shared" si="3"/>
        <v>128499</v>
      </c>
      <c r="AP59" s="46">
        <f t="shared" si="31"/>
        <v>399892</v>
      </c>
      <c r="AQ59" s="49">
        <f t="shared" si="32"/>
        <v>409661</v>
      </c>
      <c r="AR59" s="73" t="s">
        <v>107</v>
      </c>
      <c r="AS59" s="48">
        <f t="shared" si="33"/>
        <v>423852</v>
      </c>
    </row>
    <row r="60" spans="1:45" ht="15">
      <c r="A60" s="11" t="s">
        <v>68</v>
      </c>
      <c r="B60" s="71" t="s">
        <v>107</v>
      </c>
      <c r="C60" s="71" t="s">
        <v>107</v>
      </c>
      <c r="D60" s="71" t="s">
        <v>107</v>
      </c>
      <c r="E60" s="71" t="s">
        <v>107</v>
      </c>
      <c r="F60" s="71" t="s">
        <v>107</v>
      </c>
      <c r="G60" s="71" t="s">
        <v>107</v>
      </c>
      <c r="H60" s="19"/>
      <c r="I60" s="71" t="s">
        <v>107</v>
      </c>
      <c r="J60" s="19"/>
      <c r="K60" s="71" t="s">
        <v>107</v>
      </c>
      <c r="L60" s="19"/>
      <c r="M60" s="71" t="s">
        <v>107</v>
      </c>
      <c r="N60" s="64"/>
      <c r="O60" s="71" t="s">
        <v>107</v>
      </c>
      <c r="P60" s="19"/>
      <c r="Q60" s="71" t="s">
        <v>107</v>
      </c>
      <c r="R60" s="19"/>
      <c r="S60" s="71" t="s">
        <v>107</v>
      </c>
      <c r="T60" s="19"/>
      <c r="U60" s="20">
        <v>337</v>
      </c>
      <c r="V60" s="71" t="s">
        <v>107</v>
      </c>
      <c r="W60" s="20">
        <v>2417</v>
      </c>
      <c r="X60" s="20"/>
      <c r="Y60" s="20">
        <v>9841</v>
      </c>
      <c r="Z60" s="20"/>
      <c r="AA60" s="22">
        <v>36780</v>
      </c>
      <c r="AB60" s="22">
        <v>50077</v>
      </c>
      <c r="AC60" s="7">
        <v>56315</v>
      </c>
      <c r="AD60" s="7">
        <v>24684</v>
      </c>
      <c r="AE60" s="7">
        <f t="shared" si="27"/>
        <v>30627</v>
      </c>
      <c r="AF60" s="7">
        <f t="shared" si="27"/>
        <v>37080</v>
      </c>
      <c r="AG60" s="7">
        <v>5943</v>
      </c>
      <c r="AH60" s="7">
        <v>6453</v>
      </c>
      <c r="AI60" s="7">
        <v>8348</v>
      </c>
      <c r="AJ60" s="7">
        <v>7763</v>
      </c>
      <c r="AK60" s="24">
        <v>6840</v>
      </c>
      <c r="AL60" s="42">
        <v>8903</v>
      </c>
      <c r="AM60" s="41">
        <f t="shared" si="9"/>
        <v>68934</v>
      </c>
      <c r="AN60" s="81">
        <v>7658</v>
      </c>
      <c r="AO60" s="7">
        <f t="shared" si="3"/>
        <v>76592</v>
      </c>
      <c r="AP60" s="46">
        <f t="shared" si="31"/>
        <v>215798</v>
      </c>
      <c r="AQ60" s="49">
        <f t="shared" si="32"/>
        <v>224701</v>
      </c>
      <c r="AR60" s="73" t="s">
        <v>107</v>
      </c>
      <c r="AS60" s="48">
        <f t="shared" si="33"/>
        <v>232359</v>
      </c>
    </row>
    <row r="61" spans="1:45" ht="12.75">
      <c r="A61" s="11" t="s">
        <v>69</v>
      </c>
      <c r="B61" s="20">
        <v>11</v>
      </c>
      <c r="C61" s="20">
        <v>531</v>
      </c>
      <c r="D61" s="20">
        <v>856</v>
      </c>
      <c r="E61" s="20">
        <v>3579</v>
      </c>
      <c r="F61" s="20">
        <v>1224</v>
      </c>
      <c r="G61" s="20">
        <v>1397</v>
      </c>
      <c r="H61" s="20"/>
      <c r="I61" s="20">
        <v>1128</v>
      </c>
      <c r="J61" s="20"/>
      <c r="K61" s="20">
        <v>2304</v>
      </c>
      <c r="L61" s="20"/>
      <c r="M61" s="20">
        <v>1075</v>
      </c>
      <c r="N61" s="63"/>
      <c r="O61" s="20">
        <v>17280</v>
      </c>
      <c r="P61" s="20"/>
      <c r="Q61" s="20">
        <v>41899</v>
      </c>
      <c r="R61" s="20"/>
      <c r="S61" s="20">
        <v>42215</v>
      </c>
      <c r="T61" s="20"/>
      <c r="U61" s="20">
        <v>4894</v>
      </c>
      <c r="V61" s="20"/>
      <c r="W61" s="20">
        <v>12218</v>
      </c>
      <c r="X61" s="20"/>
      <c r="Y61" s="20">
        <v>44253</v>
      </c>
      <c r="Z61" s="20"/>
      <c r="AA61" s="22">
        <v>99411</v>
      </c>
      <c r="AB61" s="22">
        <v>138420</v>
      </c>
      <c r="AC61" s="7">
        <v>255356</v>
      </c>
      <c r="AD61" s="7">
        <v>109386</v>
      </c>
      <c r="AE61" s="7">
        <f t="shared" si="27"/>
        <v>137821</v>
      </c>
      <c r="AF61" s="7">
        <f t="shared" si="27"/>
        <v>164551</v>
      </c>
      <c r="AG61" s="7">
        <f>47505-SUM(AG58:AG60)</f>
        <v>28435</v>
      </c>
      <c r="AH61" s="7">
        <f>46063-SUM(AH58:AH60)</f>
        <v>26730</v>
      </c>
      <c r="AI61" s="7">
        <f>61990-SUM(AI58:AI60)</f>
        <v>36686</v>
      </c>
      <c r="AJ61" s="7">
        <f>52600-SUM(AJ58:AJ60)</f>
        <v>29987</v>
      </c>
      <c r="AK61" s="24">
        <v>24777</v>
      </c>
      <c r="AL61" s="43">
        <v>20862</v>
      </c>
      <c r="AM61" s="41">
        <f t="shared" si="9"/>
        <v>276863</v>
      </c>
      <c r="AN61" s="82">
        <v>31058</v>
      </c>
      <c r="AO61" s="7">
        <f t="shared" si="3"/>
        <v>307921</v>
      </c>
      <c r="AP61" s="46">
        <f t="shared" si="31"/>
        <v>924052</v>
      </c>
      <c r="AQ61" s="49">
        <f t="shared" si="32"/>
        <v>944914</v>
      </c>
      <c r="AS61" s="48">
        <f t="shared" si="33"/>
        <v>975972</v>
      </c>
    </row>
    <row r="62" spans="1:45" ht="15">
      <c r="A62" s="11" t="s">
        <v>70</v>
      </c>
      <c r="B62" s="71" t="s">
        <v>109</v>
      </c>
      <c r="C62" s="71" t="s">
        <v>109</v>
      </c>
      <c r="D62" s="71" t="s">
        <v>109</v>
      </c>
      <c r="E62" s="71" t="s">
        <v>109</v>
      </c>
      <c r="F62" s="71" t="s">
        <v>109</v>
      </c>
      <c r="G62" s="71" t="s">
        <v>109</v>
      </c>
      <c r="H62" s="19"/>
      <c r="I62" s="71" t="s">
        <v>109</v>
      </c>
      <c r="J62" s="19"/>
      <c r="K62" s="71" t="s">
        <v>109</v>
      </c>
      <c r="L62" s="19"/>
      <c r="M62" s="71" t="s">
        <v>109</v>
      </c>
      <c r="N62" s="64"/>
      <c r="O62" s="71" t="s">
        <v>109</v>
      </c>
      <c r="P62" s="19"/>
      <c r="Q62" s="71" t="s">
        <v>109</v>
      </c>
      <c r="R62" s="19"/>
      <c r="S62" s="20">
        <f>1516716-SUM(S46:S48,S54,S57)</f>
        <v>31</v>
      </c>
      <c r="T62" s="72" t="s">
        <v>109</v>
      </c>
      <c r="U62" s="20">
        <f>160037-SUM(U46:U48,U54,U57)</f>
        <v>25</v>
      </c>
      <c r="V62" s="20"/>
      <c r="W62" s="20">
        <f>354804-SUM(W46:W48,W54,W57)</f>
        <v>29276</v>
      </c>
      <c r="X62" s="20"/>
      <c r="Y62" s="20">
        <f>996944-SUM(Y46:Y48,Y54,Y57)</f>
        <v>59711</v>
      </c>
      <c r="Z62" s="20"/>
      <c r="AA62" s="22">
        <v>19644</v>
      </c>
      <c r="AB62" s="22">
        <v>995</v>
      </c>
      <c r="AC62" s="7">
        <v>458</v>
      </c>
      <c r="AD62" s="7">
        <v>21</v>
      </c>
      <c r="AE62" s="7">
        <f t="shared" si="27"/>
        <v>25</v>
      </c>
      <c r="AF62" s="7">
        <f t="shared" si="27"/>
        <v>29</v>
      </c>
      <c r="AG62" s="7">
        <f>325173-SUM(AG46:AG48,AG54,AG57)</f>
        <v>4</v>
      </c>
      <c r="AH62" s="7">
        <f>282270-SUM(AH46:AH48,AH54,AH57)</f>
        <v>4</v>
      </c>
      <c r="AI62" s="7">
        <f>407813-SUM(AI46:AI48,AI54,AI57)</f>
        <v>2</v>
      </c>
      <c r="AJ62" s="7">
        <f>359619-SUM(AJ46:AJ48,AJ54,AJ57)</f>
        <v>5</v>
      </c>
      <c r="AK62" s="24" t="s">
        <v>30</v>
      </c>
      <c r="AL62" s="43">
        <v>1</v>
      </c>
      <c r="AM62" s="41">
        <f>SUM(AF62,AI62,AJ62:AL62)</f>
        <v>37</v>
      </c>
      <c r="AN62">
        <v>3</v>
      </c>
      <c r="AO62" s="7">
        <f t="shared" si="3"/>
        <v>40</v>
      </c>
      <c r="AP62" s="46">
        <f t="shared" si="31"/>
        <v>110176</v>
      </c>
      <c r="AQ62" s="49">
        <f t="shared" si="32"/>
        <v>110177</v>
      </c>
      <c r="AS62" s="48">
        <f t="shared" si="33"/>
        <v>110180</v>
      </c>
    </row>
    <row r="63" spans="1:45" ht="12.75">
      <c r="A63" s="13" t="s">
        <v>71</v>
      </c>
      <c r="B63" s="18">
        <v>1</v>
      </c>
      <c r="C63" s="18">
        <v>16</v>
      </c>
      <c r="D63" s="18">
        <v>54</v>
      </c>
      <c r="E63" s="18">
        <v>55</v>
      </c>
      <c r="F63" s="18">
        <v>210</v>
      </c>
      <c r="G63" s="18">
        <v>312</v>
      </c>
      <c r="H63" s="18"/>
      <c r="I63" s="18">
        <v>358</v>
      </c>
      <c r="J63" s="18"/>
      <c r="K63" s="18">
        <v>857</v>
      </c>
      <c r="L63" s="18"/>
      <c r="M63" s="18">
        <v>350</v>
      </c>
      <c r="N63" s="66"/>
      <c r="O63" s="18">
        <v>7368</v>
      </c>
      <c r="P63" s="18"/>
      <c r="Q63" s="18">
        <v>8443</v>
      </c>
      <c r="R63" s="18"/>
      <c r="S63" s="18">
        <v>6286</v>
      </c>
      <c r="T63" s="18"/>
      <c r="U63" s="18">
        <v>1750</v>
      </c>
      <c r="V63" s="18"/>
      <c r="W63" s="18">
        <v>7367</v>
      </c>
      <c r="X63" s="18"/>
      <c r="Y63" s="18">
        <v>14092</v>
      </c>
      <c r="Z63" s="18"/>
      <c r="AA63" s="17">
        <v>28954</v>
      </c>
      <c r="AB63" s="17">
        <v>80779</v>
      </c>
      <c r="AC63" s="9">
        <v>176893</v>
      </c>
      <c r="AD63" s="9">
        <v>83781</v>
      </c>
      <c r="AE63" s="9">
        <f t="shared" si="27"/>
        <v>108645</v>
      </c>
      <c r="AF63" s="9">
        <f t="shared" si="27"/>
        <v>148463</v>
      </c>
      <c r="AG63" s="9">
        <v>24864</v>
      </c>
      <c r="AH63" s="9">
        <v>39818</v>
      </c>
      <c r="AI63" s="9">
        <v>49605</v>
      </c>
      <c r="AJ63" s="9">
        <v>44668</v>
      </c>
      <c r="AK63" s="27">
        <v>37494</v>
      </c>
      <c r="AL63" s="3">
        <v>33740</v>
      </c>
      <c r="AM63" s="45">
        <f t="shared" si="9"/>
        <v>313970</v>
      </c>
      <c r="AN63" s="80">
        <v>40969</v>
      </c>
      <c r="AO63" s="9">
        <f t="shared" si="3"/>
        <v>354939</v>
      </c>
      <c r="AP63" s="86">
        <f t="shared" si="31"/>
        <v>614375</v>
      </c>
      <c r="AQ63" s="52">
        <f t="shared" si="32"/>
        <v>648115</v>
      </c>
      <c r="AS63" s="87">
        <f t="shared" si="33"/>
        <v>689084</v>
      </c>
    </row>
    <row r="64" spans="1:45" ht="12.75">
      <c r="A64" s="13" t="s">
        <v>72</v>
      </c>
      <c r="B64" s="18">
        <v>1</v>
      </c>
      <c r="C64" s="18">
        <v>2</v>
      </c>
      <c r="D64" s="18">
        <v>9</v>
      </c>
      <c r="E64" s="18">
        <v>29</v>
      </c>
      <c r="F64" s="18">
        <v>158</v>
      </c>
      <c r="G64" s="18">
        <v>214</v>
      </c>
      <c r="H64" s="18"/>
      <c r="I64" s="18">
        <v>10914</v>
      </c>
      <c r="J64" s="18"/>
      <c r="K64" s="18">
        <v>12574</v>
      </c>
      <c r="L64" s="18"/>
      <c r="M64" s="18">
        <v>3965</v>
      </c>
      <c r="N64" s="66"/>
      <c r="O64" s="18">
        <v>13024</v>
      </c>
      <c r="P64" s="18"/>
      <c r="Q64" s="18">
        <v>13427</v>
      </c>
      <c r="R64" s="18"/>
      <c r="S64" s="18">
        <v>8726</v>
      </c>
      <c r="T64" s="18"/>
      <c r="U64" s="18">
        <v>2483</v>
      </c>
      <c r="V64" s="18"/>
      <c r="W64" s="18">
        <v>14551</v>
      </c>
      <c r="X64" s="18"/>
      <c r="Y64" s="18">
        <v>12976</v>
      </c>
      <c r="Z64" s="18"/>
      <c r="AA64" s="17">
        <v>25122</v>
      </c>
      <c r="AB64" s="17">
        <v>41242</v>
      </c>
      <c r="AC64" s="9">
        <v>45205</v>
      </c>
      <c r="AD64" s="9">
        <v>19199</v>
      </c>
      <c r="AE64" s="9">
        <f t="shared" si="27"/>
        <v>24846</v>
      </c>
      <c r="AF64" s="9">
        <f t="shared" si="27"/>
        <v>30318</v>
      </c>
      <c r="AG64" s="9">
        <v>5647</v>
      </c>
      <c r="AH64" s="9">
        <v>5472</v>
      </c>
      <c r="AI64" s="9">
        <v>6008</v>
      </c>
      <c r="AJ64" s="9">
        <v>4855</v>
      </c>
      <c r="AK64" s="27">
        <v>4403</v>
      </c>
      <c r="AL64" s="3">
        <v>4299</v>
      </c>
      <c r="AM64" s="45">
        <f t="shared" si="9"/>
        <v>49883</v>
      </c>
      <c r="AN64" s="80">
        <v>5962</v>
      </c>
      <c r="AO64" s="9">
        <f t="shared" si="3"/>
        <v>55845</v>
      </c>
      <c r="AP64" s="86">
        <f t="shared" si="31"/>
        <v>250206</v>
      </c>
      <c r="AQ64" s="52">
        <f t="shared" si="32"/>
        <v>254505</v>
      </c>
      <c r="AS64" s="87">
        <f t="shared" si="33"/>
        <v>260467</v>
      </c>
    </row>
    <row r="65" spans="1:45" ht="15">
      <c r="A65" s="28" t="s">
        <v>91</v>
      </c>
      <c r="B65" s="29">
        <f>8385-SUM(B8,B33,B45,B63:B64)</f>
        <v>300</v>
      </c>
      <c r="C65" s="29">
        <f>143439-SUM(C8,C33,C45,C63:C64)</f>
        <v>33030</v>
      </c>
      <c r="D65" s="29">
        <f>599125-SUM(D8,D33,D45,D63:D64)</f>
        <v>69902</v>
      </c>
      <c r="E65" s="29">
        <f>1713251-SUM(E8,E33,E45,E63:E64)</f>
        <v>53115</v>
      </c>
      <c r="F65" s="29">
        <f>2598214-SUM(F8,F33,F45,F63:F64)</f>
        <v>29011</v>
      </c>
      <c r="G65" s="29">
        <f>2314824-SUM(G8,G33,G45,G63:G64)</f>
        <v>17791</v>
      </c>
      <c r="H65" s="29"/>
      <c r="I65" s="29">
        <f>2812191-SUM(I8,I33,I45,I63:I64)</f>
        <v>790</v>
      </c>
      <c r="J65" s="29"/>
      <c r="K65" s="29">
        <f>5246613-SUM(K8,K33,K45,K63:K64)</f>
        <v>789</v>
      </c>
      <c r="L65" s="29"/>
      <c r="M65" s="29">
        <f>3687564-SUM(M8,M33,M45,M63:M64)</f>
        <v>14063</v>
      </c>
      <c r="N65" s="67"/>
      <c r="O65" s="29">
        <f>8795386-SUM(O8,O33,O45,O63:O64)</f>
        <v>33523</v>
      </c>
      <c r="P65" s="76" t="s">
        <v>111</v>
      </c>
      <c r="Q65" s="29">
        <f>5735811-SUM(Q8,Q33,Q45,Q63:Q64)</f>
        <v>1147</v>
      </c>
      <c r="R65" s="29"/>
      <c r="S65" s="29">
        <f>4107209-SUM(S8,S33,S45,S63:S64)</f>
        <v>228</v>
      </c>
      <c r="T65" s="29"/>
      <c r="U65" s="30" t="s">
        <v>30</v>
      </c>
      <c r="V65" s="29"/>
      <c r="W65" s="29">
        <f>1035039-SUM(W8,W33,W45,W63:W64)</f>
        <v>142</v>
      </c>
      <c r="X65" s="29"/>
      <c r="Y65" s="29">
        <f>2515479-SUM(Y8,Y33,Y45,Y63:Y64)</f>
        <v>12491</v>
      </c>
      <c r="Z65" s="29"/>
      <c r="AA65" s="29">
        <f>3321677-SUM(AA8,AA33,AA45,AA63:AA64)</f>
        <v>93</v>
      </c>
      <c r="AB65" s="29">
        <f>4493314-SUM(AB8,AB33,AB45,AB63:AB64)</f>
        <v>12</v>
      </c>
      <c r="AC65" s="29">
        <f>7338062-SUM(AC8,AC33,AC45,AC63:AC64)</f>
        <v>1032</v>
      </c>
      <c r="AD65" s="29">
        <f>3705436-SUM(AD8,AD33,AD45,AD63:AD64)</f>
        <v>180</v>
      </c>
      <c r="AE65" s="8">
        <f t="shared" si="27"/>
        <v>184</v>
      </c>
      <c r="AF65" s="8">
        <f t="shared" si="27"/>
        <v>187</v>
      </c>
      <c r="AG65" s="8">
        <f>804416-SUM(AG8,AG33,AG45,AG63:AG64)</f>
        <v>4</v>
      </c>
      <c r="AH65" s="8">
        <f>720461-SUM(AH8,AH33,AH45,AH63:AH64)</f>
        <v>3</v>
      </c>
      <c r="AI65" s="8">
        <f>915900-SUM(AI8,AI33,AI45,AI63:AI64)</f>
        <v>2</v>
      </c>
      <c r="AJ65" s="8">
        <f>798378-SUM(AJ8,AJ33,AJ45,AJ63:AJ64)</f>
        <v>8317</v>
      </c>
      <c r="AK65" s="8">
        <f>654451-SUM(AK8,AK33,AK45,AK63:AK64)</f>
        <v>8688</v>
      </c>
      <c r="AL65" s="8">
        <f>646568-SUM(AL8,AL33,AL45,AL63:AL64)</f>
        <v>8771</v>
      </c>
      <c r="AM65" s="8">
        <f t="shared" si="9"/>
        <v>25965</v>
      </c>
      <c r="AN65" s="8">
        <f>849807-SUM(AN8,AN33,AN45,AN63:AN64)</f>
        <v>16453</v>
      </c>
      <c r="AO65" s="8">
        <f t="shared" si="3"/>
        <v>42418</v>
      </c>
      <c r="AP65" s="77">
        <f t="shared" si="31"/>
        <v>284653</v>
      </c>
      <c r="AQ65" s="50">
        <f t="shared" si="32"/>
        <v>293424</v>
      </c>
      <c r="AS65" s="85">
        <f t="shared" si="33"/>
        <v>309877</v>
      </c>
    </row>
    <row r="66" spans="1:4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58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31"/>
      <c r="AB66" s="7"/>
      <c r="AC66" s="11"/>
      <c r="AD66" s="11"/>
      <c r="AE66" s="11"/>
      <c r="AF66" s="11"/>
      <c r="AG66" s="11"/>
      <c r="AH66" s="11"/>
      <c r="AI66" s="7"/>
      <c r="AJ66" s="32"/>
      <c r="AK66" s="32"/>
      <c r="AL66" s="42"/>
      <c r="AM66" s="42"/>
      <c r="AN66" s="42"/>
      <c r="AO66" s="42"/>
      <c r="AP66" s="32"/>
      <c r="AQ66" s="51"/>
    </row>
    <row r="67" spans="1:43" ht="15">
      <c r="A67" s="83" t="s">
        <v>147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8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31"/>
      <c r="AB67" s="7"/>
      <c r="AC67" s="11"/>
      <c r="AD67" s="11"/>
      <c r="AE67" s="11"/>
      <c r="AF67" s="11"/>
      <c r="AG67" s="11"/>
      <c r="AH67" s="11"/>
      <c r="AI67" s="7"/>
      <c r="AJ67" s="11"/>
      <c r="AK67" s="11"/>
      <c r="AL67" s="42"/>
      <c r="AM67" s="42"/>
      <c r="AN67" s="42"/>
      <c r="AO67" s="42"/>
      <c r="AP67" s="11"/>
      <c r="AQ67" s="51"/>
    </row>
    <row r="68" spans="1:43" ht="12.75">
      <c r="A68" s="11" t="s">
        <v>124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58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31"/>
      <c r="AB68" s="7"/>
      <c r="AC68" s="11"/>
      <c r="AD68" s="11"/>
      <c r="AE68" s="11"/>
      <c r="AF68" s="11"/>
      <c r="AG68" s="11"/>
      <c r="AH68" s="11"/>
      <c r="AI68" s="7"/>
      <c r="AJ68" s="11"/>
      <c r="AK68" s="11"/>
      <c r="AL68" s="42"/>
      <c r="AM68" s="42"/>
      <c r="AN68" s="42"/>
      <c r="AO68" s="42"/>
      <c r="AP68" s="11"/>
      <c r="AQ68" s="51"/>
    </row>
    <row r="69" spans="1:43" ht="12.75">
      <c r="A69" s="11" t="s">
        <v>123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58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31"/>
      <c r="AB69" s="11"/>
      <c r="AC69" s="11"/>
      <c r="AD69" s="11"/>
      <c r="AE69" s="11"/>
      <c r="AF69" s="11"/>
      <c r="AG69" s="11"/>
      <c r="AH69" s="11"/>
      <c r="AI69" s="7"/>
      <c r="AJ69" s="11"/>
      <c r="AK69" s="11"/>
      <c r="AL69" s="42"/>
      <c r="AM69" s="42"/>
      <c r="AN69" s="42"/>
      <c r="AO69" s="42"/>
      <c r="AP69" s="11"/>
      <c r="AQ69" s="51"/>
    </row>
    <row r="70" spans="1:43" ht="12.75">
      <c r="A70" s="11" t="s">
        <v>148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8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31"/>
      <c r="AB70" s="11"/>
      <c r="AC70" s="11"/>
      <c r="AD70" s="32"/>
      <c r="AE70" s="32"/>
      <c r="AF70" s="32"/>
      <c r="AG70" s="11"/>
      <c r="AH70" s="11"/>
      <c r="AI70" s="7"/>
      <c r="AJ70" s="11"/>
      <c r="AK70" s="11"/>
      <c r="AL70" s="42"/>
      <c r="AM70" s="42"/>
      <c r="AN70" s="42"/>
      <c r="AO70" s="42"/>
      <c r="AP70" s="11"/>
      <c r="AQ70" s="51"/>
    </row>
    <row r="71" spans="1:43" ht="12.75">
      <c r="A71" s="11" t="s">
        <v>120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58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31"/>
      <c r="AB71" s="11"/>
      <c r="AC71" s="11"/>
      <c r="AD71" s="32"/>
      <c r="AE71" s="32"/>
      <c r="AF71" s="32"/>
      <c r="AG71" s="11"/>
      <c r="AH71" s="11"/>
      <c r="AI71" s="7"/>
      <c r="AJ71" s="11"/>
      <c r="AK71" s="11"/>
      <c r="AL71" s="42"/>
      <c r="AM71" s="42"/>
      <c r="AN71" s="42"/>
      <c r="AO71" s="42"/>
      <c r="AP71" s="11"/>
      <c r="AQ71" s="51"/>
    </row>
    <row r="72" spans="1:43" ht="15">
      <c r="A72" s="83" t="s">
        <v>113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58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31"/>
      <c r="AB72" s="11"/>
      <c r="AC72" s="11"/>
      <c r="AD72" s="11"/>
      <c r="AE72" s="11"/>
      <c r="AF72" s="11"/>
      <c r="AG72" s="11"/>
      <c r="AH72" s="11"/>
      <c r="AI72" s="7"/>
      <c r="AJ72" s="11"/>
      <c r="AK72" s="11"/>
      <c r="AL72" s="42"/>
      <c r="AM72" s="42"/>
      <c r="AN72" s="42"/>
      <c r="AO72" s="42"/>
      <c r="AP72" s="11"/>
      <c r="AQ72" s="51"/>
    </row>
    <row r="73" spans="1:43" ht="15">
      <c r="A73" s="83" t="s">
        <v>114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58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31"/>
      <c r="AB73" s="11"/>
      <c r="AC73" s="11"/>
      <c r="AD73" s="11"/>
      <c r="AE73" s="11"/>
      <c r="AF73" s="11"/>
      <c r="AG73" s="11"/>
      <c r="AH73" s="11"/>
      <c r="AI73" s="7"/>
      <c r="AJ73" s="11"/>
      <c r="AK73" s="11"/>
      <c r="AL73" s="42"/>
      <c r="AM73" s="42"/>
      <c r="AN73" s="42"/>
      <c r="AO73" s="42"/>
      <c r="AP73" s="11"/>
      <c r="AQ73" s="51"/>
    </row>
    <row r="74" spans="1:43" ht="15">
      <c r="A74" s="83" t="s">
        <v>121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58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31"/>
      <c r="AB74" s="11"/>
      <c r="AC74" s="11"/>
      <c r="AD74" s="11"/>
      <c r="AE74" s="11"/>
      <c r="AF74" s="11"/>
      <c r="AG74" s="11"/>
      <c r="AH74" s="11"/>
      <c r="AI74" s="7"/>
      <c r="AJ74" s="11"/>
      <c r="AK74" s="11"/>
      <c r="AL74" s="42"/>
      <c r="AM74" s="42"/>
      <c r="AN74" s="42"/>
      <c r="AO74" s="42"/>
      <c r="AP74" s="11"/>
      <c r="AQ74" s="51"/>
    </row>
    <row r="75" spans="1:43" ht="15">
      <c r="A75" s="83" t="s">
        <v>122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58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1"/>
      <c r="AB75" s="11"/>
      <c r="AC75" s="11"/>
      <c r="AD75" s="11"/>
      <c r="AE75" s="11"/>
      <c r="AF75" s="11"/>
      <c r="AG75" s="11"/>
      <c r="AH75" s="11"/>
      <c r="AI75" s="7"/>
      <c r="AJ75" s="11"/>
      <c r="AK75" s="11"/>
      <c r="AL75" s="42"/>
      <c r="AM75" s="42"/>
      <c r="AN75" s="42"/>
      <c r="AO75" s="42"/>
      <c r="AP75" s="11"/>
      <c r="AQ75" s="51"/>
    </row>
    <row r="76" spans="1:43" ht="15">
      <c r="A76" s="83" t="s">
        <v>115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58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31"/>
      <c r="AB76" s="11"/>
      <c r="AC76" s="11"/>
      <c r="AD76" s="11"/>
      <c r="AE76" s="11"/>
      <c r="AF76" s="11"/>
      <c r="AG76" s="11"/>
      <c r="AH76" s="11"/>
      <c r="AI76" s="7"/>
      <c r="AJ76" s="11"/>
      <c r="AK76" s="11"/>
      <c r="AL76" s="42"/>
      <c r="AM76" s="42"/>
      <c r="AN76" s="42"/>
      <c r="AO76" s="42"/>
      <c r="AP76" s="11"/>
      <c r="AQ76" s="51"/>
    </row>
    <row r="77" spans="1:43" ht="15">
      <c r="A77" s="83" t="s">
        <v>116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58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31"/>
      <c r="AB77" s="11"/>
      <c r="AC77" s="11"/>
      <c r="AD77" s="11"/>
      <c r="AE77" s="11"/>
      <c r="AF77" s="11"/>
      <c r="AG77" s="11"/>
      <c r="AH77" s="11"/>
      <c r="AI77" s="7"/>
      <c r="AJ77" s="11"/>
      <c r="AK77" s="11"/>
      <c r="AL77" s="42"/>
      <c r="AM77" s="42"/>
      <c r="AN77" s="42"/>
      <c r="AO77" s="42"/>
      <c r="AP77" s="11"/>
      <c r="AQ77" s="51"/>
    </row>
    <row r="78" spans="1:43" ht="15">
      <c r="A78" s="83" t="s">
        <v>117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58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31"/>
      <c r="AB78" s="11"/>
      <c r="AC78" s="11"/>
      <c r="AD78" s="11"/>
      <c r="AE78" s="11"/>
      <c r="AF78" s="11"/>
      <c r="AG78" s="11"/>
      <c r="AH78" s="11"/>
      <c r="AI78" s="7"/>
      <c r="AJ78" s="11"/>
      <c r="AK78" s="11"/>
      <c r="AL78" s="42"/>
      <c r="AM78" s="42"/>
      <c r="AN78" s="42"/>
      <c r="AO78" s="42"/>
      <c r="AP78" s="11"/>
      <c r="AQ78" s="51"/>
    </row>
    <row r="79" spans="1:43" ht="15">
      <c r="A79" s="84" t="s">
        <v>125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58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31"/>
      <c r="AB79" s="11"/>
      <c r="AC79" s="11"/>
      <c r="AD79" s="11"/>
      <c r="AE79" s="11"/>
      <c r="AF79" s="11"/>
      <c r="AG79" s="11"/>
      <c r="AH79" s="11"/>
      <c r="AI79" s="7"/>
      <c r="AJ79" s="11"/>
      <c r="AK79" s="11"/>
      <c r="AL79" s="42"/>
      <c r="AM79" s="42"/>
      <c r="AN79" s="42"/>
      <c r="AO79" s="42"/>
      <c r="AP79" s="11"/>
      <c r="AQ79" s="51"/>
    </row>
    <row r="80" spans="1:43" ht="12.75">
      <c r="A80" s="11" t="s">
        <v>126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58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31"/>
      <c r="AB80" s="11"/>
      <c r="AC80" s="11"/>
      <c r="AD80" s="11"/>
      <c r="AE80" s="11"/>
      <c r="AF80" s="11"/>
      <c r="AG80" s="11"/>
      <c r="AH80" s="11"/>
      <c r="AI80" s="7"/>
      <c r="AJ80" s="11"/>
      <c r="AK80" s="11"/>
      <c r="AL80" s="42"/>
      <c r="AM80" s="42"/>
      <c r="AN80" s="42"/>
      <c r="AO80" s="42"/>
      <c r="AP80" s="11"/>
      <c r="AQ80" s="51"/>
    </row>
    <row r="81" spans="1:43" ht="15">
      <c r="A81" s="83" t="s">
        <v>118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58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1"/>
      <c r="AB81" s="11"/>
      <c r="AC81" s="11"/>
      <c r="AD81" s="11"/>
      <c r="AE81" s="11"/>
      <c r="AF81" s="11"/>
      <c r="AG81" s="11"/>
      <c r="AH81" s="11"/>
      <c r="AI81" s="7"/>
      <c r="AJ81" s="11"/>
      <c r="AK81" s="11"/>
      <c r="AL81" s="42"/>
      <c r="AM81" s="42"/>
      <c r="AN81" s="42"/>
      <c r="AO81" s="42"/>
      <c r="AP81" s="11"/>
      <c r="AQ81" s="51"/>
    </row>
    <row r="82" spans="1:43" ht="15">
      <c r="A82" s="83" t="s">
        <v>119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58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31"/>
      <c r="AB82" s="11"/>
      <c r="AC82" s="11"/>
      <c r="AD82" s="11"/>
      <c r="AE82" s="11"/>
      <c r="AF82" s="11"/>
      <c r="AG82" s="11"/>
      <c r="AH82" s="11"/>
      <c r="AI82" s="7"/>
      <c r="AJ82" s="11"/>
      <c r="AK82" s="11"/>
      <c r="AL82" s="42"/>
      <c r="AM82" s="42"/>
      <c r="AN82" s="42"/>
      <c r="AO82" s="42"/>
      <c r="AP82" s="11"/>
      <c r="AQ82" s="51"/>
    </row>
    <row r="83" spans="1:42" ht="15">
      <c r="A83" s="83" t="s">
        <v>127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58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31"/>
      <c r="AB83" s="11"/>
      <c r="AC83" s="11"/>
      <c r="AD83" s="11"/>
      <c r="AE83" s="11"/>
      <c r="AF83" s="11"/>
      <c r="AG83" s="11"/>
      <c r="AH83" s="11"/>
      <c r="AI83" s="7"/>
      <c r="AJ83" s="11"/>
      <c r="AK83" s="11"/>
      <c r="AP83" s="11"/>
    </row>
    <row r="84" spans="1:43" ht="15">
      <c r="A84" s="83" t="s">
        <v>129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58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31"/>
      <c r="AB84" s="11"/>
      <c r="AC84" s="11"/>
      <c r="AD84" s="11"/>
      <c r="AE84" s="11"/>
      <c r="AF84" s="11"/>
      <c r="AG84" s="11"/>
      <c r="AH84" s="11"/>
      <c r="AI84" s="7"/>
      <c r="AJ84" s="11"/>
      <c r="AK84" s="11"/>
      <c r="AL84" s="42"/>
      <c r="AM84" s="42"/>
      <c r="AN84" s="42"/>
      <c r="AO84" s="42"/>
      <c r="AP84" s="11"/>
      <c r="AQ84" s="51"/>
    </row>
    <row r="85" spans="1:43" ht="15">
      <c r="A85" s="83" t="s">
        <v>128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58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31"/>
      <c r="AB85" s="11"/>
      <c r="AC85" s="11"/>
      <c r="AD85" s="11"/>
      <c r="AE85" s="11"/>
      <c r="AF85" s="11"/>
      <c r="AG85" s="11"/>
      <c r="AH85" s="11"/>
      <c r="AI85" s="7"/>
      <c r="AJ85" s="11"/>
      <c r="AK85" s="11"/>
      <c r="AL85" s="42"/>
      <c r="AM85" s="42"/>
      <c r="AN85" s="42"/>
      <c r="AO85" s="42"/>
      <c r="AP85" s="11"/>
      <c r="AQ85" s="51"/>
    </row>
    <row r="86" spans="1:43" ht="15">
      <c r="A86" s="83" t="s">
        <v>130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58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31"/>
      <c r="AB86" s="11"/>
      <c r="AC86" s="11"/>
      <c r="AD86" s="11"/>
      <c r="AE86" s="11"/>
      <c r="AF86" s="11"/>
      <c r="AG86" s="11"/>
      <c r="AH86" s="11"/>
      <c r="AI86" s="7"/>
      <c r="AJ86" s="11"/>
      <c r="AK86" s="11"/>
      <c r="AL86" s="42"/>
      <c r="AM86" s="42"/>
      <c r="AN86" s="42"/>
      <c r="AO86" s="42"/>
      <c r="AP86" s="11"/>
      <c r="AQ86" s="51"/>
    </row>
    <row r="87" spans="1:43" ht="15">
      <c r="A87" s="83" t="s">
        <v>131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58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31"/>
      <c r="AB87" s="11"/>
      <c r="AC87" s="11"/>
      <c r="AD87" s="11"/>
      <c r="AE87" s="11"/>
      <c r="AF87" s="11"/>
      <c r="AG87" s="11"/>
      <c r="AH87" s="11"/>
      <c r="AI87" s="7"/>
      <c r="AJ87" s="11"/>
      <c r="AK87" s="11"/>
      <c r="AL87" s="42"/>
      <c r="AM87" s="42"/>
      <c r="AN87" s="42"/>
      <c r="AO87" s="42"/>
      <c r="AP87" s="11"/>
      <c r="AQ87" s="51"/>
    </row>
    <row r="88" spans="1:43" ht="15">
      <c r="A88" s="83" t="s">
        <v>132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58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31"/>
      <c r="AB88" s="11"/>
      <c r="AC88" s="11"/>
      <c r="AD88" s="11"/>
      <c r="AE88" s="11"/>
      <c r="AF88" s="11"/>
      <c r="AG88" s="11"/>
      <c r="AH88" s="11"/>
      <c r="AI88" s="7"/>
      <c r="AJ88" s="11"/>
      <c r="AK88" s="11"/>
      <c r="AL88" s="42"/>
      <c r="AM88" s="42"/>
      <c r="AN88" s="42"/>
      <c r="AO88" s="42"/>
      <c r="AP88" s="11"/>
      <c r="AQ88" s="51"/>
    </row>
    <row r="89" spans="1:43" ht="12.75">
      <c r="A89" s="11" t="s">
        <v>133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58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31"/>
      <c r="AB89" s="11"/>
      <c r="AC89" s="11"/>
      <c r="AD89" s="11"/>
      <c r="AE89" s="11"/>
      <c r="AF89" s="11"/>
      <c r="AG89" s="11"/>
      <c r="AH89" s="11"/>
      <c r="AI89" s="7"/>
      <c r="AJ89" s="11"/>
      <c r="AK89" s="11"/>
      <c r="AL89" s="42"/>
      <c r="AM89" s="42"/>
      <c r="AN89" s="42"/>
      <c r="AO89" s="42"/>
      <c r="AP89" s="11"/>
      <c r="AQ89" s="51"/>
    </row>
    <row r="90" spans="1:43" ht="15">
      <c r="A90" s="83" t="s">
        <v>134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58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1"/>
      <c r="AB90" s="11"/>
      <c r="AC90" s="11"/>
      <c r="AD90" s="11"/>
      <c r="AE90" s="11"/>
      <c r="AF90" s="11"/>
      <c r="AG90" s="11"/>
      <c r="AH90" s="11"/>
      <c r="AI90" s="7"/>
      <c r="AJ90" s="11"/>
      <c r="AK90" s="11"/>
      <c r="AL90" s="42"/>
      <c r="AM90" s="42"/>
      <c r="AN90" s="42"/>
      <c r="AO90" s="42"/>
      <c r="AP90" s="11"/>
      <c r="AQ90" s="51"/>
    </row>
    <row r="91" spans="1:43" ht="15">
      <c r="A91" s="83" t="s">
        <v>135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58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31"/>
      <c r="AB91" s="11"/>
      <c r="AC91" s="11"/>
      <c r="AD91" s="11"/>
      <c r="AE91" s="11"/>
      <c r="AF91" s="11"/>
      <c r="AG91" s="11"/>
      <c r="AH91" s="11"/>
      <c r="AI91" s="7"/>
      <c r="AJ91" s="11"/>
      <c r="AK91" s="11"/>
      <c r="AL91" s="42"/>
      <c r="AM91" s="42"/>
      <c r="AN91" s="42"/>
      <c r="AO91" s="42"/>
      <c r="AP91" s="11"/>
      <c r="AQ91" s="51"/>
    </row>
    <row r="92" spans="1:43" ht="15">
      <c r="A92" s="83" t="s">
        <v>136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58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31"/>
      <c r="AB92" s="11"/>
      <c r="AC92" s="11"/>
      <c r="AD92" s="11"/>
      <c r="AE92" s="11"/>
      <c r="AF92" s="11"/>
      <c r="AG92" s="11"/>
      <c r="AH92" s="11"/>
      <c r="AI92" s="7"/>
      <c r="AJ92" s="11"/>
      <c r="AK92" s="11"/>
      <c r="AL92" s="42"/>
      <c r="AM92" s="42"/>
      <c r="AN92" s="42"/>
      <c r="AO92" s="42"/>
      <c r="AP92" s="11"/>
      <c r="AQ92" s="51"/>
    </row>
    <row r="93" spans="1:43" ht="15">
      <c r="A93" s="83" t="s">
        <v>137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58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31"/>
      <c r="AB93" s="11"/>
      <c r="AC93" s="11"/>
      <c r="AD93" s="11"/>
      <c r="AE93" s="11"/>
      <c r="AF93" s="11"/>
      <c r="AG93" s="11"/>
      <c r="AH93" s="11"/>
      <c r="AI93" s="7"/>
      <c r="AJ93" s="11"/>
      <c r="AK93" s="11"/>
      <c r="AL93" s="42"/>
      <c r="AM93" s="42"/>
      <c r="AN93" s="42"/>
      <c r="AO93" s="42"/>
      <c r="AP93" s="11"/>
      <c r="AQ93" s="51"/>
    </row>
    <row r="94" spans="1:43" ht="15">
      <c r="A94" s="83" t="s">
        <v>138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58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31"/>
      <c r="AB94" s="11"/>
      <c r="AC94" s="11"/>
      <c r="AD94" s="11"/>
      <c r="AE94" s="11"/>
      <c r="AF94" s="11"/>
      <c r="AG94" s="11"/>
      <c r="AH94" s="11"/>
      <c r="AI94" s="7"/>
      <c r="AJ94" s="11"/>
      <c r="AK94" s="11"/>
      <c r="AL94" s="42"/>
      <c r="AM94" s="42"/>
      <c r="AN94" s="42"/>
      <c r="AO94" s="42"/>
      <c r="AP94" s="11"/>
      <c r="AQ94" s="51"/>
    </row>
    <row r="95" spans="1:43" ht="15">
      <c r="A95" s="83" t="s">
        <v>139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58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31"/>
      <c r="AB95" s="11"/>
      <c r="AC95" s="11"/>
      <c r="AD95" s="11"/>
      <c r="AE95" s="11"/>
      <c r="AF95" s="11"/>
      <c r="AG95" s="11"/>
      <c r="AH95" s="11"/>
      <c r="AI95" s="7"/>
      <c r="AJ95" s="11"/>
      <c r="AK95" s="11"/>
      <c r="AL95" s="42"/>
      <c r="AM95" s="42"/>
      <c r="AN95" s="42"/>
      <c r="AO95" s="42"/>
      <c r="AP95" s="11"/>
      <c r="AQ95" s="51"/>
    </row>
    <row r="96" spans="1:43" ht="15">
      <c r="A96" s="83" t="s">
        <v>140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58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31"/>
      <c r="AB96" s="11"/>
      <c r="AC96" s="11"/>
      <c r="AD96" s="11"/>
      <c r="AE96" s="11"/>
      <c r="AF96" s="11"/>
      <c r="AG96" s="11"/>
      <c r="AH96" s="11"/>
      <c r="AI96" s="7"/>
      <c r="AJ96" s="11"/>
      <c r="AK96" s="11"/>
      <c r="AL96" s="42"/>
      <c r="AM96" s="42"/>
      <c r="AN96" s="42"/>
      <c r="AO96" s="42"/>
      <c r="AP96" s="11"/>
      <c r="AQ96" s="51"/>
    </row>
    <row r="97" spans="1:43" ht="15">
      <c r="A97" s="83" t="s">
        <v>141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58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1"/>
      <c r="AB97" s="11"/>
      <c r="AC97" s="11"/>
      <c r="AD97" s="11"/>
      <c r="AE97" s="11"/>
      <c r="AF97" s="11"/>
      <c r="AG97" s="11"/>
      <c r="AH97" s="11"/>
      <c r="AI97" s="7"/>
      <c r="AJ97" s="11"/>
      <c r="AK97" s="11"/>
      <c r="AL97" s="42"/>
      <c r="AM97" s="42"/>
      <c r="AN97" s="42"/>
      <c r="AO97" s="42"/>
      <c r="AP97" s="11"/>
      <c r="AQ97" s="51"/>
    </row>
    <row r="98" spans="1:4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58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1"/>
      <c r="AB98" s="11"/>
      <c r="AC98" s="11"/>
      <c r="AD98" s="11"/>
      <c r="AE98" s="11"/>
      <c r="AF98" s="11"/>
      <c r="AG98" s="11"/>
      <c r="AH98" s="11"/>
      <c r="AI98" s="7"/>
      <c r="AJ98" s="11"/>
      <c r="AK98" s="11"/>
      <c r="AL98" s="42"/>
      <c r="AM98" s="42"/>
      <c r="AN98" s="42"/>
      <c r="AO98" s="42"/>
      <c r="AP98" s="11"/>
      <c r="AQ98" s="51"/>
    </row>
    <row r="99" spans="1:43" ht="12.75">
      <c r="A99" s="11" t="s">
        <v>73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58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1"/>
      <c r="AB99" s="11"/>
      <c r="AC99" s="11"/>
      <c r="AD99" s="11"/>
      <c r="AE99" s="11"/>
      <c r="AF99" s="11"/>
      <c r="AG99" s="11"/>
      <c r="AH99" s="11"/>
      <c r="AI99" s="7"/>
      <c r="AJ99" s="11"/>
      <c r="AK99" s="11"/>
      <c r="AL99" s="42"/>
      <c r="AM99" s="42"/>
      <c r="AN99" s="42"/>
      <c r="AO99" s="42"/>
      <c r="AP99" s="11"/>
      <c r="AQ99" s="51"/>
    </row>
    <row r="100" spans="1:43" ht="12.75">
      <c r="A100" s="11" t="s">
        <v>85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58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1"/>
      <c r="AB100" s="11"/>
      <c r="AC100" s="11"/>
      <c r="AD100" s="11"/>
      <c r="AE100" s="11"/>
      <c r="AF100" s="11"/>
      <c r="AG100" s="11"/>
      <c r="AH100" s="11"/>
      <c r="AI100" s="7"/>
      <c r="AJ100" s="11"/>
      <c r="AK100" s="11"/>
      <c r="AL100" s="42"/>
      <c r="AM100" s="42"/>
      <c r="AN100" s="42"/>
      <c r="AO100" s="42"/>
      <c r="AP100" s="11"/>
      <c r="AQ100" s="51"/>
    </row>
    <row r="101" spans="1:43" ht="12.75">
      <c r="A101" s="11" t="s">
        <v>74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58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1"/>
      <c r="AB101" s="11"/>
      <c r="AC101" s="11"/>
      <c r="AD101" s="11"/>
      <c r="AE101" s="11"/>
      <c r="AF101" s="11"/>
      <c r="AG101" s="11"/>
      <c r="AH101" s="11"/>
      <c r="AI101" s="7"/>
      <c r="AJ101" s="11"/>
      <c r="AK101" s="11"/>
      <c r="AL101" s="42"/>
      <c r="AM101" s="42"/>
      <c r="AN101" s="42"/>
      <c r="AO101" s="42"/>
      <c r="AP101" s="11"/>
      <c r="AQ101" s="51"/>
    </row>
    <row r="102" spans="1:4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58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1"/>
      <c r="AB102" s="11"/>
      <c r="AC102" s="11"/>
      <c r="AD102" s="11"/>
      <c r="AE102" s="11"/>
      <c r="AF102" s="11"/>
      <c r="AG102" s="11"/>
      <c r="AH102" s="11"/>
      <c r="AI102" s="7"/>
      <c r="AJ102" s="11"/>
      <c r="AK102" s="11"/>
      <c r="AL102" s="42"/>
      <c r="AM102" s="42"/>
      <c r="AN102" s="42"/>
      <c r="AO102" s="42"/>
      <c r="AP102" s="11"/>
      <c r="AQ102" s="51"/>
    </row>
    <row r="103" spans="1:43" ht="12.75">
      <c r="A103" s="11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58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31"/>
      <c r="AB103" s="11"/>
      <c r="AC103" s="11"/>
      <c r="AD103" s="11"/>
      <c r="AE103" s="11"/>
      <c r="AF103" s="11"/>
      <c r="AG103" s="11"/>
      <c r="AH103" s="11"/>
      <c r="AI103" s="7"/>
      <c r="AJ103" s="11"/>
      <c r="AK103" s="11"/>
      <c r="AL103" s="42"/>
      <c r="AM103" s="42"/>
      <c r="AN103" s="42"/>
      <c r="AO103" s="42"/>
      <c r="AP103" s="11"/>
      <c r="AQ103" s="51"/>
    </row>
    <row r="104" spans="1:43" ht="12.75">
      <c r="A104" s="11" t="s">
        <v>76</v>
      </c>
      <c r="B104" s="11"/>
      <c r="C104" s="11" t="s">
        <v>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58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31"/>
      <c r="AB104" s="11"/>
      <c r="AC104" s="11"/>
      <c r="AD104" s="11"/>
      <c r="AE104" s="11"/>
      <c r="AF104" s="11"/>
      <c r="AG104" s="11"/>
      <c r="AH104" s="11"/>
      <c r="AI104" s="7"/>
      <c r="AJ104" s="11"/>
      <c r="AK104" s="11"/>
      <c r="AL104" s="42"/>
      <c r="AM104" s="42"/>
      <c r="AN104" s="42"/>
      <c r="AO104" s="42"/>
      <c r="AP104" s="11"/>
      <c r="AQ104" s="51"/>
    </row>
    <row r="105" spans="1:43" ht="12.75">
      <c r="A105" s="11" t="s">
        <v>78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58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31"/>
      <c r="AB105" s="11"/>
      <c r="AC105" s="11"/>
      <c r="AD105" s="11"/>
      <c r="AE105" s="11"/>
      <c r="AF105" s="11"/>
      <c r="AG105" s="11"/>
      <c r="AH105" s="11"/>
      <c r="AI105" s="7"/>
      <c r="AJ105" s="11"/>
      <c r="AK105" s="11"/>
      <c r="AL105" s="42"/>
      <c r="AM105" s="42"/>
      <c r="AN105" s="42"/>
      <c r="AO105" s="42"/>
      <c r="AP105" s="11"/>
      <c r="AQ105" s="51"/>
    </row>
    <row r="106" spans="1:43" ht="12.75">
      <c r="A106" s="33" t="s">
        <v>79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58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31"/>
      <c r="AB106" s="11"/>
      <c r="AC106" s="11"/>
      <c r="AD106" s="11"/>
      <c r="AE106" s="11"/>
      <c r="AF106" s="11"/>
      <c r="AG106" s="11"/>
      <c r="AH106" s="11"/>
      <c r="AI106" s="7"/>
      <c r="AJ106" s="11"/>
      <c r="AK106" s="11"/>
      <c r="AL106" s="42"/>
      <c r="AM106" s="42"/>
      <c r="AN106" s="42"/>
      <c r="AO106" s="42"/>
      <c r="AP106" s="11"/>
      <c r="AQ106" s="51"/>
    </row>
    <row r="107" spans="1:4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58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31"/>
      <c r="AB107" s="11"/>
      <c r="AC107" s="11"/>
      <c r="AD107" s="11"/>
      <c r="AE107" s="11"/>
      <c r="AF107" s="11"/>
      <c r="AG107" s="11"/>
      <c r="AH107" s="11"/>
      <c r="AI107" s="7"/>
      <c r="AJ107" s="11"/>
      <c r="AK107" s="11"/>
      <c r="AL107" s="42"/>
      <c r="AM107" s="42"/>
      <c r="AN107" s="42"/>
      <c r="AO107" s="42"/>
      <c r="AP107" s="11"/>
      <c r="AQ107" s="51"/>
    </row>
    <row r="108" spans="27:43" ht="12.75">
      <c r="AA108" s="6"/>
      <c r="AI108" s="5"/>
      <c r="AL108" s="42"/>
      <c r="AM108" s="42"/>
      <c r="AN108" s="42"/>
      <c r="AO108" s="42"/>
      <c r="AQ108" s="51"/>
    </row>
    <row r="109" spans="27:43" ht="12.75">
      <c r="AA109" s="6"/>
      <c r="AI109" s="5"/>
      <c r="AL109" s="42"/>
      <c r="AM109" s="42"/>
      <c r="AN109" s="42"/>
      <c r="AO109" s="42"/>
      <c r="AQ109" s="51"/>
    </row>
    <row r="110" spans="27:43" ht="12.75">
      <c r="AA110" s="6"/>
      <c r="AI110" s="5"/>
      <c r="AL110" s="42"/>
      <c r="AM110" s="42"/>
      <c r="AN110" s="42"/>
      <c r="AO110" s="42"/>
      <c r="AQ110" s="51"/>
    </row>
    <row r="111" spans="27:43" ht="12.75">
      <c r="AA111" s="6"/>
      <c r="AI111" s="5"/>
      <c r="AL111" s="42"/>
      <c r="AM111" s="42"/>
      <c r="AN111" s="42"/>
      <c r="AO111" s="42"/>
      <c r="AQ111" s="51"/>
    </row>
    <row r="112" spans="27:43" ht="12.75">
      <c r="AA112" s="6"/>
      <c r="AI112" s="5"/>
      <c r="AL112" s="42"/>
      <c r="AM112" s="42"/>
      <c r="AN112" s="42"/>
      <c r="AO112" s="42"/>
      <c r="AQ112" s="51"/>
    </row>
    <row r="113" spans="27:43" ht="12.75">
      <c r="AA113" s="6"/>
      <c r="AI113" s="5"/>
      <c r="AL113" s="42"/>
      <c r="AM113" s="42"/>
      <c r="AN113" s="42"/>
      <c r="AO113" s="42"/>
      <c r="AQ113" s="51"/>
    </row>
    <row r="114" spans="27:43" ht="12.75">
      <c r="AA114" s="6"/>
      <c r="AI114" s="5"/>
      <c r="AL114" s="42"/>
      <c r="AM114" s="42"/>
      <c r="AN114" s="42"/>
      <c r="AO114" s="42"/>
      <c r="AQ114" s="51"/>
    </row>
    <row r="115" spans="27:43" ht="12.75">
      <c r="AA115" s="6"/>
      <c r="AI115" s="5"/>
      <c r="AL115" s="42"/>
      <c r="AM115" s="42"/>
      <c r="AN115" s="42"/>
      <c r="AO115" s="42"/>
      <c r="AQ115" s="51"/>
    </row>
    <row r="116" spans="27:41" ht="12.75">
      <c r="AA116" s="6"/>
      <c r="AL116" s="42"/>
      <c r="AM116" s="42"/>
      <c r="AN116" s="42"/>
      <c r="AO116" s="42"/>
    </row>
    <row r="117" spans="27:41" ht="12.75">
      <c r="AA117" s="6"/>
      <c r="AL117" s="42"/>
      <c r="AM117" s="42"/>
      <c r="AN117" s="42"/>
      <c r="AO117" s="42"/>
    </row>
    <row r="118" spans="27:41" ht="12.75">
      <c r="AA118" s="6"/>
      <c r="AL118" s="42"/>
      <c r="AM118" s="42"/>
      <c r="AN118" s="42"/>
      <c r="AO118" s="42"/>
    </row>
    <row r="119" ht="12.75">
      <c r="AA119" s="6"/>
    </row>
    <row r="120" ht="12.75">
      <c r="AA120" s="6"/>
    </row>
    <row r="121" ht="12.75">
      <c r="AA121" s="6"/>
    </row>
    <row r="122" ht="12.75">
      <c r="AA122" s="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cp:lastPrinted>2001-12-05T13:15:23Z</cp:lastPrinted>
  <dcterms:created xsi:type="dcterms:W3CDTF">2000-04-28T20:02:41Z</dcterms:created>
  <cp:category/>
  <cp:version/>
  <cp:contentType/>
  <cp:contentStatus/>
</cp:coreProperties>
</file>