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285" windowHeight="6225" activeTab="1"/>
  </bookViews>
  <sheets>
    <sheet name="Training" sheetId="1" r:id="rId1"/>
    <sheet name="Details" sheetId="2" r:id="rId2"/>
    <sheet name="Ramp Rate dependence" sheetId="3" r:id="rId3"/>
    <sheet name="Quench history . Comparison TQS" sheetId="4" r:id="rId4"/>
    <sheet name="QA vs VT" sheetId="5" r:id="rId5"/>
    <sheet name="Propagation " sheetId="6" r:id="rId6"/>
    <sheet name="Sheet2" sheetId="7" r:id="rId7"/>
    <sheet name="Sheet1" sheetId="8" r:id="rId8"/>
  </sheets>
  <definedNames/>
  <calcPr fullCalcOnLoad="1"/>
</workbook>
</file>

<file path=xl/comments2.xml><?xml version="1.0" encoding="utf-8"?>
<comments xmlns="http://schemas.openxmlformats.org/spreadsheetml/2006/main">
  <authors>
    <author>mbajko</author>
  </authors>
  <commentList>
    <comment ref="C3" authorId="0">
      <text>
        <r>
          <rPr>
            <b/>
            <sz val="8"/>
            <rFont val="Tahoma"/>
            <family val="0"/>
          </rPr>
          <t>mbajko:</t>
        </r>
        <r>
          <rPr>
            <sz val="8"/>
            <rFont val="Tahoma"/>
            <family val="0"/>
          </rPr>
          <t xml:space="preserve">
only Vdiff1</t>
        </r>
      </text>
    </comment>
    <comment ref="I1" authorId="0">
      <text>
        <r>
          <rPr>
            <b/>
            <sz val="8"/>
            <rFont val="Tahoma"/>
            <family val="0"/>
          </rPr>
          <t>mbajko:</t>
        </r>
        <r>
          <rPr>
            <sz val="8"/>
            <rFont val="Tahoma"/>
            <family val="0"/>
          </rPr>
          <t xml:space="preserve">
after 5000A</t>
        </r>
      </text>
    </comment>
    <comment ref="K1" authorId="0">
      <text>
        <r>
          <rPr>
            <b/>
            <sz val="8"/>
            <rFont val="Tahoma"/>
            <family val="0"/>
          </rPr>
          <t>mbajko:</t>
        </r>
        <r>
          <rPr>
            <sz val="8"/>
            <rFont val="Tahoma"/>
            <family val="0"/>
          </rPr>
          <t xml:space="preserve">
After 6000A
</t>
        </r>
      </text>
    </comment>
    <comment ref="L1" authorId="0">
      <text>
        <r>
          <rPr>
            <b/>
            <sz val="8"/>
            <rFont val="Tahoma"/>
            <family val="0"/>
          </rPr>
          <t>mbajko:</t>
        </r>
        <r>
          <rPr>
            <sz val="8"/>
            <rFont val="Tahoma"/>
            <family val="0"/>
          </rPr>
          <t xml:space="preserve">
up to 8000A
</t>
        </r>
      </text>
    </comment>
  </commentList>
</comments>
</file>

<file path=xl/comments4.xml><?xml version="1.0" encoding="utf-8"?>
<comments xmlns="http://schemas.openxmlformats.org/spreadsheetml/2006/main">
  <authors>
    <author>hfelice</author>
    <author>jperez</author>
  </authors>
  <commentList>
    <comment ref="I16" authorId="0">
      <text>
        <r>
          <rPr>
            <b/>
            <sz val="8"/>
            <rFont val="Tahoma"/>
            <family val="0"/>
          </rPr>
          <t>hfelice:</t>
        </r>
        <r>
          <rPr>
            <sz val="8"/>
            <rFont val="Tahoma"/>
            <family val="0"/>
          </rPr>
          <t xml:space="preserve">
Bump segment A2A3
Quench onset segment A10A9</t>
        </r>
      </text>
    </comment>
    <comment ref="I28" authorId="0">
      <text>
        <r>
          <rPr>
            <b/>
            <sz val="8"/>
            <rFont val="Tahoma"/>
            <family val="0"/>
          </rPr>
          <t>hfelice:</t>
        </r>
        <r>
          <rPr>
            <sz val="8"/>
            <rFont val="Tahoma"/>
            <family val="0"/>
          </rPr>
          <t xml:space="preserve">
we go up to 10.7 kA and we wait for 5 min to see if heating induces quench</t>
        </r>
      </text>
    </comment>
    <comment ref="I38" authorId="0">
      <text>
        <r>
          <rPr>
            <b/>
            <sz val="8"/>
            <rFont val="Tahoma"/>
            <family val="0"/>
          </rPr>
          <t>hfelice:</t>
        </r>
        <r>
          <rPr>
            <sz val="8"/>
            <rFont val="Tahoma"/>
            <family val="0"/>
          </rPr>
          <t xml:space="preserve">
propagation in ramp segment</t>
        </r>
      </text>
    </comment>
    <comment ref="I44" authorId="0">
      <text>
        <r>
          <rPr>
            <b/>
            <sz val="8"/>
            <rFont val="Tahoma"/>
            <family val="0"/>
          </rPr>
          <t>hfelice:</t>
        </r>
        <r>
          <rPr>
            <sz val="8"/>
            <rFont val="Tahoma"/>
            <family val="0"/>
          </rPr>
          <t xml:space="preserve">
propagation in ramp segment A10B6
propagation in several neighbor segments</t>
        </r>
      </text>
    </comment>
    <comment ref="I45" authorId="0">
      <text>
        <r>
          <rPr>
            <b/>
            <sz val="8"/>
            <rFont val="Tahoma"/>
            <family val="0"/>
          </rPr>
          <t>hfelice:</t>
        </r>
        <r>
          <rPr>
            <sz val="8"/>
            <rFont val="Tahoma"/>
            <family val="0"/>
          </rPr>
          <t xml:space="preserve">
 quenches 44, 45 and 46 with higher threshold up to quench current + 10 ms windows
in order to see quench propagation 
in order to prepare magnetic measurements</t>
        </r>
      </text>
    </comment>
    <comment ref="I47" authorId="0">
      <text>
        <r>
          <rPr>
            <b/>
            <sz val="8"/>
            <rFont val="Tahoma"/>
            <family val="0"/>
          </rPr>
          <t>hfelice:</t>
        </r>
        <r>
          <rPr>
            <sz val="8"/>
            <rFont val="Tahoma"/>
            <family val="0"/>
          </rPr>
          <t xml:space="preserve">
threshold 500 mV diff and coils
Vsum 1.4 V</t>
        </r>
      </text>
    </comment>
    <comment ref="J53" authorId="1">
      <text>
        <r>
          <rPr>
            <b/>
            <sz val="8"/>
            <rFont val="Tahoma"/>
            <family val="0"/>
          </rPr>
          <t>mbajko</t>
        </r>
        <r>
          <rPr>
            <sz val="8"/>
            <rFont val="Tahoma"/>
            <family val="0"/>
          </rPr>
          <t xml:space="preserve">
Provoked quench by heaters</t>
        </r>
      </text>
    </comment>
    <comment ref="J54" authorId="1">
      <text>
        <r>
          <rPr>
            <b/>
            <sz val="8"/>
            <rFont val="Tahoma"/>
            <family val="0"/>
          </rPr>
          <t>mbajko: quench 29 but protection was triggered by the news segment</t>
        </r>
      </text>
    </comment>
  </commentList>
</comments>
</file>

<file path=xl/sharedStrings.xml><?xml version="1.0" encoding="utf-8"?>
<sst xmlns="http://schemas.openxmlformats.org/spreadsheetml/2006/main" count="782" uniqueCount="200">
  <si>
    <t>set 1</t>
  </si>
  <si>
    <t>protection thershold set</t>
  </si>
  <si>
    <t>V sum (mV)</t>
  </si>
  <si>
    <t>Delay: trigger and dump R(ms)</t>
  </si>
  <si>
    <t>Delay: trigger and PH(ms)</t>
  </si>
  <si>
    <t>Current (A)</t>
  </si>
  <si>
    <t>P</t>
  </si>
  <si>
    <t>Run/Quench nr</t>
  </si>
  <si>
    <t>A</t>
  </si>
  <si>
    <t>Coil nr</t>
  </si>
  <si>
    <t>Quench Antenna</t>
  </si>
  <si>
    <t>Quench nature (P/N/FJ)</t>
  </si>
  <si>
    <t>Comments</t>
  </si>
  <si>
    <t>L/Rdump (ms)</t>
  </si>
  <si>
    <t>L(mH)</t>
  </si>
  <si>
    <t>B</t>
  </si>
  <si>
    <t>Quench heaters delay &gt; 100 ms</t>
  </si>
  <si>
    <t>FJ</t>
  </si>
  <si>
    <t>The goal was to I=3000A, but it tripped</t>
  </si>
  <si>
    <t>Temperature (K)</t>
  </si>
  <si>
    <t>Provoqued quench</t>
  </si>
  <si>
    <t>N</t>
  </si>
  <si>
    <t>Natural quench</t>
  </si>
  <si>
    <t>Quench Antenna sector</t>
  </si>
  <si>
    <t>Volateg tap Sector nr</t>
  </si>
  <si>
    <t>set 2</t>
  </si>
  <si>
    <t>C</t>
  </si>
  <si>
    <t xml:space="preserve">Quenc heater delay is about 32ms </t>
  </si>
  <si>
    <t>B2B3</t>
  </si>
  <si>
    <t>Outer</t>
  </si>
  <si>
    <t>Layer(O/I)</t>
  </si>
  <si>
    <t>Heater discharge (ms)</t>
  </si>
  <si>
    <t>Miits</t>
  </si>
  <si>
    <t>z</t>
  </si>
  <si>
    <t>5,6</t>
  </si>
  <si>
    <t>Energy deposited in the magnet in %</t>
  </si>
  <si>
    <t>Total energy kJoul</t>
  </si>
  <si>
    <t>D</t>
  </si>
  <si>
    <t xml:space="preserve">Quenc heater delay is about 16ms </t>
  </si>
  <si>
    <t>B2B4</t>
  </si>
  <si>
    <t>Time windows (ms)</t>
  </si>
  <si>
    <t>set 3</t>
  </si>
  <si>
    <t>E</t>
  </si>
  <si>
    <t>Trip with a very high amplitude</t>
  </si>
  <si>
    <t>Trip with a long time base</t>
  </si>
  <si>
    <t>F</t>
  </si>
  <si>
    <t>G</t>
  </si>
  <si>
    <t>set 4</t>
  </si>
  <si>
    <t>Trip with a very high amplitude, V sum</t>
  </si>
  <si>
    <t>Vsum</t>
  </si>
  <si>
    <t>H</t>
  </si>
  <si>
    <t>J</t>
  </si>
  <si>
    <t>Trip with V diff very high and very long!!!</t>
  </si>
  <si>
    <t>set F1</t>
  </si>
  <si>
    <t>4,F1</t>
  </si>
  <si>
    <t>4,F2</t>
  </si>
  <si>
    <t>set 5</t>
  </si>
  <si>
    <t>K</t>
  </si>
  <si>
    <t>L</t>
  </si>
  <si>
    <t>set F2</t>
  </si>
  <si>
    <t>set F3</t>
  </si>
  <si>
    <t>4,F3</t>
  </si>
  <si>
    <t>A10A9</t>
  </si>
  <si>
    <t>Inner</t>
  </si>
  <si>
    <t>7,6,8,9</t>
  </si>
  <si>
    <t>Quench in coil 28</t>
  </si>
  <si>
    <t>3,2,4,1</t>
  </si>
  <si>
    <t>Gradient (T/m)</t>
  </si>
  <si>
    <t>Date</t>
  </si>
  <si>
    <t>Quench in coil 23</t>
  </si>
  <si>
    <t>B4B3</t>
  </si>
  <si>
    <t>set F4</t>
  </si>
  <si>
    <t>4,F4</t>
  </si>
  <si>
    <t>M</t>
  </si>
  <si>
    <t>Ramp</t>
  </si>
  <si>
    <t>B6A10</t>
  </si>
  <si>
    <t>5,F4</t>
  </si>
  <si>
    <t>5,F3</t>
  </si>
  <si>
    <t>2,F1</t>
  </si>
  <si>
    <t>TQS02a</t>
  </si>
  <si>
    <t>TQS02c</t>
  </si>
  <si>
    <t>set 6</t>
  </si>
  <si>
    <t>6,F3</t>
  </si>
  <si>
    <t>V diff  coils(mV)</t>
  </si>
  <si>
    <t>5,F4,F3</t>
  </si>
  <si>
    <t>A4A5</t>
  </si>
  <si>
    <t>A5A6</t>
  </si>
  <si>
    <t>A6A8</t>
  </si>
  <si>
    <t>B6B5</t>
  </si>
  <si>
    <t>DV</t>
  </si>
  <si>
    <t>Dt</t>
  </si>
  <si>
    <t>Dv/Dt</t>
  </si>
  <si>
    <t>T</t>
  </si>
  <si>
    <t>Sector</t>
  </si>
  <si>
    <t>quench nr.</t>
  </si>
  <si>
    <t>Temperature</t>
  </si>
  <si>
    <t>A5A4</t>
  </si>
  <si>
    <t>A8A6</t>
  </si>
  <si>
    <t>B3B4</t>
  </si>
  <si>
    <t>B5B6</t>
  </si>
  <si>
    <t>B4B5</t>
  </si>
  <si>
    <t>QA</t>
  </si>
  <si>
    <t>5,3,2,4</t>
  </si>
  <si>
    <t>B3B2</t>
  </si>
  <si>
    <t>A10B6</t>
  </si>
  <si>
    <t>A9A10</t>
  </si>
  <si>
    <t>4,3,5?</t>
  </si>
  <si>
    <t>A2A4</t>
  </si>
  <si>
    <t>B4B2</t>
  </si>
  <si>
    <t>set 7</t>
  </si>
  <si>
    <t>7,F3</t>
  </si>
  <si>
    <t>4,3,5</t>
  </si>
  <si>
    <t>4,3,2</t>
  </si>
  <si>
    <t>4,3,2,</t>
  </si>
  <si>
    <t>4.3 K</t>
  </si>
  <si>
    <t>4.3+0.2K</t>
  </si>
  <si>
    <t>4.3K</t>
  </si>
  <si>
    <t>1.9K</t>
  </si>
  <si>
    <t>1.96K</t>
  </si>
  <si>
    <t>1.95K</t>
  </si>
  <si>
    <t>1.94K</t>
  </si>
  <si>
    <t>1.91K</t>
  </si>
  <si>
    <t>1.92 K</t>
  </si>
  <si>
    <t>1.96 K</t>
  </si>
  <si>
    <t>1.95 K</t>
  </si>
  <si>
    <t>1.91 K</t>
  </si>
  <si>
    <t>1.94 K</t>
  </si>
  <si>
    <t>1.99 K</t>
  </si>
  <si>
    <t>2.07 K</t>
  </si>
  <si>
    <t>4.37K</t>
  </si>
  <si>
    <t>4,3,2,5</t>
  </si>
  <si>
    <t>TQS02b</t>
  </si>
  <si>
    <t>w</t>
  </si>
  <si>
    <t>4,3,2,1</t>
  </si>
  <si>
    <t>Vmax H1</t>
  </si>
  <si>
    <t>Vmax H2</t>
  </si>
  <si>
    <t>Flux Jump</t>
  </si>
  <si>
    <t>Rdump (mOhms)</t>
  </si>
  <si>
    <t>Ttotal</t>
  </si>
  <si>
    <t>L segment</t>
  </si>
  <si>
    <t>V quench (m/s)</t>
  </si>
  <si>
    <t xml:space="preserve">al qa see something at -25ms that disapear and quench at </t>
  </si>
  <si>
    <t>A4A2</t>
  </si>
  <si>
    <t>5,6,3,4</t>
  </si>
  <si>
    <t>A6A5</t>
  </si>
  <si>
    <t>dv/dt calculated</t>
  </si>
  <si>
    <t>coil</t>
  </si>
  <si>
    <t>ramp rate</t>
  </si>
  <si>
    <t>10,4,3,2</t>
  </si>
  <si>
    <t>dr/dz</t>
  </si>
  <si>
    <t>we have seen 22 coil having an decrease of voltage !!!!! During the quench</t>
  </si>
  <si>
    <t>2 fronts</t>
  </si>
  <si>
    <t>1 front</t>
  </si>
  <si>
    <t>distance to A10</t>
  </si>
  <si>
    <t>ToF</t>
  </si>
  <si>
    <t>TQS02c 4.2 K</t>
  </si>
  <si>
    <t>TQS02c 1.9K</t>
  </si>
  <si>
    <t>Before the quench of about 20ms  the QA 9,8( Nlead end) and 2 sees a series of perturbation. The Quench is seen  then in 4,3,2,1 The QA4 sees before the Vtaps the quench at -11.5ms!!!!</t>
  </si>
  <si>
    <t>5,</t>
  </si>
  <si>
    <t>Nothing before the quench then  the quench start in 5,4,3 nearly at the same time at -8ms</t>
  </si>
  <si>
    <t>5,4,3,1,2?</t>
  </si>
  <si>
    <t>the QA 5 starts at -8.49</t>
  </si>
  <si>
    <t>Vtaps  shows well the propagation ( Dv/dt is chnagig when new segment apear), QA does not see anything before but at -11 on the QA4 like Q14</t>
  </si>
  <si>
    <t>4,3,5,2</t>
  </si>
  <si>
    <t>QA 4 strat at 9.71ms</t>
  </si>
  <si>
    <t>QA 4 starts at -9.26. Comparable with Q33 100A/s ramp rate. No flux jump before the quench</t>
  </si>
  <si>
    <t xml:space="preserve">QA4 starts at -9.7ms.At -26.2 ms there is a FJ in the QA9, </t>
  </si>
  <si>
    <t>QA4 starts at -9.47</t>
  </si>
  <si>
    <t>QA4 starts at-9.34 ms. .QA 9,1 see perturbation on all 4 coils -92 and 98ms before</t>
  </si>
  <si>
    <t>Quench nr</t>
  </si>
  <si>
    <t>VT signal</t>
  </si>
  <si>
    <t>VT time</t>
  </si>
  <si>
    <t>QA time</t>
  </si>
  <si>
    <t>Diff time</t>
  </si>
  <si>
    <t>FJ in 23,in A2A4,B3B2 and compenasted in A5A6 in negative.It start at -12.77ms ,-10 straty to be really big with higher ramp. QA sees fluf jump at -12.5 in 8,3,9,2 very big and also 5 is moving with smaller amplitude but constant</t>
  </si>
  <si>
    <t>Ramp rate(A/s)</t>
  </si>
  <si>
    <t>Strain gauges</t>
  </si>
  <si>
    <t>Vtaps and QA</t>
  </si>
  <si>
    <t>data</t>
  </si>
  <si>
    <t>4,3.5</t>
  </si>
  <si>
    <t>x</t>
  </si>
  <si>
    <t>event seen by  QA3,2,1 @-68ms and by QA 7,8,9,10 @ -66.7ms</t>
  </si>
  <si>
    <t>14 turns</t>
  </si>
  <si>
    <t>5 turns</t>
  </si>
  <si>
    <t>B5B4</t>
  </si>
  <si>
    <t>7,8,9,10,5,4,3,2,1</t>
  </si>
  <si>
    <t>In 1.38 ms the QA on the straigth part QA5 sees the evenet happening on the head non lead side</t>
  </si>
  <si>
    <t>7,8,9,5,4,3,10,2</t>
  </si>
  <si>
    <t>between QA7 and QA5 there is 0.3ms</t>
  </si>
  <si>
    <t>event before in QA</t>
  </si>
  <si>
    <t>5,4,3,2,10,9,8,7</t>
  </si>
  <si>
    <t>delay between QA5 and QA10 is 3.45ms</t>
  </si>
  <si>
    <t>5,4,3</t>
  </si>
  <si>
    <t>5,4,3,2,1,10</t>
  </si>
  <si>
    <t>delay of -3.99ms</t>
  </si>
  <si>
    <t>7,8,9,10,4,5,3,2,1</t>
  </si>
  <si>
    <t>delay between Qa7 and QA4or QA5 is1.5ms</t>
  </si>
  <si>
    <t>23 no A3</t>
  </si>
  <si>
    <t>Vtap</t>
  </si>
  <si>
    <t>Time (ms)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</si>
</sst>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mmm\-yyyy"/>
  </numFmts>
  <fonts count="20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75"/>
      <name val="Arial"/>
      <family val="0"/>
    </font>
    <font>
      <b/>
      <sz val="14.75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8"/>
      <name val="Arial"/>
      <family val="2"/>
    </font>
    <font>
      <b/>
      <sz val="10"/>
      <color indexed="50"/>
      <name val="Arial"/>
      <family val="2"/>
    </font>
    <font>
      <sz val="11"/>
      <color indexed="50"/>
      <name val="Arial"/>
      <family val="2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4" fillId="0" borderId="0" xfId="0" applyFont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16" fontId="0" fillId="5" borderId="0" xfId="0" applyNumberFormat="1" applyFill="1" applyAlignment="1">
      <alignment/>
    </xf>
    <xf numFmtId="15" fontId="0" fillId="5" borderId="0" xfId="0" applyNumberFormat="1" applyFill="1" applyAlignment="1">
      <alignment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5" fontId="0" fillId="6" borderId="0" xfId="0" applyNumberFormat="1" applyFill="1" applyAlignment="1">
      <alignment/>
    </xf>
    <xf numFmtId="0" fontId="0" fillId="6" borderId="0" xfId="0" applyFill="1" applyAlignment="1">
      <alignment horizontal="right"/>
    </xf>
    <xf numFmtId="3" fontId="4" fillId="0" borderId="0" xfId="0" applyNumberFormat="1" applyFont="1" applyAlignment="1">
      <alignment/>
    </xf>
    <xf numFmtId="0" fontId="0" fillId="3" borderId="0" xfId="0" applyFill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0" fillId="5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15" fontId="0" fillId="3" borderId="0" xfId="0" applyNumberFormat="1" applyFill="1" applyAlignment="1">
      <alignment/>
    </xf>
    <xf numFmtId="0" fontId="0" fillId="0" borderId="4" xfId="0" applyFill="1" applyBorder="1" applyAlignment="1">
      <alignment/>
    </xf>
    <xf numFmtId="0" fontId="0" fillId="6" borderId="1" xfId="0" applyFill="1" applyBorder="1" applyAlignment="1">
      <alignment/>
    </xf>
    <xf numFmtId="0" fontId="0" fillId="0" borderId="5" xfId="0" applyBorder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4" fillId="0" borderId="0" xfId="0" applyFont="1" applyBorder="1" applyAlignment="1">
      <alignment/>
    </xf>
    <xf numFmtId="0" fontId="0" fillId="7" borderId="1" xfId="0" applyFill="1" applyBorder="1" applyAlignment="1">
      <alignment/>
    </xf>
    <xf numFmtId="0" fontId="0" fillId="7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7" borderId="0" xfId="0" applyFill="1" applyAlignment="1">
      <alignment horizontal="left"/>
    </xf>
    <xf numFmtId="0" fontId="4" fillId="0" borderId="1" xfId="0" applyFont="1" applyBorder="1" applyAlignment="1">
      <alignment/>
    </xf>
    <xf numFmtId="164" fontId="0" fillId="0" borderId="0" xfId="0" applyNumberFormat="1" applyBorder="1" applyAlignment="1">
      <alignment/>
    </xf>
    <xf numFmtId="164" fontId="4" fillId="0" borderId="1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2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7" borderId="3" xfId="0" applyFill="1" applyBorder="1" applyAlignment="1">
      <alignment/>
    </xf>
    <xf numFmtId="0" fontId="0" fillId="6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6" xfId="0" applyBorder="1" applyAlignment="1">
      <alignment/>
    </xf>
    <xf numFmtId="15" fontId="0" fillId="7" borderId="0" xfId="0" applyNumberFormat="1" applyFill="1" applyAlignment="1">
      <alignment/>
    </xf>
    <xf numFmtId="0" fontId="4" fillId="7" borderId="0" xfId="0" applyFont="1" applyFill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5" borderId="7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8" xfId="0" applyFill="1" applyBorder="1" applyAlignment="1">
      <alignment horizontal="center"/>
    </xf>
    <xf numFmtId="0" fontId="0" fillId="5" borderId="8" xfId="0" applyFill="1" applyBorder="1" applyAlignment="1" quotePrefix="1">
      <alignment horizontal="center"/>
    </xf>
    <xf numFmtId="0" fontId="0" fillId="0" borderId="8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5" borderId="0" xfId="0" applyFont="1" applyFill="1" applyAlignment="1">
      <alignment/>
    </xf>
    <xf numFmtId="0" fontId="4" fillId="3" borderId="0" xfId="0" applyFont="1" applyFill="1" applyAlignment="1">
      <alignment horizontal="left"/>
    </xf>
    <xf numFmtId="0" fontId="0" fillId="3" borderId="0" xfId="0" applyFill="1" applyAlignment="1">
      <alignment horizontal="right"/>
    </xf>
    <xf numFmtId="0" fontId="4" fillId="0" borderId="3" xfId="0" applyFont="1" applyBorder="1" applyAlignment="1">
      <alignment/>
    </xf>
    <xf numFmtId="0" fontId="0" fillId="3" borderId="0" xfId="0" applyFont="1" applyFill="1" applyAlignment="1">
      <alignment/>
    </xf>
    <xf numFmtId="0" fontId="0" fillId="0" borderId="10" xfId="0" applyBorder="1" applyAlignment="1">
      <alignment/>
    </xf>
    <xf numFmtId="0" fontId="0" fillId="7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2" borderId="10" xfId="0" applyFill="1" applyBorder="1" applyAlignment="1">
      <alignment/>
    </xf>
    <xf numFmtId="0" fontId="0" fillId="3" borderId="11" xfId="0" applyFill="1" applyBorder="1" applyAlignment="1">
      <alignment/>
    </xf>
    <xf numFmtId="0" fontId="4" fillId="3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7" borderId="11" xfId="0" applyFill="1" applyBorder="1" applyAlignment="1">
      <alignment/>
    </xf>
    <xf numFmtId="0" fontId="0" fillId="8" borderId="11" xfId="0" applyFill="1" applyBorder="1" applyAlignment="1">
      <alignment/>
    </xf>
    <xf numFmtId="0" fontId="0" fillId="3" borderId="20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19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4" fillId="3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4" fillId="7" borderId="10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102"/>
          <c:w val="0.89275"/>
          <c:h val="0.825"/>
        </c:manualLayout>
      </c:layout>
      <c:scatterChart>
        <c:scatterStyle val="lineMarker"/>
        <c:varyColors val="0"/>
        <c:ser>
          <c:idx val="15"/>
          <c:order val="0"/>
          <c:tx>
            <c:v>TQS02a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'Quench history . Comparison TQS'!$F$2:$F$34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xVal>
          <c:yVal>
            <c:numRef>
              <c:f>'Quench history . Comparison TQS'!$G$2:$G$34</c:f>
              <c:numCache>
                <c:ptCount val="33"/>
                <c:pt idx="0">
                  <c:v>9906</c:v>
                </c:pt>
                <c:pt idx="1">
                  <c:v>10326</c:v>
                </c:pt>
                <c:pt idx="2">
                  <c:v>11165</c:v>
                </c:pt>
                <c:pt idx="3">
                  <c:v>11441</c:v>
                </c:pt>
                <c:pt idx="4">
                  <c:v>11578</c:v>
                </c:pt>
                <c:pt idx="5">
                  <c:v>10634</c:v>
                </c:pt>
                <c:pt idx="6">
                  <c:v>11642</c:v>
                </c:pt>
                <c:pt idx="7">
                  <c:v>11602</c:v>
                </c:pt>
                <c:pt idx="8">
                  <c:v>11127</c:v>
                </c:pt>
                <c:pt idx="9">
                  <c:v>11848</c:v>
                </c:pt>
                <c:pt idx="10">
                  <c:v>11499</c:v>
                </c:pt>
                <c:pt idx="11">
                  <c:v>11706</c:v>
                </c:pt>
                <c:pt idx="12">
                  <c:v>11521</c:v>
                </c:pt>
                <c:pt idx="13">
                  <c:v>11700</c:v>
                </c:pt>
                <c:pt idx="14">
                  <c:v>11808</c:v>
                </c:pt>
                <c:pt idx="15">
                  <c:v>11712</c:v>
                </c:pt>
                <c:pt idx="16">
                  <c:v>12072</c:v>
                </c:pt>
                <c:pt idx="17">
                  <c:v>12274</c:v>
                </c:pt>
                <c:pt idx="18">
                  <c:v>11380</c:v>
                </c:pt>
                <c:pt idx="19">
                  <c:v>11974</c:v>
                </c:pt>
                <c:pt idx="20">
                  <c:v>12165</c:v>
                </c:pt>
                <c:pt idx="21">
                  <c:v>12153</c:v>
                </c:pt>
                <c:pt idx="22">
                  <c:v>12139</c:v>
                </c:pt>
                <c:pt idx="23">
                  <c:v>12110</c:v>
                </c:pt>
                <c:pt idx="24">
                  <c:v>12074</c:v>
                </c:pt>
                <c:pt idx="25">
                  <c:v>12050</c:v>
                </c:pt>
                <c:pt idx="26">
                  <c:v>11964</c:v>
                </c:pt>
                <c:pt idx="27">
                  <c:v>11717</c:v>
                </c:pt>
                <c:pt idx="28">
                  <c:v>12011</c:v>
                </c:pt>
                <c:pt idx="29">
                  <c:v>11407</c:v>
                </c:pt>
                <c:pt idx="30">
                  <c:v>10217</c:v>
                </c:pt>
                <c:pt idx="31">
                  <c:v>11844</c:v>
                </c:pt>
                <c:pt idx="32">
                  <c:v>11963</c:v>
                </c:pt>
              </c:numCache>
            </c:numRef>
          </c:yVal>
          <c:smooth val="0"/>
        </c:ser>
        <c:ser>
          <c:idx val="0"/>
          <c:order val="1"/>
          <c:tx>
            <c:v>TQS02b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'Quench history . Comparison TQS'!$I$2:$I$14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'Quench history . Comparison TQS'!$J$2:$J$14</c:f>
              <c:numCache>
                <c:ptCount val="13"/>
                <c:pt idx="0">
                  <c:v>10452</c:v>
                </c:pt>
                <c:pt idx="1">
                  <c:v>10560</c:v>
                </c:pt>
                <c:pt idx="2">
                  <c:v>10766</c:v>
                </c:pt>
                <c:pt idx="3">
                  <c:v>10906</c:v>
                </c:pt>
                <c:pt idx="4">
                  <c:v>10804</c:v>
                </c:pt>
                <c:pt idx="5">
                  <c:v>10915</c:v>
                </c:pt>
                <c:pt idx="6">
                  <c:v>10995</c:v>
                </c:pt>
                <c:pt idx="7">
                  <c:v>10889</c:v>
                </c:pt>
                <c:pt idx="8">
                  <c:v>10972</c:v>
                </c:pt>
                <c:pt idx="9">
                  <c:v>10914</c:v>
                </c:pt>
                <c:pt idx="10">
                  <c:v>11052</c:v>
                </c:pt>
                <c:pt idx="11">
                  <c:v>11000</c:v>
                </c:pt>
                <c:pt idx="12">
                  <c:v>11000</c:v>
                </c:pt>
              </c:numCache>
            </c:numRef>
          </c:yVal>
          <c:smooth val="0"/>
        </c:ser>
        <c:ser>
          <c:idx val="14"/>
          <c:order val="2"/>
          <c:tx>
            <c:v>TQS02c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'Quench history . Comparison TQS'!$B$3:$B$10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'Quench history . Comparison TQS'!$C$3:$C$10</c:f>
              <c:numCache>
                <c:ptCount val="8"/>
                <c:pt idx="0">
                  <c:v>12035</c:v>
                </c:pt>
                <c:pt idx="1">
                  <c:v>12213</c:v>
                </c:pt>
                <c:pt idx="2">
                  <c:v>12407</c:v>
                </c:pt>
                <c:pt idx="3">
                  <c:v>12435</c:v>
                </c:pt>
                <c:pt idx="4">
                  <c:v>12399</c:v>
                </c:pt>
                <c:pt idx="5">
                  <c:v>12432</c:v>
                </c:pt>
                <c:pt idx="6">
                  <c:v>12354</c:v>
                </c:pt>
                <c:pt idx="7">
                  <c:v>12359</c:v>
                </c:pt>
              </c:numCache>
            </c:numRef>
          </c:yVal>
          <c:smooth val="0"/>
        </c:ser>
        <c:ser>
          <c:idx val="1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'Quench history . Comparison TQS'!$I$15:$I$35</c:f>
              <c:numCache>
                <c:ptCount val="21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</c:numCache>
            </c:numRef>
          </c:xVal>
          <c:yVal>
            <c:numRef>
              <c:f>'Quench history . Comparison TQS'!$J$15:$J$35</c:f>
              <c:numCache>
                <c:ptCount val="21"/>
                <c:pt idx="0">
                  <c:v>10817</c:v>
                </c:pt>
                <c:pt idx="1">
                  <c:v>10914</c:v>
                </c:pt>
                <c:pt idx="2">
                  <c:v>10958</c:v>
                </c:pt>
                <c:pt idx="3">
                  <c:v>11148</c:v>
                </c:pt>
                <c:pt idx="4">
                  <c:v>11197</c:v>
                </c:pt>
                <c:pt idx="5">
                  <c:v>11021</c:v>
                </c:pt>
                <c:pt idx="6">
                  <c:v>10982</c:v>
                </c:pt>
                <c:pt idx="7">
                  <c:v>11180</c:v>
                </c:pt>
                <c:pt idx="8">
                  <c:v>11244</c:v>
                </c:pt>
                <c:pt idx="9">
                  <c:v>11339</c:v>
                </c:pt>
                <c:pt idx="10">
                  <c:v>11267</c:v>
                </c:pt>
                <c:pt idx="11">
                  <c:v>11137</c:v>
                </c:pt>
                <c:pt idx="12">
                  <c:v>11235</c:v>
                </c:pt>
                <c:pt idx="13">
                  <c:v>10824</c:v>
                </c:pt>
                <c:pt idx="14">
                  <c:v>10957</c:v>
                </c:pt>
                <c:pt idx="15">
                  <c:v>11329</c:v>
                </c:pt>
                <c:pt idx="16">
                  <c:v>11379</c:v>
                </c:pt>
                <c:pt idx="17">
                  <c:v>11379</c:v>
                </c:pt>
                <c:pt idx="18">
                  <c:v>10857</c:v>
                </c:pt>
                <c:pt idx="19">
                  <c:v>11434</c:v>
                </c:pt>
                <c:pt idx="20">
                  <c:v>11342</c:v>
                </c:pt>
              </c:numCache>
            </c:numRef>
          </c:yVal>
          <c:smooth val="0"/>
        </c:ser>
        <c:ser>
          <c:idx val="2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'Quench history . Comparison TQS'!$B$11:$B$48</c:f>
              <c:numCache>
                <c:ptCount val="38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45</c:v>
                </c:pt>
                <c:pt idx="10">
                  <c:v>58</c:v>
                </c:pt>
                <c:pt idx="11">
                  <c:v>59</c:v>
                </c:pt>
                <c:pt idx="12">
                  <c:v>60</c:v>
                </c:pt>
                <c:pt idx="13">
                  <c:v>61</c:v>
                </c:pt>
                <c:pt idx="14">
                  <c:v>62</c:v>
                </c:pt>
                <c:pt idx="15">
                  <c:v>63</c:v>
                </c:pt>
                <c:pt idx="16">
                  <c:v>64</c:v>
                </c:pt>
                <c:pt idx="17">
                  <c:v>65</c:v>
                </c:pt>
                <c:pt idx="18">
                  <c:v>66</c:v>
                </c:pt>
                <c:pt idx="19">
                  <c:v>67</c:v>
                </c:pt>
                <c:pt idx="20">
                  <c:v>68</c:v>
                </c:pt>
                <c:pt idx="21">
                  <c:v>72</c:v>
                </c:pt>
                <c:pt idx="22">
                  <c:v>74</c:v>
                </c:pt>
                <c:pt idx="23">
                  <c:v>82</c:v>
                </c:pt>
                <c:pt idx="24">
                  <c:v>83</c:v>
                </c:pt>
                <c:pt idx="25">
                  <c:v>84</c:v>
                </c:pt>
                <c:pt idx="26">
                  <c:v>85</c:v>
                </c:pt>
                <c:pt idx="27">
                  <c:v>86</c:v>
                </c:pt>
                <c:pt idx="28">
                  <c:v>87</c:v>
                </c:pt>
                <c:pt idx="29">
                  <c:v>88</c:v>
                </c:pt>
                <c:pt idx="30">
                  <c:v>89</c:v>
                </c:pt>
                <c:pt idx="31">
                  <c:v>90</c:v>
                </c:pt>
                <c:pt idx="36">
                  <c:v>11800</c:v>
                </c:pt>
                <c:pt idx="37">
                  <c:v>12100</c:v>
                </c:pt>
              </c:numCache>
            </c:numRef>
          </c:xVal>
          <c:yVal>
            <c:numRef>
              <c:f>'Quench history . Comparison TQS'!$C$11:$C$48</c:f>
              <c:numCache>
                <c:ptCount val="38"/>
                <c:pt idx="0">
                  <c:v>11348</c:v>
                </c:pt>
                <c:pt idx="1">
                  <c:v>11613</c:v>
                </c:pt>
                <c:pt idx="2">
                  <c:v>11622</c:v>
                </c:pt>
                <c:pt idx="3">
                  <c:v>11350</c:v>
                </c:pt>
                <c:pt idx="4">
                  <c:v>11345</c:v>
                </c:pt>
                <c:pt idx="5">
                  <c:v>11503</c:v>
                </c:pt>
                <c:pt idx="6">
                  <c:v>11642</c:v>
                </c:pt>
                <c:pt idx="7">
                  <c:v>11446</c:v>
                </c:pt>
                <c:pt idx="8">
                  <c:v>11590</c:v>
                </c:pt>
                <c:pt idx="9">
                  <c:v>12085</c:v>
                </c:pt>
                <c:pt idx="10">
                  <c:v>12415</c:v>
                </c:pt>
                <c:pt idx="11">
                  <c:v>12421</c:v>
                </c:pt>
                <c:pt idx="12">
                  <c:v>12413</c:v>
                </c:pt>
                <c:pt idx="13">
                  <c:v>12323</c:v>
                </c:pt>
                <c:pt idx="14">
                  <c:v>12100</c:v>
                </c:pt>
                <c:pt idx="15">
                  <c:v>11725</c:v>
                </c:pt>
                <c:pt idx="16">
                  <c:v>11770</c:v>
                </c:pt>
                <c:pt idx="17">
                  <c:v>11118</c:v>
                </c:pt>
                <c:pt idx="18">
                  <c:v>10922</c:v>
                </c:pt>
                <c:pt idx="19">
                  <c:v>10444</c:v>
                </c:pt>
                <c:pt idx="20">
                  <c:v>12417</c:v>
                </c:pt>
                <c:pt idx="21">
                  <c:v>12466</c:v>
                </c:pt>
                <c:pt idx="22">
                  <c:v>12452</c:v>
                </c:pt>
                <c:pt idx="23">
                  <c:v>11541</c:v>
                </c:pt>
                <c:pt idx="24">
                  <c:v>11523</c:v>
                </c:pt>
                <c:pt idx="25">
                  <c:v>12037</c:v>
                </c:pt>
                <c:pt idx="26">
                  <c:v>11952</c:v>
                </c:pt>
                <c:pt idx="27">
                  <c:v>12010</c:v>
                </c:pt>
                <c:pt idx="28">
                  <c:v>11912</c:v>
                </c:pt>
                <c:pt idx="29">
                  <c:v>12000</c:v>
                </c:pt>
                <c:pt idx="30">
                  <c:v>10370</c:v>
                </c:pt>
                <c:pt idx="31">
                  <c:v>10839</c:v>
                </c:pt>
              </c:numCache>
            </c:numRef>
          </c:yVal>
          <c:smooth val="0"/>
        </c:ser>
        <c:ser>
          <c:idx val="3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'Quench history . Comparison TQS'!$F$35:$F$49</c:f>
              <c:numCache>
                <c:ptCount val="15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</c:numCache>
            </c:numRef>
          </c:xVal>
          <c:yVal>
            <c:numRef>
              <c:f>'Quench history . Comparison TQS'!$G$35:$G$49</c:f>
              <c:numCache>
                <c:ptCount val="15"/>
                <c:pt idx="0">
                  <c:v>11937</c:v>
                </c:pt>
                <c:pt idx="1">
                  <c:v>11252</c:v>
                </c:pt>
                <c:pt idx="2">
                  <c:v>11777</c:v>
                </c:pt>
                <c:pt idx="3">
                  <c:v>11446</c:v>
                </c:pt>
                <c:pt idx="4">
                  <c:v>11947</c:v>
                </c:pt>
                <c:pt idx="5">
                  <c:v>11757</c:v>
                </c:pt>
                <c:pt idx="6">
                  <c:v>11850</c:v>
                </c:pt>
                <c:pt idx="7">
                  <c:v>11417</c:v>
                </c:pt>
                <c:pt idx="8">
                  <c:v>12391</c:v>
                </c:pt>
                <c:pt idx="9">
                  <c:v>12051</c:v>
                </c:pt>
                <c:pt idx="10">
                  <c:v>11384</c:v>
                </c:pt>
                <c:pt idx="11">
                  <c:v>11751</c:v>
                </c:pt>
                <c:pt idx="12">
                  <c:v>11727</c:v>
                </c:pt>
                <c:pt idx="13">
                  <c:v>12467</c:v>
                </c:pt>
                <c:pt idx="14">
                  <c:v>11966</c:v>
                </c:pt>
              </c:numCache>
            </c:numRef>
          </c:yVal>
          <c:smooth val="0"/>
        </c:ser>
        <c:ser>
          <c:idx val="5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'Quench history . Comparison TQS'!$F$51:$F$56</c:f>
              <c:numCache>
                <c:ptCount val="6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</c:numCache>
            </c:numRef>
          </c:xVal>
          <c:yVal>
            <c:numRef>
              <c:f>'Quench history . Comparison TQS'!$G$51:$G$56</c:f>
              <c:numCache>
                <c:ptCount val="6"/>
                <c:pt idx="0">
                  <c:v>11940</c:v>
                </c:pt>
                <c:pt idx="1">
                  <c:v>11929</c:v>
                </c:pt>
                <c:pt idx="2">
                  <c:v>11921</c:v>
                </c:pt>
                <c:pt idx="3">
                  <c:v>11410</c:v>
                </c:pt>
                <c:pt idx="4">
                  <c:v>11414</c:v>
                </c:pt>
                <c:pt idx="5">
                  <c:v>11930</c:v>
                </c:pt>
              </c:numCache>
            </c:numRef>
          </c:yVal>
          <c:smooth val="0"/>
        </c:ser>
        <c:ser>
          <c:idx val="6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3399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'Quench history . Comparison TQS'!$I$36:$I$60</c:f>
              <c:numCache>
                <c:ptCount val="25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64</c:v>
                </c:pt>
                <c:pt idx="8">
                  <c:v>65</c:v>
                </c:pt>
                <c:pt idx="9">
                  <c:v>66</c:v>
                </c:pt>
                <c:pt idx="10">
                  <c:v>67</c:v>
                </c:pt>
                <c:pt idx="11">
                  <c:v>68</c:v>
                </c:pt>
                <c:pt idx="12">
                  <c:v>69</c:v>
                </c:pt>
                <c:pt idx="13">
                  <c:v>70</c:v>
                </c:pt>
                <c:pt idx="14">
                  <c:v>71</c:v>
                </c:pt>
                <c:pt idx="15">
                  <c:v>72</c:v>
                </c:pt>
                <c:pt idx="16">
                  <c:v>73</c:v>
                </c:pt>
                <c:pt idx="17">
                  <c:v>74</c:v>
                </c:pt>
                <c:pt idx="18">
                  <c:v>75</c:v>
                </c:pt>
                <c:pt idx="19">
                  <c:v>76</c:v>
                </c:pt>
                <c:pt idx="20">
                  <c:v>77</c:v>
                </c:pt>
                <c:pt idx="21">
                  <c:v>78</c:v>
                </c:pt>
                <c:pt idx="22">
                  <c:v>79</c:v>
                </c:pt>
                <c:pt idx="23">
                  <c:v>80</c:v>
                </c:pt>
                <c:pt idx="24">
                  <c:v>81</c:v>
                </c:pt>
              </c:numCache>
            </c:numRef>
          </c:xVal>
          <c:yVal>
            <c:numRef>
              <c:f>'Quench history . Comparison TQS'!$J$36:$J$60</c:f>
              <c:numCache>
                <c:ptCount val="25"/>
                <c:pt idx="0">
                  <c:v>11409</c:v>
                </c:pt>
                <c:pt idx="1">
                  <c:v>11433</c:v>
                </c:pt>
                <c:pt idx="2">
                  <c:v>11398</c:v>
                </c:pt>
                <c:pt idx="3">
                  <c:v>11349</c:v>
                </c:pt>
                <c:pt idx="4">
                  <c:v>11305</c:v>
                </c:pt>
                <c:pt idx="5">
                  <c:v>10006</c:v>
                </c:pt>
                <c:pt idx="6">
                  <c:v>10459</c:v>
                </c:pt>
                <c:pt idx="7">
                  <c:v>11383</c:v>
                </c:pt>
                <c:pt idx="8">
                  <c:v>11343</c:v>
                </c:pt>
                <c:pt idx="9">
                  <c:v>11290</c:v>
                </c:pt>
                <c:pt idx="10">
                  <c:v>11366</c:v>
                </c:pt>
                <c:pt idx="11">
                  <c:v>11226</c:v>
                </c:pt>
                <c:pt idx="12">
                  <c:v>11252</c:v>
                </c:pt>
                <c:pt idx="13">
                  <c:v>11270</c:v>
                </c:pt>
                <c:pt idx="14">
                  <c:v>11045</c:v>
                </c:pt>
                <c:pt idx="15">
                  <c:v>11096</c:v>
                </c:pt>
                <c:pt idx="16">
                  <c:v>11149</c:v>
                </c:pt>
                <c:pt idx="17">
                  <c:v>5000</c:v>
                </c:pt>
                <c:pt idx="18">
                  <c:v>11002</c:v>
                </c:pt>
                <c:pt idx="19">
                  <c:v>9122</c:v>
                </c:pt>
                <c:pt idx="20">
                  <c:v>11092</c:v>
                </c:pt>
                <c:pt idx="21">
                  <c:v>11291</c:v>
                </c:pt>
                <c:pt idx="22">
                  <c:v>11402</c:v>
                </c:pt>
                <c:pt idx="23">
                  <c:v>11411</c:v>
                </c:pt>
                <c:pt idx="24">
                  <c:v>11335</c:v>
                </c:pt>
              </c:numCache>
            </c:numRef>
          </c:yVal>
          <c:smooth val="0"/>
        </c:ser>
        <c:axId val="26420802"/>
        <c:axId val="36460627"/>
      </c:scatterChart>
      <c:valAx>
        <c:axId val="26420802"/>
        <c:scaling>
          <c:orientation val="minMax"/>
          <c:max val="9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nr.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460627"/>
        <c:crosses val="autoZero"/>
        <c:crossBetween val="midCat"/>
        <c:dispUnits/>
        <c:majorUnit val="4"/>
      </c:valAx>
      <c:valAx>
        <c:axId val="36460627"/>
        <c:scaling>
          <c:orientation val="minMax"/>
          <c:max val="134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420802"/>
        <c:crosses val="autoZero"/>
        <c:crossBetween val="midCat"/>
        <c:dispUnits/>
        <c:majorUnit val="400"/>
      </c:valAx>
      <c:spPr>
        <a:noFill/>
        <a:ln>
          <a:noFill/>
        </a:ln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2855"/>
          <c:y val="0.02125"/>
          <c:w val="0.46925"/>
          <c:h val="0.079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Ramp rate dependence </a:t>
            </a:r>
          </a:p>
        </c:rich>
      </c:tx>
      <c:layout>
        <c:manualLayout>
          <c:xMode val="factor"/>
          <c:yMode val="factor"/>
          <c:x val="-0.317"/>
          <c:y val="0.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7475"/>
          <c:w val="0.93375"/>
          <c:h val="0.76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'Quench history . Comparison TQS'!$N$3</c:f>
              <c:strCache>
                <c:ptCount val="1"/>
                <c:pt idx="0">
                  <c:v>TQS02a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99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'Quench history . Comparison TQS'!$M$4:$M$16</c:f>
              <c:numCache>
                <c:ptCount val="13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75</c:v>
                </c:pt>
                <c:pt idx="7">
                  <c:v>80</c:v>
                </c:pt>
                <c:pt idx="8">
                  <c:v>100</c:v>
                </c:pt>
                <c:pt idx="9">
                  <c:v>120</c:v>
                </c:pt>
                <c:pt idx="10">
                  <c:v>125</c:v>
                </c:pt>
                <c:pt idx="11">
                  <c:v>140</c:v>
                </c:pt>
                <c:pt idx="12">
                  <c:v>150</c:v>
                </c:pt>
              </c:numCache>
            </c:numRef>
          </c:xVal>
          <c:yVal>
            <c:numRef>
              <c:f>'Quench history . Comparison TQS'!$N$4:$N$16</c:f>
              <c:numCache>
                <c:ptCount val="13"/>
                <c:pt idx="0">
                  <c:v>12050</c:v>
                </c:pt>
                <c:pt idx="1">
                  <c:v>12011</c:v>
                </c:pt>
                <c:pt idx="2">
                  <c:v>12074</c:v>
                </c:pt>
                <c:pt idx="3">
                  <c:v>11964</c:v>
                </c:pt>
                <c:pt idx="7">
                  <c:v>11717</c:v>
                </c:pt>
                <c:pt idx="8">
                  <c:v>11407</c:v>
                </c:pt>
                <c:pt idx="9">
                  <c:v>10217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'Quench history . Comparison TQS'!$O$3</c:f>
              <c:strCache>
                <c:ptCount val="1"/>
                <c:pt idx="0">
                  <c:v>TQS02b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'Quench history . Comparison TQS'!$M$4:$M$16</c:f>
              <c:numCache>
                <c:ptCount val="13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75</c:v>
                </c:pt>
                <c:pt idx="7">
                  <c:v>80</c:v>
                </c:pt>
                <c:pt idx="8">
                  <c:v>100</c:v>
                </c:pt>
                <c:pt idx="9">
                  <c:v>120</c:v>
                </c:pt>
                <c:pt idx="10">
                  <c:v>125</c:v>
                </c:pt>
                <c:pt idx="11">
                  <c:v>140</c:v>
                </c:pt>
                <c:pt idx="12">
                  <c:v>150</c:v>
                </c:pt>
              </c:numCache>
            </c:numRef>
          </c:xVal>
          <c:yVal>
            <c:numRef>
              <c:f>'Quench history . Comparison TQS'!$O$4:$O$16</c:f>
              <c:numCache>
                <c:ptCount val="13"/>
                <c:pt idx="2">
                  <c:v>11433</c:v>
                </c:pt>
                <c:pt idx="4">
                  <c:v>11398</c:v>
                </c:pt>
                <c:pt idx="6">
                  <c:v>11349</c:v>
                </c:pt>
                <c:pt idx="8">
                  <c:v>11305</c:v>
                </c:pt>
                <c:pt idx="10">
                  <c:v>10459</c:v>
                </c:pt>
                <c:pt idx="12">
                  <c:v>10006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'Quench history . Comparison TQS'!$P$3</c:f>
              <c:strCache>
                <c:ptCount val="1"/>
                <c:pt idx="0">
                  <c:v>TQS02c 4.2 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'Quench history . Comparison TQS'!$M$4:$M$16</c:f>
              <c:numCache>
                <c:ptCount val="13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75</c:v>
                </c:pt>
                <c:pt idx="7">
                  <c:v>80</c:v>
                </c:pt>
                <c:pt idx="8">
                  <c:v>100</c:v>
                </c:pt>
                <c:pt idx="9">
                  <c:v>120</c:v>
                </c:pt>
                <c:pt idx="10">
                  <c:v>125</c:v>
                </c:pt>
                <c:pt idx="11">
                  <c:v>140</c:v>
                </c:pt>
                <c:pt idx="12">
                  <c:v>150</c:v>
                </c:pt>
              </c:numCache>
            </c:numRef>
          </c:xVal>
          <c:yVal>
            <c:numRef>
              <c:f>'Quench history . Comparison TQS'!$P$4:$P$15</c:f>
              <c:numCache>
                <c:ptCount val="12"/>
                <c:pt idx="0">
                  <c:v>12452</c:v>
                </c:pt>
                <c:pt idx="1">
                  <c:v>12466</c:v>
                </c:pt>
                <c:pt idx="2">
                  <c:v>12413</c:v>
                </c:pt>
                <c:pt idx="3">
                  <c:v>12323</c:v>
                </c:pt>
                <c:pt idx="5">
                  <c:v>12100</c:v>
                </c:pt>
                <c:pt idx="7">
                  <c:v>11725</c:v>
                </c:pt>
                <c:pt idx="8">
                  <c:v>11118</c:v>
                </c:pt>
                <c:pt idx="9">
                  <c:v>10922</c:v>
                </c:pt>
                <c:pt idx="11">
                  <c:v>10444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'Quench history . Comparison TQS'!$Q$3</c:f>
              <c:strCache>
                <c:ptCount val="1"/>
                <c:pt idx="0">
                  <c:v>TQS02c 1.9K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CC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'Quench history . Comparison TQS'!$M$4:$M$24</c:f>
              <c:numCache>
                <c:ptCount val="21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75</c:v>
                </c:pt>
                <c:pt idx="7">
                  <c:v>80</c:v>
                </c:pt>
                <c:pt idx="8">
                  <c:v>100</c:v>
                </c:pt>
                <c:pt idx="9">
                  <c:v>120</c:v>
                </c:pt>
                <c:pt idx="10">
                  <c:v>125</c:v>
                </c:pt>
                <c:pt idx="11">
                  <c:v>140</c:v>
                </c:pt>
                <c:pt idx="12">
                  <c:v>150</c:v>
                </c:pt>
                <c:pt idx="13">
                  <c:v>160</c:v>
                </c:pt>
                <c:pt idx="14">
                  <c:v>180</c:v>
                </c:pt>
                <c:pt idx="15">
                  <c:v>200</c:v>
                </c:pt>
              </c:numCache>
            </c:numRef>
          </c:xVal>
          <c:yVal>
            <c:numRef>
              <c:f>'Quench history . Comparison TQS'!$Q$4:$Q$24</c:f>
              <c:numCache>
                <c:ptCount val="21"/>
                <c:pt idx="2">
                  <c:v>11503</c:v>
                </c:pt>
                <c:pt idx="4">
                  <c:v>11541</c:v>
                </c:pt>
                <c:pt idx="5">
                  <c:v>11523</c:v>
                </c:pt>
                <c:pt idx="7">
                  <c:v>11912</c:v>
                </c:pt>
                <c:pt idx="8">
                  <c:v>12037</c:v>
                </c:pt>
                <c:pt idx="9">
                  <c:v>12010</c:v>
                </c:pt>
                <c:pt idx="11">
                  <c:v>11952</c:v>
                </c:pt>
                <c:pt idx="13">
                  <c:v>12000</c:v>
                </c:pt>
                <c:pt idx="14">
                  <c:v>10839</c:v>
                </c:pt>
                <c:pt idx="15">
                  <c:v>10370</c:v>
                </c:pt>
              </c:numCache>
            </c:numRef>
          </c:yVal>
          <c:smooth val="0"/>
        </c:ser>
        <c:axId val="59710188"/>
        <c:axId val="520781"/>
      </c:scatterChart>
      <c:valAx>
        <c:axId val="59710188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Ramp rate (A/s)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781"/>
        <c:crosses val="autoZero"/>
        <c:crossBetween val="midCat"/>
        <c:dispUnits/>
        <c:majorUnit val="20"/>
      </c:valAx>
      <c:valAx>
        <c:axId val="520781"/>
        <c:scaling>
          <c:orientation val="minMax"/>
          <c:min val="8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Quench 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101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575"/>
          <c:y val="0.0505"/>
          <c:w val="0.37425"/>
          <c:h val="0.06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pageSetup horizontalDpi="200" verticalDpi="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0.30825</cdr:x>
      <cdr:y>1</cdr:y>
    </cdr:from>
    <cdr:to>
      <cdr:x>0.30825</cdr:x>
      <cdr:y>1</cdr:y>
    </cdr:to>
    <cdr:sp>
      <cdr:nvSpPr>
        <cdr:cNvPr id="1" name="Line 1"/>
        <cdr:cNvSpPr>
          <a:spLocks/>
        </cdr:cNvSpPr>
      </cdr:nvSpPr>
      <cdr:spPr>
        <a:xfrm>
          <a:off x="2667000" y="591502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0.15225</cdr:y>
    </cdr:from>
    <cdr:to>
      <cdr:x>0.625</cdr:x>
      <cdr:y>0.865</cdr:y>
    </cdr:to>
    <cdr:sp>
      <cdr:nvSpPr>
        <cdr:cNvPr id="2" name="Rectangle 2"/>
        <cdr:cNvSpPr>
          <a:spLocks/>
        </cdr:cNvSpPr>
      </cdr:nvSpPr>
      <cdr:spPr>
        <a:xfrm>
          <a:off x="3724275" y="895350"/>
          <a:ext cx="1695450" cy="4219575"/>
        </a:xfrm>
        <a:prstGeom prst="rect">
          <a:avLst/>
        </a:prstGeom>
        <a:solidFill>
          <a:srgbClr val="CCFFFF">
            <a:alpha val="2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75" b="1" i="0" u="none" baseline="0">
              <a:latin typeface="Arial"/>
              <a:ea typeface="Arial"/>
              <a:cs typeface="Arial"/>
            </a:rPr>
            <a:t>1.9K</a:t>
          </a:r>
        </a:p>
      </cdr:txBody>
    </cdr:sp>
  </cdr:relSizeAnchor>
  <cdr:relSizeAnchor xmlns:cdr="http://schemas.openxmlformats.org/drawingml/2006/chartDrawing">
    <cdr:from>
      <cdr:x>0.5245</cdr:x>
      <cdr:y>0.2855</cdr:y>
    </cdr:from>
    <cdr:to>
      <cdr:x>0.55525</cdr:x>
      <cdr:y>0.32025</cdr:y>
    </cdr:to>
    <cdr:sp>
      <cdr:nvSpPr>
        <cdr:cNvPr id="3" name="Rectangle 3"/>
        <cdr:cNvSpPr>
          <a:spLocks/>
        </cdr:cNvSpPr>
      </cdr:nvSpPr>
      <cdr:spPr>
        <a:xfrm>
          <a:off x="4543425" y="1685925"/>
          <a:ext cx="2667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3K</a:t>
          </a:r>
        </a:p>
      </cdr:txBody>
    </cdr:sp>
  </cdr:relSizeAnchor>
  <cdr:relSizeAnchor xmlns:cdr="http://schemas.openxmlformats.org/drawingml/2006/chartDrawing">
    <cdr:from>
      <cdr:x>0.12125</cdr:x>
      <cdr:y>0.15225</cdr:y>
    </cdr:from>
    <cdr:to>
      <cdr:x>0.42975</cdr:x>
      <cdr:y>0.8645</cdr:y>
    </cdr:to>
    <cdr:sp>
      <cdr:nvSpPr>
        <cdr:cNvPr id="4" name="Rectangle 4"/>
        <cdr:cNvSpPr>
          <a:spLocks/>
        </cdr:cNvSpPr>
      </cdr:nvSpPr>
      <cdr:spPr>
        <a:xfrm>
          <a:off x="1047750" y="895350"/>
          <a:ext cx="2676525" cy="4210050"/>
        </a:xfrm>
        <a:prstGeom prst="rect">
          <a:avLst/>
        </a:prstGeom>
        <a:solidFill>
          <a:srgbClr val="FFCC99">
            <a:alpha val="2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75" b="1" i="0" u="none" baseline="0">
              <a:latin typeface="Arial"/>
              <a:ea typeface="Arial"/>
              <a:cs typeface="Arial"/>
            </a:rPr>
            <a:t>4.2K</a:t>
          </a:r>
        </a:p>
      </cdr:txBody>
    </cdr:sp>
  </cdr:relSizeAnchor>
  <cdr:relSizeAnchor xmlns:cdr="http://schemas.openxmlformats.org/drawingml/2006/chartDrawing">
    <cdr:from>
      <cdr:x>0.62575</cdr:x>
      <cdr:y>0.15225</cdr:y>
    </cdr:from>
    <cdr:to>
      <cdr:x>0.85</cdr:x>
      <cdr:y>0.86475</cdr:y>
    </cdr:to>
    <cdr:sp>
      <cdr:nvSpPr>
        <cdr:cNvPr id="5" name="Rectangle 5"/>
        <cdr:cNvSpPr>
          <a:spLocks/>
        </cdr:cNvSpPr>
      </cdr:nvSpPr>
      <cdr:spPr>
        <a:xfrm>
          <a:off x="5429250" y="895350"/>
          <a:ext cx="1943100" cy="4210050"/>
        </a:xfrm>
        <a:prstGeom prst="rect">
          <a:avLst/>
        </a:prstGeom>
        <a:solidFill>
          <a:srgbClr val="FFCC99">
            <a:alpha val="2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75" b="1" i="0" u="none" baseline="0">
              <a:latin typeface="Arial"/>
              <a:ea typeface="Arial"/>
              <a:cs typeface="Arial"/>
            </a:rPr>
            <a:t>4.2K</a:t>
          </a:r>
        </a:p>
      </cdr:txBody>
    </cdr:sp>
  </cdr:relSizeAnchor>
  <cdr:relSizeAnchor xmlns:cdr="http://schemas.openxmlformats.org/drawingml/2006/chartDrawing">
    <cdr:from>
      <cdr:x>0.5495</cdr:x>
      <cdr:y>0.23875</cdr:y>
    </cdr:from>
    <cdr:to>
      <cdr:x>0.58775</cdr:x>
      <cdr:y>0.27275</cdr:y>
    </cdr:to>
    <cdr:sp>
      <cdr:nvSpPr>
        <cdr:cNvPr id="6" name="Rectangle 6"/>
        <cdr:cNvSpPr>
          <a:spLocks/>
        </cdr:cNvSpPr>
      </cdr:nvSpPr>
      <cdr:spPr>
        <a:xfrm>
          <a:off x="4762500" y="1409700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2.2K</a:t>
          </a:r>
        </a:p>
      </cdr:txBody>
    </cdr:sp>
  </cdr:relSizeAnchor>
  <cdr:relSizeAnchor xmlns:cdr="http://schemas.openxmlformats.org/drawingml/2006/chartDrawing">
    <cdr:from>
      <cdr:x>0.633</cdr:x>
      <cdr:y>0.25725</cdr:y>
    </cdr:from>
    <cdr:to>
      <cdr:x>0.84025</cdr:x>
      <cdr:y>0.561</cdr:y>
    </cdr:to>
    <cdr:sp>
      <cdr:nvSpPr>
        <cdr:cNvPr id="7" name="Rectangle 7"/>
        <cdr:cNvSpPr>
          <a:spLocks/>
        </cdr:cNvSpPr>
      </cdr:nvSpPr>
      <cdr:spPr>
        <a:xfrm>
          <a:off x="5486400" y="1514475"/>
          <a:ext cx="1800225" cy="1800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40A/s            10A/s  5A/s
            60A/s
   80A/s     aprox.78A/s
                    100A/s
                       120A/s
                          140A/s                                                       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</a:t>
          </a:r>
        </a:p>
      </cdr:txBody>
    </cdr:sp>
  </cdr:relSizeAnchor>
  <cdr:relSizeAnchor xmlns:cdr="http://schemas.openxmlformats.org/drawingml/2006/chartDrawing">
    <cdr:from>
      <cdr:x>0.31575</cdr:x>
      <cdr:y>0.3105</cdr:y>
    </cdr:from>
    <cdr:to>
      <cdr:x>0.40625</cdr:x>
      <cdr:y>0.58175</cdr:y>
    </cdr:to>
    <cdr:sp>
      <cdr:nvSpPr>
        <cdr:cNvPr id="8" name="Rectangle 9"/>
        <cdr:cNvSpPr>
          <a:spLocks/>
        </cdr:cNvSpPr>
      </cdr:nvSpPr>
      <cdr:spPr>
        <a:xfrm>
          <a:off x="2733675" y="1828800"/>
          <a:ext cx="781050" cy="1600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40A/s
  60A/s
          80A/s</a:t>
          </a:r>
          <a:r>
            <a:rPr lang="en-US" cap="none" sz="1100" b="0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
      </a:t>
          </a:r>
          <a:r>
            <a:rPr lang="en-US" cap="none" sz="10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120A/s</a:t>
          </a:r>
        </a:p>
      </cdr:txBody>
    </cdr:sp>
  </cdr:relSizeAnchor>
  <cdr:relSizeAnchor xmlns:cdr="http://schemas.openxmlformats.org/drawingml/2006/chartDrawing">
    <cdr:from>
      <cdr:x>0.64025</cdr:x>
      <cdr:y>0.409</cdr:y>
    </cdr:from>
    <cdr:to>
      <cdr:x>0.7115</cdr:x>
      <cdr:y>0.595</cdr:y>
    </cdr:to>
    <cdr:sp>
      <cdr:nvSpPr>
        <cdr:cNvPr id="9" name="Rectangle 11"/>
        <cdr:cNvSpPr>
          <a:spLocks/>
        </cdr:cNvSpPr>
      </cdr:nvSpPr>
      <cdr:spPr>
        <a:xfrm>
          <a:off x="5553075" y="2409825"/>
          <a:ext cx="619125" cy="1104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75A/s
     125A/s
 150A/s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0.1205</cdr:x>
      <cdr:y>0.7015</cdr:y>
    </cdr:from>
    <cdr:to>
      <cdr:x>0.446</cdr:x>
      <cdr:y>0.76</cdr:y>
    </cdr:to>
    <cdr:sp>
      <cdr:nvSpPr>
        <cdr:cNvPr id="10" name="Rectangle 12"/>
        <cdr:cNvSpPr>
          <a:spLocks/>
        </cdr:cNvSpPr>
      </cdr:nvSpPr>
      <cdr:spPr>
        <a:xfrm>
          <a:off x="1038225" y="4143375"/>
          <a:ext cx="2828925" cy="342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All quenches are at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20A/s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unless is indicated an other ramp rate</a:t>
          </a:r>
        </a:p>
      </cdr:txBody>
    </cdr:sp>
  </cdr:relSizeAnchor>
  <cdr:relSizeAnchor xmlns:cdr="http://schemas.openxmlformats.org/drawingml/2006/chartDrawing">
    <cdr:from>
      <cdr:x>0.748</cdr:x>
      <cdr:y>0.6595</cdr:y>
    </cdr:from>
    <cdr:to>
      <cdr:x>0.828</cdr:x>
      <cdr:y>0.692</cdr:y>
    </cdr:to>
    <cdr:sp>
      <cdr:nvSpPr>
        <cdr:cNvPr id="11" name="Rectangle 13"/>
        <cdr:cNvSpPr>
          <a:spLocks/>
        </cdr:cNvSpPr>
      </cdr:nvSpPr>
      <cdr:spPr>
        <a:xfrm>
          <a:off x="6486525" y="3895725"/>
          <a:ext cx="6953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Flux Jump</a:t>
          </a:r>
        </a:p>
      </cdr:txBody>
    </cdr:sp>
  </cdr:relSizeAnchor>
  <cdr:relSizeAnchor xmlns:cdr="http://schemas.openxmlformats.org/drawingml/2006/chartDrawing">
    <cdr:from>
      <cdr:x>0.8685</cdr:x>
      <cdr:y>0.218</cdr:y>
    </cdr:from>
    <cdr:to>
      <cdr:x>0.95625</cdr:x>
      <cdr:y>0.581</cdr:y>
    </cdr:to>
    <cdr:sp>
      <cdr:nvSpPr>
        <cdr:cNvPr id="12" name="Rectangle 14"/>
        <cdr:cNvSpPr>
          <a:spLocks/>
        </cdr:cNvSpPr>
      </cdr:nvSpPr>
      <cdr:spPr>
        <a:xfrm>
          <a:off x="7534275" y="1285875"/>
          <a:ext cx="762000" cy="2143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
100-160A/s
50-60A/s
   180A/s
           200A/s</a:t>
          </a:r>
        </a:p>
      </cdr:txBody>
    </cdr:sp>
  </cdr:relSizeAnchor>
  <cdr:relSizeAnchor xmlns:cdr="http://schemas.openxmlformats.org/drawingml/2006/chartDrawing">
    <cdr:from>
      <cdr:x>0.85</cdr:x>
      <cdr:y>0.15225</cdr:y>
    </cdr:from>
    <cdr:to>
      <cdr:x>0.95025</cdr:x>
      <cdr:y>0.8645</cdr:y>
    </cdr:to>
    <cdr:sp>
      <cdr:nvSpPr>
        <cdr:cNvPr id="13" name="Rectangle 15"/>
        <cdr:cNvSpPr>
          <a:spLocks/>
        </cdr:cNvSpPr>
      </cdr:nvSpPr>
      <cdr:spPr>
        <a:xfrm>
          <a:off x="7372350" y="895350"/>
          <a:ext cx="866775" cy="4210050"/>
        </a:xfrm>
        <a:prstGeom prst="rect">
          <a:avLst/>
        </a:prstGeom>
        <a:solidFill>
          <a:srgbClr val="CCFFFF">
            <a:alpha val="2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75" b="1" i="0" u="none" baseline="0">
              <a:latin typeface="Arial"/>
              <a:ea typeface="Arial"/>
              <a:cs typeface="Arial"/>
            </a:rPr>
            <a:t>1.9K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workbookViewId="0" topLeftCell="A18">
      <selection activeCell="A54" sqref="A54"/>
    </sheetView>
  </sheetViews>
  <sheetFormatPr defaultColWidth="9.140625" defaultRowHeight="12.75"/>
  <cols>
    <col min="1" max="1" width="19.28125" style="0" customWidth="1"/>
    <col min="2" max="3" width="9.28125" style="0" customWidth="1"/>
    <col min="4" max="4" width="10.28125" style="0" customWidth="1"/>
    <col min="5" max="5" width="10.28125" style="3" customWidth="1"/>
    <col min="7" max="7" width="10.57421875" style="0" customWidth="1"/>
    <col min="11" max="11" width="8.421875" style="0" customWidth="1"/>
    <col min="12" max="12" width="36.140625" style="0" customWidth="1"/>
    <col min="13" max="13" width="8.28125" style="0" customWidth="1"/>
    <col min="15" max="15" width="11.421875" style="0" customWidth="1"/>
    <col min="19" max="21" width="9.140625" style="3" customWidth="1"/>
  </cols>
  <sheetData>
    <row r="1" spans="2:14" ht="12.75">
      <c r="B1" s="5" t="s">
        <v>0</v>
      </c>
      <c r="C1" s="6" t="s">
        <v>25</v>
      </c>
      <c r="D1" t="s">
        <v>41</v>
      </c>
      <c r="E1" s="3" t="s">
        <v>47</v>
      </c>
      <c r="F1" t="s">
        <v>56</v>
      </c>
      <c r="G1" t="s">
        <v>81</v>
      </c>
      <c r="H1" t="s">
        <v>109</v>
      </c>
      <c r="I1" s="11" t="s">
        <v>53</v>
      </c>
      <c r="J1" s="11" t="s">
        <v>59</v>
      </c>
      <c r="K1" s="11" t="s">
        <v>60</v>
      </c>
      <c r="L1" s="11" t="s">
        <v>71</v>
      </c>
      <c r="M1" s="8" t="s">
        <v>6</v>
      </c>
      <c r="N1" t="s">
        <v>20</v>
      </c>
    </row>
    <row r="2" spans="2:14" ht="12.75">
      <c r="B2" s="5"/>
      <c r="C2" s="6"/>
      <c r="I2" s="11"/>
      <c r="J2" s="11"/>
      <c r="K2" s="11"/>
      <c r="L2" s="11"/>
      <c r="M2" s="8" t="s">
        <v>21</v>
      </c>
      <c r="N2" t="s">
        <v>22</v>
      </c>
    </row>
    <row r="3" spans="1:14" ht="12.75">
      <c r="A3" s="1" t="s">
        <v>83</v>
      </c>
      <c r="B3" s="5">
        <v>400</v>
      </c>
      <c r="C3" s="7">
        <v>600</v>
      </c>
      <c r="D3" s="8">
        <v>800</v>
      </c>
      <c r="E3" s="37">
        <v>800</v>
      </c>
      <c r="F3" s="8">
        <v>1000</v>
      </c>
      <c r="G3" s="22">
        <v>800600</v>
      </c>
      <c r="H3" s="8">
        <v>400</v>
      </c>
      <c r="I3" s="10">
        <v>40</v>
      </c>
      <c r="J3" s="10">
        <v>50</v>
      </c>
      <c r="K3" s="10">
        <v>60</v>
      </c>
      <c r="L3" s="10">
        <v>100</v>
      </c>
      <c r="M3" s="8" t="s">
        <v>17</v>
      </c>
      <c r="N3" t="s">
        <v>136</v>
      </c>
    </row>
    <row r="4" spans="1:12" ht="12.75">
      <c r="A4" s="1" t="s">
        <v>2</v>
      </c>
      <c r="B4" s="5">
        <v>1000</v>
      </c>
      <c r="C4" s="6">
        <v>1000</v>
      </c>
      <c r="D4">
        <v>1000</v>
      </c>
      <c r="E4" s="37">
        <v>1200</v>
      </c>
      <c r="F4" s="8">
        <v>1200</v>
      </c>
      <c r="G4" s="8">
        <v>1600</v>
      </c>
      <c r="H4" s="8">
        <v>1600</v>
      </c>
      <c r="I4" s="9">
        <v>1000</v>
      </c>
      <c r="J4" s="9">
        <v>1000</v>
      </c>
      <c r="K4" s="9">
        <v>1000</v>
      </c>
      <c r="L4" s="9">
        <v>1000</v>
      </c>
    </row>
    <row r="5" spans="1:12" ht="12.75">
      <c r="A5" s="1" t="s">
        <v>40</v>
      </c>
      <c r="B5" s="5">
        <v>8</v>
      </c>
      <c r="C5" s="6">
        <v>8</v>
      </c>
      <c r="D5">
        <v>8</v>
      </c>
      <c r="E5" s="3">
        <v>8</v>
      </c>
      <c r="F5">
        <v>8</v>
      </c>
      <c r="G5">
        <v>8</v>
      </c>
      <c r="H5">
        <v>8</v>
      </c>
      <c r="I5" s="9">
        <v>8</v>
      </c>
      <c r="J5" s="9">
        <v>8</v>
      </c>
      <c r="K5" s="9">
        <v>8</v>
      </c>
      <c r="L5" s="9">
        <v>8</v>
      </c>
    </row>
    <row r="6" spans="1:14" ht="26.25" customHeight="1">
      <c r="A6" s="1" t="s">
        <v>3</v>
      </c>
      <c r="B6" s="5">
        <v>0</v>
      </c>
      <c r="C6" s="6">
        <v>0</v>
      </c>
      <c r="D6">
        <v>0</v>
      </c>
      <c r="E6" s="3">
        <v>0</v>
      </c>
      <c r="F6">
        <v>0</v>
      </c>
      <c r="G6">
        <v>0</v>
      </c>
      <c r="H6">
        <v>0</v>
      </c>
      <c r="I6" s="9">
        <v>0</v>
      </c>
      <c r="J6" s="9">
        <v>0</v>
      </c>
      <c r="K6" s="9">
        <v>0</v>
      </c>
      <c r="L6" s="9">
        <v>0</v>
      </c>
      <c r="M6" t="s">
        <v>137</v>
      </c>
      <c r="N6">
        <v>70</v>
      </c>
    </row>
    <row r="7" spans="1:12" ht="23.25" customHeight="1">
      <c r="A7" s="1" t="s">
        <v>4</v>
      </c>
      <c r="B7" s="5">
        <v>0</v>
      </c>
      <c r="C7" s="6">
        <v>0</v>
      </c>
      <c r="D7">
        <v>0</v>
      </c>
      <c r="E7" s="3">
        <v>0</v>
      </c>
      <c r="F7">
        <v>0</v>
      </c>
      <c r="G7">
        <v>0</v>
      </c>
      <c r="H7">
        <v>8</v>
      </c>
      <c r="I7" s="9">
        <v>0</v>
      </c>
      <c r="J7" s="9">
        <v>0</v>
      </c>
      <c r="K7" s="9">
        <v>0</v>
      </c>
      <c r="L7" s="9">
        <v>0</v>
      </c>
    </row>
    <row r="9" spans="1:22" ht="37.5" customHeight="1">
      <c r="A9" s="3" t="s">
        <v>7</v>
      </c>
      <c r="B9" s="2" t="s">
        <v>1</v>
      </c>
      <c r="C9" s="2"/>
      <c r="D9" s="3" t="s">
        <v>5</v>
      </c>
      <c r="E9" s="4" t="s">
        <v>67</v>
      </c>
      <c r="F9" s="4" t="s">
        <v>11</v>
      </c>
      <c r="G9" s="3" t="s">
        <v>9</v>
      </c>
      <c r="H9" s="4" t="s">
        <v>24</v>
      </c>
      <c r="I9" s="4" t="s">
        <v>30</v>
      </c>
      <c r="J9" s="4" t="s">
        <v>10</v>
      </c>
      <c r="K9" s="4" t="s">
        <v>23</v>
      </c>
      <c r="L9" s="3" t="s">
        <v>12</v>
      </c>
      <c r="M9" s="4" t="s">
        <v>13</v>
      </c>
      <c r="N9" s="3" t="s">
        <v>14</v>
      </c>
      <c r="O9" s="4" t="s">
        <v>19</v>
      </c>
      <c r="P9" s="4" t="s">
        <v>31</v>
      </c>
      <c r="Q9" s="4" t="s">
        <v>134</v>
      </c>
      <c r="R9" s="4" t="s">
        <v>135</v>
      </c>
      <c r="S9" s="4" t="s">
        <v>32</v>
      </c>
      <c r="T9" s="4" t="s">
        <v>35</v>
      </c>
      <c r="U9" s="4" t="s">
        <v>36</v>
      </c>
      <c r="V9" s="4" t="s">
        <v>68</v>
      </c>
    </row>
    <row r="10" spans="1:22" s="14" customFormat="1" ht="12.75">
      <c r="A10" s="12" t="s">
        <v>8</v>
      </c>
      <c r="B10" s="12">
        <v>1</v>
      </c>
      <c r="C10" s="12">
        <v>10</v>
      </c>
      <c r="D10" s="12">
        <v>1500</v>
      </c>
      <c r="E10" s="13">
        <f>0.0165*D10+15.771</f>
        <v>40.521</v>
      </c>
      <c r="F10" s="13" t="s">
        <v>6</v>
      </c>
      <c r="J10" s="13"/>
      <c r="L10" s="14" t="s">
        <v>16</v>
      </c>
      <c r="M10" s="14">
        <v>58</v>
      </c>
      <c r="N10" s="14">
        <f>M10*$N$6/1000</f>
        <v>4.06</v>
      </c>
      <c r="S10" s="13"/>
      <c r="T10" s="13"/>
      <c r="U10" s="13"/>
      <c r="V10" s="16">
        <v>39603</v>
      </c>
    </row>
    <row r="11" spans="1:22" s="14" customFormat="1" ht="12.75">
      <c r="A11" s="12" t="s">
        <v>15</v>
      </c>
      <c r="B11" s="12">
        <v>1</v>
      </c>
      <c r="C11" s="12">
        <v>10</v>
      </c>
      <c r="D11" s="12">
        <v>1426</v>
      </c>
      <c r="E11" s="13">
        <f aca="true" t="shared" si="0" ref="E11:E23">0.0165*D11+15.771</f>
        <v>39.3</v>
      </c>
      <c r="F11" s="13" t="s">
        <v>17</v>
      </c>
      <c r="G11" s="14">
        <v>28</v>
      </c>
      <c r="J11" s="13" t="s">
        <v>33</v>
      </c>
      <c r="K11" s="14" t="s">
        <v>34</v>
      </c>
      <c r="L11" s="14" t="s">
        <v>18</v>
      </c>
      <c r="O11" s="14">
        <v>4.3</v>
      </c>
      <c r="S11" s="13"/>
      <c r="T11" s="13"/>
      <c r="U11" s="13"/>
      <c r="V11" s="16">
        <v>39603</v>
      </c>
    </row>
    <row r="12" spans="1:22" s="14" customFormat="1" ht="12.75">
      <c r="A12" s="12" t="s">
        <v>26</v>
      </c>
      <c r="B12" s="12">
        <v>2</v>
      </c>
      <c r="C12" s="12">
        <v>10</v>
      </c>
      <c r="D12" s="12">
        <v>3000</v>
      </c>
      <c r="E12" s="13">
        <f t="shared" si="0"/>
        <v>65.271</v>
      </c>
      <c r="F12" s="13" t="s">
        <v>6</v>
      </c>
      <c r="G12" s="14">
        <v>28</v>
      </c>
      <c r="H12" s="14" t="s">
        <v>28</v>
      </c>
      <c r="I12" s="14" t="s">
        <v>29</v>
      </c>
      <c r="J12" s="13" t="s">
        <v>33</v>
      </c>
      <c r="K12" s="15" t="s">
        <v>34</v>
      </c>
      <c r="L12" s="14" t="s">
        <v>27</v>
      </c>
      <c r="O12" s="14">
        <v>4.3</v>
      </c>
      <c r="P12" s="14">
        <v>165</v>
      </c>
      <c r="S12" s="13">
        <v>0.49</v>
      </c>
      <c r="T12" s="13">
        <v>16</v>
      </c>
      <c r="U12" s="13">
        <v>13</v>
      </c>
      <c r="V12" s="16">
        <v>39603</v>
      </c>
    </row>
    <row r="13" spans="1:22" s="14" customFormat="1" ht="12.75">
      <c r="A13" s="12" t="s">
        <v>37</v>
      </c>
      <c r="B13" s="12" t="s">
        <v>78</v>
      </c>
      <c r="C13" s="12">
        <v>10</v>
      </c>
      <c r="D13" s="12">
        <v>6000</v>
      </c>
      <c r="E13" s="13">
        <f t="shared" si="0"/>
        <v>114.771</v>
      </c>
      <c r="F13" s="13" t="s">
        <v>6</v>
      </c>
      <c r="G13" s="14">
        <v>28</v>
      </c>
      <c r="H13" s="14" t="s">
        <v>39</v>
      </c>
      <c r="I13" s="14" t="s">
        <v>29</v>
      </c>
      <c r="J13" s="13" t="s">
        <v>33</v>
      </c>
      <c r="K13" s="14" t="s">
        <v>34</v>
      </c>
      <c r="L13" s="14" t="s">
        <v>38</v>
      </c>
      <c r="M13" s="14">
        <v>44</v>
      </c>
      <c r="N13" s="14">
        <f>M13*$N$6/1000</f>
        <v>3.08</v>
      </c>
      <c r="O13" s="14">
        <v>4.3</v>
      </c>
      <c r="P13" s="14">
        <v>122</v>
      </c>
      <c r="S13" s="13">
        <v>1.45</v>
      </c>
      <c r="T13" s="13">
        <v>53</v>
      </c>
      <c r="U13" s="13">
        <v>8</v>
      </c>
      <c r="V13" s="16">
        <v>39603</v>
      </c>
    </row>
    <row r="14" spans="1:22" s="14" customFormat="1" ht="12.75">
      <c r="A14" s="12" t="s">
        <v>42</v>
      </c>
      <c r="B14" s="12" t="s">
        <v>78</v>
      </c>
      <c r="C14" s="12">
        <v>10</v>
      </c>
      <c r="D14" s="12">
        <v>2030</v>
      </c>
      <c r="E14" s="13">
        <f t="shared" si="0"/>
        <v>49.266000000000005</v>
      </c>
      <c r="F14" s="13" t="s">
        <v>17</v>
      </c>
      <c r="J14" s="13"/>
      <c r="L14" s="14" t="s">
        <v>43</v>
      </c>
      <c r="O14" s="14">
        <v>4.3</v>
      </c>
      <c r="S14" s="13"/>
      <c r="T14" s="13"/>
      <c r="U14" s="13"/>
      <c r="V14" s="16">
        <v>39603</v>
      </c>
    </row>
    <row r="15" spans="1:22" s="14" customFormat="1" ht="12.75">
      <c r="A15" s="12" t="s">
        <v>45</v>
      </c>
      <c r="B15" s="12" t="s">
        <v>78</v>
      </c>
      <c r="C15" s="12">
        <v>10</v>
      </c>
      <c r="D15" s="12">
        <v>1282</v>
      </c>
      <c r="E15" s="13">
        <f t="shared" si="0"/>
        <v>36.92400000000001</v>
      </c>
      <c r="F15" s="13" t="s">
        <v>17</v>
      </c>
      <c r="J15" s="13"/>
      <c r="L15" s="14" t="s">
        <v>44</v>
      </c>
      <c r="O15" s="14">
        <v>4.3</v>
      </c>
      <c r="S15" s="13"/>
      <c r="T15" s="13"/>
      <c r="U15" s="13"/>
      <c r="V15" s="16">
        <v>39603</v>
      </c>
    </row>
    <row r="16" spans="1:22" s="14" customFormat="1" ht="12.75">
      <c r="A16" s="12" t="s">
        <v>46</v>
      </c>
      <c r="B16" s="12">
        <v>3</v>
      </c>
      <c r="C16" s="12">
        <v>10</v>
      </c>
      <c r="D16" s="12">
        <v>830</v>
      </c>
      <c r="E16" s="13">
        <f t="shared" si="0"/>
        <v>29.466</v>
      </c>
      <c r="F16" s="13" t="s">
        <v>17</v>
      </c>
      <c r="G16" s="14" t="s">
        <v>49</v>
      </c>
      <c r="J16" s="13"/>
      <c r="L16" s="14" t="s">
        <v>48</v>
      </c>
      <c r="O16" s="14">
        <v>4.3</v>
      </c>
      <c r="S16" s="13"/>
      <c r="T16" s="13"/>
      <c r="U16" s="13"/>
      <c r="V16" s="16">
        <v>39603</v>
      </c>
    </row>
    <row r="17" spans="1:22" s="14" customFormat="1" ht="12.75">
      <c r="A17" s="12" t="s">
        <v>50</v>
      </c>
      <c r="B17" s="12">
        <v>4</v>
      </c>
      <c r="C17" s="12">
        <v>10</v>
      </c>
      <c r="D17" s="12">
        <v>1605</v>
      </c>
      <c r="E17" s="13">
        <f t="shared" si="0"/>
        <v>42.2535</v>
      </c>
      <c r="F17" s="13" t="s">
        <v>17</v>
      </c>
      <c r="J17" s="13"/>
      <c r="L17" s="14" t="s">
        <v>52</v>
      </c>
      <c r="O17" s="14">
        <v>4.3</v>
      </c>
      <c r="S17" s="13"/>
      <c r="T17" s="13"/>
      <c r="U17" s="13"/>
      <c r="V17" s="16">
        <v>39603</v>
      </c>
    </row>
    <row r="18" spans="1:22" s="14" customFormat="1" ht="12.75">
      <c r="A18" s="12" t="s">
        <v>51</v>
      </c>
      <c r="B18" s="12" t="s">
        <v>54</v>
      </c>
      <c r="C18" s="12">
        <v>20</v>
      </c>
      <c r="D18" s="12">
        <v>5209</v>
      </c>
      <c r="E18" s="13">
        <f t="shared" si="0"/>
        <v>101.71950000000001</v>
      </c>
      <c r="F18" s="13" t="s">
        <v>17</v>
      </c>
      <c r="G18" s="14">
        <v>28</v>
      </c>
      <c r="J18" s="13"/>
      <c r="O18" s="14">
        <v>4.3</v>
      </c>
      <c r="S18" s="13"/>
      <c r="T18" s="13"/>
      <c r="U18" s="13"/>
      <c r="V18" s="16">
        <v>39603</v>
      </c>
    </row>
    <row r="19" spans="1:22" s="14" customFormat="1" ht="12.75">
      <c r="A19" s="12" t="s">
        <v>57</v>
      </c>
      <c r="B19" s="12" t="s">
        <v>55</v>
      </c>
      <c r="C19" s="12">
        <v>20</v>
      </c>
      <c r="D19" s="12">
        <v>1900</v>
      </c>
      <c r="E19" s="13">
        <f t="shared" si="0"/>
        <v>47.121</v>
      </c>
      <c r="F19" s="13" t="s">
        <v>17</v>
      </c>
      <c r="J19" s="13"/>
      <c r="L19" s="14" t="s">
        <v>174</v>
      </c>
      <c r="O19" s="14">
        <v>4.3</v>
      </c>
      <c r="S19" s="13"/>
      <c r="T19" s="13"/>
      <c r="U19" s="13"/>
      <c r="V19" s="16">
        <v>39603</v>
      </c>
    </row>
    <row r="20" spans="1:22" s="19" customFormat="1" ht="12.75">
      <c r="A20" s="17">
        <v>1</v>
      </c>
      <c r="B20" s="17" t="s">
        <v>61</v>
      </c>
      <c r="C20" s="17">
        <v>20</v>
      </c>
      <c r="D20" s="17">
        <v>12035</v>
      </c>
      <c r="E20" s="18">
        <f t="shared" si="0"/>
        <v>214.3485</v>
      </c>
      <c r="F20" s="18" t="s">
        <v>21</v>
      </c>
      <c r="G20" s="19">
        <v>28</v>
      </c>
      <c r="H20" s="19" t="s">
        <v>62</v>
      </c>
      <c r="I20" s="19" t="s">
        <v>63</v>
      </c>
      <c r="J20" s="18" t="s">
        <v>33</v>
      </c>
      <c r="K20" s="19" t="s">
        <v>64</v>
      </c>
      <c r="L20" s="19" t="s">
        <v>65</v>
      </c>
      <c r="O20" s="19">
        <v>4.3</v>
      </c>
      <c r="P20" s="19">
        <v>133</v>
      </c>
      <c r="R20" s="19">
        <v>800</v>
      </c>
      <c r="S20" s="18">
        <v>4.13</v>
      </c>
      <c r="T20" s="18">
        <v>223</v>
      </c>
      <c r="U20" s="18">
        <v>60</v>
      </c>
      <c r="V20" s="20">
        <v>39603</v>
      </c>
    </row>
    <row r="21" spans="1:22" s="19" customFormat="1" ht="12.75">
      <c r="A21" s="17">
        <v>2</v>
      </c>
      <c r="B21" s="17" t="s">
        <v>61</v>
      </c>
      <c r="C21" s="17">
        <v>20</v>
      </c>
      <c r="D21" s="17">
        <v>12219</v>
      </c>
      <c r="E21" s="18">
        <f t="shared" si="0"/>
        <v>217.3845</v>
      </c>
      <c r="F21" s="18" t="s">
        <v>21</v>
      </c>
      <c r="G21" s="21">
        <v>28</v>
      </c>
      <c r="H21" s="19" t="s">
        <v>28</v>
      </c>
      <c r="I21" s="19" t="s">
        <v>29</v>
      </c>
      <c r="J21" s="18" t="s">
        <v>33</v>
      </c>
      <c r="K21" s="19" t="s">
        <v>66</v>
      </c>
      <c r="L21" s="19" t="s">
        <v>65</v>
      </c>
      <c r="O21" s="19">
        <v>4.3</v>
      </c>
      <c r="P21" s="19">
        <v>133</v>
      </c>
      <c r="Q21" s="19">
        <v>205</v>
      </c>
      <c r="R21" s="19">
        <v>815</v>
      </c>
      <c r="S21" s="18">
        <v>4.15</v>
      </c>
      <c r="T21" s="18">
        <v>223</v>
      </c>
      <c r="U21" s="18">
        <v>60</v>
      </c>
      <c r="V21" s="20">
        <v>39603</v>
      </c>
    </row>
    <row r="22" spans="1:22" s="19" customFormat="1" ht="12.75">
      <c r="A22" s="17">
        <v>3</v>
      </c>
      <c r="B22" s="17" t="s">
        <v>61</v>
      </c>
      <c r="C22" s="17">
        <v>20</v>
      </c>
      <c r="D22" s="17">
        <v>12407</v>
      </c>
      <c r="E22" s="18">
        <f t="shared" si="0"/>
        <v>220.48650000000004</v>
      </c>
      <c r="F22" s="18" t="s">
        <v>21</v>
      </c>
      <c r="G22" s="19">
        <v>23</v>
      </c>
      <c r="H22" s="19" t="s">
        <v>70</v>
      </c>
      <c r="I22" s="19" t="s">
        <v>29</v>
      </c>
      <c r="J22" s="18" t="s">
        <v>132</v>
      </c>
      <c r="K22" s="19" t="s">
        <v>158</v>
      </c>
      <c r="L22" s="19" t="s">
        <v>69</v>
      </c>
      <c r="O22" s="19">
        <v>4.3</v>
      </c>
      <c r="P22" s="19">
        <v>126</v>
      </c>
      <c r="Q22" s="19">
        <v>195</v>
      </c>
      <c r="R22" s="19">
        <v>823</v>
      </c>
      <c r="S22" s="18">
        <v>4.25</v>
      </c>
      <c r="T22" s="18">
        <v>230</v>
      </c>
      <c r="U22" s="18">
        <v>60</v>
      </c>
      <c r="V22" s="20">
        <v>39604</v>
      </c>
    </row>
    <row r="23" spans="1:22" s="19" customFormat="1" ht="12.75">
      <c r="A23" s="17">
        <v>4</v>
      </c>
      <c r="B23" s="17" t="s">
        <v>72</v>
      </c>
      <c r="C23" s="17">
        <v>20</v>
      </c>
      <c r="D23" s="17">
        <v>12434</v>
      </c>
      <c r="E23" s="18">
        <f t="shared" si="0"/>
        <v>220.93200000000002</v>
      </c>
      <c r="F23" s="18" t="s">
        <v>21</v>
      </c>
      <c r="G23" s="19">
        <v>23</v>
      </c>
      <c r="H23" s="19" t="s">
        <v>75</v>
      </c>
      <c r="I23" s="19" t="s">
        <v>74</v>
      </c>
      <c r="J23" s="18" t="s">
        <v>132</v>
      </c>
      <c r="K23" s="19" t="s">
        <v>160</v>
      </c>
      <c r="L23" s="19" t="s">
        <v>161</v>
      </c>
      <c r="O23" s="19">
        <v>4.3</v>
      </c>
      <c r="P23" s="19">
        <v>128</v>
      </c>
      <c r="Q23" s="19">
        <v>189</v>
      </c>
      <c r="R23" s="19">
        <v>825</v>
      </c>
      <c r="S23" s="18">
        <v>4.2</v>
      </c>
      <c r="T23" s="18">
        <v>231</v>
      </c>
      <c r="U23" s="18">
        <v>63</v>
      </c>
      <c r="V23" s="20">
        <v>39604</v>
      </c>
    </row>
    <row r="24" spans="1:22" s="19" customFormat="1" ht="12.75">
      <c r="A24" s="17">
        <v>5</v>
      </c>
      <c r="B24" s="17" t="s">
        <v>72</v>
      </c>
      <c r="C24" s="17">
        <v>20</v>
      </c>
      <c r="D24" s="17">
        <v>12399</v>
      </c>
      <c r="E24" s="18">
        <f aca="true" t="shared" si="1" ref="E24:E42">0.0165*D24+15.771</f>
        <v>220.35450000000003</v>
      </c>
      <c r="F24" s="18" t="s">
        <v>21</v>
      </c>
      <c r="G24" s="19">
        <v>23</v>
      </c>
      <c r="H24" s="19" t="s">
        <v>75</v>
      </c>
      <c r="I24" s="19" t="s">
        <v>74</v>
      </c>
      <c r="J24" s="18" t="s">
        <v>132</v>
      </c>
      <c r="K24" s="19" t="s">
        <v>190</v>
      </c>
      <c r="L24" s="19" t="s">
        <v>191</v>
      </c>
      <c r="O24" s="19">
        <v>4.3</v>
      </c>
      <c r="P24" s="19">
        <v>131</v>
      </c>
      <c r="Q24" s="19">
        <v>188</v>
      </c>
      <c r="R24" s="19">
        <v>813</v>
      </c>
      <c r="S24" s="18">
        <v>4.14</v>
      </c>
      <c r="T24" s="18">
        <v>230</v>
      </c>
      <c r="U24" s="18">
        <v>64</v>
      </c>
      <c r="V24" s="20">
        <v>39604</v>
      </c>
    </row>
    <row r="25" spans="1:22" s="19" customFormat="1" ht="12.75">
      <c r="A25" s="17">
        <v>6</v>
      </c>
      <c r="B25" s="17" t="s">
        <v>76</v>
      </c>
      <c r="C25" s="17">
        <v>20</v>
      </c>
      <c r="D25" s="17">
        <v>12432</v>
      </c>
      <c r="E25" s="18">
        <f t="shared" si="1"/>
        <v>220.899</v>
      </c>
      <c r="F25" s="18" t="s">
        <v>21</v>
      </c>
      <c r="G25" s="19">
        <v>23</v>
      </c>
      <c r="H25" s="19" t="s">
        <v>75</v>
      </c>
      <c r="I25" s="19" t="s">
        <v>74</v>
      </c>
      <c r="J25" s="18" t="s">
        <v>132</v>
      </c>
      <c r="K25" s="19" t="s">
        <v>193</v>
      </c>
      <c r="L25" s="19" t="s">
        <v>194</v>
      </c>
      <c r="O25" s="19">
        <v>4.3</v>
      </c>
      <c r="P25" s="19">
        <v>128</v>
      </c>
      <c r="Q25" s="19">
        <v>189</v>
      </c>
      <c r="R25" s="19">
        <v>822</v>
      </c>
      <c r="S25" s="18">
        <v>4.15</v>
      </c>
      <c r="T25" s="18">
        <v>231</v>
      </c>
      <c r="U25" s="18">
        <v>64</v>
      </c>
      <c r="V25" s="20">
        <v>39604</v>
      </c>
    </row>
    <row r="26" spans="1:21" s="14" customFormat="1" ht="12.75">
      <c r="A26" s="12" t="s">
        <v>58</v>
      </c>
      <c r="B26" s="12" t="s">
        <v>77</v>
      </c>
      <c r="C26" s="12">
        <v>20</v>
      </c>
      <c r="D26" s="12">
        <v>6200</v>
      </c>
      <c r="E26" s="13">
        <f t="shared" si="1"/>
        <v>118.07100000000001</v>
      </c>
      <c r="F26" s="13" t="s">
        <v>17</v>
      </c>
      <c r="J26" s="13"/>
      <c r="S26" s="13"/>
      <c r="T26" s="13"/>
      <c r="U26" s="13"/>
    </row>
    <row r="27" spans="1:21" s="14" customFormat="1" ht="12.75">
      <c r="A27" s="12" t="s">
        <v>73</v>
      </c>
      <c r="B27" s="12" t="s">
        <v>77</v>
      </c>
      <c r="C27" s="12">
        <v>20</v>
      </c>
      <c r="D27" s="12">
        <v>6200</v>
      </c>
      <c r="E27" s="13">
        <f t="shared" si="1"/>
        <v>118.07100000000001</v>
      </c>
      <c r="F27" s="13" t="s">
        <v>17</v>
      </c>
      <c r="J27" s="13"/>
      <c r="S27" s="13"/>
      <c r="T27" s="13"/>
      <c r="U27" s="13"/>
    </row>
    <row r="28" spans="1:22" s="19" customFormat="1" ht="12.75">
      <c r="A28" s="17">
        <v>7</v>
      </c>
      <c r="B28" s="17" t="s">
        <v>84</v>
      </c>
      <c r="C28" s="17">
        <v>20</v>
      </c>
      <c r="D28" s="17">
        <v>12354</v>
      </c>
      <c r="E28" s="18">
        <f t="shared" si="1"/>
        <v>219.61200000000002</v>
      </c>
      <c r="F28" s="18" t="s">
        <v>21</v>
      </c>
      <c r="G28" s="19">
        <v>23</v>
      </c>
      <c r="H28" s="19" t="s">
        <v>75</v>
      </c>
      <c r="I28" s="19" t="s">
        <v>74</v>
      </c>
      <c r="J28" s="18" t="s">
        <v>132</v>
      </c>
      <c r="L28" s="19" t="s">
        <v>69</v>
      </c>
      <c r="O28" s="19">
        <v>4.3</v>
      </c>
      <c r="P28" s="19">
        <v>136</v>
      </c>
      <c r="Q28" s="19">
        <v>202</v>
      </c>
      <c r="R28" s="19">
        <v>822</v>
      </c>
      <c r="S28" s="18">
        <v>4.14</v>
      </c>
      <c r="T28" s="18">
        <v>229</v>
      </c>
      <c r="U28" s="18">
        <v>63</v>
      </c>
      <c r="V28" s="20">
        <v>39604</v>
      </c>
    </row>
    <row r="29" spans="1:22" s="19" customFormat="1" ht="12.75">
      <c r="A29" s="17">
        <v>8</v>
      </c>
      <c r="B29" s="17" t="s">
        <v>84</v>
      </c>
      <c r="C29" s="17">
        <v>20</v>
      </c>
      <c r="D29" s="17">
        <v>12359</v>
      </c>
      <c r="E29" s="18">
        <f t="shared" si="1"/>
        <v>219.6945</v>
      </c>
      <c r="F29" s="18" t="s">
        <v>21</v>
      </c>
      <c r="G29" s="19">
        <v>23</v>
      </c>
      <c r="H29" s="19" t="s">
        <v>75</v>
      </c>
      <c r="I29" s="19" t="s">
        <v>74</v>
      </c>
      <c r="J29" s="18" t="s">
        <v>132</v>
      </c>
      <c r="L29" s="19" t="s">
        <v>69</v>
      </c>
      <c r="O29" s="19">
        <v>4.3</v>
      </c>
      <c r="P29" s="19">
        <v>139</v>
      </c>
      <c r="Q29" s="19">
        <v>192</v>
      </c>
      <c r="R29" s="19">
        <v>823</v>
      </c>
      <c r="S29" s="18">
        <v>4.14</v>
      </c>
      <c r="T29" s="18">
        <v>193</v>
      </c>
      <c r="U29" s="18">
        <v>57</v>
      </c>
      <c r="V29" s="20">
        <v>39604</v>
      </c>
    </row>
    <row r="30" spans="1:22" s="6" customFormat="1" ht="12.75">
      <c r="A30" s="23">
        <v>9</v>
      </c>
      <c r="B30" s="23" t="s">
        <v>82</v>
      </c>
      <c r="C30" s="23">
        <v>20</v>
      </c>
      <c r="D30" s="23">
        <v>11348</v>
      </c>
      <c r="E30" s="35">
        <f t="shared" si="1"/>
        <v>203.01300000000003</v>
      </c>
      <c r="F30" s="35" t="s">
        <v>21</v>
      </c>
      <c r="G30" s="6">
        <v>23</v>
      </c>
      <c r="H30" s="6" t="s">
        <v>75</v>
      </c>
      <c r="I30" s="6" t="s">
        <v>74</v>
      </c>
      <c r="J30" s="35" t="s">
        <v>132</v>
      </c>
      <c r="K30" s="6">
        <v>4.3</v>
      </c>
      <c r="L30" s="6" t="s">
        <v>69</v>
      </c>
      <c r="O30" s="6">
        <v>1.9</v>
      </c>
      <c r="P30" s="6">
        <v>136</v>
      </c>
      <c r="Q30" s="6">
        <v>199</v>
      </c>
      <c r="R30" s="6">
        <v>756</v>
      </c>
      <c r="S30" s="35">
        <v>3.89</v>
      </c>
      <c r="T30" s="35">
        <v>193</v>
      </c>
      <c r="U30" s="35">
        <v>57</v>
      </c>
      <c r="V30" s="38">
        <v>39608</v>
      </c>
    </row>
    <row r="31" spans="1:22" s="6" customFormat="1" ht="12.75">
      <c r="A31" s="23">
        <v>10</v>
      </c>
      <c r="B31" s="23" t="s">
        <v>82</v>
      </c>
      <c r="C31" s="23">
        <v>20</v>
      </c>
      <c r="D31" s="23">
        <v>11613</v>
      </c>
      <c r="E31" s="35">
        <f t="shared" si="1"/>
        <v>207.38550000000004</v>
      </c>
      <c r="F31" s="35" t="s">
        <v>21</v>
      </c>
      <c r="G31" s="6">
        <v>23</v>
      </c>
      <c r="H31" s="6" t="s">
        <v>75</v>
      </c>
      <c r="I31" s="6" t="s">
        <v>74</v>
      </c>
      <c r="J31" s="35" t="s">
        <v>132</v>
      </c>
      <c r="K31" s="6">
        <v>4.3</v>
      </c>
      <c r="L31" s="84" t="s">
        <v>167</v>
      </c>
      <c r="O31" s="6">
        <v>1.9</v>
      </c>
      <c r="P31" s="6">
        <v>144</v>
      </c>
      <c r="Q31" s="6">
        <v>198</v>
      </c>
      <c r="R31" s="6">
        <v>770</v>
      </c>
      <c r="S31" s="35">
        <v>4.01</v>
      </c>
      <c r="T31" s="35">
        <v>202</v>
      </c>
      <c r="U31" s="35">
        <v>52</v>
      </c>
      <c r="V31" s="38">
        <v>39608</v>
      </c>
    </row>
    <row r="32" spans="1:21" s="14" customFormat="1" ht="12.75">
      <c r="A32" s="36" t="s">
        <v>21</v>
      </c>
      <c r="B32" s="14" t="s">
        <v>110</v>
      </c>
      <c r="C32" s="12">
        <v>20</v>
      </c>
      <c r="D32" s="12">
        <v>6707</v>
      </c>
      <c r="E32" s="13">
        <f t="shared" si="1"/>
        <v>126.43650000000001</v>
      </c>
      <c r="F32" s="13" t="s">
        <v>17</v>
      </c>
      <c r="J32" s="13"/>
      <c r="L32" s="80"/>
      <c r="O32" s="14">
        <v>1.9</v>
      </c>
      <c r="S32" s="13"/>
      <c r="T32" s="13"/>
      <c r="U32" s="13"/>
    </row>
    <row r="33" spans="1:22" s="6" customFormat="1" ht="12.75">
      <c r="A33" s="34">
        <v>11</v>
      </c>
      <c r="B33" s="6" t="s">
        <v>110</v>
      </c>
      <c r="C33" s="23">
        <v>20</v>
      </c>
      <c r="D33" s="23">
        <v>11622</v>
      </c>
      <c r="E33" s="35">
        <f t="shared" si="1"/>
        <v>207.534</v>
      </c>
      <c r="F33" s="35" t="s">
        <v>21</v>
      </c>
      <c r="G33" s="6">
        <v>23</v>
      </c>
      <c r="H33" s="6" t="s">
        <v>75</v>
      </c>
      <c r="I33" s="6" t="s">
        <v>74</v>
      </c>
      <c r="J33" s="35" t="s">
        <v>132</v>
      </c>
      <c r="K33" s="6" t="s">
        <v>112</v>
      </c>
      <c r="L33" s="6" t="s">
        <v>168</v>
      </c>
      <c r="O33" s="6">
        <v>1.9</v>
      </c>
      <c r="P33" s="6">
        <v>141</v>
      </c>
      <c r="Q33" s="6">
        <v>199</v>
      </c>
      <c r="R33" s="6">
        <v>773</v>
      </c>
      <c r="S33" s="35">
        <v>4</v>
      </c>
      <c r="T33" s="35">
        <v>202</v>
      </c>
      <c r="U33" s="35">
        <v>51</v>
      </c>
      <c r="V33" s="38">
        <v>39608</v>
      </c>
    </row>
    <row r="34" spans="1:22" s="6" customFormat="1" ht="12.75">
      <c r="A34" s="34">
        <v>12</v>
      </c>
      <c r="B34" s="6" t="s">
        <v>110</v>
      </c>
      <c r="C34" s="23">
        <v>20</v>
      </c>
      <c r="D34" s="23">
        <v>11350</v>
      </c>
      <c r="E34" s="35">
        <f t="shared" si="1"/>
        <v>203.046</v>
      </c>
      <c r="F34" s="35" t="s">
        <v>21</v>
      </c>
      <c r="G34" s="6">
        <v>23</v>
      </c>
      <c r="H34" s="6" t="s">
        <v>75</v>
      </c>
      <c r="I34" s="6" t="s">
        <v>74</v>
      </c>
      <c r="J34" s="35" t="s">
        <v>132</v>
      </c>
      <c r="K34" s="6" t="s">
        <v>130</v>
      </c>
      <c r="L34" s="6" t="s">
        <v>166</v>
      </c>
      <c r="O34" s="6">
        <v>1.9</v>
      </c>
      <c r="P34" s="6">
        <v>123</v>
      </c>
      <c r="Q34" s="6">
        <v>189</v>
      </c>
      <c r="R34" s="6">
        <v>755</v>
      </c>
      <c r="S34" s="35">
        <v>3.86</v>
      </c>
      <c r="T34" s="35">
        <v>193</v>
      </c>
      <c r="U34" s="35">
        <v>49</v>
      </c>
      <c r="V34" s="38">
        <v>39608</v>
      </c>
    </row>
    <row r="35" spans="1:22" ht="12.75">
      <c r="A35" s="23">
        <v>13</v>
      </c>
      <c r="B35" s="6" t="s">
        <v>110</v>
      </c>
      <c r="C35" s="23">
        <v>20</v>
      </c>
      <c r="D35" s="23">
        <v>11345</v>
      </c>
      <c r="E35" s="35">
        <f t="shared" si="1"/>
        <v>202.9635</v>
      </c>
      <c r="F35" s="35" t="s">
        <v>21</v>
      </c>
      <c r="G35" s="6">
        <v>23</v>
      </c>
      <c r="H35" s="6" t="s">
        <v>75</v>
      </c>
      <c r="I35" s="6" t="s">
        <v>74</v>
      </c>
      <c r="J35" s="35" t="s">
        <v>132</v>
      </c>
      <c r="K35" s="6" t="s">
        <v>163</v>
      </c>
      <c r="L35" s="6" t="s">
        <v>164</v>
      </c>
      <c r="M35" s="6"/>
      <c r="N35" s="6"/>
      <c r="O35" s="6">
        <v>1.9</v>
      </c>
      <c r="P35" s="6">
        <v>131</v>
      </c>
      <c r="Q35" s="6">
        <v>190</v>
      </c>
      <c r="R35" s="6">
        <v>755</v>
      </c>
      <c r="S35" s="35">
        <v>3.88</v>
      </c>
      <c r="T35" s="35">
        <v>193</v>
      </c>
      <c r="U35" s="35">
        <v>49</v>
      </c>
      <c r="V35" s="38">
        <v>39608</v>
      </c>
    </row>
    <row r="36" spans="1:22" s="6" customFormat="1" ht="12.75">
      <c r="A36" s="23">
        <v>14</v>
      </c>
      <c r="B36" s="6" t="s">
        <v>110</v>
      </c>
      <c r="C36" s="23">
        <v>20</v>
      </c>
      <c r="D36" s="23">
        <v>11503</v>
      </c>
      <c r="E36" s="35">
        <f t="shared" si="1"/>
        <v>205.57049999999998</v>
      </c>
      <c r="F36" s="35" t="s">
        <v>21</v>
      </c>
      <c r="G36" s="6">
        <v>23</v>
      </c>
      <c r="H36" s="6" t="s">
        <v>75</v>
      </c>
      <c r="I36" s="6" t="s">
        <v>74</v>
      </c>
      <c r="J36" s="35" t="s">
        <v>132</v>
      </c>
      <c r="K36" s="6" t="s">
        <v>163</v>
      </c>
      <c r="L36" s="6" t="s">
        <v>165</v>
      </c>
      <c r="O36" s="6">
        <v>1.9</v>
      </c>
      <c r="P36" s="6">
        <v>143</v>
      </c>
      <c r="Q36" s="6">
        <v>205</v>
      </c>
      <c r="R36" s="6">
        <v>766</v>
      </c>
      <c r="S36" s="35">
        <v>3.9</v>
      </c>
      <c r="T36" s="35">
        <v>198</v>
      </c>
      <c r="U36" s="35">
        <v>50</v>
      </c>
      <c r="V36" s="38">
        <v>39608</v>
      </c>
    </row>
    <row r="37" spans="1:22" s="6" customFormat="1" ht="12.75">
      <c r="A37" s="23">
        <v>15</v>
      </c>
      <c r="B37" s="6" t="s">
        <v>110</v>
      </c>
      <c r="C37" s="23">
        <v>20</v>
      </c>
      <c r="D37" s="23">
        <v>11642</v>
      </c>
      <c r="E37" s="35">
        <f t="shared" si="1"/>
        <v>207.86400000000003</v>
      </c>
      <c r="F37" s="35" t="s">
        <v>21</v>
      </c>
      <c r="G37" s="6">
        <v>23</v>
      </c>
      <c r="H37" s="6" t="s">
        <v>75</v>
      </c>
      <c r="I37" s="6" t="s">
        <v>74</v>
      </c>
      <c r="J37" s="35" t="s">
        <v>132</v>
      </c>
      <c r="L37" s="6" t="s">
        <v>69</v>
      </c>
      <c r="O37" s="7">
        <v>2.02</v>
      </c>
      <c r="P37" s="6">
        <v>152</v>
      </c>
      <c r="Q37" s="6">
        <v>205</v>
      </c>
      <c r="R37" s="6">
        <v>778</v>
      </c>
      <c r="S37" s="35">
        <v>3.97</v>
      </c>
      <c r="T37" s="35">
        <v>203</v>
      </c>
      <c r="U37" s="35">
        <v>52</v>
      </c>
      <c r="V37" s="38">
        <v>39608</v>
      </c>
    </row>
    <row r="38" spans="1:22" s="6" customFormat="1" ht="12.75">
      <c r="A38" s="23">
        <v>16</v>
      </c>
      <c r="B38" s="6" t="s">
        <v>110</v>
      </c>
      <c r="C38" s="23">
        <v>20</v>
      </c>
      <c r="D38" s="23">
        <v>11442</v>
      </c>
      <c r="E38" s="35">
        <f t="shared" si="1"/>
        <v>204.56400000000002</v>
      </c>
      <c r="F38" s="35" t="s">
        <v>21</v>
      </c>
      <c r="G38" s="6">
        <v>23</v>
      </c>
      <c r="H38" s="6" t="s">
        <v>75</v>
      </c>
      <c r="I38" s="6" t="s">
        <v>74</v>
      </c>
      <c r="J38" s="35" t="s">
        <v>132</v>
      </c>
      <c r="L38" s="6" t="s">
        <v>69</v>
      </c>
      <c r="O38" s="6">
        <v>2.1</v>
      </c>
      <c r="P38" s="6">
        <v>150</v>
      </c>
      <c r="Q38" s="6">
        <v>201</v>
      </c>
      <c r="R38" s="6">
        <v>765</v>
      </c>
      <c r="S38" s="35">
        <v>3.87</v>
      </c>
      <c r="T38" s="35">
        <v>196</v>
      </c>
      <c r="U38" s="35">
        <v>50</v>
      </c>
      <c r="V38" s="38">
        <v>39608</v>
      </c>
    </row>
    <row r="39" spans="1:22" s="6" customFormat="1" ht="12.75">
      <c r="A39" s="23">
        <v>17</v>
      </c>
      <c r="B39" s="6" t="s">
        <v>110</v>
      </c>
      <c r="C39" s="23">
        <v>20</v>
      </c>
      <c r="D39" s="23">
        <v>11590</v>
      </c>
      <c r="E39" s="35">
        <f t="shared" si="1"/>
        <v>207.00600000000003</v>
      </c>
      <c r="F39" s="35" t="s">
        <v>21</v>
      </c>
      <c r="G39" s="6">
        <v>23</v>
      </c>
      <c r="H39" s="6" t="s">
        <v>75</v>
      </c>
      <c r="I39" s="6" t="s">
        <v>74</v>
      </c>
      <c r="J39" s="35" t="s">
        <v>132</v>
      </c>
      <c r="L39" s="6" t="s">
        <v>69</v>
      </c>
      <c r="O39" s="6">
        <v>2.17</v>
      </c>
      <c r="P39" s="6">
        <v>146</v>
      </c>
      <c r="Q39" s="6">
        <v>202</v>
      </c>
      <c r="R39" s="6">
        <v>775</v>
      </c>
      <c r="S39" s="35">
        <v>3.98</v>
      </c>
      <c r="T39" s="35">
        <v>201</v>
      </c>
      <c r="U39" s="35">
        <v>52</v>
      </c>
      <c r="V39" s="38">
        <v>39608</v>
      </c>
    </row>
    <row r="40" spans="1:22" s="6" customFormat="1" ht="12.75">
      <c r="A40" s="23">
        <v>18</v>
      </c>
      <c r="B40" s="6" t="s">
        <v>110</v>
      </c>
      <c r="C40" s="23">
        <v>20</v>
      </c>
      <c r="D40" s="23">
        <v>12085</v>
      </c>
      <c r="E40" s="35">
        <f t="shared" si="1"/>
        <v>215.1735</v>
      </c>
      <c r="F40" s="35" t="s">
        <v>21</v>
      </c>
      <c r="G40" s="6">
        <v>23</v>
      </c>
      <c r="H40" s="6" t="s">
        <v>75</v>
      </c>
      <c r="I40" s="6" t="s">
        <v>74</v>
      </c>
      <c r="J40" s="35" t="s">
        <v>132</v>
      </c>
      <c r="L40" s="6" t="s">
        <v>69</v>
      </c>
      <c r="O40" s="6">
        <v>3</v>
      </c>
      <c r="R40" s="6">
        <v>806</v>
      </c>
      <c r="S40" s="35">
        <v>4.14</v>
      </c>
      <c r="T40" s="35">
        <v>218</v>
      </c>
      <c r="U40" s="35">
        <v>57</v>
      </c>
      <c r="V40" s="38">
        <v>39608</v>
      </c>
    </row>
    <row r="41" spans="1:22" s="42" customFormat="1" ht="12.75">
      <c r="A41" s="48">
        <v>19</v>
      </c>
      <c r="C41" s="48">
        <v>20</v>
      </c>
      <c r="D41" s="48">
        <v>12415</v>
      </c>
      <c r="E41" s="43">
        <f t="shared" si="1"/>
        <v>220.61849999999998</v>
      </c>
      <c r="F41" s="43" t="s">
        <v>21</v>
      </c>
      <c r="G41" s="42">
        <v>23</v>
      </c>
      <c r="H41" s="42" t="s">
        <v>75</v>
      </c>
      <c r="I41" s="42" t="s">
        <v>74</v>
      </c>
      <c r="J41" s="43" t="s">
        <v>132</v>
      </c>
      <c r="K41" s="42" t="s">
        <v>111</v>
      </c>
      <c r="L41" s="42" t="s">
        <v>141</v>
      </c>
      <c r="O41" s="42">
        <v>4.2</v>
      </c>
      <c r="P41" s="42">
        <v>125</v>
      </c>
      <c r="Q41" s="42">
        <v>190</v>
      </c>
      <c r="R41" s="42">
        <v>817</v>
      </c>
      <c r="S41" s="43">
        <v>4.13</v>
      </c>
      <c r="T41" s="43">
        <v>231</v>
      </c>
      <c r="U41" s="43">
        <v>64</v>
      </c>
      <c r="V41" s="64">
        <v>39609</v>
      </c>
    </row>
    <row r="42" spans="1:22" s="42" customFormat="1" ht="12.75">
      <c r="A42" s="48">
        <v>20</v>
      </c>
      <c r="C42" s="48">
        <v>20</v>
      </c>
      <c r="D42" s="48">
        <v>12421</v>
      </c>
      <c r="E42" s="43">
        <f t="shared" si="1"/>
        <v>220.71750000000003</v>
      </c>
      <c r="F42" s="43" t="s">
        <v>21</v>
      </c>
      <c r="G42" s="42">
        <v>23</v>
      </c>
      <c r="H42" s="42" t="s">
        <v>75</v>
      </c>
      <c r="I42" s="42" t="s">
        <v>74</v>
      </c>
      <c r="J42" s="43" t="s">
        <v>132</v>
      </c>
      <c r="K42" s="42" t="s">
        <v>192</v>
      </c>
      <c r="L42" s="42" t="s">
        <v>150</v>
      </c>
      <c r="O42" s="42">
        <v>4.2</v>
      </c>
      <c r="P42" s="42">
        <v>134</v>
      </c>
      <c r="Q42" s="42">
        <v>200</v>
      </c>
      <c r="R42" s="42">
        <v>822</v>
      </c>
      <c r="S42" s="43">
        <v>4.19</v>
      </c>
      <c r="T42" s="43">
        <v>231</v>
      </c>
      <c r="U42" s="43">
        <v>62</v>
      </c>
      <c r="V42" s="64">
        <v>39609</v>
      </c>
    </row>
    <row r="43" spans="1:22" s="42" customFormat="1" ht="12.75">
      <c r="A43" s="48">
        <v>21</v>
      </c>
      <c r="C43" s="48">
        <v>20</v>
      </c>
      <c r="D43" s="48">
        <v>12413</v>
      </c>
      <c r="E43" s="43">
        <f aca="true" t="shared" si="2" ref="E43:E62">0.0165*D43+15.771</f>
        <v>220.58550000000002</v>
      </c>
      <c r="F43" s="43" t="s">
        <v>21</v>
      </c>
      <c r="G43" s="42">
        <v>23</v>
      </c>
      <c r="H43" s="42" t="s">
        <v>75</v>
      </c>
      <c r="I43" s="42" t="s">
        <v>74</v>
      </c>
      <c r="J43" s="43" t="s">
        <v>132</v>
      </c>
      <c r="K43" s="42" t="s">
        <v>192</v>
      </c>
      <c r="L43" s="42" t="s">
        <v>159</v>
      </c>
      <c r="O43" s="42">
        <v>4.2</v>
      </c>
      <c r="P43" s="42">
        <v>141</v>
      </c>
      <c r="Q43" s="42">
        <v>210</v>
      </c>
      <c r="R43" s="42">
        <v>819</v>
      </c>
      <c r="S43" s="43">
        <v>4.09</v>
      </c>
      <c r="T43" s="43">
        <v>230.9</v>
      </c>
      <c r="U43" s="43">
        <v>64.6</v>
      </c>
      <c r="V43" s="64">
        <v>39609</v>
      </c>
    </row>
    <row r="44" spans="1:22" s="42" customFormat="1" ht="12.75">
      <c r="A44" s="48">
        <v>22</v>
      </c>
      <c r="C44" s="65">
        <v>40</v>
      </c>
      <c r="D44" s="48">
        <v>12323</v>
      </c>
      <c r="E44" s="43">
        <f t="shared" si="2"/>
        <v>219.1005</v>
      </c>
      <c r="F44" s="43" t="s">
        <v>21</v>
      </c>
      <c r="G44" s="42">
        <v>23</v>
      </c>
      <c r="H44" s="42" t="s">
        <v>70</v>
      </c>
      <c r="I44" s="42" t="s">
        <v>29</v>
      </c>
      <c r="J44" s="43" t="s">
        <v>132</v>
      </c>
      <c r="O44" s="42">
        <v>4.2</v>
      </c>
      <c r="R44" s="42">
        <v>819</v>
      </c>
      <c r="S44" s="43">
        <v>4.16</v>
      </c>
      <c r="T44" s="43">
        <v>227</v>
      </c>
      <c r="U44" s="43">
        <v>61</v>
      </c>
      <c r="V44" s="64">
        <v>39609</v>
      </c>
    </row>
    <row r="45" spans="1:22" s="42" customFormat="1" ht="12.75">
      <c r="A45" s="48">
        <v>23</v>
      </c>
      <c r="C45" s="65">
        <v>60</v>
      </c>
      <c r="D45" s="48">
        <v>12100</v>
      </c>
      <c r="E45" s="43">
        <f t="shared" si="2"/>
        <v>215.421</v>
      </c>
      <c r="F45" s="43" t="s">
        <v>21</v>
      </c>
      <c r="G45" s="42">
        <v>23</v>
      </c>
      <c r="H45" s="42" t="s">
        <v>107</v>
      </c>
      <c r="I45" s="42" t="s">
        <v>63</v>
      </c>
      <c r="J45" s="43" t="s">
        <v>132</v>
      </c>
      <c r="O45" s="42">
        <v>4.2</v>
      </c>
      <c r="P45" s="42">
        <v>153</v>
      </c>
      <c r="Q45" s="42">
        <v>203</v>
      </c>
      <c r="R45" s="42">
        <v>800</v>
      </c>
      <c r="S45" s="43">
        <v>3.93</v>
      </c>
      <c r="T45" s="43">
        <v>219</v>
      </c>
      <c r="U45" s="43">
        <v>62</v>
      </c>
      <c r="V45" s="64">
        <v>39609</v>
      </c>
    </row>
    <row r="46" spans="1:22" s="42" customFormat="1" ht="12.75">
      <c r="A46" s="48">
        <v>24</v>
      </c>
      <c r="C46" s="65">
        <v>80</v>
      </c>
      <c r="D46" s="48">
        <v>11725</v>
      </c>
      <c r="E46" s="43">
        <f t="shared" si="2"/>
        <v>209.2335</v>
      </c>
      <c r="F46" s="43" t="s">
        <v>21</v>
      </c>
      <c r="G46" s="42">
        <v>23</v>
      </c>
      <c r="H46" s="42" t="s">
        <v>107</v>
      </c>
      <c r="I46" s="42" t="s">
        <v>63</v>
      </c>
      <c r="J46" s="43" t="s">
        <v>132</v>
      </c>
      <c r="O46" s="42">
        <v>4.2</v>
      </c>
      <c r="P46" s="42">
        <v>157</v>
      </c>
      <c r="Q46" s="42">
        <v>204</v>
      </c>
      <c r="R46" s="42">
        <v>777</v>
      </c>
      <c r="S46" s="43">
        <v>3.74</v>
      </c>
      <c r="T46" s="43">
        <v>206</v>
      </c>
      <c r="U46" s="43">
        <v>59</v>
      </c>
      <c r="V46" s="64">
        <v>39609</v>
      </c>
    </row>
    <row r="47" spans="1:22" s="42" customFormat="1" ht="12.75">
      <c r="A47" s="48">
        <v>25</v>
      </c>
      <c r="C47" s="65">
        <v>78</v>
      </c>
      <c r="D47" s="48">
        <v>11770</v>
      </c>
      <c r="E47" s="43">
        <f t="shared" si="2"/>
        <v>209.976</v>
      </c>
      <c r="F47" s="43" t="s">
        <v>21</v>
      </c>
      <c r="G47" s="42">
        <v>23</v>
      </c>
      <c r="H47" s="42" t="s">
        <v>107</v>
      </c>
      <c r="I47" s="42" t="s">
        <v>63</v>
      </c>
      <c r="J47" s="43" t="s">
        <v>132</v>
      </c>
      <c r="O47" s="42">
        <v>4.2</v>
      </c>
      <c r="P47" s="42">
        <v>197</v>
      </c>
      <c r="Q47" s="42">
        <v>148</v>
      </c>
      <c r="R47" s="42">
        <v>781</v>
      </c>
      <c r="S47" s="43">
        <v>2.07</v>
      </c>
      <c r="T47" s="43">
        <v>207</v>
      </c>
      <c r="U47" s="43">
        <v>56</v>
      </c>
      <c r="V47" s="64">
        <v>39609</v>
      </c>
    </row>
    <row r="48" spans="1:22" s="42" customFormat="1" ht="12.75">
      <c r="A48" s="48">
        <v>26</v>
      </c>
      <c r="C48" s="65">
        <v>100</v>
      </c>
      <c r="D48" s="48">
        <v>11118</v>
      </c>
      <c r="E48" s="43">
        <f t="shared" si="2"/>
        <v>199.21800000000002</v>
      </c>
      <c r="F48" s="43" t="s">
        <v>21</v>
      </c>
      <c r="G48" s="42">
        <v>23</v>
      </c>
      <c r="H48" s="42" t="s">
        <v>107</v>
      </c>
      <c r="I48" s="42" t="s">
        <v>63</v>
      </c>
      <c r="J48" s="43" t="s">
        <v>132</v>
      </c>
      <c r="O48" s="42">
        <v>4.2</v>
      </c>
      <c r="P48" s="42">
        <v>198</v>
      </c>
      <c r="Q48" s="42">
        <v>144</v>
      </c>
      <c r="R48" s="42">
        <v>743</v>
      </c>
      <c r="S48" s="43">
        <v>3.47</v>
      </c>
      <c r="T48" s="43">
        <v>186</v>
      </c>
      <c r="U48" s="43">
        <v>53</v>
      </c>
      <c r="V48" s="64">
        <v>39609</v>
      </c>
    </row>
    <row r="49" spans="1:22" s="42" customFormat="1" ht="12.75">
      <c r="A49" s="48">
        <v>27</v>
      </c>
      <c r="C49" s="65">
        <v>120</v>
      </c>
      <c r="D49" s="48">
        <v>10922</v>
      </c>
      <c r="E49" s="43">
        <f t="shared" si="2"/>
        <v>195.98400000000004</v>
      </c>
      <c r="F49" s="43" t="s">
        <v>21</v>
      </c>
      <c r="G49" s="42">
        <v>23</v>
      </c>
      <c r="H49" s="42" t="s">
        <v>107</v>
      </c>
      <c r="I49" s="42" t="s">
        <v>63</v>
      </c>
      <c r="J49" s="43" t="s">
        <v>132</v>
      </c>
      <c r="O49" s="42">
        <v>4.2</v>
      </c>
      <c r="P49" s="42">
        <v>201</v>
      </c>
      <c r="Q49" s="42">
        <v>152</v>
      </c>
      <c r="R49" s="42">
        <v>730</v>
      </c>
      <c r="S49" s="43">
        <v>3.37</v>
      </c>
      <c r="T49" s="43">
        <v>179</v>
      </c>
      <c r="U49" s="43">
        <v>51</v>
      </c>
      <c r="V49" s="64">
        <v>39609</v>
      </c>
    </row>
    <row r="50" spans="1:22" s="42" customFormat="1" ht="12.75">
      <c r="A50" s="48">
        <v>28</v>
      </c>
      <c r="C50" s="65">
        <v>140</v>
      </c>
      <c r="D50" s="48">
        <v>10444</v>
      </c>
      <c r="E50" s="43">
        <f t="shared" si="2"/>
        <v>188.09700000000004</v>
      </c>
      <c r="F50" s="43" t="s">
        <v>21</v>
      </c>
      <c r="G50" s="42">
        <v>23</v>
      </c>
      <c r="H50" s="42" t="s">
        <v>107</v>
      </c>
      <c r="I50" s="42" t="s">
        <v>63</v>
      </c>
      <c r="J50" s="43" t="s">
        <v>132</v>
      </c>
      <c r="K50" s="42" t="s">
        <v>195</v>
      </c>
      <c r="L50" s="42" t="s">
        <v>196</v>
      </c>
      <c r="O50" s="42">
        <v>4.2</v>
      </c>
      <c r="P50" s="42">
        <v>193</v>
      </c>
      <c r="Q50" s="42">
        <v>139</v>
      </c>
      <c r="R50" s="42">
        <v>702</v>
      </c>
      <c r="S50" s="43">
        <v>3.17</v>
      </c>
      <c r="T50" s="43">
        <v>164</v>
      </c>
      <c r="U50" s="43">
        <v>46</v>
      </c>
      <c r="V50" s="64">
        <v>39609</v>
      </c>
    </row>
    <row r="51" spans="1:22" s="42" customFormat="1" ht="12.75">
      <c r="A51" s="48">
        <v>29</v>
      </c>
      <c r="C51" s="65">
        <v>20</v>
      </c>
      <c r="D51" s="48">
        <v>12417</v>
      </c>
      <c r="E51" s="43">
        <f t="shared" si="2"/>
        <v>220.6515</v>
      </c>
      <c r="F51" s="43" t="s">
        <v>21</v>
      </c>
      <c r="G51" s="42">
        <v>23</v>
      </c>
      <c r="H51" s="42" t="s">
        <v>70</v>
      </c>
      <c r="I51" s="42" t="s">
        <v>29</v>
      </c>
      <c r="J51" s="43" t="s">
        <v>132</v>
      </c>
      <c r="K51" s="42" t="s">
        <v>158</v>
      </c>
      <c r="O51" s="42">
        <v>4.2</v>
      </c>
      <c r="R51" s="42">
        <v>827</v>
      </c>
      <c r="S51" s="43">
        <v>4.15</v>
      </c>
      <c r="T51" s="43">
        <v>231</v>
      </c>
      <c r="U51" s="43">
        <v>62</v>
      </c>
      <c r="V51" s="64">
        <v>39609</v>
      </c>
    </row>
    <row r="52" spans="1:22" s="42" customFormat="1" ht="12.75">
      <c r="A52" s="48">
        <v>30</v>
      </c>
      <c r="C52" s="65">
        <v>10</v>
      </c>
      <c r="D52" s="48">
        <v>12466</v>
      </c>
      <c r="E52" s="43">
        <f t="shared" si="2"/>
        <v>221.46000000000004</v>
      </c>
      <c r="F52" s="43" t="s">
        <v>21</v>
      </c>
      <c r="G52" s="42">
        <v>23</v>
      </c>
      <c r="H52" s="42" t="s">
        <v>70</v>
      </c>
      <c r="I52" s="42" t="s">
        <v>29</v>
      </c>
      <c r="J52" s="43" t="s">
        <v>132</v>
      </c>
      <c r="O52" s="42">
        <v>4.2</v>
      </c>
      <c r="R52" s="42">
        <v>826</v>
      </c>
      <c r="S52" s="43">
        <v>4.26</v>
      </c>
      <c r="T52" s="43">
        <v>232.8</v>
      </c>
      <c r="U52" s="43">
        <v>62</v>
      </c>
      <c r="V52" s="64">
        <v>39610</v>
      </c>
    </row>
    <row r="53" spans="1:22" s="42" customFormat="1" ht="12.75">
      <c r="A53" s="48">
        <v>31</v>
      </c>
      <c r="C53" s="65">
        <v>5</v>
      </c>
      <c r="D53" s="48">
        <v>12452</v>
      </c>
      <c r="E53" s="43">
        <f t="shared" si="2"/>
        <v>221.22899999999998</v>
      </c>
      <c r="F53" s="43" t="s">
        <v>21</v>
      </c>
      <c r="G53" s="42">
        <v>23</v>
      </c>
      <c r="H53" s="42" t="s">
        <v>103</v>
      </c>
      <c r="I53" s="42" t="s">
        <v>29</v>
      </c>
      <c r="J53" s="43" t="s">
        <v>132</v>
      </c>
      <c r="O53" s="42">
        <v>4.2</v>
      </c>
      <c r="R53" s="42">
        <v>827</v>
      </c>
      <c r="S53" s="43">
        <v>4.24</v>
      </c>
      <c r="T53" s="43">
        <v>232.2</v>
      </c>
      <c r="U53" s="43">
        <v>62</v>
      </c>
      <c r="V53" s="64">
        <v>39610</v>
      </c>
    </row>
    <row r="54" spans="1:22" s="6" customFormat="1" ht="12.75">
      <c r="A54" s="23">
        <v>32</v>
      </c>
      <c r="C54" s="81">
        <v>50</v>
      </c>
      <c r="D54" s="23">
        <v>11541</v>
      </c>
      <c r="E54" s="35">
        <f t="shared" si="2"/>
        <v>206.1975</v>
      </c>
      <c r="F54" s="35" t="s">
        <v>21</v>
      </c>
      <c r="G54" s="6">
        <v>23</v>
      </c>
      <c r="H54" s="6" t="s">
        <v>75</v>
      </c>
      <c r="I54" s="6" t="s">
        <v>74</v>
      </c>
      <c r="J54" s="35" t="s">
        <v>132</v>
      </c>
      <c r="O54" s="6">
        <v>1.9</v>
      </c>
      <c r="P54" s="6">
        <v>187</v>
      </c>
      <c r="Q54" s="6">
        <v>120</v>
      </c>
      <c r="R54" s="6">
        <v>764</v>
      </c>
      <c r="S54" s="35">
        <v>4.66</v>
      </c>
      <c r="T54" s="35">
        <v>199</v>
      </c>
      <c r="U54" s="35">
        <v>52</v>
      </c>
      <c r="V54" s="38">
        <v>39616</v>
      </c>
    </row>
    <row r="55" spans="1:22" s="6" customFormat="1" ht="12.75">
      <c r="A55" s="23">
        <v>33</v>
      </c>
      <c r="C55" s="81">
        <v>60</v>
      </c>
      <c r="D55" s="23">
        <v>11523</v>
      </c>
      <c r="E55" s="35">
        <f t="shared" si="2"/>
        <v>205.90050000000002</v>
      </c>
      <c r="F55" s="35" t="s">
        <v>21</v>
      </c>
      <c r="G55" s="6">
        <v>23</v>
      </c>
      <c r="H55" s="6" t="s">
        <v>75</v>
      </c>
      <c r="I55" s="6" t="s">
        <v>74</v>
      </c>
      <c r="J55" s="35" t="s">
        <v>132</v>
      </c>
      <c r="K55" s="6" t="s">
        <v>133</v>
      </c>
      <c r="L55" s="6" t="s">
        <v>157</v>
      </c>
      <c r="O55" s="6">
        <v>1.9</v>
      </c>
      <c r="P55" s="6">
        <v>194</v>
      </c>
      <c r="Q55" s="6">
        <v>124</v>
      </c>
      <c r="R55" s="6">
        <v>766</v>
      </c>
      <c r="S55" s="35">
        <v>4.16</v>
      </c>
      <c r="T55" s="35">
        <v>199</v>
      </c>
      <c r="U55" s="35">
        <v>51.6</v>
      </c>
      <c r="V55" s="38">
        <v>39617</v>
      </c>
    </row>
    <row r="56" spans="1:22" s="23" customFormat="1" ht="12.75">
      <c r="A56" s="23">
        <v>34</v>
      </c>
      <c r="C56" s="81">
        <v>100</v>
      </c>
      <c r="D56" s="23">
        <v>12037</v>
      </c>
      <c r="E56" s="35">
        <f t="shared" si="2"/>
        <v>214.38150000000002</v>
      </c>
      <c r="F56" s="35" t="s">
        <v>21</v>
      </c>
      <c r="G56" s="82">
        <v>23</v>
      </c>
      <c r="H56" s="6" t="s">
        <v>75</v>
      </c>
      <c r="I56" s="6" t="s">
        <v>74</v>
      </c>
      <c r="J56" s="35" t="s">
        <v>132</v>
      </c>
      <c r="K56" s="23" t="s">
        <v>133</v>
      </c>
      <c r="L56" s="23" t="s">
        <v>162</v>
      </c>
      <c r="O56" s="82">
        <v>1.9</v>
      </c>
      <c r="P56" s="82">
        <v>200</v>
      </c>
      <c r="Q56" s="82">
        <v>125</v>
      </c>
      <c r="R56" s="82">
        <v>799</v>
      </c>
      <c r="S56" s="35">
        <v>4.39</v>
      </c>
      <c r="T56" s="35">
        <v>217</v>
      </c>
      <c r="U56" s="35">
        <v>58.5</v>
      </c>
      <c r="V56" s="38">
        <v>39617</v>
      </c>
    </row>
    <row r="57" spans="1:22" s="6" customFormat="1" ht="12.75">
      <c r="A57" s="23">
        <v>35</v>
      </c>
      <c r="C57" s="81">
        <v>140</v>
      </c>
      <c r="D57" s="23">
        <v>11952</v>
      </c>
      <c r="E57" s="35">
        <f t="shared" si="2"/>
        <v>212.97899999999998</v>
      </c>
      <c r="F57" s="35" t="s">
        <v>21</v>
      </c>
      <c r="G57" s="82">
        <v>23</v>
      </c>
      <c r="H57" s="6" t="s">
        <v>107</v>
      </c>
      <c r="I57" s="6" t="s">
        <v>63</v>
      </c>
      <c r="J57" s="35" t="s">
        <v>132</v>
      </c>
      <c r="K57" s="6" t="s">
        <v>187</v>
      </c>
      <c r="L57" s="6" t="s">
        <v>188</v>
      </c>
      <c r="O57" s="6">
        <v>1.9</v>
      </c>
      <c r="P57" s="82">
        <v>202</v>
      </c>
      <c r="Q57" s="82">
        <v>138</v>
      </c>
      <c r="R57" s="82">
        <v>789</v>
      </c>
      <c r="S57" s="35">
        <v>3.91</v>
      </c>
      <c r="T57" s="35">
        <v>215</v>
      </c>
      <c r="U57" s="35">
        <v>61</v>
      </c>
      <c r="V57" s="38">
        <v>39618</v>
      </c>
    </row>
    <row r="58" spans="1:22" s="6" customFormat="1" ht="12.75">
      <c r="A58" s="23">
        <v>36</v>
      </c>
      <c r="C58" s="81">
        <v>120</v>
      </c>
      <c r="D58" s="23">
        <v>12010</v>
      </c>
      <c r="E58" s="35">
        <f t="shared" si="2"/>
        <v>213.93600000000004</v>
      </c>
      <c r="F58" s="35" t="s">
        <v>21</v>
      </c>
      <c r="G58" s="82">
        <v>23</v>
      </c>
      <c r="H58" s="6" t="s">
        <v>75</v>
      </c>
      <c r="I58" s="6" t="s">
        <v>74</v>
      </c>
      <c r="J58" s="35" t="s">
        <v>132</v>
      </c>
      <c r="K58" s="6" t="s">
        <v>163</v>
      </c>
      <c r="O58" s="6">
        <v>1.9</v>
      </c>
      <c r="P58" s="82">
        <v>204</v>
      </c>
      <c r="Q58" s="82">
        <v>141</v>
      </c>
      <c r="R58" s="82">
        <v>799</v>
      </c>
      <c r="S58" s="35">
        <v>4.33</v>
      </c>
      <c r="T58" s="35">
        <v>216</v>
      </c>
      <c r="U58" s="35">
        <v>57</v>
      </c>
      <c r="V58" s="38">
        <v>39618</v>
      </c>
    </row>
    <row r="59" spans="1:22" s="6" customFormat="1" ht="12.75">
      <c r="A59" s="23">
        <v>37</v>
      </c>
      <c r="C59" s="81">
        <v>80</v>
      </c>
      <c r="D59" s="23">
        <v>11912</v>
      </c>
      <c r="E59" s="35">
        <f t="shared" si="2"/>
        <v>212.31900000000002</v>
      </c>
      <c r="F59" s="35" t="s">
        <v>21</v>
      </c>
      <c r="G59" s="82">
        <v>23</v>
      </c>
      <c r="H59" s="6" t="s">
        <v>75</v>
      </c>
      <c r="I59" s="6" t="s">
        <v>74</v>
      </c>
      <c r="J59" s="35" t="s">
        <v>132</v>
      </c>
      <c r="K59" s="6" t="s">
        <v>179</v>
      </c>
      <c r="L59" s="6" t="s">
        <v>181</v>
      </c>
      <c r="O59" s="82">
        <v>1.9</v>
      </c>
      <c r="P59" s="82">
        <v>206</v>
      </c>
      <c r="Q59" s="82">
        <v>136</v>
      </c>
      <c r="R59" s="82">
        <v>793</v>
      </c>
      <c r="S59" s="35">
        <v>4.32</v>
      </c>
      <c r="T59" s="35">
        <v>212</v>
      </c>
      <c r="U59" s="35">
        <v>55</v>
      </c>
      <c r="V59" s="38">
        <v>39618</v>
      </c>
    </row>
    <row r="60" spans="1:22" s="6" customFormat="1" ht="12.75">
      <c r="A60" s="23">
        <v>38</v>
      </c>
      <c r="C60" s="81">
        <v>160</v>
      </c>
      <c r="D60" s="23">
        <v>12000</v>
      </c>
      <c r="E60" s="35">
        <f t="shared" si="2"/>
        <v>213.77100000000002</v>
      </c>
      <c r="F60" s="35" t="s">
        <v>21</v>
      </c>
      <c r="G60" s="7">
        <v>20</v>
      </c>
      <c r="H60" s="6" t="s">
        <v>28</v>
      </c>
      <c r="I60" s="6" t="s">
        <v>29</v>
      </c>
      <c r="J60" s="120" t="s">
        <v>180</v>
      </c>
      <c r="K60" s="6" t="s">
        <v>133</v>
      </c>
      <c r="O60" s="6">
        <v>1.9</v>
      </c>
      <c r="P60" s="6">
        <v>204</v>
      </c>
      <c r="Q60" s="6">
        <v>139</v>
      </c>
      <c r="R60" s="6">
        <v>801</v>
      </c>
      <c r="S60" s="35">
        <v>4.1</v>
      </c>
      <c r="T60" s="35">
        <v>216</v>
      </c>
      <c r="U60" s="35">
        <v>56</v>
      </c>
      <c r="V60" s="38">
        <v>39618</v>
      </c>
    </row>
    <row r="61" spans="1:22" s="6" customFormat="1" ht="12.75">
      <c r="A61" s="23">
        <v>39</v>
      </c>
      <c r="C61" s="81">
        <v>200</v>
      </c>
      <c r="D61" s="23">
        <v>10370</v>
      </c>
      <c r="E61" s="35">
        <f t="shared" si="2"/>
        <v>186.87600000000003</v>
      </c>
      <c r="F61" s="35" t="s">
        <v>21</v>
      </c>
      <c r="G61" s="82">
        <v>23</v>
      </c>
      <c r="H61" s="6" t="s">
        <v>107</v>
      </c>
      <c r="I61" s="6" t="s">
        <v>63</v>
      </c>
      <c r="J61" s="35" t="s">
        <v>132</v>
      </c>
      <c r="K61" s="6" t="s">
        <v>185</v>
      </c>
      <c r="L61" s="6" t="s">
        <v>186</v>
      </c>
      <c r="O61" s="6">
        <v>1.9</v>
      </c>
      <c r="P61" s="6">
        <v>196</v>
      </c>
      <c r="Q61" s="6">
        <v>145</v>
      </c>
      <c r="R61" s="6">
        <v>693</v>
      </c>
      <c r="S61" s="35">
        <v>3.19</v>
      </c>
      <c r="T61" s="35">
        <v>162</v>
      </c>
      <c r="U61" s="35">
        <v>45</v>
      </c>
      <c r="V61" s="38">
        <v>39619</v>
      </c>
    </row>
    <row r="62" spans="1:22" s="6" customFormat="1" ht="12.75">
      <c r="A62" s="23">
        <v>40</v>
      </c>
      <c r="C62" s="81">
        <v>180</v>
      </c>
      <c r="D62" s="23">
        <v>10839</v>
      </c>
      <c r="E62" s="35">
        <f t="shared" si="2"/>
        <v>194.61450000000002</v>
      </c>
      <c r="F62" s="35" t="s">
        <v>21</v>
      </c>
      <c r="G62" s="82">
        <v>23</v>
      </c>
      <c r="H62" s="6" t="s">
        <v>107</v>
      </c>
      <c r="I62" s="6" t="s">
        <v>63</v>
      </c>
      <c r="J62" s="35" t="s">
        <v>132</v>
      </c>
      <c r="K62" s="6" t="s">
        <v>185</v>
      </c>
      <c r="L62" s="6" t="s">
        <v>186</v>
      </c>
      <c r="O62" s="82">
        <v>1.9</v>
      </c>
      <c r="P62" s="6">
        <v>202</v>
      </c>
      <c r="Q62" s="6">
        <v>143</v>
      </c>
      <c r="R62" s="6">
        <v>722</v>
      </c>
      <c r="S62" s="35">
        <v>3.39</v>
      </c>
      <c r="T62" s="35">
        <v>176</v>
      </c>
      <c r="U62" s="35">
        <v>49</v>
      </c>
      <c r="V62" s="38">
        <v>39619</v>
      </c>
    </row>
  </sheetData>
  <printOptions/>
  <pageMargins left="0.75" right="0.75" top="1" bottom="1" header="0.5" footer="0.5"/>
  <pageSetup horizontalDpi="200" verticalDpi="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C37" sqref="C37:C42"/>
    </sheetView>
  </sheetViews>
  <sheetFormatPr defaultColWidth="9.140625" defaultRowHeight="12.75"/>
  <cols>
    <col min="2" max="2" width="10.00390625" style="66" customWidth="1"/>
    <col min="3" max="3" width="11.28125" style="25" customWidth="1"/>
    <col min="4" max="4" width="14.57421875" style="25" customWidth="1"/>
    <col min="5" max="5" width="14.421875" style="67" customWidth="1"/>
    <col min="6" max="6" width="9.140625" style="66" customWidth="1"/>
    <col min="7" max="7" width="9.140625" style="25" customWidth="1"/>
    <col min="8" max="8" width="12.57421875" style="67" customWidth="1"/>
    <col min="9" max="9" width="9.140625" style="66" customWidth="1"/>
    <col min="10" max="10" width="11.57421875" style="25" customWidth="1"/>
    <col min="11" max="11" width="11.57421875" style="67" customWidth="1"/>
    <col min="17" max="17" width="13.140625" style="0" customWidth="1"/>
  </cols>
  <sheetData>
    <row r="1" spans="2:11" ht="13.5" thickBot="1">
      <c r="B1" s="125" t="s">
        <v>80</v>
      </c>
      <c r="C1" s="126"/>
      <c r="D1" s="126"/>
      <c r="E1" s="127"/>
      <c r="F1" s="123" t="s">
        <v>79</v>
      </c>
      <c r="G1" s="124"/>
      <c r="H1" s="67" t="s">
        <v>95</v>
      </c>
      <c r="I1" s="123" t="s">
        <v>131</v>
      </c>
      <c r="J1" s="124"/>
      <c r="K1" s="67" t="s">
        <v>95</v>
      </c>
    </row>
    <row r="2" spans="2:11" ht="13.5" thickBot="1">
      <c r="B2" s="98" t="s">
        <v>169</v>
      </c>
      <c r="C2" s="98" t="s">
        <v>5</v>
      </c>
      <c r="D2" s="98" t="s">
        <v>19</v>
      </c>
      <c r="E2" s="67" t="s">
        <v>175</v>
      </c>
      <c r="F2" s="66">
        <v>1</v>
      </c>
      <c r="G2" s="25">
        <v>9906</v>
      </c>
      <c r="H2" s="67">
        <v>4.2</v>
      </c>
      <c r="I2" s="68">
        <v>1</v>
      </c>
      <c r="J2" s="69">
        <v>10452</v>
      </c>
      <c r="K2" s="70" t="s">
        <v>114</v>
      </c>
    </row>
    <row r="3" spans="2:17" ht="13.5" thickBot="1">
      <c r="B3" s="99">
        <v>1</v>
      </c>
      <c r="C3" s="99">
        <v>12035</v>
      </c>
      <c r="D3" s="99">
        <v>4.2</v>
      </c>
      <c r="E3" s="102">
        <v>20</v>
      </c>
      <c r="F3" s="66">
        <v>2</v>
      </c>
      <c r="G3" s="25">
        <v>10326</v>
      </c>
      <c r="H3" s="67">
        <v>4.2</v>
      </c>
      <c r="I3" s="68">
        <v>2</v>
      </c>
      <c r="J3" s="69">
        <v>10560</v>
      </c>
      <c r="K3" s="70" t="s">
        <v>114</v>
      </c>
      <c r="M3" s="95" t="s">
        <v>147</v>
      </c>
      <c r="N3" s="96" t="s">
        <v>79</v>
      </c>
      <c r="O3" s="96" t="s">
        <v>131</v>
      </c>
      <c r="P3" s="96" t="s">
        <v>155</v>
      </c>
      <c r="Q3" s="97" t="s">
        <v>156</v>
      </c>
    </row>
    <row r="4" spans="2:17" ht="12.75">
      <c r="B4" s="99">
        <v>2</v>
      </c>
      <c r="C4" s="99">
        <v>12213</v>
      </c>
      <c r="D4" s="99">
        <v>4.2</v>
      </c>
      <c r="E4" s="99">
        <v>20</v>
      </c>
      <c r="F4" s="66">
        <v>3</v>
      </c>
      <c r="G4" s="25">
        <v>11165</v>
      </c>
      <c r="H4" s="67">
        <v>4.2</v>
      </c>
      <c r="I4" s="68">
        <v>3</v>
      </c>
      <c r="J4" s="69">
        <v>10766</v>
      </c>
      <c r="K4" s="70" t="s">
        <v>114</v>
      </c>
      <c r="M4" s="91">
        <v>5</v>
      </c>
      <c r="N4" s="25">
        <v>12050</v>
      </c>
      <c r="O4" s="25"/>
      <c r="P4" s="25">
        <v>12452</v>
      </c>
      <c r="Q4" s="92"/>
    </row>
    <row r="5" spans="2:17" ht="12.75">
      <c r="B5" s="99">
        <v>3</v>
      </c>
      <c r="C5" s="99">
        <v>12407</v>
      </c>
      <c r="D5" s="99">
        <v>4.2</v>
      </c>
      <c r="E5" s="99">
        <v>20</v>
      </c>
      <c r="F5" s="66">
        <v>4</v>
      </c>
      <c r="G5" s="25">
        <v>11441</v>
      </c>
      <c r="H5" s="67">
        <v>4.2</v>
      </c>
      <c r="I5" s="68">
        <v>4</v>
      </c>
      <c r="J5" s="69">
        <v>10906</v>
      </c>
      <c r="K5" s="70" t="s">
        <v>114</v>
      </c>
      <c r="M5" s="91">
        <v>10</v>
      </c>
      <c r="N5" s="25">
        <v>12011</v>
      </c>
      <c r="O5" s="25"/>
      <c r="P5" s="25">
        <v>12466</v>
      </c>
      <c r="Q5" s="92"/>
    </row>
    <row r="6" spans="2:17" ht="12.75">
      <c r="B6" s="99">
        <v>4</v>
      </c>
      <c r="C6" s="99">
        <v>12435</v>
      </c>
      <c r="D6" s="99">
        <v>4.2</v>
      </c>
      <c r="E6" s="99">
        <v>20</v>
      </c>
      <c r="F6" s="66">
        <v>5</v>
      </c>
      <c r="G6" s="25">
        <v>11578</v>
      </c>
      <c r="H6" s="67">
        <v>4.2</v>
      </c>
      <c r="I6" s="68">
        <v>5</v>
      </c>
      <c r="J6" s="69">
        <v>10804</v>
      </c>
      <c r="K6" s="70" t="s">
        <v>114</v>
      </c>
      <c r="M6" s="91">
        <v>20</v>
      </c>
      <c r="N6" s="25">
        <v>12074</v>
      </c>
      <c r="O6" s="25">
        <v>11433</v>
      </c>
      <c r="P6" s="25">
        <v>12413</v>
      </c>
      <c r="Q6" s="92">
        <v>11503</v>
      </c>
    </row>
    <row r="7" spans="2:17" ht="12.75">
      <c r="B7" s="99">
        <v>5</v>
      </c>
      <c r="C7" s="99">
        <v>12399</v>
      </c>
      <c r="D7" s="99">
        <v>4.2</v>
      </c>
      <c r="E7" s="99">
        <v>20</v>
      </c>
      <c r="F7" s="66">
        <v>6</v>
      </c>
      <c r="G7" s="25">
        <v>10634</v>
      </c>
      <c r="H7" s="67">
        <v>4.2</v>
      </c>
      <c r="I7" s="68">
        <v>6</v>
      </c>
      <c r="J7" s="69">
        <v>10915</v>
      </c>
      <c r="K7" s="70" t="s">
        <v>114</v>
      </c>
      <c r="M7" s="91">
        <v>40</v>
      </c>
      <c r="N7" s="25">
        <v>11964</v>
      </c>
      <c r="O7" s="25"/>
      <c r="P7" s="25">
        <v>12323</v>
      </c>
      <c r="Q7" s="92"/>
    </row>
    <row r="8" spans="2:17" ht="12.75">
      <c r="B8" s="99">
        <v>6</v>
      </c>
      <c r="C8" s="99">
        <v>12432</v>
      </c>
      <c r="D8" s="99">
        <v>4.2</v>
      </c>
      <c r="E8" s="99">
        <v>20</v>
      </c>
      <c r="F8" s="66">
        <v>7</v>
      </c>
      <c r="G8" s="25">
        <v>11642</v>
      </c>
      <c r="H8" s="67">
        <v>4.2</v>
      </c>
      <c r="I8" s="68">
        <v>7</v>
      </c>
      <c r="J8" s="69">
        <v>10995</v>
      </c>
      <c r="K8" s="70" t="s">
        <v>114</v>
      </c>
      <c r="M8" s="91">
        <v>50</v>
      </c>
      <c r="N8" s="25"/>
      <c r="O8" s="25">
        <v>11398</v>
      </c>
      <c r="P8" s="25"/>
      <c r="Q8" s="92">
        <f>Details!D54</f>
        <v>11541</v>
      </c>
    </row>
    <row r="9" spans="2:17" ht="12.75">
      <c r="B9" s="99">
        <v>7</v>
      </c>
      <c r="C9" s="99">
        <v>12354</v>
      </c>
      <c r="D9" s="99">
        <v>4.2</v>
      </c>
      <c r="E9" s="99">
        <v>20</v>
      </c>
      <c r="F9" s="66">
        <v>8</v>
      </c>
      <c r="G9" s="25">
        <v>11602</v>
      </c>
      <c r="H9" s="67">
        <v>4.2</v>
      </c>
      <c r="I9" s="68">
        <v>8</v>
      </c>
      <c r="J9" s="69">
        <v>10889</v>
      </c>
      <c r="K9" s="70" t="s">
        <v>114</v>
      </c>
      <c r="M9" s="91">
        <v>60</v>
      </c>
      <c r="N9" s="25"/>
      <c r="O9" s="25"/>
      <c r="P9" s="25">
        <v>12100</v>
      </c>
      <c r="Q9" s="92">
        <f>Details!D55</f>
        <v>11523</v>
      </c>
    </row>
    <row r="10" spans="2:17" ht="12.75">
      <c r="B10" s="99">
        <v>8</v>
      </c>
      <c r="C10" s="99">
        <v>12359</v>
      </c>
      <c r="D10" s="99">
        <v>4.2</v>
      </c>
      <c r="E10" s="99">
        <v>20</v>
      </c>
      <c r="F10" s="66">
        <v>9</v>
      </c>
      <c r="G10" s="25">
        <v>11127</v>
      </c>
      <c r="H10" s="67">
        <v>4.2</v>
      </c>
      <c r="I10" s="68">
        <v>9</v>
      </c>
      <c r="J10" s="69">
        <v>10972</v>
      </c>
      <c r="K10" s="70" t="s">
        <v>114</v>
      </c>
      <c r="M10" s="91">
        <v>75</v>
      </c>
      <c r="N10" s="25"/>
      <c r="O10" s="25">
        <v>11349</v>
      </c>
      <c r="P10" s="25"/>
      <c r="Q10" s="92"/>
    </row>
    <row r="11" spans="2:17" ht="12.75">
      <c r="B11" s="89">
        <v>35</v>
      </c>
      <c r="C11" s="89">
        <v>11348</v>
      </c>
      <c r="D11" s="89">
        <v>1.9</v>
      </c>
      <c r="E11" s="89">
        <v>20</v>
      </c>
      <c r="F11" s="66">
        <v>10</v>
      </c>
      <c r="G11" s="25">
        <v>11848</v>
      </c>
      <c r="H11" s="67">
        <v>4.2</v>
      </c>
      <c r="I11" s="68">
        <v>10</v>
      </c>
      <c r="J11" s="69">
        <v>10914</v>
      </c>
      <c r="K11" s="70" t="s">
        <v>114</v>
      </c>
      <c r="M11" s="91">
        <v>80</v>
      </c>
      <c r="N11" s="25">
        <v>11717</v>
      </c>
      <c r="O11" s="25"/>
      <c r="P11" s="25">
        <v>11725</v>
      </c>
      <c r="Q11" s="92">
        <f>Details!D59</f>
        <v>11912</v>
      </c>
    </row>
    <row r="12" spans="2:17" ht="12.75">
      <c r="B12" s="89">
        <v>36</v>
      </c>
      <c r="C12" s="89">
        <v>11613</v>
      </c>
      <c r="D12" s="89">
        <v>1.9</v>
      </c>
      <c r="E12" s="89">
        <v>20</v>
      </c>
      <c r="F12" s="66">
        <v>11</v>
      </c>
      <c r="G12" s="25">
        <v>11499</v>
      </c>
      <c r="H12" s="67">
        <v>4.2</v>
      </c>
      <c r="I12" s="68">
        <v>11</v>
      </c>
      <c r="J12" s="69">
        <v>11052</v>
      </c>
      <c r="K12" s="71" t="s">
        <v>115</v>
      </c>
      <c r="M12" s="91">
        <v>100</v>
      </c>
      <c r="N12" s="25">
        <v>11407</v>
      </c>
      <c r="O12" s="25">
        <v>11305</v>
      </c>
      <c r="P12" s="25">
        <v>11118</v>
      </c>
      <c r="Q12" s="92">
        <f>Details!D56</f>
        <v>12037</v>
      </c>
    </row>
    <row r="13" spans="2:17" ht="12.75">
      <c r="B13" s="89">
        <v>37</v>
      </c>
      <c r="C13" s="89">
        <v>11622</v>
      </c>
      <c r="D13" s="89">
        <v>1.9</v>
      </c>
      <c r="E13" s="89">
        <v>20</v>
      </c>
      <c r="F13" s="66">
        <v>12</v>
      </c>
      <c r="G13" s="25">
        <v>11706</v>
      </c>
      <c r="H13" s="67">
        <v>4.2</v>
      </c>
      <c r="I13" s="68">
        <v>12</v>
      </c>
      <c r="J13" s="69">
        <v>11000</v>
      </c>
      <c r="K13" s="71" t="s">
        <v>115</v>
      </c>
      <c r="M13" s="91">
        <v>120</v>
      </c>
      <c r="N13" s="25">
        <v>10217</v>
      </c>
      <c r="O13" s="25"/>
      <c r="P13" s="25">
        <v>10922</v>
      </c>
      <c r="Q13" s="92">
        <f>Details!D58</f>
        <v>12010</v>
      </c>
    </row>
    <row r="14" spans="2:17" ht="12.75">
      <c r="B14" s="89">
        <v>38</v>
      </c>
      <c r="C14" s="89">
        <v>11350</v>
      </c>
      <c r="D14" s="89">
        <v>1.9</v>
      </c>
      <c r="E14" s="89">
        <v>20</v>
      </c>
      <c r="F14" s="66">
        <v>13</v>
      </c>
      <c r="G14" s="25">
        <v>11521</v>
      </c>
      <c r="H14" s="67">
        <v>4.2</v>
      </c>
      <c r="I14" s="68">
        <v>13</v>
      </c>
      <c r="J14" s="69">
        <v>11000</v>
      </c>
      <c r="K14" s="70" t="s">
        <v>116</v>
      </c>
      <c r="M14" s="91">
        <v>125</v>
      </c>
      <c r="N14" s="25"/>
      <c r="O14" s="25">
        <v>10459</v>
      </c>
      <c r="P14" s="25"/>
      <c r="Q14" s="92"/>
    </row>
    <row r="15" spans="2:17" ht="12.75">
      <c r="B15" s="89">
        <v>39</v>
      </c>
      <c r="C15" s="89">
        <v>11345</v>
      </c>
      <c r="D15" s="89">
        <v>1.9</v>
      </c>
      <c r="E15" s="89">
        <v>20</v>
      </c>
      <c r="F15" s="66">
        <v>14</v>
      </c>
      <c r="G15" s="25">
        <v>11700</v>
      </c>
      <c r="H15" s="67">
        <v>4.2</v>
      </c>
      <c r="I15" s="66">
        <v>35</v>
      </c>
      <c r="J15" s="25">
        <v>10817</v>
      </c>
      <c r="K15" s="72" t="s">
        <v>117</v>
      </c>
      <c r="M15" s="91">
        <v>140</v>
      </c>
      <c r="N15" s="25"/>
      <c r="O15" s="25"/>
      <c r="P15" s="25">
        <v>10444</v>
      </c>
      <c r="Q15" s="92">
        <f>Details!D57</f>
        <v>11952</v>
      </c>
    </row>
    <row r="16" spans="2:17" ht="12.75">
      <c r="B16" s="89">
        <v>40</v>
      </c>
      <c r="C16" s="89">
        <v>11503</v>
      </c>
      <c r="D16" s="89">
        <v>1.9</v>
      </c>
      <c r="E16" s="89">
        <v>20</v>
      </c>
      <c r="F16" s="66">
        <v>15</v>
      </c>
      <c r="G16" s="25">
        <v>11808</v>
      </c>
      <c r="H16" s="67">
        <v>4.2</v>
      </c>
      <c r="I16" s="66">
        <v>36</v>
      </c>
      <c r="J16" s="25">
        <v>10914</v>
      </c>
      <c r="K16" s="72" t="s">
        <v>117</v>
      </c>
      <c r="M16" s="91">
        <v>150</v>
      </c>
      <c r="N16" s="25"/>
      <c r="O16" s="25">
        <v>10006</v>
      </c>
      <c r="P16" s="25"/>
      <c r="Q16" s="92"/>
    </row>
    <row r="17" spans="2:17" ht="12.75">
      <c r="B17" s="100">
        <v>41</v>
      </c>
      <c r="C17" s="100">
        <v>11642</v>
      </c>
      <c r="D17" s="100">
        <v>2.1</v>
      </c>
      <c r="E17" s="100">
        <v>20</v>
      </c>
      <c r="F17" s="66">
        <v>16</v>
      </c>
      <c r="G17" s="25">
        <v>11712</v>
      </c>
      <c r="H17" s="67">
        <v>4.2</v>
      </c>
      <c r="I17" s="66">
        <v>37</v>
      </c>
      <c r="J17" s="25">
        <v>10958</v>
      </c>
      <c r="K17" s="72" t="s">
        <v>117</v>
      </c>
      <c r="M17" s="91">
        <v>160</v>
      </c>
      <c r="N17" s="25"/>
      <c r="O17" s="25"/>
      <c r="P17" s="25"/>
      <c r="Q17" s="92">
        <f>Details!D60</f>
        <v>12000</v>
      </c>
    </row>
    <row r="18" spans="2:17" ht="12.75">
      <c r="B18" s="100">
        <v>42</v>
      </c>
      <c r="C18" s="100">
        <v>11446</v>
      </c>
      <c r="D18" s="100">
        <v>2.1</v>
      </c>
      <c r="E18" s="100">
        <v>20</v>
      </c>
      <c r="F18" s="66">
        <v>17</v>
      </c>
      <c r="G18" s="25">
        <v>12072</v>
      </c>
      <c r="H18" s="67">
        <v>4.2</v>
      </c>
      <c r="I18" s="66">
        <v>38</v>
      </c>
      <c r="J18" s="25">
        <v>11148</v>
      </c>
      <c r="K18" s="72" t="s">
        <v>118</v>
      </c>
      <c r="M18" s="91">
        <v>180</v>
      </c>
      <c r="N18" s="25"/>
      <c r="O18" s="25"/>
      <c r="P18" s="25"/>
      <c r="Q18" s="92">
        <f>Details!D62</f>
        <v>10839</v>
      </c>
    </row>
    <row r="19" spans="2:17" ht="13.5" thickBot="1">
      <c r="B19" s="100">
        <v>43</v>
      </c>
      <c r="C19" s="100">
        <v>11590</v>
      </c>
      <c r="D19" s="100">
        <v>2.1</v>
      </c>
      <c r="E19" s="100">
        <v>20</v>
      </c>
      <c r="F19" s="66">
        <v>18</v>
      </c>
      <c r="G19" s="25">
        <v>12274</v>
      </c>
      <c r="H19" s="67">
        <v>4.2</v>
      </c>
      <c r="I19" s="66">
        <v>39</v>
      </c>
      <c r="J19" s="25">
        <v>11197</v>
      </c>
      <c r="K19" s="72" t="s">
        <v>117</v>
      </c>
      <c r="M19" s="93">
        <v>200</v>
      </c>
      <c r="N19" s="26"/>
      <c r="O19" s="26"/>
      <c r="P19" s="26"/>
      <c r="Q19" s="94">
        <f>Details!D61</f>
        <v>10370</v>
      </c>
    </row>
    <row r="20" spans="2:13" ht="12.75">
      <c r="B20" s="100">
        <v>45</v>
      </c>
      <c r="C20" s="100">
        <v>12085</v>
      </c>
      <c r="D20" s="100">
        <v>2.8</v>
      </c>
      <c r="E20" s="100">
        <v>20</v>
      </c>
      <c r="F20" s="66">
        <v>19</v>
      </c>
      <c r="G20" s="25">
        <v>11380</v>
      </c>
      <c r="H20" s="67">
        <v>4.2</v>
      </c>
      <c r="I20" s="66">
        <v>40</v>
      </c>
      <c r="J20" s="25">
        <v>11021</v>
      </c>
      <c r="K20" s="72" t="s">
        <v>117</v>
      </c>
    </row>
    <row r="21" spans="2:13" ht="12.75">
      <c r="B21" s="99">
        <v>58</v>
      </c>
      <c r="C21" s="99">
        <v>12415</v>
      </c>
      <c r="D21" s="99">
        <v>4.2</v>
      </c>
      <c r="E21" s="99">
        <v>20</v>
      </c>
      <c r="F21" s="66">
        <v>20</v>
      </c>
      <c r="G21" s="25">
        <v>11974</v>
      </c>
      <c r="H21" s="67">
        <v>4.2</v>
      </c>
      <c r="I21" s="66">
        <v>41</v>
      </c>
      <c r="J21" s="25">
        <v>10982</v>
      </c>
      <c r="K21" s="72" t="s">
        <v>117</v>
      </c>
    </row>
    <row r="22" spans="2:13" ht="12.75">
      <c r="B22" s="99">
        <v>59</v>
      </c>
      <c r="C22" s="99">
        <v>12421</v>
      </c>
      <c r="D22" s="99">
        <v>4.2</v>
      </c>
      <c r="E22" s="99">
        <v>20</v>
      </c>
      <c r="F22" s="66">
        <v>21</v>
      </c>
      <c r="G22" s="25">
        <v>12165</v>
      </c>
      <c r="H22" s="67">
        <v>4.2</v>
      </c>
      <c r="I22" s="66">
        <v>42</v>
      </c>
      <c r="J22" s="25">
        <v>11180</v>
      </c>
      <c r="K22" s="72" t="s">
        <v>119</v>
      </c>
    </row>
    <row r="23" spans="2:13" ht="12.75">
      <c r="B23" s="99">
        <v>60</v>
      </c>
      <c r="C23" s="99">
        <v>12413</v>
      </c>
      <c r="D23" s="99">
        <v>4.2</v>
      </c>
      <c r="E23" s="99">
        <v>20</v>
      </c>
      <c r="F23" s="66">
        <v>22</v>
      </c>
      <c r="G23" s="25">
        <v>12153</v>
      </c>
      <c r="H23" s="67">
        <v>4.2</v>
      </c>
      <c r="I23" s="66">
        <v>43</v>
      </c>
      <c r="J23" s="25">
        <v>11244</v>
      </c>
      <c r="K23" s="72" t="s">
        <v>119</v>
      </c>
    </row>
    <row r="24" spans="2:13" ht="12.75">
      <c r="B24" s="99">
        <v>61</v>
      </c>
      <c r="C24" s="99">
        <v>12323</v>
      </c>
      <c r="D24" s="99">
        <v>4.2</v>
      </c>
      <c r="E24" s="99">
        <v>40</v>
      </c>
      <c r="F24" s="66">
        <v>23</v>
      </c>
      <c r="G24" s="25">
        <v>12139</v>
      </c>
      <c r="H24" s="67">
        <v>4.2</v>
      </c>
      <c r="I24" s="66">
        <v>44</v>
      </c>
      <c r="J24" s="25">
        <v>11339</v>
      </c>
      <c r="K24" s="72" t="s">
        <v>120</v>
      </c>
    </row>
    <row r="25" spans="2:11" ht="12.75">
      <c r="B25" s="99">
        <v>62</v>
      </c>
      <c r="C25" s="99">
        <v>12100</v>
      </c>
      <c r="D25" s="99">
        <v>4.2</v>
      </c>
      <c r="E25" s="99">
        <v>60</v>
      </c>
      <c r="F25" s="66">
        <v>24</v>
      </c>
      <c r="G25" s="25">
        <v>12110</v>
      </c>
      <c r="H25" s="67">
        <v>4.2</v>
      </c>
      <c r="I25" s="66">
        <v>45</v>
      </c>
      <c r="J25" s="25">
        <v>11267</v>
      </c>
      <c r="K25" s="72" t="s">
        <v>117</v>
      </c>
    </row>
    <row r="26" spans="2:11" ht="12.75">
      <c r="B26" s="99">
        <v>63</v>
      </c>
      <c r="C26" s="99">
        <v>11725</v>
      </c>
      <c r="D26" s="99">
        <v>4.2</v>
      </c>
      <c r="E26" s="99">
        <v>80</v>
      </c>
      <c r="F26" s="66">
        <v>25</v>
      </c>
      <c r="G26" s="25">
        <v>12074</v>
      </c>
      <c r="H26" s="67">
        <v>4.2</v>
      </c>
      <c r="I26" s="66">
        <v>46</v>
      </c>
      <c r="J26" s="25">
        <v>11137</v>
      </c>
      <c r="K26" s="72" t="s">
        <v>121</v>
      </c>
    </row>
    <row r="27" spans="2:11" ht="12.75">
      <c r="B27" s="99">
        <v>64</v>
      </c>
      <c r="C27" s="99">
        <v>11770</v>
      </c>
      <c r="D27" s="99">
        <v>4.2</v>
      </c>
      <c r="E27" s="99">
        <v>78</v>
      </c>
      <c r="F27" s="66">
        <v>26</v>
      </c>
      <c r="G27" s="25">
        <v>12050</v>
      </c>
      <c r="H27" s="67">
        <v>4.2</v>
      </c>
      <c r="I27" s="66">
        <v>47</v>
      </c>
      <c r="J27" s="25">
        <v>11235</v>
      </c>
      <c r="K27" s="72" t="s">
        <v>122</v>
      </c>
    </row>
    <row r="28" spans="2:11" ht="12.75">
      <c r="B28" s="99">
        <v>65</v>
      </c>
      <c r="C28" s="99">
        <v>11118</v>
      </c>
      <c r="D28" s="99">
        <v>4.2</v>
      </c>
      <c r="E28" s="99">
        <v>100</v>
      </c>
      <c r="F28" s="66">
        <v>27</v>
      </c>
      <c r="G28" s="25">
        <v>11964</v>
      </c>
      <c r="H28" s="67">
        <v>4.2</v>
      </c>
      <c r="I28" s="66">
        <v>48</v>
      </c>
      <c r="J28" s="25">
        <v>10824</v>
      </c>
      <c r="K28" s="72" t="s">
        <v>123</v>
      </c>
    </row>
    <row r="29" spans="2:11" ht="12.75">
      <c r="B29" s="99">
        <v>66</v>
      </c>
      <c r="C29" s="99">
        <v>10922</v>
      </c>
      <c r="D29" s="99">
        <v>4.2</v>
      </c>
      <c r="E29" s="99">
        <v>120</v>
      </c>
      <c r="F29" s="66">
        <v>28</v>
      </c>
      <c r="G29" s="25">
        <v>11717</v>
      </c>
      <c r="H29" s="67">
        <v>4.2</v>
      </c>
      <c r="I29" s="66">
        <v>49</v>
      </c>
      <c r="J29" s="25">
        <v>10957</v>
      </c>
      <c r="K29" s="72" t="s">
        <v>124</v>
      </c>
    </row>
    <row r="30" spans="2:11" ht="12.75">
      <c r="B30" s="99">
        <v>67</v>
      </c>
      <c r="C30" s="99">
        <v>10444</v>
      </c>
      <c r="D30" s="99">
        <v>4.2</v>
      </c>
      <c r="E30" s="99">
        <v>140</v>
      </c>
      <c r="F30" s="66">
        <v>29</v>
      </c>
      <c r="G30" s="25">
        <v>12011</v>
      </c>
      <c r="H30" s="67">
        <v>4.2</v>
      </c>
      <c r="I30" s="66">
        <v>50</v>
      </c>
      <c r="J30" s="25">
        <v>11329</v>
      </c>
      <c r="K30" s="72" t="s">
        <v>125</v>
      </c>
    </row>
    <row r="31" spans="2:11" ht="12.75">
      <c r="B31" s="99">
        <v>68</v>
      </c>
      <c r="C31" s="99">
        <v>12417</v>
      </c>
      <c r="D31" s="99">
        <v>4.2</v>
      </c>
      <c r="E31" s="99">
        <v>20</v>
      </c>
      <c r="F31" s="66">
        <v>30</v>
      </c>
      <c r="G31" s="25">
        <v>11407</v>
      </c>
      <c r="H31" s="67">
        <v>4.2</v>
      </c>
      <c r="I31" s="66">
        <v>51</v>
      </c>
      <c r="J31" s="25">
        <v>11379</v>
      </c>
      <c r="K31" s="72" t="s">
        <v>125</v>
      </c>
    </row>
    <row r="32" spans="2:11" ht="12.75">
      <c r="B32" s="99">
        <v>72</v>
      </c>
      <c r="C32" s="99">
        <v>12466</v>
      </c>
      <c r="D32" s="99">
        <v>4.2</v>
      </c>
      <c r="E32" s="99">
        <v>10</v>
      </c>
      <c r="F32" s="66">
        <v>31</v>
      </c>
      <c r="G32" s="25">
        <v>10217</v>
      </c>
      <c r="H32" s="67">
        <v>4.2</v>
      </c>
      <c r="I32" s="66">
        <v>52</v>
      </c>
      <c r="J32" s="25">
        <v>11379</v>
      </c>
      <c r="K32" s="72" t="s">
        <v>121</v>
      </c>
    </row>
    <row r="33" spans="2:11" ht="12.75">
      <c r="B33" s="99">
        <v>74</v>
      </c>
      <c r="C33" s="99">
        <v>12452</v>
      </c>
      <c r="D33" s="99">
        <v>4.2</v>
      </c>
      <c r="E33" s="99">
        <v>5</v>
      </c>
      <c r="F33" s="66">
        <v>32</v>
      </c>
      <c r="G33" s="25">
        <v>11844</v>
      </c>
      <c r="H33" s="67">
        <v>4.2</v>
      </c>
      <c r="I33" s="66">
        <v>53</v>
      </c>
      <c r="J33" s="25">
        <v>10857</v>
      </c>
      <c r="K33" s="72" t="s">
        <v>126</v>
      </c>
    </row>
    <row r="34" spans="2:11" ht="12.75">
      <c r="B34" s="89">
        <v>82</v>
      </c>
      <c r="C34" s="89">
        <v>11541</v>
      </c>
      <c r="D34" s="89">
        <v>1.9</v>
      </c>
      <c r="E34" s="89">
        <v>50</v>
      </c>
      <c r="F34" s="66">
        <v>33</v>
      </c>
      <c r="G34" s="25">
        <v>11963</v>
      </c>
      <c r="H34" s="67">
        <v>4.2</v>
      </c>
      <c r="I34" s="66">
        <v>54</v>
      </c>
      <c r="J34" s="44">
        <v>11434</v>
      </c>
      <c r="K34" s="73" t="s">
        <v>127</v>
      </c>
    </row>
    <row r="35" spans="2:11" ht="12.75">
      <c r="B35" s="89">
        <v>83</v>
      </c>
      <c r="C35" s="89">
        <v>11523</v>
      </c>
      <c r="D35" s="89">
        <v>1.9</v>
      </c>
      <c r="E35" s="89">
        <v>60</v>
      </c>
      <c r="F35" s="66">
        <v>35</v>
      </c>
      <c r="G35" s="25">
        <v>11937</v>
      </c>
      <c r="H35" s="67">
        <v>1.9</v>
      </c>
      <c r="I35" s="66">
        <v>55</v>
      </c>
      <c r="J35" s="25">
        <v>11342</v>
      </c>
      <c r="K35" s="72" t="s">
        <v>128</v>
      </c>
    </row>
    <row r="36" spans="2:11" ht="12.75">
      <c r="B36" s="89">
        <v>84</v>
      </c>
      <c r="C36" s="89">
        <v>12037</v>
      </c>
      <c r="D36" s="89">
        <v>1.9</v>
      </c>
      <c r="E36" s="89">
        <v>100</v>
      </c>
      <c r="F36" s="66">
        <v>36</v>
      </c>
      <c r="G36" s="25">
        <v>11252</v>
      </c>
      <c r="H36" s="67">
        <v>1.9</v>
      </c>
      <c r="I36" s="74">
        <v>57</v>
      </c>
      <c r="J36" s="27">
        <v>11409</v>
      </c>
      <c r="K36" s="75" t="s">
        <v>116</v>
      </c>
    </row>
    <row r="37" spans="2:11" ht="12.75">
      <c r="B37" s="89">
        <v>85</v>
      </c>
      <c r="C37" s="89">
        <f>Details!D57</f>
        <v>11952</v>
      </c>
      <c r="D37" s="89">
        <v>1.9</v>
      </c>
      <c r="E37" s="89">
        <f>Details!C57</f>
        <v>140</v>
      </c>
      <c r="F37" s="66">
        <v>37</v>
      </c>
      <c r="G37" s="25">
        <v>11777</v>
      </c>
      <c r="H37" s="67">
        <v>1.9</v>
      </c>
      <c r="I37" s="76">
        <v>58</v>
      </c>
      <c r="J37" s="77">
        <v>11433</v>
      </c>
      <c r="K37" s="78" t="s">
        <v>116</v>
      </c>
    </row>
    <row r="38" spans="2:11" ht="12.75">
      <c r="B38" s="89">
        <v>86</v>
      </c>
      <c r="C38" s="89">
        <f>Details!D58</f>
        <v>12010</v>
      </c>
      <c r="D38" s="89">
        <v>1.9</v>
      </c>
      <c r="E38" s="89">
        <f>Details!C58</f>
        <v>120</v>
      </c>
      <c r="F38" s="66">
        <v>38</v>
      </c>
      <c r="G38" s="25">
        <v>11446</v>
      </c>
      <c r="H38" s="67">
        <v>1.9</v>
      </c>
      <c r="I38" s="74">
        <v>59</v>
      </c>
      <c r="J38" s="27">
        <v>11398</v>
      </c>
      <c r="K38" s="75" t="s">
        <v>116</v>
      </c>
    </row>
    <row r="39" spans="2:11" ht="12.75">
      <c r="B39" s="89">
        <v>87</v>
      </c>
      <c r="C39" s="89">
        <f>Details!D59</f>
        <v>11912</v>
      </c>
      <c r="D39" s="89">
        <v>1.9</v>
      </c>
      <c r="E39" s="89">
        <f>Details!C59</f>
        <v>80</v>
      </c>
      <c r="F39" s="66">
        <v>39</v>
      </c>
      <c r="G39" s="25">
        <v>11947</v>
      </c>
      <c r="H39" s="67">
        <v>1.9</v>
      </c>
      <c r="I39" s="76">
        <v>60</v>
      </c>
      <c r="J39" s="27">
        <v>11349</v>
      </c>
      <c r="K39" s="75" t="s">
        <v>116</v>
      </c>
    </row>
    <row r="40" spans="2:11" ht="12.75">
      <c r="B40" s="89">
        <v>88</v>
      </c>
      <c r="C40" s="89">
        <f>Details!D60</f>
        <v>12000</v>
      </c>
      <c r="D40" s="89">
        <v>1.9</v>
      </c>
      <c r="E40" s="89">
        <f>Details!C60</f>
        <v>160</v>
      </c>
      <c r="F40" s="66">
        <v>40</v>
      </c>
      <c r="G40" s="25">
        <v>11757</v>
      </c>
      <c r="H40" s="67">
        <v>1.9</v>
      </c>
      <c r="I40" s="74">
        <v>61</v>
      </c>
      <c r="J40" s="27">
        <v>11305</v>
      </c>
      <c r="K40" s="75" t="s">
        <v>116</v>
      </c>
    </row>
    <row r="41" spans="2:11" ht="12.75">
      <c r="B41" s="89">
        <v>89</v>
      </c>
      <c r="C41" s="89">
        <f>Details!D61</f>
        <v>10370</v>
      </c>
      <c r="D41" s="89">
        <v>1.9</v>
      </c>
      <c r="E41" s="89">
        <f>Details!C61</f>
        <v>200</v>
      </c>
      <c r="F41" s="66">
        <v>41</v>
      </c>
      <c r="G41" s="25">
        <v>11850</v>
      </c>
      <c r="H41" s="67">
        <v>1.9</v>
      </c>
      <c r="I41" s="76">
        <v>62</v>
      </c>
      <c r="J41" s="27">
        <v>10006</v>
      </c>
      <c r="K41" s="75" t="s">
        <v>116</v>
      </c>
    </row>
    <row r="42" spans="2:11" ht="12.75">
      <c r="B42" s="101">
        <v>90</v>
      </c>
      <c r="C42" s="101">
        <f>Details!D62</f>
        <v>10839</v>
      </c>
      <c r="D42" s="101">
        <v>1.9</v>
      </c>
      <c r="E42" s="101">
        <f>Details!C62</f>
        <v>180</v>
      </c>
      <c r="F42" s="66">
        <v>42</v>
      </c>
      <c r="G42" s="25">
        <v>11417</v>
      </c>
      <c r="H42" s="67">
        <v>1.9</v>
      </c>
      <c r="I42" s="74">
        <v>63</v>
      </c>
      <c r="J42" s="27">
        <v>10459</v>
      </c>
      <c r="K42" s="75" t="s">
        <v>116</v>
      </c>
    </row>
    <row r="43" spans="2:11" ht="12.75">
      <c r="F43" s="66">
        <v>43</v>
      </c>
      <c r="G43" s="25">
        <v>12391</v>
      </c>
      <c r="H43" s="67">
        <v>1.9</v>
      </c>
      <c r="I43" s="76">
        <v>64</v>
      </c>
      <c r="J43" s="27">
        <v>11383</v>
      </c>
      <c r="K43" s="75" t="s">
        <v>116</v>
      </c>
    </row>
    <row r="44" spans="2:11" ht="12.75">
      <c r="F44" s="66">
        <v>44</v>
      </c>
      <c r="G44" s="25">
        <v>12051</v>
      </c>
      <c r="H44" s="67">
        <v>1.9</v>
      </c>
      <c r="I44" s="74">
        <v>65</v>
      </c>
      <c r="J44" s="27">
        <v>11343</v>
      </c>
      <c r="K44" s="75" t="s">
        <v>116</v>
      </c>
    </row>
    <row r="45" spans="2:11" ht="12.75">
      <c r="F45" s="66">
        <v>45</v>
      </c>
      <c r="G45" s="25">
        <v>11384</v>
      </c>
      <c r="H45" s="67">
        <v>1.9</v>
      </c>
      <c r="I45" s="76">
        <v>66</v>
      </c>
      <c r="J45" s="27">
        <v>11290</v>
      </c>
      <c r="K45" s="75" t="s">
        <v>116</v>
      </c>
    </row>
    <row r="46" spans="2:11" ht="12.75">
      <c r="F46" s="66">
        <v>46</v>
      </c>
      <c r="G46" s="25">
        <v>11751</v>
      </c>
      <c r="H46" s="67">
        <v>1.9</v>
      </c>
      <c r="I46" s="74">
        <v>67</v>
      </c>
      <c r="J46" s="27">
        <v>11366</v>
      </c>
      <c r="K46" s="75" t="s">
        <v>116</v>
      </c>
    </row>
    <row r="47" spans="1:11" ht="12.75">
      <c r="A47">
        <v>43.5</v>
      </c>
      <c r="B47" s="66">
        <v>11800</v>
      </c>
      <c r="F47" s="66">
        <v>47</v>
      </c>
      <c r="G47" s="25">
        <v>11727</v>
      </c>
      <c r="H47" s="67">
        <v>1.9</v>
      </c>
      <c r="I47" s="76">
        <v>68</v>
      </c>
      <c r="J47" s="27">
        <v>11226</v>
      </c>
      <c r="K47" s="75" t="s">
        <v>116</v>
      </c>
    </row>
    <row r="48" spans="1:11" ht="12.75">
      <c r="A48">
        <v>43.5</v>
      </c>
      <c r="B48" s="66">
        <v>12100</v>
      </c>
      <c r="F48" s="66">
        <v>48</v>
      </c>
      <c r="G48" s="25">
        <v>12467</v>
      </c>
      <c r="H48" s="67">
        <v>1.9</v>
      </c>
      <c r="I48" s="74">
        <v>69</v>
      </c>
      <c r="J48" s="27">
        <v>11252</v>
      </c>
      <c r="K48" s="75" t="s">
        <v>116</v>
      </c>
    </row>
    <row r="49" spans="1:11" ht="12.75">
      <c r="A49">
        <v>33</v>
      </c>
      <c r="B49" s="66">
        <v>10400</v>
      </c>
      <c r="C49" s="25">
        <f>10.5/2.6</f>
        <v>4.038461538461538</v>
      </c>
      <c r="F49" s="66">
        <v>49</v>
      </c>
      <c r="G49" s="25">
        <v>11966</v>
      </c>
      <c r="H49" s="67">
        <v>1.9</v>
      </c>
      <c r="I49" s="76">
        <v>70</v>
      </c>
      <c r="J49" s="27">
        <v>11270</v>
      </c>
      <c r="K49" s="75" t="s">
        <v>116</v>
      </c>
    </row>
    <row r="50" spans="1:11" ht="12.75">
      <c r="A50">
        <v>33</v>
      </c>
      <c r="B50" s="66">
        <v>12400</v>
      </c>
      <c r="F50" s="66">
        <v>49</v>
      </c>
      <c r="G50" s="25">
        <v>11939</v>
      </c>
      <c r="H50" s="67">
        <v>4.2</v>
      </c>
      <c r="I50" s="74">
        <v>71</v>
      </c>
      <c r="J50" s="27">
        <v>11045</v>
      </c>
      <c r="K50" s="75" t="s">
        <v>116</v>
      </c>
    </row>
    <row r="51" spans="6:11" ht="12.75">
      <c r="F51" s="66">
        <v>57</v>
      </c>
      <c r="G51" s="25">
        <v>11940</v>
      </c>
      <c r="H51" s="67">
        <v>4.2</v>
      </c>
      <c r="I51" s="76">
        <v>72</v>
      </c>
      <c r="J51" s="27">
        <v>11096</v>
      </c>
      <c r="K51" s="75" t="s">
        <v>116</v>
      </c>
    </row>
    <row r="52" spans="1:11" ht="13.5" thickBot="1">
      <c r="A52">
        <v>49</v>
      </c>
      <c r="B52" s="66">
        <v>10400</v>
      </c>
      <c r="F52" s="66">
        <v>58</v>
      </c>
      <c r="G52" s="25">
        <v>11929</v>
      </c>
      <c r="H52" s="67">
        <v>4.2</v>
      </c>
      <c r="I52" s="74">
        <v>73</v>
      </c>
      <c r="J52" s="39">
        <v>11149</v>
      </c>
      <c r="K52" s="79" t="s">
        <v>116</v>
      </c>
    </row>
    <row r="53" spans="1:11" ht="12.75">
      <c r="A53">
        <v>49</v>
      </c>
      <c r="B53" s="66">
        <v>12400</v>
      </c>
      <c r="F53" s="66">
        <v>59</v>
      </c>
      <c r="G53" s="25">
        <v>11921</v>
      </c>
      <c r="H53" s="67">
        <v>4.2</v>
      </c>
      <c r="I53" s="76">
        <v>74</v>
      </c>
      <c r="J53" s="27">
        <v>5000</v>
      </c>
      <c r="K53" s="75" t="s">
        <v>129</v>
      </c>
    </row>
    <row r="54" spans="6:11" ht="12.75">
      <c r="F54" s="66">
        <v>60</v>
      </c>
      <c r="G54" s="25">
        <v>11410</v>
      </c>
      <c r="H54" s="67">
        <v>4.2</v>
      </c>
      <c r="I54" s="74">
        <v>75</v>
      </c>
      <c r="J54" s="27">
        <v>11002</v>
      </c>
      <c r="K54" s="75" t="s">
        <v>129</v>
      </c>
    </row>
    <row r="55" spans="6:11" ht="12.75">
      <c r="F55" s="66">
        <v>61</v>
      </c>
      <c r="G55" s="25">
        <v>11414</v>
      </c>
      <c r="H55" s="67">
        <v>4.2</v>
      </c>
      <c r="I55" s="76">
        <v>76</v>
      </c>
      <c r="J55" s="27">
        <v>9122</v>
      </c>
      <c r="K55" s="75" t="s">
        <v>129</v>
      </c>
    </row>
    <row r="56" spans="1:11" ht="12.75">
      <c r="A56">
        <v>34</v>
      </c>
      <c r="B56" s="66">
        <v>10000</v>
      </c>
      <c r="F56" s="66">
        <v>62</v>
      </c>
      <c r="G56" s="25">
        <v>11930</v>
      </c>
      <c r="H56" s="67">
        <v>4.2</v>
      </c>
      <c r="I56" s="74">
        <v>77</v>
      </c>
      <c r="J56" s="27">
        <v>11092</v>
      </c>
      <c r="K56" s="75" t="s">
        <v>129</v>
      </c>
    </row>
    <row r="57" spans="1:11" ht="12.75">
      <c r="A57">
        <v>34</v>
      </c>
      <c r="B57" s="66">
        <v>12800</v>
      </c>
      <c r="I57" s="76">
        <v>78</v>
      </c>
      <c r="J57" s="27">
        <v>11291</v>
      </c>
      <c r="K57" s="75" t="s">
        <v>129</v>
      </c>
    </row>
    <row r="58" spans="9:11" ht="12.75">
      <c r="I58" s="74">
        <v>79</v>
      </c>
      <c r="J58" s="27">
        <v>11402</v>
      </c>
      <c r="K58" s="75" t="s">
        <v>129</v>
      </c>
    </row>
    <row r="59" spans="1:11" ht="12.75">
      <c r="A59">
        <v>57</v>
      </c>
      <c r="B59" s="66">
        <v>10000</v>
      </c>
      <c r="I59" s="76">
        <v>80</v>
      </c>
      <c r="J59" s="27">
        <v>11411</v>
      </c>
      <c r="K59" s="75" t="s">
        <v>129</v>
      </c>
    </row>
    <row r="60" spans="1:11" ht="12.75">
      <c r="A60">
        <v>57</v>
      </c>
      <c r="B60" s="66">
        <v>12800</v>
      </c>
      <c r="I60" s="74">
        <v>81</v>
      </c>
      <c r="J60" s="27">
        <v>11335</v>
      </c>
      <c r="K60" s="75" t="s">
        <v>129</v>
      </c>
    </row>
  </sheetData>
  <mergeCells count="3">
    <mergeCell ref="F1:G1"/>
    <mergeCell ref="I1:J1"/>
    <mergeCell ref="B1:E1"/>
  </mergeCells>
  <printOptions/>
  <pageMargins left="0.75" right="0.75" top="1" bottom="1" header="0.5" footer="0.5"/>
  <pageSetup horizontalDpi="200" verticalDpi="2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L47" sqref="L47"/>
    </sheetView>
  </sheetViews>
  <sheetFormatPr defaultColWidth="9.140625" defaultRowHeight="12.75"/>
  <sheetData>
    <row r="1" spans="1:8" ht="15" customHeight="1">
      <c r="A1" s="85" t="s">
        <v>169</v>
      </c>
      <c r="B1" s="85" t="s">
        <v>95</v>
      </c>
      <c r="C1" s="85"/>
      <c r="D1" s="85" t="s">
        <v>170</v>
      </c>
      <c r="E1" s="85" t="s">
        <v>101</v>
      </c>
      <c r="F1" s="85" t="s">
        <v>171</v>
      </c>
      <c r="G1" s="85" t="s">
        <v>172</v>
      </c>
      <c r="H1" s="85" t="s">
        <v>173</v>
      </c>
    </row>
    <row r="2" spans="1:8" s="42" customFormat="1" ht="12.75">
      <c r="A2" s="86">
        <v>1</v>
      </c>
      <c r="B2" s="86">
        <v>4.2</v>
      </c>
      <c r="C2" s="86">
        <v>20</v>
      </c>
      <c r="D2" s="86" t="str">
        <f>'Propagation '!D2</f>
        <v>A10A9</v>
      </c>
      <c r="E2" s="86">
        <v>7</v>
      </c>
      <c r="F2" s="86">
        <f>'Propagation '!E2</f>
        <v>-8.09</v>
      </c>
      <c r="G2" s="86">
        <v>-8.56</v>
      </c>
      <c r="H2" s="86">
        <f>F2-G2</f>
        <v>0.47000000000000064</v>
      </c>
    </row>
    <row r="3" spans="1:8" s="42" customFormat="1" ht="12.75">
      <c r="A3" s="86">
        <v>2</v>
      </c>
      <c r="B3" s="86">
        <v>4.2</v>
      </c>
      <c r="C3" s="86">
        <v>20</v>
      </c>
      <c r="D3" s="86" t="str">
        <f>'Propagation '!D6</f>
        <v>B2B3</v>
      </c>
      <c r="E3" s="86">
        <v>3</v>
      </c>
      <c r="F3" s="86">
        <v>-8.56</v>
      </c>
      <c r="G3" s="86">
        <v>-8.5</v>
      </c>
      <c r="H3" s="86">
        <f aca="true" t="shared" si="0" ref="H3:H35">F3-G3</f>
        <v>-0.0600000000000005</v>
      </c>
    </row>
    <row r="4" spans="1:8" s="42" customFormat="1" ht="12.75">
      <c r="A4" s="86">
        <v>3</v>
      </c>
      <c r="B4" s="86">
        <v>4.2</v>
      </c>
      <c r="C4" s="86">
        <v>20</v>
      </c>
      <c r="D4" s="86" t="str">
        <f>'Propagation '!D10</f>
        <v>B4B3</v>
      </c>
      <c r="E4" s="86">
        <v>5</v>
      </c>
      <c r="F4" s="86">
        <f>'Propagation '!E10</f>
        <v>-8.37</v>
      </c>
      <c r="G4" s="86">
        <v>-8.34</v>
      </c>
      <c r="H4" s="86">
        <f t="shared" si="0"/>
        <v>-0.02999999999999936</v>
      </c>
    </row>
    <row r="5" spans="1:8" s="42" customFormat="1" ht="12.75">
      <c r="A5" s="86">
        <v>4</v>
      </c>
      <c r="B5" s="86">
        <v>4.2</v>
      </c>
      <c r="C5" s="86">
        <v>20</v>
      </c>
      <c r="D5" s="86" t="str">
        <f>'Propagation '!D18</f>
        <v>A10B6</v>
      </c>
      <c r="E5" s="86">
        <v>5</v>
      </c>
      <c r="F5" s="86">
        <v>-8.37</v>
      </c>
      <c r="G5" s="86">
        <v>-8.49</v>
      </c>
      <c r="H5" s="86">
        <f>F5-G5</f>
        <v>0.120000000000001</v>
      </c>
    </row>
    <row r="6" spans="1:8" s="42" customFormat="1" ht="12.75">
      <c r="A6" s="86">
        <v>5</v>
      </c>
      <c r="B6" s="86">
        <v>4.2</v>
      </c>
      <c r="C6" s="86">
        <v>20</v>
      </c>
      <c r="D6" s="86" t="str">
        <f>Details!H24</f>
        <v>B6A10</v>
      </c>
      <c r="E6" s="86">
        <v>5</v>
      </c>
      <c r="F6" s="86">
        <f>'Propagation '!E27</f>
        <v>-8.15</v>
      </c>
      <c r="G6" s="86">
        <v>-8.41</v>
      </c>
      <c r="H6" s="86">
        <f t="shared" si="0"/>
        <v>0.2599999999999998</v>
      </c>
    </row>
    <row r="7" spans="1:8" s="42" customFormat="1" ht="12.75">
      <c r="A7" s="86">
        <v>6</v>
      </c>
      <c r="B7" s="86">
        <v>4.2</v>
      </c>
      <c r="C7" s="86">
        <v>20</v>
      </c>
      <c r="D7" s="86" t="str">
        <f>Details!H25</f>
        <v>B6A10</v>
      </c>
      <c r="E7" s="86">
        <v>5</v>
      </c>
      <c r="F7" s="86">
        <f>'Propagation '!E36</f>
        <v>-8.14</v>
      </c>
      <c r="G7" s="86">
        <v>-8.3</v>
      </c>
      <c r="H7" s="86">
        <f t="shared" si="0"/>
        <v>0.16000000000000014</v>
      </c>
    </row>
    <row r="8" spans="1:8" s="42" customFormat="1" ht="12.75">
      <c r="A8" s="86">
        <v>7</v>
      </c>
      <c r="B8" s="86">
        <v>4.2</v>
      </c>
      <c r="C8" s="86">
        <v>20</v>
      </c>
      <c r="D8" s="86" t="str">
        <f>Details!H28</f>
        <v>B6A10</v>
      </c>
      <c r="E8" s="86"/>
      <c r="F8" s="86"/>
      <c r="G8" s="86"/>
      <c r="H8" s="86">
        <f t="shared" si="0"/>
        <v>0</v>
      </c>
    </row>
    <row r="9" spans="1:8" s="42" customFormat="1" ht="12.75">
      <c r="A9" s="86">
        <v>8</v>
      </c>
      <c r="B9" s="86">
        <v>4.2</v>
      </c>
      <c r="C9" s="86">
        <v>20</v>
      </c>
      <c r="D9" s="86" t="str">
        <f>Details!H29</f>
        <v>B6A10</v>
      </c>
      <c r="E9" s="86"/>
      <c r="F9" s="86"/>
      <c r="G9" s="86"/>
      <c r="H9" s="86">
        <f t="shared" si="0"/>
        <v>0</v>
      </c>
    </row>
    <row r="10" spans="1:8" s="6" customFormat="1" ht="12.75">
      <c r="A10" s="87">
        <v>9</v>
      </c>
      <c r="B10" s="87">
        <v>1.9</v>
      </c>
      <c r="C10" s="87">
        <v>20</v>
      </c>
      <c r="D10" s="87" t="str">
        <f>Details!H28</f>
        <v>B6A10</v>
      </c>
      <c r="E10" s="87"/>
      <c r="F10" s="87"/>
      <c r="G10" s="87"/>
      <c r="H10" s="87">
        <f t="shared" si="0"/>
        <v>0</v>
      </c>
    </row>
    <row r="11" spans="1:8" s="6" customFormat="1" ht="12.75">
      <c r="A11" s="87">
        <v>10</v>
      </c>
      <c r="B11" s="87">
        <v>1.9</v>
      </c>
      <c r="C11" s="87">
        <v>20</v>
      </c>
      <c r="D11" s="87" t="str">
        <f>Details!H29</f>
        <v>B6A10</v>
      </c>
      <c r="E11" s="87">
        <v>4</v>
      </c>
      <c r="F11" s="87">
        <v>-8.8</v>
      </c>
      <c r="G11" s="87">
        <v>-9.47</v>
      </c>
      <c r="H11" s="87">
        <f t="shared" si="0"/>
        <v>0.6699999999999999</v>
      </c>
    </row>
    <row r="12" spans="1:8" s="6" customFormat="1" ht="12.75">
      <c r="A12" s="87">
        <v>11</v>
      </c>
      <c r="B12" s="87">
        <v>1.9</v>
      </c>
      <c r="C12" s="87">
        <v>20</v>
      </c>
      <c r="D12" s="87" t="str">
        <f>Details!H30</f>
        <v>B6A10</v>
      </c>
      <c r="E12" s="87">
        <v>4</v>
      </c>
      <c r="F12" s="87">
        <v>-8.6</v>
      </c>
      <c r="G12" s="87">
        <v>-9.34</v>
      </c>
      <c r="H12" s="87">
        <f t="shared" si="0"/>
        <v>0.7400000000000002</v>
      </c>
    </row>
    <row r="13" spans="1:8" s="6" customFormat="1" ht="12.75">
      <c r="A13" s="87">
        <v>12</v>
      </c>
      <c r="B13" s="87">
        <v>1.9</v>
      </c>
      <c r="C13" s="87">
        <v>20</v>
      </c>
      <c r="D13" s="87" t="str">
        <f>Details!H31</f>
        <v>B6A10</v>
      </c>
      <c r="E13" s="87">
        <v>4</v>
      </c>
      <c r="F13" s="87">
        <v>-9.03</v>
      </c>
      <c r="G13" s="87">
        <v>-9.7</v>
      </c>
      <c r="H13" s="87">
        <f t="shared" si="0"/>
        <v>0.6699999999999999</v>
      </c>
    </row>
    <row r="14" spans="1:8" s="6" customFormat="1" ht="12.75">
      <c r="A14" s="87">
        <v>13</v>
      </c>
      <c r="B14" s="87">
        <v>1.9</v>
      </c>
      <c r="C14" s="87">
        <v>20</v>
      </c>
      <c r="D14" s="87" t="str">
        <f>Details!H35</f>
        <v>B6A10</v>
      </c>
      <c r="E14" s="87">
        <v>4</v>
      </c>
      <c r="F14" s="87">
        <v>-9</v>
      </c>
      <c r="G14" s="87">
        <v>-9.71</v>
      </c>
      <c r="H14" s="87">
        <f t="shared" si="0"/>
        <v>0.7100000000000009</v>
      </c>
    </row>
    <row r="15" spans="1:8" s="6" customFormat="1" ht="12.75">
      <c r="A15" s="87">
        <v>14</v>
      </c>
      <c r="B15" s="87">
        <v>1.9</v>
      </c>
      <c r="C15" s="87">
        <v>20</v>
      </c>
      <c r="D15" s="87" t="str">
        <f>Details!H33</f>
        <v>B6A10</v>
      </c>
      <c r="E15" s="87">
        <v>4</v>
      </c>
      <c r="F15" s="87">
        <v>-8.6</v>
      </c>
      <c r="G15" s="87">
        <v>-9.26</v>
      </c>
      <c r="H15" s="87">
        <f t="shared" si="0"/>
        <v>0.6600000000000001</v>
      </c>
    </row>
    <row r="16" spans="1:8" s="6" customFormat="1" ht="12.75">
      <c r="A16" s="87">
        <v>15</v>
      </c>
      <c r="B16" s="87">
        <v>2.1</v>
      </c>
      <c r="C16" s="87">
        <v>20</v>
      </c>
      <c r="D16" s="87" t="str">
        <f>Details!H34</f>
        <v>B6A10</v>
      </c>
      <c r="E16" s="87"/>
      <c r="F16" s="87"/>
      <c r="G16" s="87"/>
      <c r="H16" s="87">
        <f t="shared" si="0"/>
        <v>0</v>
      </c>
    </row>
    <row r="17" spans="1:8" s="6" customFormat="1" ht="12.75">
      <c r="A17" s="87">
        <v>16</v>
      </c>
      <c r="B17" s="87">
        <v>2.1</v>
      </c>
      <c r="C17" s="87">
        <v>20</v>
      </c>
      <c r="D17" s="87" t="str">
        <f>Details!H35</f>
        <v>B6A10</v>
      </c>
      <c r="E17" s="87"/>
      <c r="F17" s="87"/>
      <c r="G17" s="87"/>
      <c r="H17" s="87">
        <f t="shared" si="0"/>
        <v>0</v>
      </c>
    </row>
    <row r="18" spans="1:8" s="6" customFormat="1" ht="12.75">
      <c r="A18" s="87">
        <v>17</v>
      </c>
      <c r="B18" s="87">
        <v>2.1</v>
      </c>
      <c r="C18" s="87">
        <v>20</v>
      </c>
      <c r="D18" s="87" t="str">
        <f>Details!H36</f>
        <v>B6A10</v>
      </c>
      <c r="E18" s="87"/>
      <c r="F18" s="87"/>
      <c r="G18" s="87"/>
      <c r="H18" s="87">
        <f t="shared" si="0"/>
        <v>0</v>
      </c>
    </row>
    <row r="19" spans="1:8" s="5" customFormat="1" ht="12.75">
      <c r="A19" s="88">
        <v>18</v>
      </c>
      <c r="B19" s="88">
        <v>3</v>
      </c>
      <c r="C19" s="88">
        <v>20</v>
      </c>
      <c r="D19" s="88" t="str">
        <f>Details!H37</f>
        <v>B6A10</v>
      </c>
      <c r="E19" s="88"/>
      <c r="F19" s="88"/>
      <c r="G19" s="88"/>
      <c r="H19" s="88">
        <f t="shared" si="0"/>
        <v>0</v>
      </c>
    </row>
    <row r="20" spans="1:8" s="42" customFormat="1" ht="12.75">
      <c r="A20" s="86">
        <v>19</v>
      </c>
      <c r="B20" s="86">
        <v>4.2</v>
      </c>
      <c r="C20" s="86">
        <v>20</v>
      </c>
      <c r="D20" s="86" t="str">
        <f>Details!H38</f>
        <v>B6A10</v>
      </c>
      <c r="E20" s="86">
        <v>4</v>
      </c>
      <c r="F20" s="86">
        <f>'Propagation '!E122</f>
        <v>-8</v>
      </c>
      <c r="G20" s="86">
        <v>-8.54</v>
      </c>
      <c r="H20" s="86">
        <f t="shared" si="0"/>
        <v>0.5399999999999991</v>
      </c>
    </row>
    <row r="21" spans="1:8" s="42" customFormat="1" ht="12.75">
      <c r="A21" s="86">
        <v>20</v>
      </c>
      <c r="B21" s="86">
        <v>4.2</v>
      </c>
      <c r="C21" s="86">
        <v>20</v>
      </c>
      <c r="D21" s="86" t="str">
        <f>Details!H39</f>
        <v>B6A10</v>
      </c>
      <c r="E21" s="86">
        <v>5</v>
      </c>
      <c r="F21" s="86">
        <f>'Propagation '!E131</f>
        <v>-8.13</v>
      </c>
      <c r="G21" s="86">
        <v>-8.38</v>
      </c>
      <c r="H21" s="86">
        <f t="shared" si="0"/>
        <v>0.25</v>
      </c>
    </row>
    <row r="22" spans="1:8" s="42" customFormat="1" ht="12.75">
      <c r="A22" s="86">
        <v>21</v>
      </c>
      <c r="B22" s="86">
        <v>4.2</v>
      </c>
      <c r="C22" s="86">
        <v>20</v>
      </c>
      <c r="D22" s="86" t="str">
        <f>Details!H40</f>
        <v>B6A10</v>
      </c>
      <c r="E22" s="86">
        <v>5</v>
      </c>
      <c r="F22" s="86">
        <f>'Propagation '!E143</f>
        <v>-8.08</v>
      </c>
      <c r="G22" s="86">
        <v>-8.18</v>
      </c>
      <c r="H22" s="86">
        <f t="shared" si="0"/>
        <v>0.09999999999999964</v>
      </c>
    </row>
    <row r="23" spans="1:8" s="42" customFormat="1" ht="12.75">
      <c r="A23" s="86">
        <v>22</v>
      </c>
      <c r="B23" s="86">
        <v>4.2</v>
      </c>
      <c r="C23" s="86">
        <v>40</v>
      </c>
      <c r="D23" s="86" t="s">
        <v>70</v>
      </c>
      <c r="E23" s="86">
        <v>5</v>
      </c>
      <c r="F23" s="86">
        <f>'Propagation '!E152</f>
        <v>-8</v>
      </c>
      <c r="G23" s="86">
        <v>-8.33</v>
      </c>
      <c r="H23" s="86">
        <f t="shared" si="0"/>
        <v>0.33000000000000007</v>
      </c>
    </row>
    <row r="24" spans="1:8" s="42" customFormat="1" ht="12.75">
      <c r="A24" s="86">
        <v>23</v>
      </c>
      <c r="B24" s="86">
        <v>4.2</v>
      </c>
      <c r="C24" s="86">
        <v>60</v>
      </c>
      <c r="D24" s="86" t="s">
        <v>142</v>
      </c>
      <c r="E24" s="86">
        <v>7</v>
      </c>
      <c r="F24" s="86">
        <f>'Propagation '!E154</f>
        <v>-7.8</v>
      </c>
      <c r="G24" s="86">
        <v>-7.95</v>
      </c>
      <c r="H24" s="86">
        <f t="shared" si="0"/>
        <v>0.15000000000000036</v>
      </c>
    </row>
    <row r="25" spans="1:8" s="42" customFormat="1" ht="12.75">
      <c r="A25" s="86">
        <v>24</v>
      </c>
      <c r="B25" s="86">
        <v>4.2</v>
      </c>
      <c r="C25" s="86">
        <v>80</v>
      </c>
      <c r="D25" s="86" t="s">
        <v>142</v>
      </c>
      <c r="E25" s="86">
        <v>7</v>
      </c>
      <c r="F25" s="86">
        <f>'Propagation '!E156</f>
        <v>-7.84</v>
      </c>
      <c r="G25" s="86">
        <v>-7.84</v>
      </c>
      <c r="H25" s="86">
        <f t="shared" si="0"/>
        <v>0</v>
      </c>
    </row>
    <row r="26" spans="1:8" s="42" customFormat="1" ht="12.75">
      <c r="A26" s="86">
        <v>25</v>
      </c>
      <c r="B26" s="86">
        <v>4.2</v>
      </c>
      <c r="C26" s="86">
        <v>78</v>
      </c>
      <c r="D26" s="86" t="s">
        <v>142</v>
      </c>
      <c r="E26" s="86"/>
      <c r="F26" s="86"/>
      <c r="G26" s="86"/>
      <c r="H26" s="86">
        <f t="shared" si="0"/>
        <v>0</v>
      </c>
    </row>
    <row r="27" spans="1:8" s="42" customFormat="1" ht="12.75">
      <c r="A27" s="86">
        <v>26</v>
      </c>
      <c r="B27" s="86">
        <v>4.2</v>
      </c>
      <c r="C27" s="86">
        <v>100</v>
      </c>
      <c r="D27" s="86" t="s">
        <v>142</v>
      </c>
      <c r="E27" s="86"/>
      <c r="F27" s="86"/>
      <c r="G27" s="86"/>
      <c r="H27" s="86">
        <f t="shared" si="0"/>
        <v>0</v>
      </c>
    </row>
    <row r="28" spans="1:8" s="42" customFormat="1" ht="12.75">
      <c r="A28" s="86">
        <v>27</v>
      </c>
      <c r="B28" s="86">
        <v>4.2</v>
      </c>
      <c r="C28" s="86">
        <v>120</v>
      </c>
      <c r="D28" s="86" t="s">
        <v>142</v>
      </c>
      <c r="E28" s="86">
        <v>7</v>
      </c>
      <c r="F28" s="86">
        <f>'Propagation '!E158</f>
        <v>-7.74</v>
      </c>
      <c r="G28" s="86">
        <v>-7.85</v>
      </c>
      <c r="H28" s="86">
        <f t="shared" si="0"/>
        <v>0.10999999999999943</v>
      </c>
    </row>
    <row r="29" spans="1:8" s="42" customFormat="1" ht="12.75">
      <c r="A29" s="86">
        <v>28</v>
      </c>
      <c r="B29" s="86">
        <v>4.2</v>
      </c>
      <c r="C29" s="86">
        <v>140</v>
      </c>
      <c r="D29" s="86" t="s">
        <v>142</v>
      </c>
      <c r="E29" s="86">
        <v>7</v>
      </c>
      <c r="F29" s="86">
        <f>'Propagation '!E160</f>
        <v>-7.79</v>
      </c>
      <c r="G29" s="86">
        <v>-7.92</v>
      </c>
      <c r="H29" s="86">
        <f t="shared" si="0"/>
        <v>0.1299999999999999</v>
      </c>
    </row>
    <row r="30" spans="1:8" s="42" customFormat="1" ht="12.75">
      <c r="A30" s="86">
        <v>29</v>
      </c>
      <c r="B30" s="86">
        <v>4.2</v>
      </c>
      <c r="C30" s="86">
        <v>20</v>
      </c>
      <c r="D30" s="86" t="str">
        <f>Details!H51</f>
        <v>B4B3</v>
      </c>
      <c r="E30" s="86">
        <v>5</v>
      </c>
      <c r="F30" s="86">
        <f>'Propagation '!E167</f>
        <v>-7.9</v>
      </c>
      <c r="G30" s="86">
        <v>-8.85</v>
      </c>
      <c r="H30" s="122">
        <f t="shared" si="0"/>
        <v>0.9499999999999993</v>
      </c>
    </row>
    <row r="31" spans="1:8" s="42" customFormat="1" ht="12.75">
      <c r="A31" s="86">
        <v>30</v>
      </c>
      <c r="B31" s="86">
        <v>4.2</v>
      </c>
      <c r="C31" s="86">
        <v>10</v>
      </c>
      <c r="D31" s="86" t="str">
        <f>Details!H52</f>
        <v>B4B3</v>
      </c>
      <c r="E31" s="86">
        <v>5</v>
      </c>
      <c r="F31" s="86">
        <v>-8.21</v>
      </c>
      <c r="G31" s="86">
        <v>-7.95</v>
      </c>
      <c r="H31" s="86">
        <f t="shared" si="0"/>
        <v>-0.2600000000000007</v>
      </c>
    </row>
    <row r="32" spans="1:8" s="42" customFormat="1" ht="12.75">
      <c r="A32" s="86">
        <v>31</v>
      </c>
      <c r="B32" s="86">
        <v>4.2</v>
      </c>
      <c r="C32" s="86">
        <v>5</v>
      </c>
      <c r="D32" s="86" t="s">
        <v>103</v>
      </c>
      <c r="E32" s="86">
        <v>2</v>
      </c>
      <c r="F32" s="86">
        <v>-8.13</v>
      </c>
      <c r="G32" s="86">
        <v>-8.4</v>
      </c>
      <c r="H32" s="86">
        <f t="shared" si="0"/>
        <v>0.2699999999999996</v>
      </c>
    </row>
    <row r="33" spans="1:8" s="6" customFormat="1" ht="12.75">
      <c r="A33" s="87">
        <v>32</v>
      </c>
      <c r="B33" s="87">
        <v>1.9</v>
      </c>
      <c r="C33" s="87">
        <v>50</v>
      </c>
      <c r="D33" s="87" t="s">
        <v>75</v>
      </c>
      <c r="E33" s="87"/>
      <c r="F33" s="87"/>
      <c r="G33" s="87"/>
      <c r="H33" s="87">
        <f t="shared" si="0"/>
        <v>0</v>
      </c>
    </row>
    <row r="34" spans="1:8" s="6" customFormat="1" ht="12.75">
      <c r="A34" s="87">
        <v>33</v>
      </c>
      <c r="B34" s="87">
        <v>1.9</v>
      </c>
      <c r="C34" s="87">
        <v>60</v>
      </c>
      <c r="D34" s="87" t="s">
        <v>75</v>
      </c>
      <c r="E34" s="87">
        <v>4</v>
      </c>
      <c r="F34" s="87">
        <v>-11.08</v>
      </c>
      <c r="G34" s="87">
        <v>-11.5</v>
      </c>
      <c r="H34" s="87">
        <f t="shared" si="0"/>
        <v>0.41999999999999993</v>
      </c>
    </row>
    <row r="35" spans="1:8" s="6" customFormat="1" ht="12.75">
      <c r="A35" s="87">
        <v>34</v>
      </c>
      <c r="B35" s="87">
        <v>1.9</v>
      </c>
      <c r="C35" s="89">
        <v>80</v>
      </c>
      <c r="D35" s="87" t="str">
        <f>Details!H59</f>
        <v>B6A10</v>
      </c>
      <c r="E35" s="87">
        <v>4</v>
      </c>
      <c r="F35" s="87">
        <f>'Propagation '!E183</f>
        <v>-10.68</v>
      </c>
      <c r="G35" s="87">
        <v>-11.14</v>
      </c>
      <c r="H35" s="87">
        <f t="shared" si="0"/>
        <v>0.46000000000000085</v>
      </c>
    </row>
    <row r="36" spans="1:8" s="6" customFormat="1" ht="12.75">
      <c r="A36" s="87">
        <v>35</v>
      </c>
      <c r="B36" s="87">
        <v>1.9</v>
      </c>
      <c r="C36" s="87">
        <v>140</v>
      </c>
      <c r="D36" s="87" t="str">
        <f>Details!H57</f>
        <v>A2A4</v>
      </c>
      <c r="E36" s="87">
        <v>7</v>
      </c>
      <c r="F36" s="87">
        <f>'Propagation '!E192</f>
        <v>-7.98</v>
      </c>
      <c r="G36" s="87">
        <v>-8.13</v>
      </c>
      <c r="H36" s="87">
        <f aca="true" t="shared" si="1" ref="H36:H41">F36-G36</f>
        <v>0.15000000000000036</v>
      </c>
    </row>
    <row r="37" spans="1:8" s="6" customFormat="1" ht="12.75">
      <c r="A37" s="87">
        <v>36</v>
      </c>
      <c r="B37" s="87">
        <v>1.9</v>
      </c>
      <c r="C37" s="87">
        <v>120</v>
      </c>
      <c r="D37" s="87" t="str">
        <f>Details!H58</f>
        <v>B6A10</v>
      </c>
      <c r="E37" s="87">
        <v>4</v>
      </c>
      <c r="F37" s="87">
        <f>'Propagation '!E201</f>
        <v>-10.176</v>
      </c>
      <c r="G37" s="87">
        <v>-11</v>
      </c>
      <c r="H37" s="87">
        <f t="shared" si="1"/>
        <v>0.8239999999999998</v>
      </c>
    </row>
    <row r="38" spans="1:9" s="6" customFormat="1" ht="12.75">
      <c r="A38" s="87">
        <v>37</v>
      </c>
      <c r="B38" s="87">
        <v>1.9</v>
      </c>
      <c r="C38" s="87">
        <v>80</v>
      </c>
      <c r="D38" s="87" t="str">
        <f>Details!H57</f>
        <v>A2A4</v>
      </c>
      <c r="E38" s="87">
        <v>4</v>
      </c>
      <c r="F38" s="87">
        <f>'Propagation '!E209</f>
        <v>-10.37</v>
      </c>
      <c r="G38" s="87">
        <v>-10.5</v>
      </c>
      <c r="H38" s="87">
        <f t="shared" si="1"/>
        <v>0.13000000000000078</v>
      </c>
      <c r="I38" s="6" t="s">
        <v>189</v>
      </c>
    </row>
    <row r="39" spans="1:9" s="6" customFormat="1" ht="12.75">
      <c r="A39" s="87">
        <v>38</v>
      </c>
      <c r="B39" s="87">
        <v>1.9</v>
      </c>
      <c r="C39" s="87">
        <v>160</v>
      </c>
      <c r="D39" s="90" t="str">
        <f>Details!H60</f>
        <v>B2B3</v>
      </c>
      <c r="E39" s="87">
        <v>4</v>
      </c>
      <c r="F39" s="87">
        <f>'Propagation '!E217</f>
        <v>-8.39</v>
      </c>
      <c r="G39" s="87">
        <v>-8.46</v>
      </c>
      <c r="H39" s="87">
        <f t="shared" si="1"/>
        <v>0.07000000000000028</v>
      </c>
      <c r="I39" s="6" t="s">
        <v>189</v>
      </c>
    </row>
    <row r="40" spans="1:8" s="6" customFormat="1" ht="12.75">
      <c r="A40" s="87">
        <v>39</v>
      </c>
      <c r="B40" s="87">
        <v>1.9</v>
      </c>
      <c r="C40" s="87">
        <v>200</v>
      </c>
      <c r="D40" s="87" t="str">
        <f>Details!H62</f>
        <v>A2A4</v>
      </c>
      <c r="E40" s="87">
        <v>7</v>
      </c>
      <c r="F40" s="87">
        <f>'Propagation '!E223</f>
        <v>-7.92</v>
      </c>
      <c r="G40" s="87">
        <v>-8.08</v>
      </c>
      <c r="H40" s="87">
        <f t="shared" si="1"/>
        <v>0.16000000000000014</v>
      </c>
    </row>
    <row r="41" spans="1:8" s="6" customFormat="1" ht="12.75">
      <c r="A41" s="87">
        <v>40</v>
      </c>
      <c r="B41" s="87">
        <v>1.9</v>
      </c>
      <c r="C41" s="87">
        <v>180</v>
      </c>
      <c r="D41" s="87" t="str">
        <f>Details!H61</f>
        <v>A2A4</v>
      </c>
      <c r="E41" s="87">
        <v>7</v>
      </c>
      <c r="F41" s="87">
        <f>'Propagation '!E231</f>
        <v>-7.75</v>
      </c>
      <c r="G41" s="87">
        <v>-7.95</v>
      </c>
      <c r="H41" s="87">
        <f t="shared" si="1"/>
        <v>0.20000000000000018</v>
      </c>
    </row>
    <row r="44" spans="7:8" ht="12.75">
      <c r="G44" t="s">
        <v>104</v>
      </c>
      <c r="H44">
        <f>AVERAGE(H6,H11,H12,H13,H14,H20,H21,H34,H35,H37)</f>
        <v>0.5544</v>
      </c>
    </row>
    <row r="45" spans="7:8" ht="12.75">
      <c r="G45" t="s">
        <v>107</v>
      </c>
      <c r="H45">
        <f>AVERAGE(H41,H40,H38,H36,H29,H28,H24,H25)</f>
        <v>0.12875000000000014</v>
      </c>
    </row>
    <row r="46" spans="7:8" ht="12.75">
      <c r="G46" t="s">
        <v>28</v>
      </c>
      <c r="H46">
        <f>AVERAGE(H39,H32,H3)</f>
        <v>0.09333333333333312</v>
      </c>
    </row>
    <row r="47" spans="7:8" ht="12.75">
      <c r="G47" t="s">
        <v>70</v>
      </c>
      <c r="H47">
        <f>AVERAGE(H31,H30,H4)</f>
        <v>0.21999999999999975</v>
      </c>
    </row>
    <row r="48" ht="12.75">
      <c r="E48" t="s">
        <v>197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8"/>
  <sheetViews>
    <sheetView workbookViewId="0" topLeftCell="A1">
      <selection activeCell="L4" sqref="L4"/>
    </sheetView>
  </sheetViews>
  <sheetFormatPr defaultColWidth="9.140625" defaultRowHeight="12.75"/>
  <cols>
    <col min="13" max="13" width="10.00390625" style="0" bestFit="1" customWidth="1"/>
    <col min="15" max="15" width="12.421875" style="0" bestFit="1" customWidth="1"/>
    <col min="16" max="16" width="11.57421875" style="0" bestFit="1" customWidth="1"/>
  </cols>
  <sheetData>
    <row r="1" spans="1:17" ht="12.75">
      <c r="A1" t="s">
        <v>9</v>
      </c>
      <c r="B1" t="s">
        <v>95</v>
      </c>
      <c r="C1" t="s">
        <v>94</v>
      </c>
      <c r="D1" t="s">
        <v>93</v>
      </c>
      <c r="E1" t="s">
        <v>92</v>
      </c>
      <c r="F1" t="s">
        <v>89</v>
      </c>
      <c r="G1" t="s">
        <v>90</v>
      </c>
      <c r="H1" t="s">
        <v>91</v>
      </c>
      <c r="I1" t="s">
        <v>89</v>
      </c>
      <c r="J1" t="s">
        <v>90</v>
      </c>
      <c r="K1" t="s">
        <v>91</v>
      </c>
      <c r="L1" t="s">
        <v>149</v>
      </c>
      <c r="M1" t="s">
        <v>138</v>
      </c>
      <c r="N1" t="s">
        <v>139</v>
      </c>
      <c r="O1" t="s">
        <v>140</v>
      </c>
      <c r="P1" t="s">
        <v>145</v>
      </c>
      <c r="Q1" t="s">
        <v>153</v>
      </c>
    </row>
    <row r="2" spans="1:12" s="24" customFormat="1" ht="12.75">
      <c r="A2" s="24">
        <v>28</v>
      </c>
      <c r="B2" s="24">
        <v>4.2</v>
      </c>
      <c r="C2" s="24">
        <v>1</v>
      </c>
      <c r="D2" s="45" t="s">
        <v>62</v>
      </c>
      <c r="E2" s="45">
        <v>-8.09</v>
      </c>
      <c r="L2" s="24">
        <v>250</v>
      </c>
    </row>
    <row r="3" spans="1:5" s="25" customFormat="1" ht="12.75">
      <c r="A3" s="25">
        <f>Details!D20</f>
        <v>12035</v>
      </c>
      <c r="D3" s="46" t="s">
        <v>86</v>
      </c>
      <c r="E3" s="46">
        <v>-8.09</v>
      </c>
    </row>
    <row r="4" spans="2:5" s="25" customFormat="1" ht="12.75">
      <c r="B4" s="25" t="s">
        <v>101</v>
      </c>
      <c r="C4" s="25" t="s">
        <v>64</v>
      </c>
      <c r="D4" s="25" t="s">
        <v>96</v>
      </c>
      <c r="E4" s="25">
        <v>-6.68</v>
      </c>
    </row>
    <row r="5" spans="4:5" s="26" customFormat="1" ht="13.5" thickBot="1">
      <c r="D5" s="26" t="s">
        <v>97</v>
      </c>
      <c r="E5" s="26">
        <v>-6.68</v>
      </c>
    </row>
    <row r="6" spans="1:5" s="30" customFormat="1" ht="12.75">
      <c r="A6" s="25">
        <v>28</v>
      </c>
      <c r="B6" s="30">
        <v>4.2</v>
      </c>
      <c r="C6" s="30">
        <v>2</v>
      </c>
      <c r="D6" s="30" t="s">
        <v>28</v>
      </c>
      <c r="E6" s="30">
        <v>-8.56</v>
      </c>
    </row>
    <row r="7" spans="1:5" s="25" customFormat="1" ht="12.75">
      <c r="A7" s="25">
        <f>Details!D21</f>
        <v>12219</v>
      </c>
      <c r="D7" s="25" t="s">
        <v>98</v>
      </c>
      <c r="E7" s="25">
        <v>-7.56</v>
      </c>
    </row>
    <row r="8" spans="2:5" s="25" customFormat="1" ht="12.75">
      <c r="B8" s="25" t="s">
        <v>101</v>
      </c>
      <c r="C8" s="25" t="s">
        <v>102</v>
      </c>
      <c r="D8" s="25" t="s">
        <v>99</v>
      </c>
      <c r="E8" s="25">
        <v>-2.07</v>
      </c>
    </row>
    <row r="9" spans="4:16" s="26" customFormat="1" ht="13.5" thickBot="1">
      <c r="D9" s="26" t="s">
        <v>100</v>
      </c>
      <c r="E9" s="26">
        <v>-1.66</v>
      </c>
      <c r="P9" s="26">
        <f>337-117</f>
        <v>220</v>
      </c>
    </row>
    <row r="10" spans="1:8" s="25" customFormat="1" ht="12.75">
      <c r="A10" s="25">
        <v>23</v>
      </c>
      <c r="B10" s="25">
        <v>4.2</v>
      </c>
      <c r="C10" s="25">
        <v>3</v>
      </c>
      <c r="D10" s="27" t="s">
        <v>70</v>
      </c>
      <c r="E10" s="27">
        <v>-8.37</v>
      </c>
      <c r="F10" s="27">
        <v>177</v>
      </c>
      <c r="G10" s="27">
        <v>1.5</v>
      </c>
      <c r="H10" s="25">
        <f>F10/G10</f>
        <v>118</v>
      </c>
    </row>
    <row r="11" spans="1:18" s="25" customFormat="1" ht="12.75">
      <c r="A11" s="25">
        <f>Details!D22</f>
        <v>12407</v>
      </c>
      <c r="D11" s="27" t="s">
        <v>103</v>
      </c>
      <c r="E11" s="27">
        <v>-7.9</v>
      </c>
      <c r="F11" s="25">
        <v>220</v>
      </c>
      <c r="G11" s="25">
        <v>8.5</v>
      </c>
      <c r="H11" s="25">
        <f aca="true" t="shared" si="0" ref="H11:H19">F11/G11</f>
        <v>25.88235294117647</v>
      </c>
      <c r="O11" s="25">
        <f>10^6*H12/A11/$L$2</f>
        <v>53.73310765428118</v>
      </c>
      <c r="R11" s="25" t="s">
        <v>152</v>
      </c>
    </row>
    <row r="12" spans="2:17" s="25" customFormat="1" ht="12.75">
      <c r="B12" s="25" t="s">
        <v>101</v>
      </c>
      <c r="C12" s="25" t="s">
        <v>143</v>
      </c>
      <c r="D12" s="46" t="s">
        <v>104</v>
      </c>
      <c r="E12" s="46">
        <v>-4.9</v>
      </c>
      <c r="F12" s="25">
        <v>250</v>
      </c>
      <c r="G12" s="25">
        <v>1.5</v>
      </c>
      <c r="H12" s="44">
        <f t="shared" si="0"/>
        <v>166.66666666666666</v>
      </c>
      <c r="M12" s="25">
        <f>(E12-E15)+(E12-E17)</f>
        <v>-5.700000000000001</v>
      </c>
      <c r="N12" s="25">
        <v>335</v>
      </c>
      <c r="O12" s="25">
        <f>N12/M12</f>
        <v>-58.77192982456139</v>
      </c>
      <c r="P12" s="44">
        <f>L2*O12*12407*10^-6</f>
        <v>-182.29583333333326</v>
      </c>
      <c r="Q12" s="25">
        <f>O12*(E12-E15)</f>
        <v>117.54385964912281</v>
      </c>
    </row>
    <row r="13" spans="4:18" s="25" customFormat="1" ht="12.75">
      <c r="D13" s="46" t="s">
        <v>144</v>
      </c>
      <c r="E13" s="46">
        <v>-4.4</v>
      </c>
      <c r="F13" s="27">
        <v>140</v>
      </c>
      <c r="G13" s="27">
        <v>1</v>
      </c>
      <c r="H13" s="44">
        <f t="shared" si="0"/>
        <v>140</v>
      </c>
      <c r="M13" s="25">
        <f>(E13-E14)+(E13-E16)</f>
        <v>-3.000000000000001</v>
      </c>
      <c r="N13" s="25">
        <f>5835</f>
        <v>5835</v>
      </c>
      <c r="O13" s="25">
        <f>N13/M13/40</f>
        <v>-48.624999999999986</v>
      </c>
      <c r="P13" s="44">
        <f>L2*O13*12407*10^-6</f>
        <v>-150.82259374999992</v>
      </c>
      <c r="R13" s="25" t="s">
        <v>152</v>
      </c>
    </row>
    <row r="14" spans="4:15" s="25" customFormat="1" ht="12.75">
      <c r="D14" s="27" t="s">
        <v>96</v>
      </c>
      <c r="E14" s="27">
        <v>-2.9</v>
      </c>
      <c r="F14" s="27">
        <v>170</v>
      </c>
      <c r="G14" s="27">
        <v>2</v>
      </c>
      <c r="H14" s="25">
        <f t="shared" si="0"/>
        <v>85</v>
      </c>
      <c r="O14" s="63">
        <f>10^6*H13/A11/$L$2</f>
        <v>45.1358104295962</v>
      </c>
    </row>
    <row r="15" spans="4:8" s="25" customFormat="1" ht="12.75">
      <c r="D15" s="27" t="s">
        <v>105</v>
      </c>
      <c r="E15" s="27">
        <v>-2.9</v>
      </c>
      <c r="F15" s="27">
        <v>233</v>
      </c>
      <c r="G15" s="27">
        <v>3</v>
      </c>
      <c r="H15" s="25">
        <f t="shared" si="0"/>
        <v>77.66666666666667</v>
      </c>
    </row>
    <row r="16" spans="4:8" s="25" customFormat="1" ht="12.75">
      <c r="D16" s="27" t="s">
        <v>87</v>
      </c>
      <c r="E16" s="27">
        <v>-2.9</v>
      </c>
      <c r="F16" s="27">
        <v>173</v>
      </c>
      <c r="G16" s="27">
        <v>4</v>
      </c>
      <c r="H16" s="25">
        <f t="shared" si="0"/>
        <v>43.25</v>
      </c>
    </row>
    <row r="17" spans="4:18" s="26" customFormat="1" ht="13.5" thickBot="1">
      <c r="D17" s="29" t="s">
        <v>88</v>
      </c>
      <c r="E17" s="29">
        <v>-1.2</v>
      </c>
      <c r="F17" s="26">
        <v>243</v>
      </c>
      <c r="G17" s="26">
        <v>3</v>
      </c>
      <c r="H17" s="26">
        <f t="shared" si="0"/>
        <v>81</v>
      </c>
      <c r="O17" s="26">
        <f>10^6*H18/A19/L2</f>
        <v>39.61488085663733</v>
      </c>
      <c r="R17" s="25" t="s">
        <v>152</v>
      </c>
    </row>
    <row r="18" spans="1:18" s="30" customFormat="1" ht="12.75">
      <c r="A18" s="30">
        <v>23</v>
      </c>
      <c r="B18" s="30">
        <v>4.2</v>
      </c>
      <c r="C18" s="30">
        <v>4</v>
      </c>
      <c r="D18" s="60" t="s">
        <v>104</v>
      </c>
      <c r="E18" s="60">
        <v>-8.37</v>
      </c>
      <c r="F18" s="30">
        <v>862</v>
      </c>
      <c r="G18" s="30">
        <v>7</v>
      </c>
      <c r="H18" s="44">
        <f>F18/G18</f>
        <v>123.14285714285714</v>
      </c>
      <c r="I18" s="30">
        <f>1000/9</f>
        <v>111.11111111111111</v>
      </c>
      <c r="M18" s="30">
        <f>(E18-E23)+(E18-E22)</f>
        <v>-6.699999999999999</v>
      </c>
      <c r="N18" s="25">
        <v>335</v>
      </c>
      <c r="O18" s="25">
        <f>N18/M18</f>
        <v>-50.00000000000001</v>
      </c>
      <c r="P18" s="44">
        <f>L2*O18*A19*10^-6</f>
        <v>-155.425</v>
      </c>
      <c r="Q18" s="25">
        <f>O18*(E18-E22)</f>
        <v>113.5</v>
      </c>
      <c r="R18" s="25"/>
    </row>
    <row r="19" spans="1:17" s="25" customFormat="1" ht="12.75">
      <c r="A19" s="25">
        <f>Details!D23</f>
        <v>12434</v>
      </c>
      <c r="D19" s="46" t="s">
        <v>86</v>
      </c>
      <c r="E19" s="46">
        <v>-7.7</v>
      </c>
      <c r="F19" s="27">
        <v>1012</v>
      </c>
      <c r="G19" s="27">
        <v>3</v>
      </c>
      <c r="H19" s="44">
        <f t="shared" si="0"/>
        <v>337.3333333333333</v>
      </c>
      <c r="M19" s="25">
        <f>(E19-E21)+(E19-E20)</f>
        <v>-2.8600000000000003</v>
      </c>
      <c r="N19" s="25">
        <f>5835</f>
        <v>5835</v>
      </c>
      <c r="O19" s="25">
        <f>N19/M19/20</f>
        <v>-102.0104895104895</v>
      </c>
      <c r="P19" s="44">
        <f>L2*O19*A19*10^-6</f>
        <v>-317.0996066433566</v>
      </c>
      <c r="Q19" s="25">
        <f>335-260</f>
        <v>75</v>
      </c>
    </row>
    <row r="20" spans="4:18" s="25" customFormat="1" ht="12.75">
      <c r="D20" s="27" t="s">
        <v>85</v>
      </c>
      <c r="E20" s="27">
        <v>-6.44</v>
      </c>
      <c r="O20" s="63">
        <f>10^6*H19/A19/L2</f>
        <v>108.51965042088895</v>
      </c>
      <c r="R20" s="25" t="s">
        <v>151</v>
      </c>
    </row>
    <row r="21" spans="4:5" s="25" customFormat="1" ht="12.75">
      <c r="D21" s="27" t="s">
        <v>87</v>
      </c>
      <c r="E21" s="27">
        <v>-6.1</v>
      </c>
    </row>
    <row r="22" spans="4:11" s="25" customFormat="1" ht="12.75">
      <c r="D22" s="27" t="s">
        <v>105</v>
      </c>
      <c r="E22" s="27">
        <v>-6.1</v>
      </c>
      <c r="G22" s="27">
        <f>E18-E22</f>
        <v>-2.2699999999999996</v>
      </c>
      <c r="H22" s="25">
        <f>E18-E23</f>
        <v>-4.43</v>
      </c>
      <c r="I22" s="25">
        <f>H22+G22</f>
        <v>-6.699999999999999</v>
      </c>
      <c r="J22" s="25">
        <f>335/I22</f>
        <v>-50.00000000000001</v>
      </c>
      <c r="K22" s="25">
        <f>17.5/0.5</f>
        <v>35</v>
      </c>
    </row>
    <row r="23" spans="4:10" s="25" customFormat="1" ht="12.75">
      <c r="D23" s="27" t="s">
        <v>88</v>
      </c>
      <c r="E23" s="27">
        <v>-3.94</v>
      </c>
      <c r="G23" s="27"/>
      <c r="J23" s="25">
        <f>335/36</f>
        <v>9.305555555555555</v>
      </c>
    </row>
    <row r="24" spans="4:5" s="25" customFormat="1" ht="12.75">
      <c r="D24" s="27" t="s">
        <v>107</v>
      </c>
      <c r="E24" s="27">
        <v>-3.3</v>
      </c>
    </row>
    <row r="25" spans="4:5" s="25" customFormat="1" ht="12.75">
      <c r="D25" s="27" t="s">
        <v>70</v>
      </c>
      <c r="E25" s="27">
        <v>-0.038</v>
      </c>
    </row>
    <row r="26" spans="4:5" s="26" customFormat="1" ht="13.5" thickBot="1">
      <c r="D26" s="29" t="s">
        <v>108</v>
      </c>
      <c r="E26" s="29">
        <v>0.4</v>
      </c>
    </row>
    <row r="27" spans="1:17" s="30" customFormat="1" ht="13.5" thickBot="1">
      <c r="A27" s="30">
        <v>23</v>
      </c>
      <c r="B27" s="30">
        <v>4.2</v>
      </c>
      <c r="C27" s="30">
        <v>5</v>
      </c>
      <c r="D27" s="60" t="s">
        <v>104</v>
      </c>
      <c r="E27" s="60">
        <v>-8.15</v>
      </c>
      <c r="F27" s="30">
        <f>1262-333</f>
        <v>929</v>
      </c>
      <c r="G27" s="30">
        <v>8.29</v>
      </c>
      <c r="H27" s="96">
        <f>F27/G27</f>
        <v>112.06272617611582</v>
      </c>
      <c r="M27" s="30">
        <f>(E27-E35)+(E27-E31)</f>
        <v>-6.480000000000001</v>
      </c>
      <c r="N27" s="25">
        <v>335</v>
      </c>
      <c r="O27" s="25">
        <f>N27/M27</f>
        <v>-51.69753086419752</v>
      </c>
      <c r="P27" s="44">
        <f>L11*O27*A28*10^-6</f>
        <v>0</v>
      </c>
      <c r="Q27" s="25">
        <f>O27*(E27-E31)</f>
        <v>110.11574074074075</v>
      </c>
    </row>
    <row r="28" spans="1:17" s="25" customFormat="1" ht="12.75">
      <c r="A28" s="25">
        <f>Details!D24</f>
        <v>12399</v>
      </c>
      <c r="D28" s="46" t="s">
        <v>86</v>
      </c>
      <c r="E28" s="46">
        <v>-7.63</v>
      </c>
      <c r="F28" s="25">
        <f>1764-335</f>
        <v>1429</v>
      </c>
      <c r="G28" s="25">
        <v>2.79</v>
      </c>
      <c r="H28" s="30">
        <f>F28/G28</f>
        <v>512.1863799283154</v>
      </c>
      <c r="M28" s="25">
        <f>(E28-E30)+(E28-E29)</f>
        <v>-2.63</v>
      </c>
      <c r="N28" s="25">
        <f>5835</f>
        <v>5835</v>
      </c>
      <c r="O28" s="25">
        <f>N28/M28/20</f>
        <v>-110.93155893536122</v>
      </c>
      <c r="P28" s="44">
        <f>L11*O28*A28*10^-6</f>
        <v>0</v>
      </c>
      <c r="Q28" s="25">
        <f>335-260</f>
        <v>75</v>
      </c>
    </row>
    <row r="29" spans="4:15" s="25" customFormat="1" ht="12.75">
      <c r="D29" s="27" t="s">
        <v>85</v>
      </c>
      <c r="E29" s="27">
        <v>-6.43</v>
      </c>
      <c r="O29" s="63" t="e">
        <f>10^6*H28/A28/L11</f>
        <v>#DIV/0!</v>
      </c>
    </row>
    <row r="30" spans="4:5" s="25" customFormat="1" ht="12.75">
      <c r="D30" s="27" t="s">
        <v>87</v>
      </c>
      <c r="E30" s="27">
        <v>-6.2</v>
      </c>
    </row>
    <row r="31" spans="4:8" s="25" customFormat="1" ht="12.75">
      <c r="D31" s="27" t="s">
        <v>105</v>
      </c>
      <c r="E31" s="27">
        <v>-6.02</v>
      </c>
      <c r="F31" s="25">
        <f>846-130</f>
        <v>716</v>
      </c>
      <c r="G31" s="25">
        <f>6.42</f>
        <v>6.42</v>
      </c>
      <c r="H31" s="25">
        <f>F31/G31</f>
        <v>111.52647975077882</v>
      </c>
    </row>
    <row r="32" spans="3:5" s="25" customFormat="1" ht="12.75">
      <c r="C32" s="27"/>
      <c r="D32" s="27" t="s">
        <v>107</v>
      </c>
      <c r="E32" s="27">
        <v>-5.51</v>
      </c>
    </row>
    <row r="33" spans="4:5" s="25" customFormat="1" ht="12.75">
      <c r="D33" s="27" t="s">
        <v>103</v>
      </c>
      <c r="E33" s="27">
        <v>-5.41</v>
      </c>
    </row>
    <row r="34" spans="4:5" s="25" customFormat="1" ht="12.75">
      <c r="D34" s="27" t="s">
        <v>98</v>
      </c>
      <c r="E34" s="27">
        <v>-3.9</v>
      </c>
    </row>
    <row r="35" spans="4:5" s="26" customFormat="1" ht="13.5" thickBot="1">
      <c r="D35" s="29" t="s">
        <v>88</v>
      </c>
      <c r="E35" s="29">
        <v>-3.8</v>
      </c>
    </row>
    <row r="36" spans="1:17" s="30" customFormat="1" ht="13.5" thickBot="1">
      <c r="A36" s="30">
        <v>23</v>
      </c>
      <c r="B36" s="30">
        <v>4.2</v>
      </c>
      <c r="C36" s="30">
        <v>6</v>
      </c>
      <c r="D36" s="60" t="s">
        <v>104</v>
      </c>
      <c r="E36" s="60">
        <v>-8.14</v>
      </c>
      <c r="F36" s="30">
        <f>1262-334</f>
        <v>928</v>
      </c>
      <c r="G36" s="30">
        <v>8.27</v>
      </c>
      <c r="H36" s="96">
        <f>F36/G36</f>
        <v>112.21281741233375</v>
      </c>
      <c r="M36" s="30">
        <f>(E36-E44)+(E36-E40)</f>
        <v>-6.510000000000002</v>
      </c>
      <c r="N36" s="25">
        <v>335</v>
      </c>
      <c r="O36" s="25">
        <f>N36/M36</f>
        <v>-51.459293394777255</v>
      </c>
      <c r="P36" s="44">
        <f>L20*O36*A37*10^-6</f>
        <v>0</v>
      </c>
      <c r="Q36" s="25">
        <f>O36*(E36-E40)</f>
        <v>111.66666666666669</v>
      </c>
    </row>
    <row r="37" spans="1:17" s="25" customFormat="1" ht="12.75">
      <c r="A37" s="25">
        <f>Details!D25</f>
        <v>12432</v>
      </c>
      <c r="D37" s="46" t="s">
        <v>86</v>
      </c>
      <c r="E37" s="46">
        <v>-7.6</v>
      </c>
      <c r="F37" s="25">
        <f>623-316</f>
        <v>307</v>
      </c>
      <c r="G37" s="25">
        <v>0.705</v>
      </c>
      <c r="H37" s="30">
        <f>F37/G37</f>
        <v>435.4609929078014</v>
      </c>
      <c r="M37" s="25">
        <f>(E37-E39)+(E37-E38)</f>
        <v>-2.62</v>
      </c>
      <c r="N37" s="25">
        <f>5835</f>
        <v>5835</v>
      </c>
      <c r="O37" s="25">
        <f>N37/M37/20</f>
        <v>-111.35496183206105</v>
      </c>
      <c r="P37" s="44">
        <f>L20*O37*A37*10^-6</f>
        <v>0</v>
      </c>
      <c r="Q37" s="25">
        <f>335-260</f>
        <v>75</v>
      </c>
    </row>
    <row r="38" spans="4:15" s="25" customFormat="1" ht="12.75">
      <c r="D38" s="27" t="s">
        <v>85</v>
      </c>
      <c r="E38" s="27">
        <v>-6.52</v>
      </c>
      <c r="O38" s="63" t="e">
        <f>10^6*H37/A37/L20</f>
        <v>#DIV/0!</v>
      </c>
    </row>
    <row r="39" spans="4:5" s="25" customFormat="1" ht="12.75">
      <c r="D39" s="27" t="s">
        <v>87</v>
      </c>
      <c r="E39" s="27">
        <v>-6.06</v>
      </c>
    </row>
    <row r="40" spans="4:8" s="25" customFormat="1" ht="12.75">
      <c r="D40" s="27" t="s">
        <v>105</v>
      </c>
      <c r="E40" s="27">
        <v>-5.97</v>
      </c>
      <c r="F40" s="25">
        <f>876-26</f>
        <v>850</v>
      </c>
      <c r="G40" s="25">
        <v>7.6</v>
      </c>
      <c r="H40" s="25">
        <f>F40/G40</f>
        <v>111.8421052631579</v>
      </c>
    </row>
    <row r="41" spans="3:5" s="25" customFormat="1" ht="12.75">
      <c r="C41" s="27"/>
      <c r="D41" s="27" t="s">
        <v>107</v>
      </c>
      <c r="E41" s="27">
        <v>-5.6</v>
      </c>
    </row>
    <row r="42" spans="4:5" s="25" customFormat="1" ht="12.75">
      <c r="D42" s="27" t="s">
        <v>103</v>
      </c>
      <c r="E42" s="27">
        <v>-5.45</v>
      </c>
    </row>
    <row r="43" spans="4:5" s="25" customFormat="1" ht="12.75">
      <c r="D43" s="27" t="s">
        <v>98</v>
      </c>
      <c r="E43" s="27">
        <v>-3.8</v>
      </c>
    </row>
    <row r="44" spans="4:5" s="26" customFormat="1" ht="13.5" thickBot="1">
      <c r="D44" s="29" t="s">
        <v>88</v>
      </c>
      <c r="E44" s="29">
        <v>-3.8</v>
      </c>
    </row>
    <row r="45" spans="4:5" s="25" customFormat="1" ht="12.75">
      <c r="D45" s="27"/>
      <c r="E45" s="27"/>
    </row>
    <row r="46" spans="4:5" s="25" customFormat="1" ht="12.75">
      <c r="D46" s="27"/>
      <c r="E46" s="27"/>
    </row>
    <row r="47" spans="4:12" s="25" customFormat="1" ht="12.75">
      <c r="D47" s="27"/>
      <c r="E47" s="27"/>
      <c r="L47" s="25">
        <f>8.6+3.7</f>
        <v>12.3</v>
      </c>
    </row>
    <row r="48" spans="4:12" s="25" customFormat="1" ht="12.75">
      <c r="D48" s="27"/>
      <c r="E48" s="27"/>
      <c r="L48" s="25">
        <f>30*L47</f>
        <v>369</v>
      </c>
    </row>
    <row r="49" spans="4:12" s="25" customFormat="1" ht="12.75">
      <c r="D49" s="27"/>
      <c r="E49" s="27"/>
      <c r="L49" s="25">
        <f>14*30</f>
        <v>420</v>
      </c>
    </row>
    <row r="50" spans="4:12" s="25" customFormat="1" ht="12.75">
      <c r="D50" s="27"/>
      <c r="E50" s="27"/>
      <c r="L50" s="25">
        <f>1/(14*14*10^-3)</f>
        <v>5.1020408163265305</v>
      </c>
    </row>
    <row r="51" spans="4:12" s="25" customFormat="1" ht="12.75">
      <c r="D51" s="27"/>
      <c r="E51" s="27"/>
      <c r="L51" s="25">
        <f>1/L50</f>
        <v>0.196</v>
      </c>
    </row>
    <row r="52" spans="4:5" s="25" customFormat="1" ht="12.75">
      <c r="D52" s="27"/>
      <c r="E52" s="27"/>
    </row>
    <row r="53" spans="4:5" s="25" customFormat="1" ht="12.75">
      <c r="D53" s="27"/>
      <c r="E53" s="27"/>
    </row>
    <row r="54" spans="4:5" s="25" customFormat="1" ht="12.75">
      <c r="D54" s="27"/>
      <c r="E54" s="27"/>
    </row>
    <row r="55" spans="4:5" s="25" customFormat="1" ht="12.75">
      <c r="D55" s="27"/>
      <c r="E55" s="27"/>
    </row>
    <row r="56" spans="4:5" s="25" customFormat="1" ht="12.75">
      <c r="D56" s="27"/>
      <c r="E56" s="27"/>
    </row>
    <row r="57" spans="4:5" s="25" customFormat="1" ht="12.75">
      <c r="D57" s="27"/>
      <c r="E57" s="27"/>
    </row>
    <row r="58" spans="4:5" s="25" customFormat="1" ht="12.75">
      <c r="D58" s="27"/>
      <c r="E58" s="27"/>
    </row>
    <row r="61" spans="1:17" s="25" customFormat="1" ht="12.75">
      <c r="A61" s="25">
        <v>23</v>
      </c>
      <c r="B61" s="25">
        <v>1.9</v>
      </c>
      <c r="C61" s="25">
        <v>9</v>
      </c>
      <c r="D61" s="31" t="s">
        <v>104</v>
      </c>
      <c r="E61" s="31">
        <v>-9.3</v>
      </c>
      <c r="F61" s="25">
        <v>600</v>
      </c>
      <c r="G61" s="25">
        <v>10</v>
      </c>
      <c r="H61" s="50">
        <f aca="true" t="shared" si="1" ref="H61:H66">F61/G61</f>
        <v>60</v>
      </c>
      <c r="M61" s="41"/>
      <c r="N61" s="41"/>
      <c r="O61" s="25">
        <f>10^6*H61/A62/$L$2</f>
        <v>21.149101163200566</v>
      </c>
      <c r="P61" s="49"/>
      <c r="Q61" s="24">
        <f>O61*(E61-E64)</f>
        <v>-129.00951709552345</v>
      </c>
    </row>
    <row r="62" spans="1:15" s="25" customFormat="1" ht="12.75">
      <c r="A62" s="25">
        <f>Details!D30</f>
        <v>11348</v>
      </c>
      <c r="D62" s="31" t="s">
        <v>86</v>
      </c>
      <c r="E62" s="31">
        <v>-5.5</v>
      </c>
      <c r="F62" s="25">
        <v>120</v>
      </c>
      <c r="G62" s="25">
        <v>2.2</v>
      </c>
      <c r="H62" s="50">
        <f t="shared" si="1"/>
        <v>54.54545454545454</v>
      </c>
      <c r="I62" s="25">
        <v>53</v>
      </c>
      <c r="J62" s="25">
        <v>30</v>
      </c>
      <c r="K62" s="25">
        <f>I62/J62</f>
        <v>1.7666666666666666</v>
      </c>
      <c r="L62" s="25" t="s">
        <v>154</v>
      </c>
      <c r="M62" s="25">
        <f>(E62-E65)-(E62-E63)</f>
        <v>-4</v>
      </c>
      <c r="N62" s="25">
        <f>5835</f>
        <v>5835</v>
      </c>
      <c r="O62" s="25">
        <f>N62/M62/60</f>
        <v>-24.3125</v>
      </c>
    </row>
    <row r="63" spans="2:8" s="25" customFormat="1" ht="12.75">
      <c r="B63" s="25" t="s">
        <v>101</v>
      </c>
      <c r="C63" s="25" t="s">
        <v>106</v>
      </c>
      <c r="D63" s="25" t="s">
        <v>87</v>
      </c>
      <c r="E63" s="25">
        <v>-4.6</v>
      </c>
      <c r="F63" s="25">
        <v>170</v>
      </c>
      <c r="G63" s="25">
        <v>6.5</v>
      </c>
      <c r="H63" s="50">
        <f t="shared" si="1"/>
        <v>26.153846153846153</v>
      </c>
    </row>
    <row r="64" spans="4:8" s="25" customFormat="1" ht="12.75">
      <c r="D64" s="25" t="s">
        <v>88</v>
      </c>
      <c r="E64" s="25">
        <v>-3.2</v>
      </c>
      <c r="F64" s="25">
        <v>145</v>
      </c>
      <c r="G64" s="25">
        <v>5</v>
      </c>
      <c r="H64" s="50">
        <f t="shared" si="1"/>
        <v>29</v>
      </c>
    </row>
    <row r="65" spans="4:15" s="25" customFormat="1" ht="12.75">
      <c r="D65" s="25" t="s">
        <v>85</v>
      </c>
      <c r="E65" s="25">
        <v>-0.6</v>
      </c>
      <c r="F65" s="25">
        <v>105</v>
      </c>
      <c r="G65" s="25">
        <v>2.6</v>
      </c>
      <c r="H65" s="50">
        <f t="shared" si="1"/>
        <v>40.38461538461538</v>
      </c>
      <c r="O65" s="25">
        <f>10^6*H66/A67/$L$2</f>
        <v>20.253164556962027</v>
      </c>
    </row>
    <row r="66" spans="1:17" s="24" customFormat="1" ht="12.75">
      <c r="A66" s="24">
        <v>23</v>
      </c>
      <c r="C66" s="24">
        <v>10</v>
      </c>
      <c r="D66" s="32" t="s">
        <v>104</v>
      </c>
      <c r="E66" s="32">
        <v>-8.8</v>
      </c>
      <c r="F66" s="28">
        <v>294</v>
      </c>
      <c r="G66" s="28">
        <v>5</v>
      </c>
      <c r="H66" s="51">
        <f t="shared" si="1"/>
        <v>58.8</v>
      </c>
      <c r="M66" s="41">
        <f>(E66-E69)+(E66-E71)</f>
        <v>-14.320000000000002</v>
      </c>
      <c r="N66" s="41">
        <v>335</v>
      </c>
      <c r="O66" s="25">
        <f>N66/M66</f>
        <v>-23.39385474860335</v>
      </c>
      <c r="P66" s="49"/>
      <c r="Q66" s="24">
        <f>O66*(E66-E71)</f>
        <v>205.86592178770948</v>
      </c>
    </row>
    <row r="67" spans="1:17" s="25" customFormat="1" ht="12.75">
      <c r="A67" s="25">
        <f>Details!D31</f>
        <v>11613</v>
      </c>
      <c r="B67" s="25" t="s">
        <v>101</v>
      </c>
      <c r="C67" s="25" t="s">
        <v>111</v>
      </c>
      <c r="D67" s="31" t="s">
        <v>86</v>
      </c>
      <c r="E67" s="31">
        <v>-6.04</v>
      </c>
      <c r="F67" s="27">
        <f>1294-78</f>
        <v>1216</v>
      </c>
      <c r="G67" s="27">
        <v>1.08</v>
      </c>
      <c r="H67" s="52">
        <f aca="true" t="shared" si="2" ref="H67:H77">F67/G67</f>
        <v>1125.9259259259259</v>
      </c>
      <c r="I67" s="27">
        <f>-12.4+26</f>
        <v>13.6</v>
      </c>
      <c r="J67" s="27">
        <v>1.01</v>
      </c>
      <c r="K67" s="27">
        <f>I67/J67</f>
        <v>13.465346534653465</v>
      </c>
      <c r="Q67" s="24"/>
    </row>
    <row r="68" spans="4:8" s="25" customFormat="1" ht="12.75">
      <c r="D68" s="25" t="s">
        <v>87</v>
      </c>
      <c r="E68" s="27">
        <v>-5.2</v>
      </c>
      <c r="F68" s="27">
        <v>146</v>
      </c>
      <c r="G68" s="27">
        <v>5</v>
      </c>
      <c r="H68" s="52">
        <f t="shared" si="2"/>
        <v>29.2</v>
      </c>
    </row>
    <row r="69" spans="4:8" s="25" customFormat="1" ht="12.75">
      <c r="D69" s="25" t="s">
        <v>88</v>
      </c>
      <c r="E69" s="27">
        <v>-3.28</v>
      </c>
      <c r="F69" s="27">
        <v>174</v>
      </c>
      <c r="G69" s="27">
        <v>5</v>
      </c>
      <c r="H69" s="52">
        <f t="shared" si="2"/>
        <v>34.8</v>
      </c>
    </row>
    <row r="70" spans="4:8" s="25" customFormat="1" ht="12.75">
      <c r="D70" s="25" t="s">
        <v>85</v>
      </c>
      <c r="E70" s="27">
        <v>-1.6</v>
      </c>
      <c r="F70" s="27">
        <v>203</v>
      </c>
      <c r="G70" s="27">
        <v>3.5</v>
      </c>
      <c r="H70" s="52">
        <f t="shared" si="2"/>
        <v>58</v>
      </c>
    </row>
    <row r="71" spans="4:15" s="26" customFormat="1" ht="13.5" thickBot="1">
      <c r="D71" s="29" t="s">
        <v>105</v>
      </c>
      <c r="E71" s="29">
        <v>0</v>
      </c>
      <c r="F71" s="29">
        <v>27</v>
      </c>
      <c r="G71" s="29">
        <v>1.06</v>
      </c>
      <c r="H71" s="53">
        <f t="shared" si="2"/>
        <v>25.471698113207545</v>
      </c>
      <c r="O71" s="26" t="e">
        <f>10^6*H72/A73/250</f>
        <v>#DIV/0!</v>
      </c>
    </row>
    <row r="72" spans="1:17" s="24" customFormat="1" ht="12.75">
      <c r="A72" s="24">
        <v>23</v>
      </c>
      <c r="C72" s="24">
        <v>11</v>
      </c>
      <c r="D72" s="32" t="s">
        <v>104</v>
      </c>
      <c r="E72" s="32">
        <v>-8.6</v>
      </c>
      <c r="F72" s="28"/>
      <c r="G72" s="28"/>
      <c r="H72" s="28" t="e">
        <f t="shared" si="2"/>
        <v>#DIV/0!</v>
      </c>
      <c r="M72" s="24">
        <f>(E72-E75)+(E72-E77)</f>
        <v>-14.79</v>
      </c>
      <c r="N72" s="24">
        <v>335</v>
      </c>
      <c r="O72" s="63">
        <f>N72/M72</f>
        <v>-22.650439486139284</v>
      </c>
      <c r="P72" s="49">
        <f>250*11613*O72/10^6</f>
        <v>-65.75988843813387</v>
      </c>
      <c r="Q72" s="24">
        <f>O72*(E72-E77)</f>
        <v>217.4442190669371</v>
      </c>
    </row>
    <row r="73" spans="1:11" s="25" customFormat="1" ht="12.75">
      <c r="A73" s="25">
        <f>Details!D33</f>
        <v>11622</v>
      </c>
      <c r="B73" s="25" t="s">
        <v>101</v>
      </c>
      <c r="C73" s="25" t="s">
        <v>113</v>
      </c>
      <c r="D73" s="31" t="s">
        <v>86</v>
      </c>
      <c r="E73" s="31">
        <v>-5.75</v>
      </c>
      <c r="F73" s="27"/>
      <c r="G73" s="27"/>
      <c r="H73" s="27" t="e">
        <f t="shared" si="2"/>
        <v>#DIV/0!</v>
      </c>
      <c r="I73" s="27"/>
      <c r="J73" s="27"/>
      <c r="K73" s="27" t="e">
        <f>I73/J73</f>
        <v>#DIV/0!</v>
      </c>
    </row>
    <row r="74" spans="4:8" s="25" customFormat="1" ht="12.75">
      <c r="D74" s="25" t="s">
        <v>87</v>
      </c>
      <c r="E74" s="27">
        <v>-5</v>
      </c>
      <c r="F74" s="27"/>
      <c r="G74" s="27"/>
      <c r="H74" s="27" t="e">
        <f t="shared" si="2"/>
        <v>#DIV/0!</v>
      </c>
    </row>
    <row r="75" spans="4:14" s="25" customFormat="1" ht="12.75">
      <c r="D75" s="25" t="s">
        <v>88</v>
      </c>
      <c r="E75" s="27">
        <v>-3.41</v>
      </c>
      <c r="F75" s="27"/>
      <c r="G75" s="27"/>
      <c r="H75" s="27" t="e">
        <f t="shared" si="2"/>
        <v>#DIV/0!</v>
      </c>
      <c r="M75" s="25">
        <f>E73-E77</f>
        <v>-6.75</v>
      </c>
      <c r="N75" s="25">
        <f>335/M75</f>
        <v>-49.629629629629626</v>
      </c>
    </row>
    <row r="76" spans="4:8" s="25" customFormat="1" ht="12.75">
      <c r="D76" s="25" t="s">
        <v>85</v>
      </c>
      <c r="E76" s="27">
        <v>-1.49</v>
      </c>
      <c r="F76" s="27"/>
      <c r="G76" s="27"/>
      <c r="H76" s="27" t="e">
        <f t="shared" si="2"/>
        <v>#DIV/0!</v>
      </c>
    </row>
    <row r="77" spans="4:8" s="26" customFormat="1" ht="13.5" thickBot="1">
      <c r="D77" s="29" t="s">
        <v>105</v>
      </c>
      <c r="E77" s="29">
        <v>1</v>
      </c>
      <c r="F77" s="29"/>
      <c r="G77" s="29"/>
      <c r="H77" s="29" t="e">
        <f t="shared" si="2"/>
        <v>#DIV/0!</v>
      </c>
    </row>
    <row r="78" spans="1:8" s="24" customFormat="1" ht="12.75">
      <c r="A78" s="24">
        <v>23</v>
      </c>
      <c r="C78" s="24">
        <v>12</v>
      </c>
      <c r="D78" s="32" t="s">
        <v>104</v>
      </c>
      <c r="E78" s="32">
        <v>-9.03</v>
      </c>
      <c r="F78" s="28"/>
      <c r="G78" s="28"/>
      <c r="H78" s="28" t="e">
        <f aca="true" t="shared" si="3" ref="H78:H83">F78/G78</f>
        <v>#DIV/0!</v>
      </c>
    </row>
    <row r="79" spans="2:11" s="25" customFormat="1" ht="12.75">
      <c r="B79" s="25" t="s">
        <v>101</v>
      </c>
      <c r="C79" s="25" t="s">
        <v>113</v>
      </c>
      <c r="D79" s="31" t="s">
        <v>86</v>
      </c>
      <c r="E79" s="31"/>
      <c r="F79" s="27"/>
      <c r="G79" s="27"/>
      <c r="H79" s="27" t="e">
        <f t="shared" si="3"/>
        <v>#DIV/0!</v>
      </c>
      <c r="I79" s="27"/>
      <c r="J79" s="27"/>
      <c r="K79" s="27" t="e">
        <f>I79/J79</f>
        <v>#DIV/0!</v>
      </c>
    </row>
    <row r="80" spans="4:8" s="25" customFormat="1" ht="12.75">
      <c r="D80" s="25" t="s">
        <v>87</v>
      </c>
      <c r="E80" s="27"/>
      <c r="F80" s="27"/>
      <c r="G80" s="27"/>
      <c r="H80" s="27" t="e">
        <f t="shared" si="3"/>
        <v>#DIV/0!</v>
      </c>
    </row>
    <row r="81" spans="4:8" s="25" customFormat="1" ht="12.75">
      <c r="D81" s="25" t="s">
        <v>88</v>
      </c>
      <c r="E81" s="27"/>
      <c r="F81" s="27"/>
      <c r="G81" s="27"/>
      <c r="H81" s="27" t="e">
        <f t="shared" si="3"/>
        <v>#DIV/0!</v>
      </c>
    </row>
    <row r="82" spans="4:8" s="25" customFormat="1" ht="12.75">
      <c r="D82" s="25" t="s">
        <v>85</v>
      </c>
      <c r="E82" s="27"/>
      <c r="F82" s="27"/>
      <c r="G82" s="27"/>
      <c r="H82" s="27" t="e">
        <f t="shared" si="3"/>
        <v>#DIV/0!</v>
      </c>
    </row>
    <row r="83" spans="4:8" s="26" customFormat="1" ht="11.25" customHeight="1" thickBot="1">
      <c r="D83" s="29"/>
      <c r="E83" s="29"/>
      <c r="F83" s="29"/>
      <c r="G83" s="29"/>
      <c r="H83" s="29" t="e">
        <f t="shared" si="3"/>
        <v>#DIV/0!</v>
      </c>
    </row>
    <row r="84" spans="1:8" s="24" customFormat="1" ht="12.75">
      <c r="A84" s="24">
        <v>23</v>
      </c>
      <c r="C84" s="24">
        <v>13</v>
      </c>
      <c r="D84" s="32" t="s">
        <v>104</v>
      </c>
      <c r="E84" s="32">
        <v>-9</v>
      </c>
      <c r="F84" s="28"/>
      <c r="G84" s="28"/>
      <c r="H84" s="28" t="e">
        <f aca="true" t="shared" si="4" ref="H84:H89">F84/G84</f>
        <v>#DIV/0!</v>
      </c>
    </row>
    <row r="85" spans="2:11" s="25" customFormat="1" ht="12.75">
      <c r="B85" s="25" t="s">
        <v>101</v>
      </c>
      <c r="C85" s="25" t="s">
        <v>113</v>
      </c>
      <c r="D85" s="31" t="s">
        <v>86</v>
      </c>
      <c r="E85" s="31">
        <v>-5.28</v>
      </c>
      <c r="F85" s="27"/>
      <c r="G85" s="27"/>
      <c r="H85" s="27" t="e">
        <f t="shared" si="4"/>
        <v>#DIV/0!</v>
      </c>
      <c r="I85" s="27"/>
      <c r="J85" s="27"/>
      <c r="K85" s="27" t="e">
        <f>I85/J85</f>
        <v>#DIV/0!</v>
      </c>
    </row>
    <row r="86" spans="4:8" s="25" customFormat="1" ht="12.75">
      <c r="D86" s="25" t="s">
        <v>87</v>
      </c>
      <c r="E86" s="27">
        <v>-4.53</v>
      </c>
      <c r="F86" s="27"/>
      <c r="G86" s="27"/>
      <c r="H86" s="27" t="e">
        <f t="shared" si="4"/>
        <v>#DIV/0!</v>
      </c>
    </row>
    <row r="87" spans="4:8" s="25" customFormat="1" ht="12.75">
      <c r="D87" s="25" t="s">
        <v>88</v>
      </c>
      <c r="E87" s="27">
        <v>-2.92</v>
      </c>
      <c r="F87" s="27"/>
      <c r="G87" s="27"/>
      <c r="H87" s="27" t="e">
        <f t="shared" si="4"/>
        <v>#DIV/0!</v>
      </c>
    </row>
    <row r="88" spans="4:8" s="25" customFormat="1" ht="12.75">
      <c r="D88" s="25" t="s">
        <v>85</v>
      </c>
      <c r="E88" s="27">
        <v>-0.3</v>
      </c>
      <c r="F88" s="27"/>
      <c r="G88" s="27"/>
      <c r="H88" s="27" t="e">
        <f t="shared" si="4"/>
        <v>#DIV/0!</v>
      </c>
    </row>
    <row r="89" spans="4:8" s="26" customFormat="1" ht="13.5" thickBot="1">
      <c r="D89" s="29"/>
      <c r="E89" s="29"/>
      <c r="F89" s="29"/>
      <c r="G89" s="29"/>
      <c r="H89" s="29" t="e">
        <f t="shared" si="4"/>
        <v>#DIV/0!</v>
      </c>
    </row>
    <row r="90" spans="1:8" s="24" customFormat="1" ht="12.75">
      <c r="A90" s="24">
        <v>23</v>
      </c>
      <c r="C90" s="24">
        <v>14</v>
      </c>
      <c r="D90" s="32" t="s">
        <v>104</v>
      </c>
      <c r="E90" s="32">
        <v>-8.6</v>
      </c>
      <c r="F90" s="28"/>
      <c r="G90" s="28"/>
      <c r="H90" s="28" t="e">
        <f aca="true" t="shared" si="5" ref="H90:H95">F90/G90</f>
        <v>#DIV/0!</v>
      </c>
    </row>
    <row r="91" spans="2:11" s="25" customFormat="1" ht="12.75">
      <c r="B91" s="25" t="s">
        <v>101</v>
      </c>
      <c r="D91" s="31" t="s">
        <v>86</v>
      </c>
      <c r="E91" s="31"/>
      <c r="F91" s="27"/>
      <c r="G91" s="27"/>
      <c r="H91" s="27" t="e">
        <f t="shared" si="5"/>
        <v>#DIV/0!</v>
      </c>
      <c r="I91" s="27"/>
      <c r="J91" s="27"/>
      <c r="K91" s="27" t="e">
        <f>I91/J91</f>
        <v>#DIV/0!</v>
      </c>
    </row>
    <row r="92" spans="4:8" s="25" customFormat="1" ht="12.75">
      <c r="D92" s="25" t="s">
        <v>87</v>
      </c>
      <c r="E92" s="27"/>
      <c r="F92" s="27"/>
      <c r="G92" s="27"/>
      <c r="H92" s="27" t="e">
        <f t="shared" si="5"/>
        <v>#DIV/0!</v>
      </c>
    </row>
    <row r="93" spans="4:8" s="25" customFormat="1" ht="12.75">
      <c r="D93" s="25" t="s">
        <v>88</v>
      </c>
      <c r="E93" s="27"/>
      <c r="F93" s="27"/>
      <c r="G93" s="27"/>
      <c r="H93" s="27" t="e">
        <f t="shared" si="5"/>
        <v>#DIV/0!</v>
      </c>
    </row>
    <row r="94" spans="4:8" s="25" customFormat="1" ht="12.75">
      <c r="D94" s="25" t="s">
        <v>85</v>
      </c>
      <c r="E94" s="27"/>
      <c r="F94" s="27"/>
      <c r="G94" s="27"/>
      <c r="H94" s="27" t="e">
        <f t="shared" si="5"/>
        <v>#DIV/0!</v>
      </c>
    </row>
    <row r="95" spans="4:8" s="26" customFormat="1" ht="13.5" thickBot="1">
      <c r="D95" s="29"/>
      <c r="E95" s="29"/>
      <c r="F95" s="29"/>
      <c r="G95" s="29"/>
      <c r="H95" s="29" t="e">
        <f t="shared" si="5"/>
        <v>#DIV/0!</v>
      </c>
    </row>
    <row r="96" spans="1:8" s="24" customFormat="1" ht="12.75">
      <c r="A96" s="24">
        <v>23</v>
      </c>
      <c r="C96" s="24">
        <v>15</v>
      </c>
      <c r="D96" s="32" t="s">
        <v>104</v>
      </c>
      <c r="E96" s="32"/>
      <c r="F96" s="28"/>
      <c r="G96" s="28"/>
      <c r="H96" s="28" t="e">
        <f aca="true" t="shared" si="6" ref="H96:H107">F96/G96</f>
        <v>#DIV/0!</v>
      </c>
    </row>
    <row r="97" spans="2:11" s="25" customFormat="1" ht="12.75">
      <c r="B97" s="25" t="s">
        <v>101</v>
      </c>
      <c r="D97" s="31" t="s">
        <v>86</v>
      </c>
      <c r="E97" s="31"/>
      <c r="F97" s="27"/>
      <c r="G97" s="27"/>
      <c r="H97" s="27" t="e">
        <f t="shared" si="6"/>
        <v>#DIV/0!</v>
      </c>
      <c r="I97" s="27"/>
      <c r="J97" s="27"/>
      <c r="K97" s="27" t="e">
        <f>I97/J97</f>
        <v>#DIV/0!</v>
      </c>
    </row>
    <row r="98" spans="4:8" s="25" customFormat="1" ht="12.75">
      <c r="D98" s="25" t="s">
        <v>87</v>
      </c>
      <c r="E98" s="27"/>
      <c r="F98" s="27"/>
      <c r="G98" s="27"/>
      <c r="H98" s="27" t="e">
        <f t="shared" si="6"/>
        <v>#DIV/0!</v>
      </c>
    </row>
    <row r="99" spans="4:8" s="25" customFormat="1" ht="12.75">
      <c r="D99" s="25" t="s">
        <v>88</v>
      </c>
      <c r="E99" s="27"/>
      <c r="F99" s="27"/>
      <c r="G99" s="27"/>
      <c r="H99" s="27" t="e">
        <f t="shared" si="6"/>
        <v>#DIV/0!</v>
      </c>
    </row>
    <row r="100" spans="4:8" s="25" customFormat="1" ht="12.75">
      <c r="D100" s="25" t="s">
        <v>85</v>
      </c>
      <c r="E100" s="27"/>
      <c r="F100" s="27"/>
      <c r="G100" s="27"/>
      <c r="H100" s="27" t="e">
        <f t="shared" si="6"/>
        <v>#DIV/0!</v>
      </c>
    </row>
    <row r="101" spans="4:8" s="26" customFormat="1" ht="13.5" thickBot="1">
      <c r="D101" s="29"/>
      <c r="E101" s="29"/>
      <c r="F101" s="29"/>
      <c r="G101" s="29"/>
      <c r="H101" s="29" t="e">
        <f t="shared" si="6"/>
        <v>#DIV/0!</v>
      </c>
    </row>
    <row r="102" spans="1:8" s="24" customFormat="1" ht="12.75">
      <c r="A102" s="24">
        <v>23</v>
      </c>
      <c r="C102" s="24">
        <v>16</v>
      </c>
      <c r="D102" s="32" t="s">
        <v>104</v>
      </c>
      <c r="E102" s="32"/>
      <c r="F102" s="28"/>
      <c r="G102" s="28"/>
      <c r="H102" s="28" t="e">
        <f t="shared" si="6"/>
        <v>#DIV/0!</v>
      </c>
    </row>
    <row r="103" spans="2:11" s="25" customFormat="1" ht="12.75">
      <c r="B103" s="25" t="s">
        <v>101</v>
      </c>
      <c r="D103" s="31" t="s">
        <v>86</v>
      </c>
      <c r="E103" s="31"/>
      <c r="F103" s="27"/>
      <c r="G103" s="27"/>
      <c r="H103" s="27" t="e">
        <f t="shared" si="6"/>
        <v>#DIV/0!</v>
      </c>
      <c r="I103" s="27"/>
      <c r="J103" s="27"/>
      <c r="K103" s="27" t="e">
        <f>I103/J103</f>
        <v>#DIV/0!</v>
      </c>
    </row>
    <row r="104" spans="4:8" s="25" customFormat="1" ht="12.75">
      <c r="D104" s="25" t="s">
        <v>87</v>
      </c>
      <c r="E104" s="27"/>
      <c r="F104" s="27"/>
      <c r="G104" s="27"/>
      <c r="H104" s="27" t="e">
        <f t="shared" si="6"/>
        <v>#DIV/0!</v>
      </c>
    </row>
    <row r="105" spans="4:8" s="25" customFormat="1" ht="12.75">
      <c r="D105" s="25" t="s">
        <v>88</v>
      </c>
      <c r="E105" s="27"/>
      <c r="F105" s="27"/>
      <c r="G105" s="27"/>
      <c r="H105" s="27" t="e">
        <f t="shared" si="6"/>
        <v>#DIV/0!</v>
      </c>
    </row>
    <row r="106" spans="4:8" s="25" customFormat="1" ht="12.75">
      <c r="D106" s="25" t="s">
        <v>85</v>
      </c>
      <c r="E106" s="27"/>
      <c r="F106" s="27"/>
      <c r="G106" s="27"/>
      <c r="H106" s="27" t="e">
        <f t="shared" si="6"/>
        <v>#DIV/0!</v>
      </c>
    </row>
    <row r="107" spans="4:8" s="26" customFormat="1" ht="13.5" thickBot="1">
      <c r="D107" s="29"/>
      <c r="E107" s="29"/>
      <c r="F107" s="29"/>
      <c r="G107" s="29"/>
      <c r="H107" s="29" t="e">
        <f t="shared" si="6"/>
        <v>#DIV/0!</v>
      </c>
    </row>
    <row r="108" spans="1:8" s="24" customFormat="1" ht="12.75">
      <c r="A108" s="24">
        <v>23</v>
      </c>
      <c r="C108" s="24">
        <v>17</v>
      </c>
      <c r="D108" s="32" t="s">
        <v>104</v>
      </c>
      <c r="E108" s="32"/>
      <c r="F108" s="28"/>
      <c r="G108" s="28"/>
      <c r="H108" s="28" t="e">
        <f aca="true" t="shared" si="7" ref="H108:H113">F108/G108</f>
        <v>#DIV/0!</v>
      </c>
    </row>
    <row r="109" spans="2:11" s="25" customFormat="1" ht="12.75">
      <c r="B109" s="25" t="s">
        <v>101</v>
      </c>
      <c r="D109" s="31" t="s">
        <v>86</v>
      </c>
      <c r="E109" s="31"/>
      <c r="F109" s="27"/>
      <c r="G109" s="27"/>
      <c r="H109" s="27" t="e">
        <f t="shared" si="7"/>
        <v>#DIV/0!</v>
      </c>
      <c r="I109" s="27"/>
      <c r="J109" s="27"/>
      <c r="K109" s="27" t="e">
        <f>I109/J109</f>
        <v>#DIV/0!</v>
      </c>
    </row>
    <row r="110" spans="4:8" s="25" customFormat="1" ht="12.75">
      <c r="D110" s="25" t="s">
        <v>87</v>
      </c>
      <c r="E110" s="27"/>
      <c r="F110" s="27"/>
      <c r="G110" s="27"/>
      <c r="H110" s="27" t="e">
        <f t="shared" si="7"/>
        <v>#DIV/0!</v>
      </c>
    </row>
    <row r="111" spans="4:8" s="25" customFormat="1" ht="12.75">
      <c r="D111" s="25" t="s">
        <v>88</v>
      </c>
      <c r="E111" s="27"/>
      <c r="F111" s="27"/>
      <c r="G111" s="27"/>
      <c r="H111" s="27" t="e">
        <f t="shared" si="7"/>
        <v>#DIV/0!</v>
      </c>
    </row>
    <row r="112" spans="4:8" s="25" customFormat="1" ht="12.75">
      <c r="D112" s="25" t="s">
        <v>85</v>
      </c>
      <c r="E112" s="27"/>
      <c r="F112" s="27"/>
      <c r="G112" s="27"/>
      <c r="H112" s="27" t="e">
        <f t="shared" si="7"/>
        <v>#DIV/0!</v>
      </c>
    </row>
    <row r="113" spans="4:8" s="26" customFormat="1" ht="13.5" thickBot="1">
      <c r="D113" s="29"/>
      <c r="E113" s="29"/>
      <c r="F113" s="29"/>
      <c r="G113" s="29"/>
      <c r="H113" s="29" t="e">
        <f t="shared" si="7"/>
        <v>#DIV/0!</v>
      </c>
    </row>
    <row r="114" spans="1:8" s="30" customFormat="1" ht="12.75">
      <c r="A114" s="30">
        <v>23</v>
      </c>
      <c r="C114" s="30">
        <v>18</v>
      </c>
      <c r="D114" s="33" t="s">
        <v>104</v>
      </c>
      <c r="E114" s="33"/>
      <c r="F114" s="62"/>
      <c r="G114" s="62"/>
      <c r="H114" s="62" t="e">
        <f aca="true" t="shared" si="8" ref="H114:H121">F114/G114</f>
        <v>#DIV/0!</v>
      </c>
    </row>
    <row r="115" spans="2:11" s="25" customFormat="1" ht="12.75">
      <c r="B115" s="25" t="s">
        <v>101</v>
      </c>
      <c r="D115" s="31" t="s">
        <v>86</v>
      </c>
      <c r="E115" s="31"/>
      <c r="F115" s="27"/>
      <c r="G115" s="27"/>
      <c r="H115" s="27" t="e">
        <f t="shared" si="8"/>
        <v>#DIV/0!</v>
      </c>
      <c r="I115" s="27"/>
      <c r="J115" s="27"/>
      <c r="K115" s="27" t="e">
        <f>I115/J115</f>
        <v>#DIV/0!</v>
      </c>
    </row>
    <row r="116" spans="4:8" s="25" customFormat="1" ht="12.75">
      <c r="D116" s="25" t="s">
        <v>87</v>
      </c>
      <c r="E116" s="27"/>
      <c r="F116" s="27"/>
      <c r="G116" s="27"/>
      <c r="H116" s="27" t="e">
        <f t="shared" si="8"/>
        <v>#DIV/0!</v>
      </c>
    </row>
    <row r="117" spans="4:8" s="25" customFormat="1" ht="12.75">
      <c r="D117" s="25" t="s">
        <v>88</v>
      </c>
      <c r="E117" s="27"/>
      <c r="F117" s="27"/>
      <c r="G117" s="27"/>
      <c r="H117" s="27" t="e">
        <f t="shared" si="8"/>
        <v>#DIV/0!</v>
      </c>
    </row>
    <row r="118" spans="4:8" s="25" customFormat="1" ht="12.75">
      <c r="D118" s="25" t="s">
        <v>85</v>
      </c>
      <c r="E118" s="27"/>
      <c r="F118" s="27"/>
      <c r="G118" s="27"/>
      <c r="H118" s="27" t="e">
        <f t="shared" si="8"/>
        <v>#DIV/0!</v>
      </c>
    </row>
    <row r="119" spans="4:8" s="25" customFormat="1" ht="12.75">
      <c r="D119" s="27" t="s">
        <v>105</v>
      </c>
      <c r="E119" s="27"/>
      <c r="F119" s="27"/>
      <c r="G119" s="27" t="e">
        <f>116/F119</f>
        <v>#DIV/0!</v>
      </c>
      <c r="H119" s="27"/>
    </row>
    <row r="120" spans="4:8" s="25" customFormat="1" ht="12.75">
      <c r="D120" s="27" t="s">
        <v>88</v>
      </c>
      <c r="E120" s="27"/>
      <c r="F120" s="27"/>
      <c r="G120" s="27"/>
      <c r="H120" s="27"/>
    </row>
    <row r="121" spans="4:15" s="26" customFormat="1" ht="13.5" thickBot="1">
      <c r="D121" s="26" t="s">
        <v>70</v>
      </c>
      <c r="F121" s="29"/>
      <c r="G121" s="29"/>
      <c r="H121" s="29" t="e">
        <f t="shared" si="8"/>
        <v>#DIV/0!</v>
      </c>
      <c r="O121" s="26">
        <f>10^6*H122/A123/$L$2</f>
        <v>41.00611430454362</v>
      </c>
    </row>
    <row r="122" spans="1:18" s="25" customFormat="1" ht="12.75">
      <c r="A122" s="25">
        <v>23</v>
      </c>
      <c r="C122" s="61">
        <v>19</v>
      </c>
      <c r="D122" s="46" t="s">
        <v>104</v>
      </c>
      <c r="E122" s="46">
        <v>-8</v>
      </c>
      <c r="F122" s="27">
        <f>840</f>
        <v>840</v>
      </c>
      <c r="G122" s="27">
        <v>6.6</v>
      </c>
      <c r="H122" s="57">
        <f aca="true" t="shared" si="9" ref="H122:H129">F122/G122</f>
        <v>127.27272727272728</v>
      </c>
      <c r="M122" s="25">
        <f>(E122-E130)+(E122-E126)</f>
        <v>-6.42</v>
      </c>
      <c r="N122" s="25">
        <f>337</f>
        <v>337</v>
      </c>
      <c r="O122" s="55">
        <f>N122/M122</f>
        <v>-52.492211838006234</v>
      </c>
      <c r="P122" s="54">
        <f>O122*L2*A123*10^-6</f>
        <v>-162.92270249221184</v>
      </c>
      <c r="Q122" s="25">
        <f>O122*(E122-E126)</f>
        <v>109.18380062305297</v>
      </c>
      <c r="R122" s="25">
        <f>N122-Q122</f>
        <v>227.81619937694703</v>
      </c>
    </row>
    <row r="123" spans="1:16" s="25" customFormat="1" ht="12.75">
      <c r="A123" s="25">
        <f>Details!D41</f>
        <v>12415</v>
      </c>
      <c r="B123" s="25" t="s">
        <v>101</v>
      </c>
      <c r="D123" s="46" t="s">
        <v>86</v>
      </c>
      <c r="E123" s="46">
        <v>-7.6</v>
      </c>
      <c r="F123" s="27">
        <v>1140</v>
      </c>
      <c r="G123" s="27">
        <v>3</v>
      </c>
      <c r="H123" s="57">
        <f t="shared" si="9"/>
        <v>380</v>
      </c>
      <c r="I123" s="24"/>
      <c r="J123" s="27"/>
      <c r="K123" s="27" t="e">
        <f>I123/J123</f>
        <v>#DIV/0!</v>
      </c>
      <c r="M123" s="25">
        <f>E124+E125</f>
        <v>-12.41</v>
      </c>
      <c r="N123" s="25">
        <f>5835</f>
        <v>5835</v>
      </c>
      <c r="O123" s="55">
        <f>N123/M123/40</f>
        <v>-11.754633360193392</v>
      </c>
      <c r="P123" s="54">
        <f>O123*250*A123*10^-6</f>
        <v>-36.48344329170023</v>
      </c>
    </row>
    <row r="124" spans="4:16" s="25" customFormat="1" ht="12.75">
      <c r="D124" s="25" t="s">
        <v>96</v>
      </c>
      <c r="E124" s="27">
        <v>-6.42</v>
      </c>
      <c r="F124" s="27">
        <v>620</v>
      </c>
      <c r="G124" s="27">
        <v>6</v>
      </c>
      <c r="H124" s="52">
        <f t="shared" si="9"/>
        <v>103.33333333333333</v>
      </c>
      <c r="I124" s="24"/>
      <c r="J124" s="27"/>
      <c r="K124" s="27"/>
      <c r="O124" s="55"/>
      <c r="P124" s="55"/>
    </row>
    <row r="125" spans="4:16" s="25" customFormat="1" ht="12.75">
      <c r="D125" s="25" t="s">
        <v>87</v>
      </c>
      <c r="E125" s="27">
        <v>-5.99</v>
      </c>
      <c r="F125" s="27">
        <v>340</v>
      </c>
      <c r="G125" s="27">
        <v>6</v>
      </c>
      <c r="H125" s="52">
        <f t="shared" si="9"/>
        <v>56.666666666666664</v>
      </c>
      <c r="I125" s="24"/>
      <c r="O125" s="55"/>
      <c r="P125" s="55"/>
    </row>
    <row r="126" spans="4:16" s="25" customFormat="1" ht="12.75">
      <c r="D126" s="27" t="s">
        <v>105</v>
      </c>
      <c r="E126" s="27">
        <v>-5.92</v>
      </c>
      <c r="F126" s="27">
        <v>590</v>
      </c>
      <c r="G126" s="27">
        <v>6</v>
      </c>
      <c r="H126" s="52">
        <f t="shared" si="9"/>
        <v>98.33333333333333</v>
      </c>
      <c r="I126" s="24"/>
      <c r="O126" s="55"/>
      <c r="P126" s="55"/>
    </row>
    <row r="127" spans="4:16" s="25" customFormat="1" ht="12.75">
      <c r="D127" s="25" t="s">
        <v>142</v>
      </c>
      <c r="E127" s="27">
        <v>-5.49</v>
      </c>
      <c r="F127" s="27">
        <v>2660</v>
      </c>
      <c r="G127" s="27">
        <v>1.5</v>
      </c>
      <c r="H127" s="52">
        <f t="shared" si="9"/>
        <v>1773.3333333333333</v>
      </c>
      <c r="I127" s="24"/>
      <c r="O127" s="55"/>
      <c r="P127" s="55"/>
    </row>
    <row r="128" spans="4:16" s="25" customFormat="1" ht="12.75">
      <c r="D128" s="27" t="s">
        <v>28</v>
      </c>
      <c r="E128" s="27">
        <v>-5.2</v>
      </c>
      <c r="F128" s="27">
        <v>370</v>
      </c>
      <c r="G128" s="27">
        <v>5</v>
      </c>
      <c r="H128" s="52">
        <f t="shared" si="9"/>
        <v>74</v>
      </c>
      <c r="I128" s="24"/>
      <c r="O128" s="55"/>
      <c r="P128" s="55"/>
    </row>
    <row r="129" spans="4:16" s="25" customFormat="1" ht="12.75">
      <c r="D129" s="27" t="s">
        <v>70</v>
      </c>
      <c r="E129" s="27">
        <v>-3.8</v>
      </c>
      <c r="F129" s="27">
        <v>350</v>
      </c>
      <c r="G129" s="27">
        <v>3</v>
      </c>
      <c r="H129" s="52">
        <f t="shared" si="9"/>
        <v>116.66666666666667</v>
      </c>
      <c r="I129" s="24"/>
      <c r="O129" s="55"/>
      <c r="P129" s="55"/>
    </row>
    <row r="130" spans="4:16" s="26" customFormat="1" ht="13.5" thickBot="1">
      <c r="D130" s="26" t="s">
        <v>88</v>
      </c>
      <c r="E130" s="26">
        <v>-3.66</v>
      </c>
      <c r="F130" s="29">
        <v>180</v>
      </c>
      <c r="G130" s="29">
        <v>3</v>
      </c>
      <c r="H130" s="53">
        <f aca="true" t="shared" si="10" ref="H130:H138">F130/G130</f>
        <v>60</v>
      </c>
      <c r="I130" s="24"/>
      <c r="O130" s="56"/>
      <c r="P130" s="56"/>
    </row>
    <row r="131" spans="1:16" s="24" customFormat="1" ht="12.75">
      <c r="A131" s="24">
        <v>23</v>
      </c>
      <c r="C131" s="40">
        <v>20</v>
      </c>
      <c r="D131" s="28" t="s">
        <v>70</v>
      </c>
      <c r="E131" s="28">
        <v>-8.13</v>
      </c>
      <c r="F131" s="28"/>
      <c r="G131" s="28"/>
      <c r="H131" s="58" t="e">
        <f t="shared" si="10"/>
        <v>#DIV/0!</v>
      </c>
      <c r="M131" s="25"/>
      <c r="N131" s="25"/>
      <c r="O131" s="55"/>
      <c r="P131" s="54"/>
    </row>
    <row r="132" spans="1:16" s="25" customFormat="1" ht="12.75">
      <c r="A132" s="25">
        <f>Details!D42</f>
        <v>12421</v>
      </c>
      <c r="B132" s="25" t="s">
        <v>101</v>
      </c>
      <c r="D132" s="27" t="s">
        <v>103</v>
      </c>
      <c r="E132" s="27">
        <v>-7.83</v>
      </c>
      <c r="F132" s="27"/>
      <c r="G132" s="27"/>
      <c r="H132" s="59" t="e">
        <f t="shared" si="10"/>
        <v>#DIV/0!</v>
      </c>
      <c r="I132" s="27"/>
      <c r="J132" s="27"/>
      <c r="K132" s="27" t="e">
        <f>I132/J132</f>
        <v>#DIV/0!</v>
      </c>
      <c r="O132" s="25">
        <f>10^6*H133/A132/$L$2</f>
        <v>41.86458417196683</v>
      </c>
      <c r="P132" s="54"/>
    </row>
    <row r="133" spans="4:18" s="25" customFormat="1" ht="12.75">
      <c r="D133" s="46" t="s">
        <v>104</v>
      </c>
      <c r="E133" s="46">
        <v>-4.21</v>
      </c>
      <c r="F133" s="27">
        <v>780</v>
      </c>
      <c r="G133" s="27">
        <v>6</v>
      </c>
      <c r="H133" s="57">
        <f t="shared" si="10"/>
        <v>130</v>
      </c>
      <c r="I133" s="27"/>
      <c r="J133" s="27"/>
      <c r="K133" s="27"/>
      <c r="M133" s="25">
        <f>(E133-E136)+(E133-E139)</f>
        <v>-5.638</v>
      </c>
      <c r="N133" s="25">
        <v>335</v>
      </c>
      <c r="O133" s="55">
        <f>N133/M133</f>
        <v>-59.418233416105004</v>
      </c>
      <c r="P133" s="54">
        <f>250*O132*A132*10^-6</f>
        <v>130</v>
      </c>
      <c r="Q133" s="25">
        <f>O133*(E133-E136)</f>
        <v>131.31429584959204</v>
      </c>
      <c r="R133" s="25">
        <f>N133-Q133</f>
        <v>203.68570415040796</v>
      </c>
    </row>
    <row r="134" spans="4:16" s="25" customFormat="1" ht="12.75">
      <c r="D134" s="46" t="s">
        <v>144</v>
      </c>
      <c r="E134" s="46">
        <v>-3.52</v>
      </c>
      <c r="F134" s="27">
        <v>1750</v>
      </c>
      <c r="G134" s="27">
        <v>4</v>
      </c>
      <c r="H134" s="57">
        <f t="shared" si="10"/>
        <v>437.5</v>
      </c>
      <c r="M134" s="25">
        <f>(E134-E135)+(E134-E137)</f>
        <v>-2.71</v>
      </c>
      <c r="N134" s="25">
        <f>5835</f>
        <v>5835</v>
      </c>
      <c r="O134" s="55">
        <f>N134/M134/40</f>
        <v>-53.82841328413284</v>
      </c>
      <c r="P134" s="54">
        <f>250*O134*A132*10^-6</f>
        <v>-167.1506803505535</v>
      </c>
    </row>
    <row r="135" spans="4:8" s="25" customFormat="1" ht="12.75">
      <c r="D135" s="27" t="s">
        <v>96</v>
      </c>
      <c r="E135" s="27">
        <v>-2.33</v>
      </c>
      <c r="F135" s="27"/>
      <c r="G135" s="27"/>
      <c r="H135" s="52" t="e">
        <f t="shared" si="10"/>
        <v>#DIV/0!</v>
      </c>
    </row>
    <row r="136" spans="4:8" s="25" customFormat="1" ht="12.75">
      <c r="D136" s="27" t="s">
        <v>105</v>
      </c>
      <c r="E136" s="27">
        <v>-2</v>
      </c>
      <c r="F136" s="27"/>
      <c r="G136" s="27"/>
      <c r="H136" s="52" t="e">
        <f t="shared" si="10"/>
        <v>#DIV/0!</v>
      </c>
    </row>
    <row r="137" spans="4:8" s="25" customFormat="1" ht="12.75">
      <c r="D137" s="27" t="s">
        <v>87</v>
      </c>
      <c r="E137" s="27">
        <v>-2</v>
      </c>
      <c r="F137" s="27"/>
      <c r="G137" s="27"/>
      <c r="H137" s="52" t="e">
        <f t="shared" si="10"/>
        <v>#DIV/0!</v>
      </c>
    </row>
    <row r="138" spans="4:8" s="25" customFormat="1" ht="12.75">
      <c r="D138" s="27" t="s">
        <v>107</v>
      </c>
      <c r="E138" s="27">
        <v>-1.04</v>
      </c>
      <c r="F138" s="27"/>
      <c r="G138" s="27"/>
      <c r="H138" s="52" t="e">
        <f t="shared" si="10"/>
        <v>#DIV/0!</v>
      </c>
    </row>
    <row r="139" spans="4:8" s="25" customFormat="1" ht="13.5" thickBot="1">
      <c r="D139" s="29" t="s">
        <v>88</v>
      </c>
      <c r="E139" s="29">
        <v>-0.782</v>
      </c>
      <c r="F139" s="29"/>
      <c r="G139" s="29"/>
      <c r="H139" s="53" t="e">
        <f>F139/G139</f>
        <v>#DIV/0!</v>
      </c>
    </row>
    <row r="140" spans="2:8" s="25" customFormat="1" ht="12.75">
      <c r="B140" s="25" t="s">
        <v>101</v>
      </c>
      <c r="D140" s="27"/>
      <c r="E140" s="27"/>
      <c r="F140" s="27"/>
      <c r="G140" s="27"/>
      <c r="H140" s="47"/>
    </row>
    <row r="141" spans="2:8" s="25" customFormat="1" ht="12.75">
      <c r="B141" s="25" t="s">
        <v>146</v>
      </c>
      <c r="C141" s="25">
        <v>28</v>
      </c>
      <c r="D141" s="27"/>
      <c r="E141" s="27"/>
      <c r="F141" s="27"/>
      <c r="G141" s="27"/>
      <c r="H141" s="47"/>
    </row>
    <row r="142" s="26" customFormat="1" ht="13.5" thickBot="1">
      <c r="O142" s="26">
        <f>10^6*H143/A144/$L$2</f>
        <v>39.38523232811479</v>
      </c>
    </row>
    <row r="143" spans="1:18" s="25" customFormat="1" ht="12.75">
      <c r="A143" s="25">
        <v>23</v>
      </c>
      <c r="C143" s="61">
        <v>21</v>
      </c>
      <c r="D143" s="46" t="s">
        <v>104</v>
      </c>
      <c r="E143" s="46">
        <v>-8.08</v>
      </c>
      <c r="F143" s="27">
        <v>1100</v>
      </c>
      <c r="G143" s="27">
        <v>9</v>
      </c>
      <c r="H143" s="57">
        <f aca="true" t="shared" si="11" ref="H143:H151">F143/G143</f>
        <v>122.22222222222223</v>
      </c>
      <c r="M143" s="25">
        <f>(E143-E147)+(E143-E151)</f>
        <v>-6.91</v>
      </c>
      <c r="N143" s="25">
        <v>335</v>
      </c>
      <c r="O143" s="55">
        <f>N143/M143</f>
        <v>-48.480463096960925</v>
      </c>
      <c r="P143" s="54">
        <f>250*O142*A144*10^-6</f>
        <v>122.22222222222221</v>
      </c>
      <c r="Q143" s="25">
        <f>O143*(E143-E147)</f>
        <v>108.11143270622289</v>
      </c>
      <c r="R143" s="25">
        <f>N143-Q143</f>
        <v>226.8885672937771</v>
      </c>
    </row>
    <row r="144" spans="1:16" s="25" customFormat="1" ht="12.75">
      <c r="A144" s="25">
        <f>Details!D43</f>
        <v>12413</v>
      </c>
      <c r="B144" s="25" t="s">
        <v>101</v>
      </c>
      <c r="D144" s="46" t="s">
        <v>144</v>
      </c>
      <c r="E144" s="46">
        <v>-7.5</v>
      </c>
      <c r="F144" s="27">
        <v>1570</v>
      </c>
      <c r="G144" s="27">
        <v>3.5</v>
      </c>
      <c r="H144" s="57">
        <f t="shared" si="11"/>
        <v>448.57142857142856</v>
      </c>
      <c r="I144" s="27"/>
      <c r="J144" s="27"/>
      <c r="K144" s="27" t="e">
        <f>I144/J144</f>
        <v>#DIV/0!</v>
      </c>
      <c r="M144" s="25">
        <f>(E144-E146)+(E144-E145)</f>
        <v>-2.87</v>
      </c>
      <c r="N144" s="25">
        <f>5835</f>
        <v>5835</v>
      </c>
      <c r="O144" s="55">
        <f>N144/M144/40</f>
        <v>-50.82752613240418</v>
      </c>
      <c r="P144" s="54">
        <f>250*O144*A144*10^-6</f>
        <v>-157.73052047038325</v>
      </c>
    </row>
    <row r="145" spans="4:11" s="25" customFormat="1" ht="12.75">
      <c r="D145" s="27" t="s">
        <v>96</v>
      </c>
      <c r="E145" s="25">
        <v>-6.2</v>
      </c>
      <c r="F145" s="27"/>
      <c r="G145" s="27"/>
      <c r="H145" s="57" t="e">
        <f t="shared" si="11"/>
        <v>#DIV/0!</v>
      </c>
      <c r="I145" s="27"/>
      <c r="J145" s="27"/>
      <c r="K145" s="27"/>
    </row>
    <row r="146" spans="4:8" s="25" customFormat="1" ht="12.75">
      <c r="D146" s="27" t="s">
        <v>87</v>
      </c>
      <c r="E146" s="27">
        <v>-5.93</v>
      </c>
      <c r="F146" s="27"/>
      <c r="G146" s="27"/>
      <c r="H146" s="57" t="e">
        <f t="shared" si="11"/>
        <v>#DIV/0!</v>
      </c>
    </row>
    <row r="147" spans="4:8" s="25" customFormat="1" ht="12.75">
      <c r="D147" s="27" t="s">
        <v>105</v>
      </c>
      <c r="E147" s="27">
        <v>-5.85</v>
      </c>
      <c r="F147" s="27"/>
      <c r="G147" s="27"/>
      <c r="H147" s="52" t="e">
        <f t="shared" si="11"/>
        <v>#DIV/0!</v>
      </c>
    </row>
    <row r="148" spans="4:8" s="25" customFormat="1" ht="12.75">
      <c r="D148" s="27" t="s">
        <v>107</v>
      </c>
      <c r="E148" s="27">
        <v>-5.36</v>
      </c>
      <c r="F148" s="27"/>
      <c r="G148" s="27"/>
      <c r="H148" s="52" t="e">
        <f t="shared" si="11"/>
        <v>#DIV/0!</v>
      </c>
    </row>
    <row r="149" spans="4:8" s="25" customFormat="1" ht="12.75">
      <c r="D149" s="27" t="s">
        <v>103</v>
      </c>
      <c r="E149" s="27">
        <v>-3.87</v>
      </c>
      <c r="F149" s="27"/>
      <c r="G149" s="27"/>
      <c r="H149" s="52" t="e">
        <f t="shared" si="11"/>
        <v>#DIV/0!</v>
      </c>
    </row>
    <row r="150" spans="4:8" s="25" customFormat="1" ht="12.75">
      <c r="D150" s="27" t="s">
        <v>70</v>
      </c>
      <c r="E150" s="27">
        <v>-3.6</v>
      </c>
      <c r="F150" s="27"/>
      <c r="G150" s="27"/>
      <c r="H150" s="52" t="e">
        <f t="shared" si="11"/>
        <v>#DIV/0!</v>
      </c>
    </row>
    <row r="151" spans="4:8" s="26" customFormat="1" ht="13.5" thickBot="1">
      <c r="D151" s="29" t="s">
        <v>88</v>
      </c>
      <c r="E151" s="29">
        <v>-3.4</v>
      </c>
      <c r="F151" s="29"/>
      <c r="G151" s="29"/>
      <c r="H151" s="53" t="e">
        <f t="shared" si="11"/>
        <v>#DIV/0!</v>
      </c>
    </row>
    <row r="152" spans="1:5" s="30" customFormat="1" ht="12.75">
      <c r="A152" s="30">
        <v>23</v>
      </c>
      <c r="C152" s="60">
        <v>22</v>
      </c>
      <c r="D152" s="60" t="s">
        <v>70</v>
      </c>
      <c r="E152" s="60">
        <v>-8</v>
      </c>
    </row>
    <row r="153" spans="1:5" s="26" customFormat="1" ht="13.5" thickBot="1">
      <c r="A153" s="26">
        <f>Details!D44</f>
        <v>12323</v>
      </c>
      <c r="B153" s="26" t="s">
        <v>101</v>
      </c>
      <c r="C153" s="26" t="s">
        <v>148</v>
      </c>
      <c r="D153" s="26" t="s">
        <v>103</v>
      </c>
      <c r="E153" s="26">
        <v>-6</v>
      </c>
    </row>
    <row r="154" spans="1:5" s="30" customFormat="1" ht="12.75">
      <c r="A154" s="30">
        <v>23</v>
      </c>
      <c r="C154" s="60">
        <v>23</v>
      </c>
      <c r="D154" s="60" t="s">
        <v>107</v>
      </c>
      <c r="E154" s="60">
        <v>-7.8</v>
      </c>
    </row>
    <row r="155" spans="2:5" s="26" customFormat="1" ht="13.5" thickBot="1">
      <c r="B155" s="26">
        <f>Details!D45</f>
        <v>12100</v>
      </c>
      <c r="C155" s="26" t="s">
        <v>101</v>
      </c>
      <c r="D155" s="26" t="s">
        <v>28</v>
      </c>
      <c r="E155" s="26">
        <v>-8</v>
      </c>
    </row>
    <row r="156" spans="3:5" s="30" customFormat="1" ht="12.75">
      <c r="C156" s="30">
        <v>24</v>
      </c>
      <c r="D156" s="60" t="s">
        <v>107</v>
      </c>
      <c r="E156" s="60">
        <v>-7.84</v>
      </c>
    </row>
    <row r="157" spans="4:5" s="26" customFormat="1" ht="13.5" thickBot="1">
      <c r="D157" s="29" t="s">
        <v>28</v>
      </c>
      <c r="E157" s="29">
        <v>-7.62</v>
      </c>
    </row>
    <row r="158" spans="3:5" s="30" customFormat="1" ht="12.75">
      <c r="C158" s="30">
        <v>27</v>
      </c>
      <c r="D158" s="60" t="s">
        <v>107</v>
      </c>
      <c r="E158" s="60">
        <v>-7.74</v>
      </c>
    </row>
    <row r="159" spans="4:5" s="26" customFormat="1" ht="13.5" thickBot="1">
      <c r="D159" s="29" t="s">
        <v>28</v>
      </c>
      <c r="E159" s="29">
        <v>-7.74</v>
      </c>
    </row>
    <row r="160" spans="3:5" s="30" customFormat="1" ht="12.75">
      <c r="C160" s="30">
        <v>28</v>
      </c>
      <c r="D160" s="60" t="s">
        <v>107</v>
      </c>
      <c r="E160" s="60">
        <v>-7.79</v>
      </c>
    </row>
    <row r="161" spans="4:5" s="26" customFormat="1" ht="13.5" thickBot="1">
      <c r="D161" s="29" t="s">
        <v>28</v>
      </c>
      <c r="E161" s="29"/>
    </row>
    <row r="162" s="25" customFormat="1" ht="12.75">
      <c r="D162" s="27"/>
    </row>
    <row r="163" s="25" customFormat="1" ht="12.75">
      <c r="D163" s="27"/>
    </row>
    <row r="164" s="25" customFormat="1" ht="12.75">
      <c r="D164" s="27"/>
    </row>
    <row r="165" s="25" customFormat="1" ht="12.75"/>
    <row r="166" s="26" customFormat="1" ht="13.5" thickBot="1"/>
    <row r="167" spans="1:5" s="25" customFormat="1" ht="12.75" customHeight="1">
      <c r="A167" s="25">
        <v>23</v>
      </c>
      <c r="C167" s="46">
        <v>29</v>
      </c>
      <c r="D167" s="27" t="s">
        <v>70</v>
      </c>
      <c r="E167" s="27">
        <v>-7.9</v>
      </c>
    </row>
    <row r="168" spans="1:5" s="25" customFormat="1" ht="12.75">
      <c r="A168" s="25">
        <f>Details!D51</f>
        <v>12417</v>
      </c>
      <c r="D168" s="27" t="s">
        <v>103</v>
      </c>
      <c r="E168" s="27">
        <v>-7.7</v>
      </c>
    </row>
    <row r="169" spans="4:16" s="25" customFormat="1" ht="12.75">
      <c r="D169" s="46" t="s">
        <v>104</v>
      </c>
      <c r="E169" s="46">
        <v>-3.9</v>
      </c>
      <c r="F169" s="25">
        <v>780</v>
      </c>
      <c r="G169" s="25">
        <v>6</v>
      </c>
      <c r="H169" s="44">
        <f>F169/G169</f>
        <v>130</v>
      </c>
      <c r="O169" s="25">
        <f>10^6*H169/A168/$L$2</f>
        <v>41.87807038737215</v>
      </c>
      <c r="P169" s="54"/>
    </row>
    <row r="170" spans="4:18" s="25" customFormat="1" ht="12.75">
      <c r="D170" s="46" t="s">
        <v>144</v>
      </c>
      <c r="E170" s="46">
        <v>-3.2</v>
      </c>
      <c r="F170" s="25">
        <v>1750</v>
      </c>
      <c r="G170" s="25">
        <v>4</v>
      </c>
      <c r="H170" s="44">
        <f>F170/G170</f>
        <v>437.5</v>
      </c>
      <c r="M170" s="25">
        <f>(E169-E173)+(E169-E174)</f>
        <v>-5.15</v>
      </c>
      <c r="N170" s="25">
        <v>335</v>
      </c>
      <c r="O170" s="55">
        <f>N170/M170</f>
        <v>-65.04854368932038</v>
      </c>
      <c r="P170" s="54">
        <f>250*O170*A168*10^-6</f>
        <v>-201.92694174757278</v>
      </c>
      <c r="Q170" s="25">
        <f>O169*(E170-E175)</f>
        <v>329.9991946524925</v>
      </c>
      <c r="R170" s="25">
        <f>N170-Q170</f>
        <v>5.00080534750748</v>
      </c>
    </row>
    <row r="171" spans="4:16" s="25" customFormat="1" ht="12.75">
      <c r="D171" s="27" t="s">
        <v>96</v>
      </c>
      <c r="E171" s="27">
        <v>-2.1</v>
      </c>
      <c r="M171" s="25">
        <f>(E170-E171)+(E170-E172)</f>
        <v>-2.2</v>
      </c>
      <c r="N171" s="25">
        <f>5835</f>
        <v>5835</v>
      </c>
      <c r="O171" s="55">
        <f>N171/M171/40</f>
        <v>-66.30681818181817</v>
      </c>
      <c r="P171" s="54">
        <f>250*O172*A168*10^-6</f>
        <v>218.75000000000003</v>
      </c>
    </row>
    <row r="172" spans="4:15" s="25" customFormat="1" ht="12.75">
      <c r="D172" s="27" t="s">
        <v>87</v>
      </c>
      <c r="E172" s="27">
        <v>-2.1</v>
      </c>
      <c r="O172" s="25">
        <f>10^6*H170/A168/$L$2/2</f>
        <v>70.46790690182814</v>
      </c>
    </row>
    <row r="173" spans="4:5" s="25" customFormat="1" ht="12.75">
      <c r="D173" s="27" t="s">
        <v>105</v>
      </c>
      <c r="E173" s="27">
        <v>-1.7</v>
      </c>
    </row>
    <row r="174" spans="4:5" s="26" customFormat="1" ht="13.5" thickBot="1">
      <c r="D174" s="29" t="s">
        <v>88</v>
      </c>
      <c r="E174" s="29">
        <v>-0.95</v>
      </c>
    </row>
    <row r="175" spans="1:8" s="30" customFormat="1" ht="12.75">
      <c r="A175" s="30">
        <v>23</v>
      </c>
      <c r="C175" s="33">
        <v>33</v>
      </c>
      <c r="D175" s="33" t="s">
        <v>104</v>
      </c>
      <c r="E175" s="33">
        <v>-11.08</v>
      </c>
      <c r="F175" s="30">
        <f>870-9</f>
        <v>861</v>
      </c>
      <c r="G175" s="30">
        <v>12</v>
      </c>
      <c r="H175" s="83">
        <f>F175/G175</f>
        <v>71.75</v>
      </c>
    </row>
    <row r="176" spans="1:11" s="25" customFormat="1" ht="12.75">
      <c r="A176" s="25">
        <f>Details!D55</f>
        <v>11523</v>
      </c>
      <c r="C176" s="31"/>
      <c r="D176" s="31" t="s">
        <v>144</v>
      </c>
      <c r="E176" s="31">
        <v>-7.87</v>
      </c>
      <c r="F176" s="25">
        <f>142-31</f>
        <v>111</v>
      </c>
      <c r="G176" s="25">
        <v>2.12</v>
      </c>
      <c r="H176" s="44">
        <f>F176/G176</f>
        <v>52.35849056603773</v>
      </c>
      <c r="I176" s="25">
        <f>1152-42</f>
        <v>1110</v>
      </c>
      <c r="J176" s="25">
        <f>6.43</f>
        <v>6.43</v>
      </c>
      <c r="K176" s="25">
        <f>I176/J176</f>
        <v>172.62830482115086</v>
      </c>
    </row>
    <row r="177" spans="4:16" s="25" customFormat="1" ht="12.75">
      <c r="D177" s="27" t="s">
        <v>87</v>
      </c>
      <c r="E177" s="27">
        <v>-7.3</v>
      </c>
      <c r="O177" s="25">
        <f>10^6*H175/A176/$L$2</f>
        <v>24.906708322485464</v>
      </c>
      <c r="P177" s="54"/>
    </row>
    <row r="178" spans="4:18" s="25" customFormat="1" ht="12.75">
      <c r="D178" s="27" t="s">
        <v>88</v>
      </c>
      <c r="E178" s="27">
        <v>-5.36</v>
      </c>
      <c r="M178" s="25">
        <f>(E175-E177)+(E175-E180)</f>
        <v>-14.36</v>
      </c>
      <c r="N178" s="25">
        <v>335</v>
      </c>
      <c r="O178" s="55">
        <f>N178/M178</f>
        <v>-23.328690807799443</v>
      </c>
      <c r="P178" s="54">
        <f>$L$2*O178*A176*10^-6</f>
        <v>-67.20412604456826</v>
      </c>
      <c r="Q178" s="25">
        <f>O177*(E178-E183)</f>
        <v>132.50368827562266</v>
      </c>
      <c r="R178" s="25">
        <f>N178-Q178</f>
        <v>202.49631172437734</v>
      </c>
    </row>
    <row r="179" spans="4:16" s="25" customFormat="1" ht="12.75">
      <c r="D179" s="27" t="s">
        <v>96</v>
      </c>
      <c r="E179" s="27">
        <v>-3.11</v>
      </c>
      <c r="M179" s="25">
        <f>(E176-E177)+(E176-E179)</f>
        <v>-5.33</v>
      </c>
      <c r="N179" s="25">
        <f>5835</f>
        <v>5835</v>
      </c>
      <c r="O179" s="55">
        <f>N179/M179/40</f>
        <v>-27.368667917448402</v>
      </c>
      <c r="P179" s="54">
        <f>250*O180*A176*10^-6</f>
        <v>172.62830482115086</v>
      </c>
    </row>
    <row r="180" spans="4:15" s="25" customFormat="1" ht="12.75">
      <c r="D180" s="27" t="s">
        <v>105</v>
      </c>
      <c r="E180" s="27">
        <v>-0.5</v>
      </c>
      <c r="O180" s="25">
        <f>10^6*K176/A176/$L$2</f>
        <v>59.92477820746363</v>
      </c>
    </row>
    <row r="181" spans="4:5" s="25" customFormat="1" ht="12.75">
      <c r="D181" s="27" t="s">
        <v>103</v>
      </c>
      <c r="E181" s="27">
        <v>-0.5</v>
      </c>
    </row>
    <row r="182" spans="4:5" s="26" customFormat="1" ht="12" customHeight="1" thickBot="1">
      <c r="D182" s="29" t="s">
        <v>70</v>
      </c>
      <c r="E182" s="29">
        <v>0.5</v>
      </c>
    </row>
    <row r="183" spans="1:8" s="30" customFormat="1" ht="12.75">
      <c r="A183" s="30">
        <v>23</v>
      </c>
      <c r="C183" s="33">
        <v>34</v>
      </c>
      <c r="D183" s="33" t="s">
        <v>104</v>
      </c>
      <c r="E183" s="33">
        <v>-10.68</v>
      </c>
      <c r="F183" s="30">
        <f>554-6</f>
        <v>548</v>
      </c>
      <c r="G183" s="30">
        <v>7.22</v>
      </c>
      <c r="H183" s="83">
        <f>F183/G183</f>
        <v>75.90027700831025</v>
      </c>
    </row>
    <row r="184" spans="1:5" s="25" customFormat="1" ht="12.75">
      <c r="A184" s="25">
        <f>Details!D56</f>
        <v>12037</v>
      </c>
      <c r="C184" s="31"/>
      <c r="D184" s="31" t="s">
        <v>144</v>
      </c>
      <c r="E184" s="31">
        <v>-7.94</v>
      </c>
    </row>
    <row r="185" spans="4:16" s="25" customFormat="1" ht="12.75">
      <c r="D185" s="27" t="s">
        <v>87</v>
      </c>
      <c r="E185" s="27">
        <v>-7.26</v>
      </c>
      <c r="O185" s="25">
        <f>10^6*H183/A184/$L$2</f>
        <v>25.222323505295424</v>
      </c>
      <c r="P185" s="54"/>
    </row>
    <row r="186" spans="4:18" s="25" customFormat="1" ht="12.75">
      <c r="D186" s="27" t="s">
        <v>88</v>
      </c>
      <c r="E186" s="27">
        <v>-5.5</v>
      </c>
      <c r="M186" s="25">
        <f>(E183-E185)+(E183-E190)</f>
        <v>-12.76</v>
      </c>
      <c r="N186" s="25">
        <v>335</v>
      </c>
      <c r="O186" s="55">
        <f>N186/M186</f>
        <v>-26.253918495297807</v>
      </c>
      <c r="P186" s="54">
        <f>$L$2*O186*A184*10^-6</f>
        <v>-79.00460423197492</v>
      </c>
      <c r="Q186" s="25">
        <f>O185*(E186-E191)</f>
        <v>-118.5449204748885</v>
      </c>
      <c r="R186" s="25">
        <f>N186-Q186</f>
        <v>453.5449204748885</v>
      </c>
    </row>
    <row r="187" spans="4:16" s="25" customFormat="1" ht="12.75">
      <c r="D187" s="27" t="s">
        <v>96</v>
      </c>
      <c r="E187" s="27">
        <v>-5.17</v>
      </c>
      <c r="M187" s="25">
        <f>(E184-E185)+(E184-E187)</f>
        <v>-3.450000000000001</v>
      </c>
      <c r="N187" s="25">
        <f>5835</f>
        <v>5835</v>
      </c>
      <c r="O187" s="55">
        <f>N187/M187/40</f>
        <v>-42.282608695652165</v>
      </c>
      <c r="P187" s="54">
        <f>250*O188*A184*10^-6</f>
        <v>0</v>
      </c>
    </row>
    <row r="188" spans="4:15" s="25" customFormat="1" ht="12.75">
      <c r="D188" s="27" t="s">
        <v>103</v>
      </c>
      <c r="E188" s="27">
        <v>-3.37</v>
      </c>
      <c r="O188" s="25">
        <f>10^6*K184/A184/$L$2</f>
        <v>0</v>
      </c>
    </row>
    <row r="189" spans="4:5" s="25" customFormat="1" ht="12.75">
      <c r="D189" s="27" t="s">
        <v>107</v>
      </c>
      <c r="E189" s="27">
        <v>-3.37</v>
      </c>
    </row>
    <row r="190" spans="4:5" s="25" customFormat="1" ht="12.75">
      <c r="D190" s="27" t="s">
        <v>105</v>
      </c>
      <c r="E190" s="27">
        <v>-1.34</v>
      </c>
    </row>
    <row r="191" spans="4:5" s="26" customFormat="1" ht="13.5" thickBot="1">
      <c r="D191" s="29" t="s">
        <v>70</v>
      </c>
      <c r="E191" s="26">
        <v>-0.8</v>
      </c>
    </row>
    <row r="192" spans="1:8" s="30" customFormat="1" ht="12.75">
      <c r="A192" s="30">
        <v>23</v>
      </c>
      <c r="C192" s="33">
        <v>35</v>
      </c>
      <c r="D192" s="33" t="s">
        <v>107</v>
      </c>
      <c r="E192" s="33">
        <v>-7.98</v>
      </c>
      <c r="F192" s="30">
        <f>1830-803</f>
        <v>1027</v>
      </c>
      <c r="G192" s="30">
        <v>1.02</v>
      </c>
      <c r="H192" s="83">
        <f>F192/G192</f>
        <v>1006.8627450980392</v>
      </c>
    </row>
    <row r="193" spans="1:8" s="25" customFormat="1" ht="12.75">
      <c r="A193" s="25">
        <f>Details!D57</f>
        <v>11952</v>
      </c>
      <c r="C193" s="31"/>
      <c r="D193" s="31" t="s">
        <v>28</v>
      </c>
      <c r="E193" s="31">
        <v>-7.98</v>
      </c>
      <c r="F193" s="25">
        <f>670-90</f>
        <v>580</v>
      </c>
      <c r="G193" s="25">
        <v>1.45</v>
      </c>
      <c r="H193" s="25">
        <f>F193/G193</f>
        <v>400</v>
      </c>
    </row>
    <row r="194" spans="4:16" s="25" customFormat="1" ht="12.75">
      <c r="D194" s="27" t="s">
        <v>184</v>
      </c>
      <c r="E194" s="27">
        <v>-7.36</v>
      </c>
      <c r="F194" s="25">
        <f>78-7</f>
        <v>71</v>
      </c>
      <c r="G194" s="25">
        <f>7</f>
        <v>7</v>
      </c>
      <c r="H194" s="25">
        <f>F194/G194</f>
        <v>10.142857142857142</v>
      </c>
      <c r="K194" s="44"/>
      <c r="L194" s="44" t="s">
        <v>100</v>
      </c>
      <c r="M194" s="44">
        <f>(E194-E196)+(E194-E200)</f>
        <v>-9.91</v>
      </c>
      <c r="N194" s="44">
        <v>131</v>
      </c>
      <c r="O194" s="44">
        <f>N194/M194</f>
        <v>-13.218970736629666</v>
      </c>
      <c r="P194" s="54"/>
    </row>
    <row r="195" spans="4:18" s="25" customFormat="1" ht="12.75">
      <c r="D195" s="27" t="s">
        <v>87</v>
      </c>
      <c r="E195" s="27">
        <v>-6.4</v>
      </c>
      <c r="M195" s="25">
        <f>(E192-E194)+(E192-E199)</f>
        <v>-4.12</v>
      </c>
      <c r="N195" s="25">
        <v>335</v>
      </c>
      <c r="O195" s="55">
        <f>N195/M195</f>
        <v>-81.31067961165049</v>
      </c>
      <c r="P195" s="54">
        <f>150*O194*A193*10^-6</f>
        <v>-23.698970736629665</v>
      </c>
      <c r="Q195" s="25">
        <f>O194*(E195-E200)</f>
        <v>100.59636730575177</v>
      </c>
      <c r="R195" s="25">
        <f>N195-Q195</f>
        <v>234.40363269424824</v>
      </c>
    </row>
    <row r="196" spans="4:16" s="25" customFormat="1" ht="12.75">
      <c r="D196" s="27" t="s">
        <v>88</v>
      </c>
      <c r="E196" s="27">
        <v>-6.02</v>
      </c>
      <c r="M196" s="25">
        <f>(E193-E194)+(E193-E196)</f>
        <v>-2.580000000000001</v>
      </c>
      <c r="N196" s="25">
        <f>5835</f>
        <v>5835</v>
      </c>
      <c r="O196" s="55">
        <f>N196/M196/40</f>
        <v>-56.54069767441858</v>
      </c>
      <c r="P196" s="54">
        <f>250*O197*A193*10^-6</f>
        <v>0</v>
      </c>
    </row>
    <row r="197" spans="4:15" s="25" customFormat="1" ht="12.75">
      <c r="D197" s="27" t="s">
        <v>85</v>
      </c>
      <c r="E197" s="27">
        <v>-5.87</v>
      </c>
      <c r="O197" s="25">
        <f>10^6*K193/A193/$L$2</f>
        <v>0</v>
      </c>
    </row>
    <row r="198" spans="4:5" s="25" customFormat="1" ht="12.75">
      <c r="D198" s="27" t="s">
        <v>86</v>
      </c>
      <c r="E198" s="27">
        <v>-5.47</v>
      </c>
    </row>
    <row r="199" spans="4:5" s="25" customFormat="1" ht="12.75">
      <c r="D199" s="27" t="s">
        <v>105</v>
      </c>
      <c r="E199" s="27">
        <v>-4.48</v>
      </c>
    </row>
    <row r="200" spans="4:5" s="26" customFormat="1" ht="13.5" thickBot="1">
      <c r="D200" s="26" t="s">
        <v>70</v>
      </c>
      <c r="E200" s="26">
        <v>1.21</v>
      </c>
    </row>
    <row r="201" spans="1:8" s="30" customFormat="1" ht="12.75">
      <c r="A201" s="30">
        <v>23</v>
      </c>
      <c r="C201" s="33">
        <v>36</v>
      </c>
      <c r="D201" s="33" t="str">
        <f>Details!H58</f>
        <v>B6A10</v>
      </c>
      <c r="E201" s="33">
        <v>-10.176</v>
      </c>
      <c r="F201" s="30">
        <f>591-164</f>
        <v>427</v>
      </c>
      <c r="G201" s="30">
        <f>4.74</f>
        <v>4.74</v>
      </c>
      <c r="H201" s="83">
        <f>F201/G201</f>
        <v>90.084388185654</v>
      </c>
    </row>
    <row r="202" spans="1:8" s="25" customFormat="1" ht="12.75">
      <c r="A202" s="25">
        <f>Details!D58</f>
        <v>12010</v>
      </c>
      <c r="C202" s="31"/>
      <c r="D202" s="31" t="s">
        <v>144</v>
      </c>
      <c r="E202" s="31">
        <v>-7.7</v>
      </c>
      <c r="F202" s="25">
        <f>2451-578</f>
        <v>1873</v>
      </c>
      <c r="G202" s="25">
        <f>5.15</f>
        <v>5.15</v>
      </c>
      <c r="H202" s="25">
        <f>F202/G202</f>
        <v>363.6893203883495</v>
      </c>
    </row>
    <row r="203" spans="4:16" s="25" customFormat="1" ht="12.75">
      <c r="D203" s="27" t="s">
        <v>87</v>
      </c>
      <c r="E203" s="27">
        <v>-6.98</v>
      </c>
      <c r="O203" s="25">
        <f>10^6*H201/A202/$L$2</f>
        <v>30.00312678956003</v>
      </c>
      <c r="P203" s="54"/>
    </row>
    <row r="204" spans="4:18" s="25" customFormat="1" ht="12.75">
      <c r="D204" s="27" t="s">
        <v>88</v>
      </c>
      <c r="E204" s="27">
        <v>-5.19</v>
      </c>
      <c r="M204" s="25">
        <f>(E201-E204)+(E201-E207)</f>
        <v>-14.361999999999998</v>
      </c>
      <c r="N204" s="25">
        <v>335</v>
      </c>
      <c r="O204" s="55">
        <f>N204/M204</f>
        <v>-23.32544213897786</v>
      </c>
      <c r="P204" s="54">
        <f>$L$2*O204*A202*10^-6</f>
        <v>-70.03464002228102</v>
      </c>
      <c r="Q204" s="25">
        <f>O203*(E204-E208)</f>
        <v>-147.8254056921623</v>
      </c>
      <c r="R204" s="25">
        <f>N204-Q204</f>
        <v>482.8254056921623</v>
      </c>
    </row>
    <row r="205" spans="4:16" s="25" customFormat="1" ht="12.75">
      <c r="D205" s="27" t="s">
        <v>96</v>
      </c>
      <c r="E205" s="27">
        <f>-4.89</f>
        <v>-4.89</v>
      </c>
      <c r="M205" s="25">
        <f>(E202-E203)+(E202-E205)</f>
        <v>-3.5300000000000002</v>
      </c>
      <c r="N205" s="25">
        <f>5835</f>
        <v>5835</v>
      </c>
      <c r="O205" s="55">
        <f>N205/M205/40</f>
        <v>-41.32436260623229</v>
      </c>
      <c r="P205" s="54">
        <f>250*O206*A202*10^-6</f>
        <v>0</v>
      </c>
    </row>
    <row r="206" spans="4:15" s="25" customFormat="1" ht="12.75">
      <c r="D206" s="27" t="s">
        <v>103</v>
      </c>
      <c r="E206" s="27">
        <f>-1.52</f>
        <v>-1.52</v>
      </c>
      <c r="O206" s="25">
        <f>10^6*K202/A202/$L$2</f>
        <v>0</v>
      </c>
    </row>
    <row r="207" spans="4:5" s="25" customFormat="1" ht="12.75">
      <c r="D207" s="27" t="s">
        <v>105</v>
      </c>
      <c r="E207" s="27">
        <v>-0.8</v>
      </c>
    </row>
    <row r="208" spans="4:5" s="26" customFormat="1" ht="13.5" thickBot="1">
      <c r="D208" s="29" t="s">
        <v>70</v>
      </c>
      <c r="E208" s="26">
        <v>-0.263</v>
      </c>
    </row>
    <row r="209" spans="1:8" s="30" customFormat="1" ht="12.75">
      <c r="A209" s="30">
        <v>23</v>
      </c>
      <c r="C209" s="33">
        <v>37</v>
      </c>
      <c r="D209" s="33" t="str">
        <f>Details!H59</f>
        <v>B6A10</v>
      </c>
      <c r="E209" s="33">
        <v>-10.37</v>
      </c>
      <c r="F209" s="30">
        <f>558-200</f>
        <v>358</v>
      </c>
      <c r="G209" s="30">
        <f>4.2</f>
        <v>4.2</v>
      </c>
      <c r="H209" s="83">
        <f>F209/G209</f>
        <v>85.23809523809524</v>
      </c>
    </row>
    <row r="210" spans="1:8" s="25" customFormat="1" ht="12.75">
      <c r="A210" s="25">
        <f>Details!D59</f>
        <v>11912</v>
      </c>
      <c r="C210" s="31"/>
      <c r="D210" s="31" t="s">
        <v>144</v>
      </c>
      <c r="E210" s="31">
        <v>-7.49</v>
      </c>
      <c r="F210" s="25">
        <f>2417-465</f>
        <v>1952</v>
      </c>
      <c r="G210" s="25">
        <f>5.56</f>
        <v>5.56</v>
      </c>
      <c r="H210" s="25">
        <f>F210/G210</f>
        <v>351.0791366906475</v>
      </c>
    </row>
    <row r="211" spans="4:16" s="25" customFormat="1" ht="12.75">
      <c r="D211" s="27" t="s">
        <v>87</v>
      </c>
      <c r="E211" s="27">
        <v>-6.9</v>
      </c>
      <c r="O211" s="25">
        <f>10^6*H209/A210/$L$2</f>
        <v>28.62259746074387</v>
      </c>
      <c r="P211" s="54"/>
    </row>
    <row r="212" spans="4:18" s="25" customFormat="1" ht="12.75">
      <c r="D212" s="27" t="s">
        <v>88</v>
      </c>
      <c r="E212" s="27">
        <v>-5.02</v>
      </c>
      <c r="M212" s="25">
        <f>(E209-E212)+(E209-E215)</f>
        <v>-15.166999999999998</v>
      </c>
      <c r="N212" s="25">
        <v>335</v>
      </c>
      <c r="O212" s="55">
        <f>N212/M212</f>
        <v>-22.08742664996374</v>
      </c>
      <c r="P212" s="54">
        <f>250*O212*A210*10^-6</f>
        <v>-65.776356563592</v>
      </c>
      <c r="Q212" s="25">
        <f>O211*(E212-E216)</f>
        <v>-148.49403562633918</v>
      </c>
      <c r="R212" s="25">
        <f>N212-Q212</f>
        <v>483.49403562633915</v>
      </c>
    </row>
    <row r="213" spans="4:16" s="25" customFormat="1" ht="12.75">
      <c r="D213" s="27" t="s">
        <v>96</v>
      </c>
      <c r="E213" s="27">
        <v>-4.04</v>
      </c>
      <c r="M213" s="25">
        <f>(E210-E211)+(E210-E213)</f>
        <v>-4.04</v>
      </c>
      <c r="N213" s="25">
        <f>5835</f>
        <v>5835</v>
      </c>
      <c r="O213" s="55">
        <f>N213/M213/40</f>
        <v>-36.10767326732673</v>
      </c>
      <c r="P213" s="54">
        <f>250*O214*A210*10^-6</f>
        <v>0</v>
      </c>
    </row>
    <row r="214" spans="4:15" s="25" customFormat="1" ht="12.75">
      <c r="D214" s="27" t="s">
        <v>103</v>
      </c>
      <c r="E214" s="27">
        <v>-1.14</v>
      </c>
      <c r="O214" s="25">
        <f>10^6*K210/A210/$L$2</f>
        <v>0</v>
      </c>
    </row>
    <row r="215" spans="4:5" s="25" customFormat="1" ht="12.75">
      <c r="D215" s="27" t="s">
        <v>105</v>
      </c>
      <c r="E215" s="27">
        <v>-0.553</v>
      </c>
    </row>
    <row r="216" spans="4:5" s="26" customFormat="1" ht="13.5" thickBot="1">
      <c r="D216" s="29" t="s">
        <v>70</v>
      </c>
      <c r="E216" s="26">
        <v>0.168</v>
      </c>
    </row>
    <row r="217" spans="1:9" s="30" customFormat="1" ht="12.75">
      <c r="A217" s="30">
        <v>23</v>
      </c>
      <c r="C217" s="33">
        <v>38</v>
      </c>
      <c r="D217" s="33" t="str">
        <f>Details!H60</f>
        <v>B2B3</v>
      </c>
      <c r="E217" s="33">
        <v>-8.39</v>
      </c>
      <c r="F217" s="30">
        <f>2417-104</f>
        <v>2313</v>
      </c>
      <c r="G217" s="30">
        <f>8.75</f>
        <v>8.75</v>
      </c>
      <c r="H217" s="83">
        <f>F217/G217</f>
        <v>264.34285714285716</v>
      </c>
      <c r="I217" s="30" t="s">
        <v>182</v>
      </c>
    </row>
    <row r="218" spans="1:8" s="25" customFormat="1" ht="12.75">
      <c r="A218" s="25">
        <f>Details!D60</f>
        <v>12000</v>
      </c>
      <c r="C218" s="31"/>
      <c r="D218" s="31" t="s">
        <v>98</v>
      </c>
      <c r="E218" s="31">
        <v>-8.07</v>
      </c>
      <c r="F218" s="25">
        <f>590-51</f>
        <v>539</v>
      </c>
      <c r="G218" s="25">
        <f>G217</f>
        <v>8.75</v>
      </c>
      <c r="H218" s="25">
        <f>F218/G218</f>
        <v>61.6</v>
      </c>
    </row>
    <row r="219" spans="4:16" s="25" customFormat="1" ht="12.75">
      <c r="D219" s="27" t="s">
        <v>144</v>
      </c>
      <c r="E219" s="27">
        <v>-4.01</v>
      </c>
      <c r="F219" s="25">
        <f>1444-94</f>
        <v>1350</v>
      </c>
      <c r="G219" s="25">
        <f>4.73</f>
        <v>4.73</v>
      </c>
      <c r="H219" s="25">
        <f>F219/G219</f>
        <v>285.41226215644815</v>
      </c>
      <c r="I219" s="25" t="s">
        <v>183</v>
      </c>
      <c r="O219" s="25">
        <f>10^6*H217/A218/$L$2</f>
        <v>88.11428571428573</v>
      </c>
      <c r="P219" s="54"/>
    </row>
    <row r="220" spans="4:18" s="25" customFormat="1" ht="12.75">
      <c r="D220" s="27" t="s">
        <v>97</v>
      </c>
      <c r="E220" s="27">
        <v>-3.33</v>
      </c>
      <c r="G220" s="27"/>
      <c r="H220" s="27"/>
      <c r="M220" s="25" t="e">
        <f>(E217-H220)+(E217-#REF!)</f>
        <v>#REF!</v>
      </c>
      <c r="N220" s="25">
        <v>335</v>
      </c>
      <c r="O220" s="55" t="e">
        <f>N220/M220</f>
        <v>#REF!</v>
      </c>
      <c r="P220" s="54" t="e">
        <f>250*O220*A218*10^-6</f>
        <v>#REF!</v>
      </c>
      <c r="Q220" s="25" t="e">
        <f>O219*(H221-#REF!)</f>
        <v>#REF!</v>
      </c>
      <c r="R220" s="25" t="e">
        <f>N220-Q220</f>
        <v>#REF!</v>
      </c>
    </row>
    <row r="221" spans="4:16" s="25" customFormat="1" ht="12.75">
      <c r="D221" s="27" t="s">
        <v>75</v>
      </c>
      <c r="E221" s="27">
        <v>-0.18</v>
      </c>
      <c r="G221" s="27"/>
      <c r="H221" s="27"/>
      <c r="M221" s="25">
        <f>(E222-H220)+(E222-H222)</f>
        <v>0.4</v>
      </c>
      <c r="N221" s="25">
        <f>5835</f>
        <v>5835</v>
      </c>
      <c r="O221" s="55">
        <f>N221/M221/40</f>
        <v>364.6875</v>
      </c>
      <c r="P221" s="54">
        <f>250*O222*A218*10^-6</f>
        <v>0</v>
      </c>
    </row>
    <row r="222" spans="4:15" s="25" customFormat="1" ht="13.5" thickBot="1">
      <c r="D222" s="27" t="s">
        <v>96</v>
      </c>
      <c r="E222" s="27">
        <v>0.2</v>
      </c>
      <c r="G222" s="27"/>
      <c r="H222" s="27"/>
      <c r="O222" s="25">
        <f>10^6*K218/A218/$L$2</f>
        <v>0</v>
      </c>
    </row>
    <row r="223" spans="1:8" s="30" customFormat="1" ht="12.75">
      <c r="A223" s="30">
        <v>23</v>
      </c>
      <c r="C223" s="33">
        <v>39</v>
      </c>
      <c r="D223" s="33" t="str">
        <f>Details!H61</f>
        <v>A2A4</v>
      </c>
      <c r="E223" s="33">
        <v>-7.92</v>
      </c>
      <c r="F223" s="30">
        <f>2454-798</f>
        <v>1656</v>
      </c>
      <c r="G223" s="30">
        <v>2.85</v>
      </c>
      <c r="H223" s="83">
        <f>F223/G223</f>
        <v>581.0526315789474</v>
      </c>
    </row>
    <row r="224" spans="1:8" s="25" customFormat="1" ht="12.75">
      <c r="A224" s="25">
        <f>Details!D61</f>
        <v>10370</v>
      </c>
      <c r="C224" s="31"/>
      <c r="D224" s="31" t="s">
        <v>28</v>
      </c>
      <c r="E224" s="31">
        <v>-7.92</v>
      </c>
      <c r="F224" s="25">
        <f>659-108</f>
        <v>551</v>
      </c>
      <c r="G224" s="25">
        <v>1.85</v>
      </c>
      <c r="H224" s="25">
        <f>F224/G224</f>
        <v>297.8378378378378</v>
      </c>
    </row>
    <row r="225" spans="4:16" s="25" customFormat="1" ht="12.75">
      <c r="D225" s="27" t="s">
        <v>184</v>
      </c>
      <c r="E225" s="27">
        <v>-7</v>
      </c>
      <c r="O225" s="25">
        <f>10^6*H223/A224/$L$2</f>
        <v>224.12830533421308</v>
      </c>
      <c r="P225" s="54"/>
    </row>
    <row r="226" spans="3:18" s="25" customFormat="1" ht="12.75">
      <c r="C226" s="27"/>
      <c r="D226" s="27" t="s">
        <v>88</v>
      </c>
      <c r="E226" s="27">
        <v>-4.33</v>
      </c>
      <c r="M226" s="121"/>
      <c r="N226" s="25">
        <v>1510</v>
      </c>
      <c r="O226" s="55" t="e">
        <f>N226/M226</f>
        <v>#DIV/0!</v>
      </c>
      <c r="P226" s="54" t="e">
        <f>250*O226*A224*10^-6</f>
        <v>#DIV/0!</v>
      </c>
      <c r="Q226" s="25" t="e">
        <f>O225*(E226-#REF!)</f>
        <v>#REF!</v>
      </c>
      <c r="R226" s="25" t="e">
        <f>N226-Q226</f>
        <v>#REF!</v>
      </c>
    </row>
    <row r="227" spans="3:16" s="25" customFormat="1" ht="12.75">
      <c r="C227" s="27"/>
      <c r="D227" s="27" t="s">
        <v>85</v>
      </c>
      <c r="E227" s="27">
        <v>-4.07</v>
      </c>
      <c r="M227" s="25">
        <f>(E224-E225)+(E224-E228)</f>
        <v>-5.5600000000000005</v>
      </c>
      <c r="N227" s="25">
        <f>5835</f>
        <v>5835</v>
      </c>
      <c r="O227" s="55">
        <f>N227/M227/40</f>
        <v>-26.236510791366904</v>
      </c>
      <c r="P227" s="54">
        <f>250*O228*A224*10^-6</f>
        <v>0</v>
      </c>
    </row>
    <row r="228" spans="4:15" s="25" customFormat="1" ht="12.75">
      <c r="D228" s="27" t="s">
        <v>87</v>
      </c>
      <c r="E228" s="27">
        <v>-3.28</v>
      </c>
      <c r="O228" s="25">
        <f>10^6*K224/A224/$L$2</f>
        <v>0</v>
      </c>
    </row>
    <row r="229" spans="4:5" s="25" customFormat="1" ht="12.75">
      <c r="D229" s="27" t="s">
        <v>86</v>
      </c>
      <c r="E229" s="27">
        <v>-3.57</v>
      </c>
    </row>
    <row r="230" spans="4:5" s="25" customFormat="1" ht="13.5" thickBot="1">
      <c r="D230" s="27" t="s">
        <v>105</v>
      </c>
      <c r="E230" s="27">
        <v>-0.97</v>
      </c>
    </row>
    <row r="231" spans="1:8" s="30" customFormat="1" ht="12.75">
      <c r="A231" s="30">
        <v>23</v>
      </c>
      <c r="C231" s="33">
        <v>40</v>
      </c>
      <c r="D231" s="33" t="str">
        <f>Details!H62</f>
        <v>A2A4</v>
      </c>
      <c r="E231" s="33">
        <v>-7.75</v>
      </c>
      <c r="F231" s="30">
        <f>2472-756</f>
        <v>1716</v>
      </c>
      <c r="G231" s="30">
        <v>2.54</v>
      </c>
      <c r="H231" s="83">
        <f>F231/G231</f>
        <v>675.5905511811023</v>
      </c>
    </row>
    <row r="232" spans="1:8" s="25" customFormat="1" ht="12.75">
      <c r="A232" s="25">
        <f>Details!D62</f>
        <v>10839</v>
      </c>
      <c r="C232" s="31"/>
      <c r="D232" s="31" t="s">
        <v>28</v>
      </c>
      <c r="E232" s="31">
        <v>7.75</v>
      </c>
      <c r="F232" s="25">
        <f>695-85</f>
        <v>610</v>
      </c>
      <c r="G232" s="25">
        <f>1.94</f>
        <v>1.94</v>
      </c>
      <c r="H232" s="25">
        <f>F232/G232</f>
        <v>314.4329896907217</v>
      </c>
    </row>
    <row r="233" spans="4:16" s="25" customFormat="1" ht="12.75">
      <c r="D233" s="27" t="s">
        <v>184</v>
      </c>
      <c r="E233" s="27">
        <v>-7.01</v>
      </c>
      <c r="O233" s="25">
        <f>10^6*H231/A232/$L$2</f>
        <v>249.31840619286</v>
      </c>
      <c r="P233" s="54"/>
    </row>
    <row r="234" spans="4:18" s="25" customFormat="1" ht="12.75">
      <c r="D234" s="27" t="s">
        <v>88</v>
      </c>
      <c r="E234" s="27">
        <v>-4.9</v>
      </c>
      <c r="M234" s="25">
        <f>(E231-E233)+(E231-E238)</f>
        <v>-6.51</v>
      </c>
      <c r="N234" s="25">
        <v>335</v>
      </c>
      <c r="O234" s="55">
        <f>N234/M234</f>
        <v>-51.45929339477727</v>
      </c>
      <c r="P234" s="54">
        <f>250*O234*A232*10^-6</f>
        <v>-139.44182027649768</v>
      </c>
      <c r="Q234" s="25" t="e">
        <f>O233*(E234-#REF!)</f>
        <v>#REF!</v>
      </c>
      <c r="R234" s="25" t="e">
        <f>N234-Q234</f>
        <v>#REF!</v>
      </c>
    </row>
    <row r="235" spans="4:16" s="25" customFormat="1" ht="12.75">
      <c r="D235" s="27" t="s">
        <v>85</v>
      </c>
      <c r="E235" s="27">
        <v>-4.26</v>
      </c>
      <c r="M235" s="25">
        <f>(E232-E233)+(E232-E235)</f>
        <v>26.77</v>
      </c>
      <c r="N235" s="25">
        <f>5835</f>
        <v>5835</v>
      </c>
      <c r="O235" s="55">
        <f>N235/M235/40</f>
        <v>5.449196862159133</v>
      </c>
      <c r="P235" s="54">
        <f>250*O236*A232*10^-6</f>
        <v>0</v>
      </c>
    </row>
    <row r="236" spans="4:15" s="25" customFormat="1" ht="12.75">
      <c r="D236" s="27" t="s">
        <v>87</v>
      </c>
      <c r="E236" s="27">
        <v>-3.85</v>
      </c>
      <c r="O236" s="25">
        <f>10^6*K232/A232/$L$2</f>
        <v>0</v>
      </c>
    </row>
    <row r="237" spans="4:5" s="25" customFormat="1" ht="12.75">
      <c r="D237" s="27" t="s">
        <v>86</v>
      </c>
      <c r="E237" s="27">
        <v>-3.85</v>
      </c>
    </row>
    <row r="238" spans="4:5" s="26" customFormat="1" ht="13.5" thickBot="1">
      <c r="D238" s="29" t="s">
        <v>105</v>
      </c>
      <c r="E238" s="29">
        <v>-1.98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6:F15"/>
  <sheetViews>
    <sheetView workbookViewId="0" topLeftCell="A1">
      <selection activeCell="E6" sqref="E6:F8"/>
    </sheetView>
  </sheetViews>
  <sheetFormatPr defaultColWidth="9.140625" defaultRowHeight="12.75"/>
  <sheetData>
    <row r="6" spans="2:6" ht="13.5" thickBot="1">
      <c r="B6" t="s">
        <v>198</v>
      </c>
      <c r="C6" t="s">
        <v>199</v>
      </c>
      <c r="E6" t="s">
        <v>198</v>
      </c>
      <c r="F6" t="s">
        <v>199</v>
      </c>
    </row>
    <row r="7" spans="2:6" ht="12.75">
      <c r="B7" s="62" t="s">
        <v>104</v>
      </c>
      <c r="C7" s="62">
        <v>-8.37</v>
      </c>
      <c r="E7" s="62" t="s">
        <v>107</v>
      </c>
      <c r="F7" s="62">
        <v>-7.8</v>
      </c>
    </row>
    <row r="8" spans="2:6" ht="13.5" thickBot="1">
      <c r="B8" s="27" t="s">
        <v>86</v>
      </c>
      <c r="C8" s="27">
        <v>-7.7</v>
      </c>
      <c r="E8" s="26" t="s">
        <v>28</v>
      </c>
      <c r="F8" s="26">
        <v>-8</v>
      </c>
    </row>
    <row r="9" spans="2:3" ht="12.75">
      <c r="B9" s="27" t="s">
        <v>85</v>
      </c>
      <c r="C9" s="27">
        <v>-6.44</v>
      </c>
    </row>
    <row r="10" spans="2:3" ht="12.75">
      <c r="B10" s="27" t="s">
        <v>87</v>
      </c>
      <c r="C10" s="27">
        <v>-6.1</v>
      </c>
    </row>
    <row r="11" spans="2:3" ht="12.75">
      <c r="B11" s="27" t="s">
        <v>105</v>
      </c>
      <c r="C11" s="27">
        <v>-6.1</v>
      </c>
    </row>
    <row r="12" spans="2:3" ht="12.75">
      <c r="B12" s="27" t="s">
        <v>88</v>
      </c>
      <c r="C12" s="27">
        <v>-3.94</v>
      </c>
    </row>
    <row r="13" spans="2:3" ht="12.75">
      <c r="B13" s="27" t="s">
        <v>107</v>
      </c>
      <c r="C13" s="27">
        <v>-3.3</v>
      </c>
    </row>
    <row r="14" spans="2:3" ht="12.75">
      <c r="B14" s="27" t="s">
        <v>70</v>
      </c>
      <c r="C14" s="27">
        <v>-0.038</v>
      </c>
    </row>
    <row r="15" spans="2:3" ht="13.5" thickBot="1">
      <c r="B15" s="29" t="s">
        <v>108</v>
      </c>
      <c r="C15" s="29">
        <v>0.4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6" sqref="A6:IV6"/>
    </sheetView>
  </sheetViews>
  <sheetFormatPr defaultColWidth="9.140625" defaultRowHeight="12.75"/>
  <cols>
    <col min="1" max="1" width="11.8515625" style="0" customWidth="1"/>
    <col min="2" max="2" width="12.57421875" style="0" customWidth="1"/>
    <col min="3" max="6" width="14.8515625" style="0" customWidth="1"/>
    <col min="7" max="7" width="13.8515625" style="0" customWidth="1"/>
  </cols>
  <sheetData>
    <row r="1" spans="1:7" ht="13.5" thickBot="1">
      <c r="A1" s="128" t="s">
        <v>80</v>
      </c>
      <c r="B1" s="129"/>
      <c r="C1" s="129"/>
      <c r="D1" s="129"/>
      <c r="E1" s="129"/>
      <c r="F1" s="129"/>
      <c r="G1" s="117"/>
    </row>
    <row r="2" spans="1:6" ht="12.75">
      <c r="A2" s="118" t="s">
        <v>169</v>
      </c>
      <c r="B2" s="118" t="s">
        <v>5</v>
      </c>
      <c r="C2" s="118" t="s">
        <v>19</v>
      </c>
      <c r="D2" s="119" t="s">
        <v>175</v>
      </c>
      <c r="E2" s="119" t="s">
        <v>177</v>
      </c>
      <c r="F2" s="119" t="s">
        <v>176</v>
      </c>
    </row>
    <row r="3" spans="1:6" ht="12.75">
      <c r="A3" s="103">
        <v>1</v>
      </c>
      <c r="B3" s="103">
        <v>12035</v>
      </c>
      <c r="C3" s="104">
        <v>4.2</v>
      </c>
      <c r="D3" s="105">
        <v>20</v>
      </c>
      <c r="E3" s="103" t="s">
        <v>178</v>
      </c>
      <c r="F3" s="106" t="s">
        <v>178</v>
      </c>
    </row>
    <row r="4" spans="1:6" ht="12.75">
      <c r="A4" s="104">
        <v>2</v>
      </c>
      <c r="B4" s="104">
        <v>12213</v>
      </c>
      <c r="C4" s="104">
        <v>4.2</v>
      </c>
      <c r="D4" s="105">
        <v>20</v>
      </c>
      <c r="E4" s="104" t="s">
        <v>178</v>
      </c>
      <c r="F4" s="107" t="s">
        <v>178</v>
      </c>
    </row>
    <row r="5" spans="1:6" ht="12.75">
      <c r="A5" s="104">
        <v>3</v>
      </c>
      <c r="B5" s="104">
        <v>12407</v>
      </c>
      <c r="C5" s="104">
        <v>4.2</v>
      </c>
      <c r="D5" s="105">
        <v>20</v>
      </c>
      <c r="E5" s="104" t="s">
        <v>178</v>
      </c>
      <c r="F5" s="107" t="s">
        <v>178</v>
      </c>
    </row>
    <row r="6" spans="1:6" ht="12.75">
      <c r="A6" s="104">
        <v>4</v>
      </c>
      <c r="B6" s="104">
        <v>12435</v>
      </c>
      <c r="C6" s="104">
        <v>4.2</v>
      </c>
      <c r="D6" s="105">
        <v>20</v>
      </c>
      <c r="E6" s="104" t="s">
        <v>178</v>
      </c>
      <c r="F6" s="107" t="s">
        <v>178</v>
      </c>
    </row>
    <row r="7" spans="1:6" ht="12.75">
      <c r="A7" s="104">
        <v>5</v>
      </c>
      <c r="B7" s="104">
        <v>12399</v>
      </c>
      <c r="C7" s="104">
        <v>4.2</v>
      </c>
      <c r="D7" s="105">
        <v>20</v>
      </c>
      <c r="E7" s="104" t="s">
        <v>178</v>
      </c>
      <c r="F7" s="107" t="s">
        <v>178</v>
      </c>
    </row>
    <row r="8" spans="1:6" ht="12.75">
      <c r="A8" s="104">
        <v>6</v>
      </c>
      <c r="B8" s="104">
        <v>12432</v>
      </c>
      <c r="C8" s="104">
        <v>4.2</v>
      </c>
      <c r="D8" s="105">
        <v>20</v>
      </c>
      <c r="E8" s="104" t="s">
        <v>178</v>
      </c>
      <c r="F8" s="107" t="s">
        <v>178</v>
      </c>
    </row>
    <row r="9" spans="1:6" ht="12.75">
      <c r="A9" s="104">
        <v>7</v>
      </c>
      <c r="B9" s="104">
        <v>12354</v>
      </c>
      <c r="C9" s="104">
        <v>4.2</v>
      </c>
      <c r="D9" s="105">
        <v>20</v>
      </c>
      <c r="E9" s="104" t="s">
        <v>178</v>
      </c>
      <c r="F9" s="107" t="s">
        <v>178</v>
      </c>
    </row>
    <row r="10" spans="1:6" ht="12.75">
      <c r="A10" s="104">
        <v>8</v>
      </c>
      <c r="B10" s="104">
        <v>12359</v>
      </c>
      <c r="C10" s="104">
        <v>4.2</v>
      </c>
      <c r="D10" s="105">
        <v>20</v>
      </c>
      <c r="E10" s="104" t="s">
        <v>178</v>
      </c>
      <c r="F10" s="107" t="s">
        <v>178</v>
      </c>
    </row>
    <row r="11" spans="1:6" ht="12.75">
      <c r="A11" s="108">
        <v>9</v>
      </c>
      <c r="B11" s="108">
        <v>11348</v>
      </c>
      <c r="C11" s="108">
        <v>1.9</v>
      </c>
      <c r="D11" s="109">
        <v>20</v>
      </c>
      <c r="E11" s="108" t="s">
        <v>178</v>
      </c>
      <c r="F11" s="110" t="s">
        <v>178</v>
      </c>
    </row>
    <row r="12" spans="1:6" ht="12.75">
      <c r="A12" s="108">
        <v>10</v>
      </c>
      <c r="B12" s="108">
        <v>11613</v>
      </c>
      <c r="C12" s="108">
        <v>1.9</v>
      </c>
      <c r="D12" s="109">
        <v>20</v>
      </c>
      <c r="E12" s="108" t="s">
        <v>178</v>
      </c>
      <c r="F12" s="110" t="s">
        <v>178</v>
      </c>
    </row>
    <row r="13" spans="1:6" ht="12.75">
      <c r="A13" s="108">
        <v>11</v>
      </c>
      <c r="B13" s="108">
        <v>11622</v>
      </c>
      <c r="C13" s="108">
        <v>1.9</v>
      </c>
      <c r="D13" s="109">
        <v>20</v>
      </c>
      <c r="E13" s="108" t="s">
        <v>178</v>
      </c>
      <c r="F13" s="110" t="s">
        <v>178</v>
      </c>
    </row>
    <row r="14" spans="1:6" ht="12.75">
      <c r="A14" s="108">
        <v>12</v>
      </c>
      <c r="B14" s="108">
        <v>11350</v>
      </c>
      <c r="C14" s="108">
        <v>1.9</v>
      </c>
      <c r="D14" s="109">
        <v>20</v>
      </c>
      <c r="E14" s="108" t="s">
        <v>178</v>
      </c>
      <c r="F14" s="110" t="s">
        <v>178</v>
      </c>
    </row>
    <row r="15" spans="1:6" ht="12.75">
      <c r="A15" s="108">
        <v>13</v>
      </c>
      <c r="B15" s="108">
        <v>11345</v>
      </c>
      <c r="C15" s="108">
        <v>1.9</v>
      </c>
      <c r="D15" s="109">
        <v>20</v>
      </c>
      <c r="E15" s="108" t="s">
        <v>178</v>
      </c>
      <c r="F15" s="110" t="s">
        <v>178</v>
      </c>
    </row>
    <row r="16" spans="1:6" ht="12.75">
      <c r="A16" s="108">
        <v>14</v>
      </c>
      <c r="B16" s="108">
        <v>11503</v>
      </c>
      <c r="C16" s="108">
        <v>1.9</v>
      </c>
      <c r="D16" s="109">
        <v>20</v>
      </c>
      <c r="E16" s="108" t="s">
        <v>178</v>
      </c>
      <c r="F16" s="110" t="s">
        <v>178</v>
      </c>
    </row>
    <row r="17" spans="1:6" ht="12.75">
      <c r="A17" s="111">
        <v>15</v>
      </c>
      <c r="B17" s="111">
        <v>11642</v>
      </c>
      <c r="C17" s="111">
        <v>2.1</v>
      </c>
      <c r="D17" s="112">
        <v>20</v>
      </c>
      <c r="E17" s="111" t="s">
        <v>178</v>
      </c>
      <c r="F17" s="113" t="s">
        <v>178</v>
      </c>
    </row>
    <row r="18" spans="1:6" ht="12.75">
      <c r="A18" s="111">
        <v>16</v>
      </c>
      <c r="B18" s="111">
        <v>11446</v>
      </c>
      <c r="C18" s="111">
        <v>2.1</v>
      </c>
      <c r="D18" s="112">
        <v>20</v>
      </c>
      <c r="E18" s="111" t="s">
        <v>178</v>
      </c>
      <c r="F18" s="113" t="s">
        <v>178</v>
      </c>
    </row>
    <row r="19" spans="1:6" ht="12.75">
      <c r="A19" s="111">
        <v>17</v>
      </c>
      <c r="B19" s="111">
        <v>11590</v>
      </c>
      <c r="C19" s="111">
        <v>2.1</v>
      </c>
      <c r="D19" s="112">
        <v>20</v>
      </c>
      <c r="E19" s="111" t="s">
        <v>178</v>
      </c>
      <c r="F19" s="113" t="s">
        <v>178</v>
      </c>
    </row>
    <row r="20" spans="1:6" ht="12.75">
      <c r="A20" s="111">
        <v>18</v>
      </c>
      <c r="B20" s="111">
        <v>12085</v>
      </c>
      <c r="C20" s="111">
        <v>2.8</v>
      </c>
      <c r="D20" s="112">
        <v>20</v>
      </c>
      <c r="E20" s="111" t="s">
        <v>178</v>
      </c>
      <c r="F20" s="113" t="s">
        <v>178</v>
      </c>
    </row>
    <row r="21" spans="1:6" ht="12.75">
      <c r="A21" s="104">
        <v>19</v>
      </c>
      <c r="B21" s="104">
        <v>12415</v>
      </c>
      <c r="C21" s="104">
        <v>4.2</v>
      </c>
      <c r="D21" s="105">
        <v>20</v>
      </c>
      <c r="E21" s="104" t="s">
        <v>178</v>
      </c>
      <c r="F21" s="107" t="s">
        <v>178</v>
      </c>
    </row>
    <row r="22" spans="1:6" ht="12.75">
      <c r="A22" s="104">
        <v>20</v>
      </c>
      <c r="B22" s="104">
        <v>12421</v>
      </c>
      <c r="C22" s="104">
        <v>4.2</v>
      </c>
      <c r="D22" s="105">
        <v>20</v>
      </c>
      <c r="E22" s="104" t="s">
        <v>178</v>
      </c>
      <c r="F22" s="107" t="s">
        <v>178</v>
      </c>
    </row>
    <row r="23" spans="1:6" ht="12.75">
      <c r="A23" s="104">
        <v>21</v>
      </c>
      <c r="B23" s="104">
        <v>12413</v>
      </c>
      <c r="C23" s="104">
        <v>4.2</v>
      </c>
      <c r="D23" s="105">
        <v>20</v>
      </c>
      <c r="E23" s="104" t="s">
        <v>178</v>
      </c>
      <c r="F23" s="107" t="s">
        <v>178</v>
      </c>
    </row>
    <row r="24" spans="1:6" ht="12.75">
      <c r="A24" s="104">
        <v>22</v>
      </c>
      <c r="B24" s="104">
        <v>12323</v>
      </c>
      <c r="C24" s="104">
        <v>4.2</v>
      </c>
      <c r="D24" s="105">
        <v>40</v>
      </c>
      <c r="E24" s="104" t="s">
        <v>178</v>
      </c>
      <c r="F24" s="107" t="s">
        <v>178</v>
      </c>
    </row>
    <row r="25" spans="1:6" ht="12.75">
      <c r="A25" s="104">
        <v>23</v>
      </c>
      <c r="B25" s="104">
        <v>12100</v>
      </c>
      <c r="C25" s="104">
        <v>4.2</v>
      </c>
      <c r="D25" s="105">
        <v>60</v>
      </c>
      <c r="E25" s="104" t="s">
        <v>178</v>
      </c>
      <c r="F25" s="107" t="s">
        <v>178</v>
      </c>
    </row>
    <row r="26" spans="1:6" ht="12.75">
      <c r="A26" s="104">
        <v>24</v>
      </c>
      <c r="B26" s="104">
        <v>11725</v>
      </c>
      <c r="C26" s="104">
        <v>4.2</v>
      </c>
      <c r="D26" s="105">
        <v>80</v>
      </c>
      <c r="E26" s="104" t="s">
        <v>178</v>
      </c>
      <c r="F26" s="107" t="s">
        <v>178</v>
      </c>
    </row>
    <row r="27" spans="1:6" ht="12.75">
      <c r="A27" s="104">
        <v>25</v>
      </c>
      <c r="B27" s="104">
        <v>11770</v>
      </c>
      <c r="C27" s="104">
        <v>4.2</v>
      </c>
      <c r="D27" s="105">
        <v>78</v>
      </c>
      <c r="E27" s="104" t="s">
        <v>178</v>
      </c>
      <c r="F27" s="107" t="s">
        <v>178</v>
      </c>
    </row>
    <row r="28" spans="1:6" ht="12.75">
      <c r="A28" s="104">
        <v>26</v>
      </c>
      <c r="B28" s="104">
        <v>11118</v>
      </c>
      <c r="C28" s="104">
        <v>4.2</v>
      </c>
      <c r="D28" s="105">
        <v>100</v>
      </c>
      <c r="E28" s="104" t="s">
        <v>178</v>
      </c>
      <c r="F28" s="107" t="s">
        <v>178</v>
      </c>
    </row>
    <row r="29" spans="1:6" ht="12.75">
      <c r="A29" s="104">
        <v>27</v>
      </c>
      <c r="B29" s="104">
        <v>10922</v>
      </c>
      <c r="C29" s="104">
        <v>4.2</v>
      </c>
      <c r="D29" s="105">
        <v>120</v>
      </c>
      <c r="E29" s="104" t="s">
        <v>178</v>
      </c>
      <c r="F29" s="107" t="s">
        <v>178</v>
      </c>
    </row>
    <row r="30" spans="1:6" ht="12.75">
      <c r="A30" s="104">
        <v>28</v>
      </c>
      <c r="B30" s="104">
        <v>10444</v>
      </c>
      <c r="C30" s="104">
        <v>4.2</v>
      </c>
      <c r="D30" s="105">
        <v>140</v>
      </c>
      <c r="E30" s="104" t="s">
        <v>178</v>
      </c>
      <c r="F30" s="107" t="s">
        <v>178</v>
      </c>
    </row>
    <row r="31" spans="1:6" ht="12.75">
      <c r="A31" s="104">
        <v>29</v>
      </c>
      <c r="B31" s="104">
        <v>12417</v>
      </c>
      <c r="C31" s="104">
        <v>4.2</v>
      </c>
      <c r="D31" s="105">
        <v>20</v>
      </c>
      <c r="E31" s="104" t="s">
        <v>178</v>
      </c>
      <c r="F31" s="107" t="s">
        <v>178</v>
      </c>
    </row>
    <row r="32" spans="1:6" ht="12.75">
      <c r="A32" s="104">
        <v>30</v>
      </c>
      <c r="B32" s="104">
        <v>12466</v>
      </c>
      <c r="C32" s="104">
        <v>4.2</v>
      </c>
      <c r="D32" s="105">
        <v>10</v>
      </c>
      <c r="E32" s="104" t="s">
        <v>178</v>
      </c>
      <c r="F32" s="107" t="s">
        <v>178</v>
      </c>
    </row>
    <row r="33" spans="1:6" ht="12.75">
      <c r="A33" s="104">
        <v>31</v>
      </c>
      <c r="B33" s="104">
        <v>12452</v>
      </c>
      <c r="C33" s="104">
        <v>4.2</v>
      </c>
      <c r="D33" s="105">
        <v>5</v>
      </c>
      <c r="E33" s="104" t="s">
        <v>178</v>
      </c>
      <c r="F33" s="107" t="s">
        <v>178</v>
      </c>
    </row>
    <row r="34" spans="1:6" ht="12.75">
      <c r="A34" s="108">
        <v>32</v>
      </c>
      <c r="B34" s="108">
        <v>11541</v>
      </c>
      <c r="C34" s="108">
        <v>1.9</v>
      </c>
      <c r="D34" s="109">
        <v>50</v>
      </c>
      <c r="E34" s="108" t="s">
        <v>178</v>
      </c>
      <c r="F34" s="110" t="s">
        <v>178</v>
      </c>
    </row>
    <row r="35" spans="1:6" ht="12.75">
      <c r="A35" s="108">
        <v>33</v>
      </c>
      <c r="B35" s="108">
        <v>11523</v>
      </c>
      <c r="C35" s="108">
        <v>1.9</v>
      </c>
      <c r="D35" s="109">
        <v>60</v>
      </c>
      <c r="E35" s="108" t="s">
        <v>178</v>
      </c>
      <c r="F35" s="110" t="s">
        <v>178</v>
      </c>
    </row>
    <row r="36" spans="1:6" ht="12.75">
      <c r="A36" s="108">
        <v>34</v>
      </c>
      <c r="B36" s="108">
        <v>12037</v>
      </c>
      <c r="C36" s="108">
        <v>1.9</v>
      </c>
      <c r="D36" s="109">
        <v>100</v>
      </c>
      <c r="E36" s="108" t="s">
        <v>178</v>
      </c>
      <c r="F36" s="110" t="s">
        <v>178</v>
      </c>
    </row>
    <row r="37" spans="1:6" ht="12.75">
      <c r="A37" s="108">
        <v>35</v>
      </c>
      <c r="B37" s="108">
        <v>11952</v>
      </c>
      <c r="C37" s="108">
        <v>1.9</v>
      </c>
      <c r="D37" s="109">
        <f>Details!C57</f>
        <v>140</v>
      </c>
      <c r="E37" s="108" t="s">
        <v>178</v>
      </c>
      <c r="F37" s="110" t="s">
        <v>178</v>
      </c>
    </row>
    <row r="38" spans="1:6" ht="12.75">
      <c r="A38" s="108">
        <v>36</v>
      </c>
      <c r="B38" s="108">
        <v>12010</v>
      </c>
      <c r="C38" s="108">
        <v>1.9</v>
      </c>
      <c r="D38" s="109">
        <f>Details!C58</f>
        <v>120</v>
      </c>
      <c r="E38" s="108" t="s">
        <v>178</v>
      </c>
      <c r="F38" s="110" t="s">
        <v>178</v>
      </c>
    </row>
    <row r="39" spans="1:6" ht="12.75">
      <c r="A39" s="108">
        <v>37</v>
      </c>
      <c r="B39" s="108">
        <v>11912</v>
      </c>
      <c r="C39" s="108">
        <v>1.9</v>
      </c>
      <c r="D39" s="109">
        <f>Details!C59</f>
        <v>80</v>
      </c>
      <c r="E39" s="108" t="s">
        <v>178</v>
      </c>
      <c r="F39" s="110" t="s">
        <v>178</v>
      </c>
    </row>
    <row r="40" spans="1:6" ht="12.75">
      <c r="A40" s="108">
        <v>38</v>
      </c>
      <c r="B40" s="108">
        <v>12000</v>
      </c>
      <c r="C40" s="108">
        <v>1.9</v>
      </c>
      <c r="D40" s="109">
        <f>Details!C60</f>
        <v>160</v>
      </c>
      <c r="E40" s="108" t="s">
        <v>178</v>
      </c>
      <c r="F40" s="110" t="s">
        <v>178</v>
      </c>
    </row>
    <row r="41" spans="1:6" ht="12.75">
      <c r="A41" s="108">
        <v>39</v>
      </c>
      <c r="B41" s="108">
        <v>10370</v>
      </c>
      <c r="C41" s="108">
        <v>1.9</v>
      </c>
      <c r="D41" s="109">
        <f>Details!C61</f>
        <v>200</v>
      </c>
      <c r="E41" s="108" t="s">
        <v>178</v>
      </c>
      <c r="F41" s="110" t="s">
        <v>178</v>
      </c>
    </row>
    <row r="42" spans="1:6" ht="12.75">
      <c r="A42" s="114">
        <v>40</v>
      </c>
      <c r="B42" s="114">
        <v>10839</v>
      </c>
      <c r="C42" s="114">
        <v>1.9</v>
      </c>
      <c r="D42" s="115">
        <f>Details!C62</f>
        <v>180</v>
      </c>
      <c r="E42" s="114" t="s">
        <v>178</v>
      </c>
      <c r="F42" s="116" t="s">
        <v>178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mbajko</dc:creator>
  <cp:keywords/>
  <dc:description/>
  <cp:lastModifiedBy>mbajko</cp:lastModifiedBy>
  <dcterms:created xsi:type="dcterms:W3CDTF">2008-06-04T11:49:37Z</dcterms:created>
  <dcterms:modified xsi:type="dcterms:W3CDTF">2008-06-26T15:24:32Z</dcterms:modified>
  <cp:category/>
  <cp:version/>
  <cp:contentType/>
  <cp:contentStatus/>
</cp:coreProperties>
</file>