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900" windowWidth="20540" windowHeight="13200" tabRatio="725" activeTab="10"/>
  </bookViews>
  <sheets>
    <sheet name="Beta_N" sheetId="1" r:id="rId1"/>
    <sheet name="TF_outer" sheetId="2" r:id="rId2"/>
    <sheet name="Shape" sheetId="3" r:id="rId3"/>
    <sheet name="TF_inductance" sheetId="4" r:id="rId4"/>
    <sheet name="TF_Heating" sheetId="5" r:id="rId5"/>
    <sheet name="TF_Stress" sheetId="6" r:id="rId6"/>
    <sheet name="Blanket" sheetId="7" r:id="rId7"/>
    <sheet name="TC" sheetId="8" r:id="rId8"/>
    <sheet name="Tritium" sheetId="9" r:id="rId9"/>
    <sheet name="Divertor" sheetId="10" r:id="rId10"/>
    <sheet name="Base" sheetId="11" r:id="rId11"/>
  </sheets>
  <definedNames>
    <definedName name="A">'Base'!$B$14</definedName>
    <definedName name="A_div_peal">'Base'!#REF!</definedName>
    <definedName name="A_fw">'Base'!$B$158</definedName>
    <definedName name="A_plasma">'Base'!$B$157</definedName>
    <definedName name="alpha_N">'Base'!$B$57</definedName>
    <definedName name="alpha_nbi">'Base'!$B$91</definedName>
    <definedName name="alpha_T">'Base'!$B$58</definedName>
    <definedName name="alpha_Ttest">'Tritium'!$D$45</definedName>
    <definedName name="ane">'Base'!$B$79</definedName>
    <definedName name="anscount" hidden="1">2</definedName>
    <definedName name="Anwall">'Blanket'!#REF!</definedName>
    <definedName name="Anwall_target">'Base'!#REF!</definedName>
    <definedName name="Beta_N">'Base'!$B$60</definedName>
    <definedName name="Beta_n_total">'Base'!$B$63</definedName>
    <definedName name="Beta_P">'Base'!$B$65</definedName>
    <definedName name="Beta_T">'Base'!$B$64</definedName>
    <definedName name="Bmax">'TF_Stress'!$B$1</definedName>
    <definedName name="bp">'Blanket'!$G$2</definedName>
    <definedName name="Bt">'Base'!$B$30</definedName>
    <definedName name="C_ejima">'Base'!$B$184</definedName>
    <definedName name="CoeffCu">'TF_Heating'!$B$31</definedName>
    <definedName name="CSAcenter">'TF_Heating'!$B$11</definedName>
    <definedName name="CSAends">'TF_Heating'!$B$12</definedName>
    <definedName name="CSAH20">'TF_Heating'!$B$13</definedName>
    <definedName name="d">'Shape'!$B$75</definedName>
    <definedName name="delta">'Base'!$B$19</definedName>
    <definedName name="deltaR">'TF_inductance'!$B$16</definedName>
    <definedName name="DensCu">'TF_Heating'!$B$29</definedName>
    <definedName name="DensH20">'TF_Heating'!$B$23</definedName>
    <definedName name="dr">'Base'!$B$102</definedName>
    <definedName name="drfw">'Base'!$B$26</definedName>
    <definedName name="drtf">'Base'!$B$27</definedName>
    <definedName name="dTheta">'Shape'!$B$70</definedName>
    <definedName name="dztfmiddle">'Base'!$B$35</definedName>
    <definedName name="e">'Base'!$B$16</definedName>
    <definedName name="E_nbi">'Base'!$B$90</definedName>
    <definedName name="Eta_CD">'Base'!$B$70</definedName>
    <definedName name="Eta_neo">'Base'!$B$171</definedName>
    <definedName name="f_CS">'Blanket'!$B$25</definedName>
    <definedName name="f_DIV">'Blanket'!#REF!</definedName>
    <definedName name="fBS">'Base'!$B$69</definedName>
    <definedName name="FF">'Base'!$B$182</definedName>
    <definedName name="fGW">'Base'!$B$77</definedName>
    <definedName name="fimp">'Base'!$B$84</definedName>
    <definedName name="FlowH20">'TF_Heating'!$B$19</definedName>
    <definedName name="fN">'Blanket'!$B$44</definedName>
    <definedName name="fpeak_fw">'Base'!$B$10</definedName>
    <definedName name="Fprof">'Base'!$B$94</definedName>
    <definedName name="fracwater">'Base'!$B$28</definedName>
    <definedName name="frad">'Base'!$B$81</definedName>
    <definedName name="frad_core">'Base'!$B$159</definedName>
    <definedName name="frad_core_limit">'Base'!$B$11</definedName>
    <definedName name="frad_core_min">'Base'!$B$146</definedName>
    <definedName name="frad_div">'Base'!$B$151</definedName>
    <definedName name="frad_div_limit">'Base'!$B$8</definedName>
    <definedName name="halfht">'TF_inductance'!$B$5</definedName>
    <definedName name="Hcordy">'Base'!#REF!</definedName>
    <definedName name="height">'TF_inductance'!$B$6</definedName>
    <definedName name="HH">'Base'!$B$144</definedName>
    <definedName name="Ip">'Base'!$B$42</definedName>
    <definedName name="Itf">'Base'!$B$31</definedName>
    <definedName name="Javgtf">'Base'!$B$25</definedName>
    <definedName name="k">'Shape'!$B$74</definedName>
    <definedName name="kappa">'Base'!$B$18</definedName>
    <definedName name="lambda_div">'Base'!$B$150</definedName>
    <definedName name="Lext">'Base'!$B$181</definedName>
    <definedName name="Li">'Base'!$B$180</definedName>
    <definedName name="limcount" hidden="1">1</definedName>
    <definedName name="Massflow">'TF_Heating'!$B$27</definedName>
    <definedName name="mp">'Blanket'!$G$1</definedName>
    <definedName name="mu0">'Base'!$B$12</definedName>
    <definedName name="Npassage">'TF_Heating'!$B$15</definedName>
    <definedName name="nrdiv">'Base'!$B$100</definedName>
    <definedName name="NSW">'Base'!$B$201</definedName>
    <definedName name="Nu">'TF_Stress'!$B$2</definedName>
    <definedName name="OSOL">'Shape'!$B$7</definedName>
    <definedName name="P_alpha">'Base'!$B$125</definedName>
    <definedName name="P_alpha_tc">'Base'!#REF!</definedName>
    <definedName name="P_aux">'Base'!$B$73</definedName>
    <definedName name="P_Brem">'Base'!$B$99</definedName>
    <definedName name="P_CD">'Base'!$B$71</definedName>
    <definedName name="P_div">'Base'!$B$152</definedName>
    <definedName name="P_div_particle">'Base'!#REF!</definedName>
    <definedName name="P_div_rad">'Base'!#REF!</definedName>
    <definedName name="P_Elec_gen">'Base'!$B$193</definedName>
    <definedName name="P_elec_out">'Base'!$B$193</definedName>
    <definedName name="P_elecinput">'Base'!$B$197</definedName>
    <definedName name="P_fus_target">'Base'!#REF!</definedName>
    <definedName name="P_fusion">'Base'!$B$74</definedName>
    <definedName name="P_fusion_tc">'Base'!$B$96</definedName>
    <definedName name="P_fw">'Base'!$B$160</definedName>
    <definedName name="P_Input">'Base'!#REF!</definedName>
    <definedName name="P_line">'Base'!$B$156</definedName>
    <definedName name="P_loss">'Base'!#REF!</definedName>
    <definedName name="P_net">'Base'!$B$198</definedName>
    <definedName name="P_Output">'Base'!#REF!</definedName>
    <definedName name="P_sol">'Base'!$B$147</definedName>
    <definedName name="pf">'Base'!$B$66</definedName>
    <definedName name="PrandtLH20">'TF_Heating'!$B$25</definedName>
    <definedName name="_xlnm.Print_Area" localSheetId="10">'Base'!$A$202:$D$210</definedName>
    <definedName name="_xlnm.Print_Area" localSheetId="2">'Shape'!$A$8:$E$20</definedName>
    <definedName name="ptc">'Base'!$B$93</definedName>
    <definedName name="Q">'Base'!$B$75</definedName>
    <definedName name="Q_div">'Base'!$B$154</definedName>
    <definedName name="Q_div_limit">'Base'!$B$7</definedName>
    <definedName name="Q_elec">'Base'!$B$199</definedName>
    <definedName name="Q_engr">'Base'!#REF!</definedName>
    <definedName name="Q_fw">'Base'!$B$161</definedName>
    <definedName name="Q_fw_limit">'Base'!$B$9</definedName>
    <definedName name="qcyl">'Base'!$B$21</definedName>
    <definedName name="qMHD">'Base'!$B$24</definedName>
    <definedName name="Qn_target">'Base'!$B$1</definedName>
    <definedName name="Qn_tm">'Base'!$B$164</definedName>
    <definedName name="Qnbi0">'Base'!$B$101</definedName>
    <definedName name="Qtc_15">'Base'!$B$92</definedName>
    <definedName name="R0">'Base'!$B$13</definedName>
    <definedName name="ReoRm">'Base'!$B$37</definedName>
    <definedName name="ResCu">'TF_Heating'!$B$32</definedName>
    <definedName name="Reynolds">'TF_Heating'!$B$26</definedName>
    <definedName name="rinner1">'TF_inductance'!$B$1</definedName>
    <definedName name="rinner2">'TF_inductance'!$B$2</definedName>
    <definedName name="Rmassflow">'TF_Heating'!$B$28</definedName>
    <definedName name="router1">'TF_inductance'!$B$3</definedName>
    <definedName name="router2">'TF_inductance'!$B$4</definedName>
    <definedName name="s">'Base'!$B$23</definedName>
    <definedName name="sencount" hidden="1">1</definedName>
    <definedName name="SHCu">'TF_Heating'!$B$30</definedName>
    <definedName name="SHH20">'TF_Heating'!$B$21</definedName>
    <definedName name="Sigmax">'Base'!$B$34</definedName>
    <definedName name="slope">'TF_inductance'!$B$8</definedName>
    <definedName name="sMHD">'Base'!$B$22</definedName>
    <definedName name="solver_adj" localSheetId="10" hidden="1">'Base'!$B$81,'Base'!$B$77,'Base'!$B$60,'Base'!$B$70,'Base'!$B$25,'Base'!$B$28,'Base'!$B$21,'Base'!$B$74</definedName>
    <definedName name="solver_adj" localSheetId="6" hidden="1">'Blanket'!$P$2,'Blanket'!$P$3</definedName>
    <definedName name="solver_cvg" localSheetId="10" hidden="1">0.00001</definedName>
    <definedName name="solver_cvg" localSheetId="6" hidden="1">0.0001</definedName>
    <definedName name="solver_drv" localSheetId="10" hidden="1">2</definedName>
    <definedName name="solver_drv" localSheetId="6" hidden="1">1</definedName>
    <definedName name="solver_est" localSheetId="10" hidden="1">2</definedName>
    <definedName name="solver_est" localSheetId="6" hidden="1">1</definedName>
    <definedName name="solver_itr" localSheetId="10" hidden="1">200</definedName>
    <definedName name="solver_itr" localSheetId="6" hidden="1">100</definedName>
    <definedName name="solver_lhs0" localSheetId="10" hidden="1">'Base'!$B$78</definedName>
    <definedName name="solver_lhs1" localSheetId="10" hidden="1">'Base'!$B$77</definedName>
    <definedName name="solver_lhs10" localSheetId="10" hidden="1">'Base'!$B$159</definedName>
    <definedName name="solver_lhs11" localSheetId="10" hidden="1">'Base'!$B$81</definedName>
    <definedName name="solver_lhs12" localSheetId="10" hidden="1">'Base'!$B$42</definedName>
    <definedName name="solver_lhs13" localSheetId="10" hidden="1">'Base'!$B$28</definedName>
    <definedName name="solver_lhs14" localSheetId="10" hidden="1">'Base'!$B$144</definedName>
    <definedName name="solver_lhs15" localSheetId="10" hidden="1">'Base'!$B$87</definedName>
    <definedName name="solver_lhs16" localSheetId="10" hidden="1">'Base'!$B$154</definedName>
    <definedName name="solver_lhs17" localSheetId="10" hidden="1">'Base'!$B$77</definedName>
    <definedName name="solver_lhs18" localSheetId="10" hidden="1">'Base'!$B$33</definedName>
    <definedName name="solver_lhs19" localSheetId="10" hidden="1">'Base'!$B$34</definedName>
    <definedName name="solver_lhs2" localSheetId="10" hidden="1">'Base'!$B$21</definedName>
    <definedName name="solver_lhs20" localSheetId="10" hidden="1">'Base'!$B$161</definedName>
    <definedName name="solver_lhs21" localSheetId="10" hidden="1">'Base'!$B$63</definedName>
    <definedName name="solver_lhs22" localSheetId="10" hidden="1">'Base'!$B$164</definedName>
    <definedName name="solver_lhs23" localSheetId="10" hidden="1">'Base'!$B$162</definedName>
    <definedName name="solver_lhs24" localSheetId="10" hidden="1">'Base'!#REF!</definedName>
    <definedName name="solver_lhs25" localSheetId="10" hidden="1">'Base'!$B$70</definedName>
    <definedName name="solver_lhs3" localSheetId="10" hidden="1">'Base'!$B$129</definedName>
    <definedName name="solver_lhs4" localSheetId="10" hidden="1">'Base'!$B$151</definedName>
    <definedName name="solver_lhs5" localSheetId="10" hidden="1">'Base'!$B$70</definedName>
    <definedName name="solver_lhs6" localSheetId="10" hidden="1">'Base'!$B$69</definedName>
    <definedName name="solver_lhs7" localSheetId="10" hidden="1">'Base'!$B$70</definedName>
    <definedName name="solver_lhs8" localSheetId="10" hidden="1">'Base'!$B$28</definedName>
    <definedName name="solver_lhs9" localSheetId="10" hidden="1">'Base'!$B$127</definedName>
    <definedName name="solver_lin" localSheetId="10" hidden="1">2</definedName>
    <definedName name="solver_lin" localSheetId="6" hidden="1">2</definedName>
    <definedName name="solver_neg" localSheetId="10" hidden="1">1</definedName>
    <definedName name="solver_neg" localSheetId="6" hidden="1">2</definedName>
    <definedName name="solver_num" localSheetId="10" hidden="1">22</definedName>
    <definedName name="solver_num" localSheetId="6" hidden="1">0</definedName>
    <definedName name="solver_nwt" localSheetId="10" hidden="1">1</definedName>
    <definedName name="solver_nwt" localSheetId="6" hidden="1">1</definedName>
    <definedName name="solver_opt" localSheetId="10" hidden="1">'Base'!$B$73</definedName>
    <definedName name="solver_opt" localSheetId="6" hidden="1">'Blanket'!$R$20</definedName>
    <definedName name="solver_pre" localSheetId="10" hidden="1">0.000001</definedName>
    <definedName name="solver_pre" localSheetId="6" hidden="1">0.000001</definedName>
    <definedName name="solver_rel0" localSheetId="10" hidden="1">2</definedName>
    <definedName name="solver_rel1" localSheetId="10" hidden="1">3</definedName>
    <definedName name="solver_rel10" localSheetId="10" hidden="1">1</definedName>
    <definedName name="solver_rel11" localSheetId="10" hidden="1">3</definedName>
    <definedName name="solver_rel12" localSheetId="10" hidden="1">1</definedName>
    <definedName name="solver_rel13" localSheetId="10" hidden="1">1</definedName>
    <definedName name="solver_rel14" localSheetId="10" hidden="1">2</definedName>
    <definedName name="solver_rel15" localSheetId="10" hidden="1">1</definedName>
    <definedName name="solver_rel16" localSheetId="10" hidden="1">1</definedName>
    <definedName name="solver_rel17" localSheetId="10" hidden="1">1</definedName>
    <definedName name="solver_rel18" localSheetId="10" hidden="1">1</definedName>
    <definedName name="solver_rel19" localSheetId="10" hidden="1">1</definedName>
    <definedName name="solver_rel2" localSheetId="10" hidden="1">3</definedName>
    <definedName name="solver_rel20" localSheetId="10" hidden="1">1</definedName>
    <definedName name="solver_rel21" localSheetId="10" hidden="1">1</definedName>
    <definedName name="solver_rel22" localSheetId="10" hidden="1">2</definedName>
    <definedName name="solver_rel23" localSheetId="10" hidden="1">2</definedName>
    <definedName name="solver_rel24" localSheetId="10" hidden="1">1</definedName>
    <definedName name="solver_rel25" localSheetId="10" hidden="1">3</definedName>
    <definedName name="solver_rel3" localSheetId="10" hidden="1">2</definedName>
    <definedName name="solver_rel4" localSheetId="10" hidden="1">1</definedName>
    <definedName name="solver_rel5" localSheetId="10" hidden="1">1</definedName>
    <definedName name="solver_rel6" localSheetId="10" hidden="1">1</definedName>
    <definedName name="solver_rel7" localSheetId="10" hidden="1">3</definedName>
    <definedName name="solver_rel8" localSheetId="10" hidden="1">3</definedName>
    <definedName name="solver_rel9" localSheetId="10" hidden="1">2</definedName>
    <definedName name="solver_rhs0" localSheetId="10" hidden="1">160000000000000000000</definedName>
    <definedName name="solver_rhs1" localSheetId="10" hidden="1">0.1</definedName>
    <definedName name="solver_rhs10" localSheetId="10" hidden="1">'Base'!$B$11</definedName>
    <definedName name="solver_rhs11" localSheetId="10" hidden="1">0</definedName>
    <definedName name="solver_rhs12" localSheetId="10" hidden="1">'Base'!$B$3</definedName>
    <definedName name="solver_rhs13" localSheetId="10" hidden="1">0.25</definedName>
    <definedName name="solver_rhs14" localSheetId="10" hidden="1">'Base'!$B$2</definedName>
    <definedName name="solver_rhs15" localSheetId="10" hidden="1">'Base'!$B$4</definedName>
    <definedName name="solver_rhs16" localSheetId="10" hidden="1">'Base'!$B$7</definedName>
    <definedName name="solver_rhs17" localSheetId="10" hidden="1">1</definedName>
    <definedName name="solver_rhs18" localSheetId="10" hidden="1">'Base'!$B$5</definedName>
    <definedName name="solver_rhs19" localSheetId="10" hidden="1">'Base'!$B$6</definedName>
    <definedName name="solver_rhs2" localSheetId="10" hidden="1">'Base'!$B$20</definedName>
    <definedName name="solver_rhs20" localSheetId="10" hidden="1">'Base'!$B$9</definedName>
    <definedName name="solver_rhs21" localSheetId="10" hidden="1">'Base'!$B$59</definedName>
    <definedName name="solver_rhs22" localSheetId="10" hidden="1">'Base'!$B$1</definedName>
    <definedName name="solver_rhs23" localSheetId="10" hidden="1">'Base'!$B$1</definedName>
    <definedName name="solver_rhs24" localSheetId="10" hidden="1">1</definedName>
    <definedName name="solver_rhs25" localSheetId="10" hidden="1">0.01</definedName>
    <definedName name="solver_rhs3" localSheetId="10" hidden="1">0</definedName>
    <definedName name="solver_rhs4" localSheetId="10" hidden="1">'Base'!$B$8</definedName>
    <definedName name="solver_rhs5" localSheetId="10" hidden="1">'Base'!$B$97</definedName>
    <definedName name="solver_rhs6" localSheetId="10" hidden="1">0.9</definedName>
    <definedName name="solver_rhs7" localSheetId="10" hidden="1">0.01</definedName>
    <definedName name="solver_rhs8" localSheetId="10" hidden="1">0.05</definedName>
    <definedName name="solver_rhs9" localSheetId="10" hidden="1">0</definedName>
    <definedName name="solver_scl" localSheetId="10" hidden="1">1</definedName>
    <definedName name="solver_scl" localSheetId="6" hidden="1">2</definedName>
    <definedName name="solver_sho" localSheetId="10" hidden="1">2</definedName>
    <definedName name="solver_sho" localSheetId="6" hidden="1">2</definedName>
    <definedName name="solver_tim" localSheetId="10" hidden="1">100</definedName>
    <definedName name="solver_tim" localSheetId="6" hidden="1">100</definedName>
    <definedName name="solver_tol" localSheetId="10" hidden="1">0.01</definedName>
    <definedName name="solver_tol" localSheetId="6" hidden="1">0.05</definedName>
    <definedName name="solver_typ" localSheetId="10" hidden="1">2</definedName>
    <definedName name="solver_typ" localSheetId="6" hidden="1">2</definedName>
    <definedName name="solver_val" localSheetId="10" hidden="1">1</definedName>
    <definedName name="solver_val" localSheetId="6" hidden="1">0</definedName>
    <definedName name="T_flat">'Base'!$B$183</definedName>
    <definedName name="Tau">'Tritium'!$C$2</definedName>
    <definedName name="Tau_e">'Base'!$B$143</definedName>
    <definedName name="Tavg_ndw">'Base'!$B$89</definedName>
    <definedName name="TconH20">'TF_Heating'!$B$24</definedName>
    <definedName name="TCumax">'Base'!$B$33</definedName>
    <definedName name="Temp0">'Base'!$B$87</definedName>
    <definedName name="Temp0test">'Tritium'!$D$44</definedName>
    <definedName name="Tempavg">'Base'!$B$88</definedName>
    <definedName name="TH20max">'Base'!$B$32</definedName>
    <definedName name="tpote">'Base'!$B$80</definedName>
    <definedName name="ViscH20">'TF_Heating'!$B$22</definedName>
    <definedName name="vol">'Base'!$B$130</definedName>
    <definedName name="WP">'TF_Heating'!$B$18</definedName>
    <definedName name="Wtot">'Base'!$B$142</definedName>
    <definedName name="X">'Base'!#REF!</definedName>
    <definedName name="xa">'Blanket'!$P$2</definedName>
    <definedName name="xb">'Blanket'!$P$3</definedName>
    <definedName name="xk1">'Blanket'!$L$2</definedName>
    <definedName name="xk2">'Blanket'!$L$3</definedName>
    <definedName name="xnDT">'Base'!$B$85</definedName>
    <definedName name="xne">'Base'!$B$78</definedName>
    <definedName name="xnHe">'Base'!$B$82</definedName>
    <definedName name="xnTotal">'Base'!$B$86</definedName>
    <definedName name="Xnum">'Base'!#REF!</definedName>
    <definedName name="Xnwall">'Base'!$B$162</definedName>
    <definedName name="Xnwall_target">'Base'!$B$1</definedName>
    <definedName name="Zeff">'Base'!$B$98</definedName>
    <definedName name="Zimp">'Base'!$B$83</definedName>
    <definedName name="zmax">'Blanket'!$F$29</definedName>
  </definedNames>
  <calcPr fullCalcOnLoad="1"/>
</workbook>
</file>

<file path=xl/sharedStrings.xml><?xml version="1.0" encoding="utf-8"?>
<sst xmlns="http://schemas.openxmlformats.org/spreadsheetml/2006/main" count="710" uniqueCount="513">
  <si>
    <t>(Error)^2</t>
  </si>
  <si>
    <t>Area Requirement</t>
  </si>
  <si>
    <t>Actual Test Module Weighted Area</t>
  </si>
  <si>
    <t>(B54-0.5)*dr</t>
  </si>
  <si>
    <t>(B55-0.5)*dr</t>
  </si>
  <si>
    <t>P_alpha_target</t>
  </si>
  <si>
    <t>tau_p/tau_E</t>
  </si>
  <si>
    <t>P_bop</t>
  </si>
  <si>
    <t>P_net elec</t>
  </si>
  <si>
    <t>∑P_elec input</t>
  </si>
  <si>
    <t>Tau_E</t>
  </si>
  <si>
    <t>P_loss</t>
  </si>
  <si>
    <t>Tau_E*HH</t>
  </si>
  <si>
    <t>fBS</t>
  </si>
  <si>
    <t>P_CD</t>
  </si>
  <si>
    <t>Eta_CD</t>
  </si>
  <si>
    <t>difcalc (frad)</t>
  </si>
  <si>
    <t>P_CD/P_aux</t>
  </si>
  <si>
    <t>Beta_T</t>
  </si>
  <si>
    <t>(1+kappa^2)</t>
  </si>
  <si>
    <t>qMHD*s/sMHD</t>
  </si>
  <si>
    <t>Ip*Beta_N/R0/e/Bt</t>
  </si>
  <si>
    <t>Q_fw_limit</t>
  </si>
  <si>
    <t>(B41-0.5)*dr</t>
  </si>
  <si>
    <t>P_tf_inner</t>
  </si>
  <si>
    <t>∑P_tf</t>
  </si>
  <si>
    <t>P_tf_outer</t>
  </si>
  <si>
    <t>A/m^2</t>
  </si>
  <si>
    <t>m^2</t>
  </si>
  <si>
    <t>R_horizon_avg</t>
  </si>
  <si>
    <t>Thk_horizon</t>
  </si>
  <si>
    <t>Thk_vert</t>
  </si>
  <si>
    <t>R_vert</t>
  </si>
  <si>
    <t>A_vert</t>
  </si>
  <si>
    <t>Rho_outer</t>
  </si>
  <si>
    <t>Ω-m</t>
  </si>
  <si>
    <t>R_horizon</t>
  </si>
  <si>
    <t>Ω</t>
  </si>
  <si>
    <t>∑R_outer</t>
  </si>
  <si>
    <t>MW</t>
  </si>
  <si>
    <t>Z_vert</t>
  </si>
  <si>
    <t>Res_horizon</t>
  </si>
  <si>
    <t>BEM</t>
  </si>
  <si>
    <t>Pnuc</t>
  </si>
  <si>
    <t>tH20inlet</t>
  </si>
  <si>
    <t>tH20max</t>
  </si>
  <si>
    <t>tH20avg</t>
  </si>
  <si>
    <t>FlowH20</t>
  </si>
  <si>
    <t>SHH20</t>
  </si>
  <si>
    <t>T (Other)</t>
  </si>
  <si>
    <t>Half-life</t>
  </si>
  <si>
    <t>yrs</t>
  </si>
  <si>
    <t>Tau</t>
  </si>
  <si>
    <t>T (Decay)</t>
  </si>
  <si>
    <t>ITER Begin DT</t>
  </si>
  <si>
    <t>ITER Start</t>
  </si>
  <si>
    <t>CTF Start</t>
  </si>
  <si>
    <t>DEMO Start</t>
  </si>
  <si>
    <t>CTF Phase 1</t>
  </si>
  <si>
    <t>CTF Phase 2</t>
  </si>
  <si>
    <t>fBR</t>
  </si>
  <si>
    <t>T consumption</t>
  </si>
  <si>
    <t>Fluence</t>
  </si>
  <si>
    <t>Nwall</t>
  </si>
  <si>
    <t>Years</t>
  </si>
  <si>
    <t>CTF Phase 3</t>
  </si>
  <si>
    <t>Days</t>
  </si>
  <si>
    <t>MW/m^2</t>
  </si>
  <si>
    <t>gm/day</t>
  </si>
  <si>
    <t>MW-yr/m^2</t>
  </si>
  <si>
    <t>Operating Days</t>
  </si>
  <si>
    <t>Years to Complete</t>
  </si>
  <si>
    <t>kg/yr</t>
  </si>
  <si>
    <t>ITER/CTF Shutdwon</t>
  </si>
  <si>
    <t>kg</t>
  </si>
  <si>
    <t>(kg/yr)</t>
  </si>
  <si>
    <t>(kG)</t>
  </si>
  <si>
    <t>CANDU Supply End?</t>
  </si>
  <si>
    <t>P_alpha/vol</t>
  </si>
  <si>
    <t>P_tc</t>
  </si>
  <si>
    <t>fTC</t>
  </si>
  <si>
    <t>Temp0 Limit</t>
  </si>
  <si>
    <t>P_nbi</t>
  </si>
  <si>
    <t>keV</t>
  </si>
  <si>
    <t>J_nbi</t>
  </si>
  <si>
    <t>#NBI Port</t>
  </si>
  <si>
    <t>B'</t>
  </si>
  <si>
    <t>∑B'*A</t>
  </si>
  <si>
    <t>outer half height</t>
  </si>
  <si>
    <t>MJ</t>
  </si>
  <si>
    <t>W_tf</t>
  </si>
  <si>
    <t>e1</t>
  </si>
  <si>
    <t>e2</t>
  </si>
  <si>
    <t>e3</t>
  </si>
  <si>
    <t>e4</t>
  </si>
  <si>
    <t>e5</t>
  </si>
  <si>
    <t>eo2</t>
  </si>
  <si>
    <t>Tau_J</t>
  </si>
  <si>
    <t>a1</t>
  </si>
  <si>
    <t>a2</t>
  </si>
  <si>
    <t>(B50-0.5)*dr</t>
  </si>
  <si>
    <t>A</t>
  </si>
  <si>
    <t>kappa</t>
  </si>
  <si>
    <t>delta</t>
  </si>
  <si>
    <t>sMHD</t>
  </si>
  <si>
    <t>s</t>
  </si>
  <si>
    <t>qMHD</t>
  </si>
  <si>
    <t>Weighted Area lost to Add'l Radial Ports</t>
  </si>
  <si>
    <t>Weighted Divertor Area Lost</t>
  </si>
  <si>
    <t>Weighted Center Stack Area Lost</t>
  </si>
  <si>
    <t>fCS</t>
  </si>
  <si>
    <t>Actual Test Module Area</t>
  </si>
  <si>
    <t>W_tm</t>
  </si>
  <si>
    <t>Qn_wall</t>
  </si>
  <si>
    <t>Qn_tm</t>
  </si>
  <si>
    <t>Target Qn</t>
  </si>
  <si>
    <t>#Test Module Ports</t>
  </si>
  <si>
    <t>frad_core_min</t>
  </si>
  <si>
    <t>Q_div w/o enhanced core rad</t>
  </si>
  <si>
    <t>Volume</t>
  </si>
  <si>
    <t>Vol H20</t>
  </si>
  <si>
    <t>tH20avg calc</t>
  </si>
  <si>
    <t>Beta_N*(mu0*1000000)*10*e*R0*Bt*s/Ip</t>
  </si>
  <si>
    <t>xne*(1-Zimp*fimp)-2*xnHe</t>
  </si>
  <si>
    <t>P_div</t>
  </si>
  <si>
    <t>PI()*R0*e^2*Bt*s/qcyl/mu0/1e6</t>
  </si>
  <si>
    <t>1.5*tpote*(Beta_N*Ip*Bt/(R0*e*2*mu0))/(3.52*1.6e-16*(1+(5/Q)-frad))</t>
  </si>
  <si>
    <t>Mass horizon</t>
  </si>
  <si>
    <t>Density Al</t>
  </si>
  <si>
    <t>Mass vert</t>
  </si>
  <si>
    <t>kg/m^3</t>
  </si>
  <si>
    <t>∑Mass</t>
  </si>
  <si>
    <t>kBS(A)</t>
  </si>
  <si>
    <t>(xnDT+4*xnHe+Zimp^2*fimp*xne)/xne</t>
  </si>
  <si>
    <t>(Rpf-R0)/a</t>
  </si>
  <si>
    <t>Rpf</t>
  </si>
  <si>
    <t>Ipf/Ip</t>
  </si>
  <si>
    <t>Ipf</t>
  </si>
  <si>
    <t>Jpf</t>
  </si>
  <si>
    <t>xnDT*(((1+fimp)/(1-Zimp*fimp))+1)+xnHe*(2*((1+fimp)/(1-Zimp*fimp))+1)</t>
  </si>
  <si>
    <t>Inductance</t>
  </si>
  <si>
    <t>H</t>
  </si>
  <si>
    <t>Ifraction</t>
  </si>
  <si>
    <t>P_sol_rad</t>
  </si>
  <si>
    <t>frad_div_limit</t>
  </si>
  <si>
    <t>frad_core_limit</t>
  </si>
  <si>
    <t>g/day</t>
  </si>
  <si>
    <t>T breeding rate</t>
  </si>
  <si>
    <t>T consumption rate</t>
  </si>
  <si>
    <t>fH20</t>
  </si>
  <si>
    <t>(xne*R0*Ip*(1-fBS))/1e20/Eta_CD</t>
  </si>
  <si>
    <t>0.5*(2+alpha_N)*xne/1e20</t>
  </si>
  <si>
    <t>fGW*Ip/(PI()*R0^2*e^2*(1+0.5*alpha_N))*1e20</t>
  </si>
  <si>
    <t>R plasma midplane outboard edge</t>
  </si>
  <si>
    <t>Tangency Radius</t>
  </si>
  <si>
    <t>Tangency Angle</t>
  </si>
  <si>
    <t>I_nbi</t>
  </si>
  <si>
    <t>Amp</t>
  </si>
  <si>
    <t>A_nbi</t>
  </si>
  <si>
    <t>NBI Duct Width</t>
  </si>
  <si>
    <t>Outboard SOL gap</t>
  </si>
  <si>
    <t>NBI Chord</t>
  </si>
  <si>
    <t>NBI Angle</t>
  </si>
  <si>
    <t>Area lost to NBI</t>
  </si>
  <si>
    <t>deg</t>
  </si>
  <si>
    <t>#Add'l Non-Blanket Ports</t>
  </si>
  <si>
    <t>Tavg_ndw</t>
  </si>
  <si>
    <t>PF2</t>
  </si>
  <si>
    <t>FBR</t>
  </si>
  <si>
    <t>alpha_n(A)</t>
  </si>
  <si>
    <t>Gen Elec?</t>
  </si>
  <si>
    <t>(B51-0.5)*dr</t>
  </si>
  <si>
    <t>(B52-0.5)*dr</t>
  </si>
  <si>
    <t>(B53-0.5)*dr</t>
  </si>
  <si>
    <t>Apf</t>
  </si>
  <si>
    <t>P_pf</t>
  </si>
  <si>
    <t>P_aux_input</t>
  </si>
  <si>
    <t>Z/2</t>
  </si>
  <si>
    <t>Flux</t>
  </si>
  <si>
    <t>weber/amp-turn</t>
  </si>
  <si>
    <t>Coils</t>
  </si>
  <si>
    <t>Turns</t>
  </si>
  <si>
    <t>qcyl/qcyl(A)</t>
  </si>
  <si>
    <t>Zimp</t>
  </si>
  <si>
    <t>fimp</t>
  </si>
  <si>
    <t>xnTotal</t>
  </si>
  <si>
    <t>Temp0</t>
  </si>
  <si>
    <t>Tempavg</t>
  </si>
  <si>
    <t>Zeff</t>
  </si>
  <si>
    <t>P_Brem</t>
  </si>
  <si>
    <t>mu0</t>
  </si>
  <si>
    <t>e</t>
  </si>
  <si>
    <t>nrdiv</t>
  </si>
  <si>
    <t>dr</t>
  </si>
  <si>
    <t>Tikev</t>
  </si>
  <si>
    <t>∆Ztf middle</t>
  </si>
  <si>
    <t>∆Ztf end</t>
  </si>
  <si>
    <t>Rend/Rmiddle</t>
  </si>
  <si>
    <t>PF aspect ratio</t>
  </si>
  <si>
    <t>#PF</t>
  </si>
  <si>
    <t>PF width</t>
  </si>
  <si>
    <t>PF height</t>
  </si>
  <si>
    <t>ViscH20</t>
  </si>
  <si>
    <t>DensH20</t>
  </si>
  <si>
    <t>TconH20</t>
  </si>
  <si>
    <t>PrandtLH20</t>
  </si>
  <si>
    <t>CSACu</t>
  </si>
  <si>
    <t>CSAH20</t>
  </si>
  <si>
    <t>MassCu</t>
  </si>
  <si>
    <t>Q_TC_15</t>
  </si>
  <si>
    <t>p_TC</t>
  </si>
  <si>
    <t>Power</t>
  </si>
  <si>
    <t>Avg Power</t>
  </si>
  <si>
    <t>LPassage</t>
  </si>
  <si>
    <t>tH20outlet</t>
  </si>
  <si>
    <t>Nmodule</t>
  </si>
  <si>
    <t>Npassage/module</t>
  </si>
  <si>
    <t>Pmodule</t>
  </si>
  <si>
    <t>Backplate thickness</t>
  </si>
  <si>
    <t>A_div</t>
  </si>
  <si>
    <t>k1</t>
  </si>
  <si>
    <t>k2</t>
  </si>
  <si>
    <t>A_cs</t>
  </si>
  <si>
    <t>A_pfs</t>
  </si>
  <si>
    <t>A_cyl</t>
  </si>
  <si>
    <t>W_cs</t>
  </si>
  <si>
    <t>W_div</t>
  </si>
  <si>
    <t>W_cyl</t>
  </si>
  <si>
    <t>b</t>
  </si>
  <si>
    <t>Integral Fit</t>
  </si>
  <si>
    <t>Running Average</t>
  </si>
  <si>
    <t>Running Fit Average</t>
  </si>
  <si>
    <t>P_fusion</t>
  </si>
  <si>
    <t>P_aux</t>
  </si>
  <si>
    <t xml:space="preserve"> </t>
  </si>
  <si>
    <t>Top VV/TF Return</t>
  </si>
  <si>
    <t>Outer VV/TF Return</t>
  </si>
  <si>
    <t>Plasma</t>
  </si>
  <si>
    <t>Outboard First Wall</t>
  </si>
  <si>
    <t>Blanket</t>
  </si>
  <si>
    <t>Hot Shield</t>
  </si>
  <si>
    <t>Cold Shield</t>
  </si>
  <si>
    <t>(B37-0.5)*dr</t>
  </si>
  <si>
    <t>Javgtf</t>
  </si>
  <si>
    <t>dens</t>
  </si>
  <si>
    <t>dv</t>
  </si>
  <si>
    <t>rdtcgs</t>
  </si>
  <si>
    <t>exparg</t>
  </si>
  <si>
    <t>svdt</t>
  </si>
  <si>
    <t>power</t>
  </si>
  <si>
    <t>sum</t>
  </si>
  <si>
    <t>(B46-0.5)*dr</t>
  </si>
  <si>
    <t>(B47-0.5)*dr</t>
  </si>
  <si>
    <t>(B48-0.5)*dr</t>
  </si>
  <si>
    <t>(B49-0.5)*dr</t>
  </si>
  <si>
    <t>Qtc</t>
  </si>
  <si>
    <t>ptc</t>
  </si>
  <si>
    <t>W_nbi</t>
  </si>
  <si>
    <t>Fprof</t>
  </si>
  <si>
    <t>P_fusion_tc</t>
  </si>
  <si>
    <t>alpha_nbi</t>
  </si>
  <si>
    <t>alpha_T(A)</t>
  </si>
  <si>
    <t>Section</t>
  </si>
  <si>
    <t>Region</t>
  </si>
  <si>
    <t>∆Z</t>
  </si>
  <si>
    <t>kappa*a</t>
  </si>
  <si>
    <t>2*pi*(R0+a)*kappa*a</t>
  </si>
  <si>
    <t>R(m)</t>
  </si>
  <si>
    <t>Z(m)</t>
  </si>
  <si>
    <t>dR(m)</t>
  </si>
  <si>
    <t>dZ(m)</t>
  </si>
  <si>
    <t>TF Midplane</t>
  </si>
  <si>
    <t>TF End</t>
  </si>
  <si>
    <t>PF1</t>
  </si>
  <si>
    <t xml:space="preserve">Z       </t>
  </si>
  <si>
    <t>NWL p.u.</t>
  </si>
  <si>
    <t>NWL/Avg</t>
  </si>
  <si>
    <t>Fit</t>
  </si>
  <si>
    <t>Integral</t>
  </si>
  <si>
    <t>CY</t>
  </si>
  <si>
    <t>Yr</t>
  </si>
  <si>
    <t>T (CTF)</t>
  </si>
  <si>
    <t>T (CANDU)</t>
  </si>
  <si>
    <t>T (ITER)</t>
  </si>
  <si>
    <t>∑T</t>
  </si>
  <si>
    <t>(1+kappa^2*(1+2*delta^2-1.2*delta^3))/(1-e^2)^2</t>
  </si>
  <si>
    <t>(B38-0.5)*dr</t>
  </si>
  <si>
    <t>4.8E-43*Zeff*xne^2*(1+alpha_N)^2*Temp0^0.5*(1+alpha_T)^0.5*(2*PI()^2*R0^3*e^2*kappa)/(1+2*alpha_N+(alpha_T/2))</t>
  </si>
  <si>
    <t>R0*e/nrdiv</t>
  </si>
  <si>
    <t>(B36-0.5)*dr</t>
  </si>
  <si>
    <t>Nu_PF</t>
  </si>
  <si>
    <t>SC PF?</t>
  </si>
  <si>
    <t>∑P_pf</t>
  </si>
  <si>
    <t>Angled</t>
  </si>
  <si>
    <t>((Beta_N*Ip*Bt)/(R0*e*2*mu0)*(1+alpha_N+alpha_T)/((1+alpha_N)*xnTotal*1.6e-16))</t>
  </si>
  <si>
    <t>atom/mole</t>
  </si>
  <si>
    <t>gram/atom</t>
  </si>
  <si>
    <t>Weight per T atom</t>
  </si>
  <si>
    <t>MeV/atom</t>
  </si>
  <si>
    <t>Joule/atom</t>
  </si>
  <si>
    <t>Yield</t>
  </si>
  <si>
    <t>Joule/gram</t>
  </si>
  <si>
    <t>MJ/kG</t>
  </si>
  <si>
    <t>MW-day/kG</t>
  </si>
  <si>
    <t>Availability</t>
  </si>
  <si>
    <t>Op Days/year</t>
  </si>
  <si>
    <t>days/year</t>
  </si>
  <si>
    <t>kG/yr</t>
  </si>
  <si>
    <t>TBR</t>
  </si>
  <si>
    <t>T Breeding rate</t>
  </si>
  <si>
    <t>T fueling rate</t>
  </si>
  <si>
    <t>Sigtt</t>
  </si>
  <si>
    <t>Sigzz</t>
  </si>
  <si>
    <t>SigVM</t>
  </si>
  <si>
    <t>fStress</t>
  </si>
  <si>
    <t>SigMax</t>
  </si>
  <si>
    <t>MPA</t>
  </si>
  <si>
    <t>T</t>
  </si>
  <si>
    <t>TH20max</t>
  </si>
  <si>
    <t>TCumax</t>
  </si>
  <si>
    <t>Sigmax</t>
  </si>
  <si>
    <t>qcyl</t>
  </si>
  <si>
    <t>Ip</t>
  </si>
  <si>
    <t>Bt</t>
  </si>
  <si>
    <t>Beta_N</t>
  </si>
  <si>
    <t>Beta_P</t>
  </si>
  <si>
    <t>fGW</t>
  </si>
  <si>
    <t>xne</t>
  </si>
  <si>
    <t>ane</t>
  </si>
  <si>
    <t>Eta_CD(&lt;Te&gt;)</t>
  </si>
  <si>
    <t>P_elec gen</t>
  </si>
  <si>
    <t>Beta_N/Beta_N(A)</t>
  </si>
  <si>
    <t>Q_elec</t>
  </si>
  <si>
    <t>Bt(J)</t>
  </si>
  <si>
    <t>Itf</t>
  </si>
  <si>
    <t>Hcordy*P_alpha*(1+5/Q-frad)/Wtot*Tau_e</t>
  </si>
  <si>
    <t>P_alpha*5/Q</t>
  </si>
  <si>
    <t>Eta_neo</t>
  </si>
  <si>
    <t>rinner1</t>
  </si>
  <si>
    <t>rinner2</t>
  </si>
  <si>
    <t>router1</t>
  </si>
  <si>
    <t>router2</t>
  </si>
  <si>
    <t>half height</t>
  </si>
  <si>
    <t>height</t>
  </si>
  <si>
    <t>slope</t>
  </si>
  <si>
    <t>mid outer leg</t>
  </si>
  <si>
    <t>frad</t>
  </si>
  <si>
    <t>xnDT</t>
  </si>
  <si>
    <t>fN</t>
  </si>
  <si>
    <t>phi_CS</t>
  </si>
  <si>
    <t>theta_CS</t>
  </si>
  <si>
    <t>Nu_Paux</t>
  </si>
  <si>
    <t>Nu_conversion</t>
  </si>
  <si>
    <t>Nu_TF</t>
  </si>
  <si>
    <t>qcyl(A)</t>
  </si>
  <si>
    <t>Bmax</t>
  </si>
  <si>
    <t>Nu</t>
  </si>
  <si>
    <t>Sigrr</t>
  </si>
  <si>
    <t>CoeffCu</t>
  </si>
  <si>
    <t>ResCu</t>
  </si>
  <si>
    <t>HcapCu</t>
  </si>
  <si>
    <t>Dpassage</t>
  </si>
  <si>
    <t>Npassage</t>
  </si>
  <si>
    <t>WP</t>
  </si>
  <si>
    <t>WPPassage</t>
  </si>
  <si>
    <t>Wet Area</t>
  </si>
  <si>
    <t>Rmassflow</t>
  </si>
  <si>
    <t>Avogardro's No</t>
  </si>
  <si>
    <t>Joule/eV</t>
  </si>
  <si>
    <t>W/DT reaction</t>
  </si>
  <si>
    <t>Atomic Weight T</t>
  </si>
  <si>
    <t>gram/mole</t>
  </si>
  <si>
    <t>Actual Test Module Ports</t>
  </si>
  <si>
    <t>Port Height (delta Z)</t>
  </si>
  <si>
    <t>Theta</t>
  </si>
  <si>
    <t>Res_vert</t>
  </si>
  <si>
    <t>dTheta</t>
  </si>
  <si>
    <t>a</t>
  </si>
  <si>
    <t>k</t>
  </si>
  <si>
    <t>d</t>
  </si>
  <si>
    <t>R</t>
  </si>
  <si>
    <t>Z</t>
  </si>
  <si>
    <t>P_tf_outer/P_tf_inner</t>
  </si>
  <si>
    <t>J_vert</t>
  </si>
  <si>
    <t>J_horizon</t>
  </si>
  <si>
    <t>A_horizon</t>
  </si>
  <si>
    <t>pf</t>
  </si>
  <si>
    <t>(B42-0.5)*dr</t>
  </si>
  <si>
    <t>(B43-0.5)*dr</t>
  </si>
  <si>
    <t>(B44-0.5)*dr</t>
  </si>
  <si>
    <t>ftcest</t>
  </si>
  <si>
    <t>Max Duct Width</t>
  </si>
  <si>
    <t>Radial Port Width</t>
  </si>
  <si>
    <t>Effective Blanket Area Lost</t>
  </si>
  <si>
    <t>Prospective Blanket Area</t>
  </si>
  <si>
    <t>Available Test Module Area</t>
  </si>
  <si>
    <t>Radial Port Angle</t>
  </si>
  <si>
    <t>Available Test Module Ports</t>
  </si>
  <si>
    <t>Q_div_limit</t>
  </si>
  <si>
    <t>xnHe</t>
  </si>
  <si>
    <t>Q</t>
  </si>
  <si>
    <t>N_flux</t>
  </si>
  <si>
    <t>3/4/mu0*0.000001*((Beta_N*Ip*Bt)/R0/e)*vol</t>
  </si>
  <si>
    <t>kappa(A)</t>
  </si>
  <si>
    <t>Beta_N(A)</t>
  </si>
  <si>
    <t>P_aux/P_CD</t>
  </si>
  <si>
    <t>Beta_N_alpha</t>
  </si>
  <si>
    <t>Beta_N_beam</t>
  </si>
  <si>
    <t>Tauslow_alpha</t>
  </si>
  <si>
    <t>Fprof_alpha</t>
  </si>
  <si>
    <t>P_alpha_avg</t>
  </si>
  <si>
    <t>W_alpha</t>
  </si>
  <si>
    <t>Tauslow_nbi</t>
  </si>
  <si>
    <t>Fprof_nbi</t>
  </si>
  <si>
    <t>P_nbi_avg</t>
  </si>
  <si>
    <t>Fcorr_nbi</t>
  </si>
  <si>
    <t>E_nbi</t>
  </si>
  <si>
    <t>Beta_nbi</t>
  </si>
  <si>
    <t>Beta_alpha</t>
  </si>
  <si>
    <t>Beta_N_total</t>
  </si>
  <si>
    <t>Beta_N_thermal</t>
  </si>
  <si>
    <t>Normalized port height (+/-Z)</t>
  </si>
  <si>
    <t>Area</t>
  </si>
  <si>
    <t>DensCu</t>
  </si>
  <si>
    <t>SHCu</t>
  </si>
  <si>
    <t>difcalc(P_alpha)</t>
  </si>
  <si>
    <t>((Beta_N*Ip*Bt)/(R0*e*2*mu0)/(xnTotal*1.6e-16))</t>
  </si>
  <si>
    <t xml:space="preserve">  </t>
  </si>
  <si>
    <t>P_aux*Q</t>
  </si>
  <si>
    <t>R0</t>
  </si>
  <si>
    <t>∆Rfw</t>
  </si>
  <si>
    <t>∆Rtf</t>
  </si>
  <si>
    <t>n/s/W</t>
  </si>
  <si>
    <t>Rcenter</t>
  </si>
  <si>
    <t>∆Zcenter</t>
  </si>
  <si>
    <t>Rends</t>
  </si>
  <si>
    <t>∆Zends</t>
  </si>
  <si>
    <t>vH20</t>
  </si>
  <si>
    <t>CSAcenter</t>
  </si>
  <si>
    <t>CSAends</t>
  </si>
  <si>
    <t>Reynolds</t>
  </si>
  <si>
    <t>Rfilm</t>
  </si>
  <si>
    <t>Rthermal</t>
  </si>
  <si>
    <t>Rohmic</t>
  </si>
  <si>
    <t>Pohmic</t>
  </si>
  <si>
    <t>No</t>
  </si>
  <si>
    <t>FluxFactor</t>
  </si>
  <si>
    <t>T_flat</t>
  </si>
  <si>
    <t>Li</t>
  </si>
  <si>
    <t>Lext</t>
  </si>
  <si>
    <t>C_ejima</t>
  </si>
  <si>
    <t>Psi_OH (axial)</t>
  </si>
  <si>
    <t>Psi_OH (Poynting)</t>
  </si>
  <si>
    <t>Xnwall</t>
  </si>
  <si>
    <t>P_LtoH</t>
  </si>
  <si>
    <t>(0.525+0.5*alpha_N)*SQRT(e)*Beta_P</t>
  </si>
  <si>
    <t>Wtot/C63</t>
  </si>
  <si>
    <t>4*PI()*0.0000001</t>
  </si>
  <si>
    <t>1/A</t>
  </si>
  <si>
    <t>(B39-0.5)*dr</t>
  </si>
  <si>
    <t>(B40-0.5)*dr</t>
  </si>
  <si>
    <t>R0+a</t>
  </si>
  <si>
    <t>(B45-0.5)*dr</t>
  </si>
  <si>
    <t>0.0562*Ip^0.93*R0^1.97*e^0.58*Bt^0.15*kappa*0.78*ane^0.41*2.5^0.19/(P_alpha*(1+5/Q-frad))^0.69</t>
  </si>
  <si>
    <t>Tau_e*HH</t>
  </si>
  <si>
    <t>Target HH</t>
  </si>
  <si>
    <t>Ptotal</t>
  </si>
  <si>
    <t>∆TH20</t>
  </si>
  <si>
    <t>TH20in</t>
  </si>
  <si>
    <t>∆Tfilm</t>
  </si>
  <si>
    <t>Tcu</t>
  </si>
  <si>
    <t>Massflow</t>
  </si>
  <si>
    <t>∑</t>
  </si>
  <si>
    <t>Max-&gt;</t>
  </si>
  <si>
    <t>Npassage/Area</t>
  </si>
  <si>
    <t>Passage/Area</t>
  </si>
  <si>
    <t>ARIES-ST</t>
  </si>
  <si>
    <t>Culham-CTF</t>
  </si>
  <si>
    <t>VNS</t>
  </si>
  <si>
    <t>a3</t>
  </si>
  <si>
    <t>a4</t>
  </si>
  <si>
    <t>ls</t>
  </si>
  <si>
    <t>m</t>
  </si>
  <si>
    <t>TCumax Limit</t>
  </si>
  <si>
    <t>Sigmax Limit</t>
  </si>
  <si>
    <t>P_line</t>
  </si>
  <si>
    <t>P_sol</t>
  </si>
  <si>
    <t>lambda_mid</t>
  </si>
  <si>
    <t>Flux Expansion</t>
  </si>
  <si>
    <t>lambda_div</t>
  </si>
  <si>
    <t>frad_div</t>
  </si>
  <si>
    <t>Q_div</t>
  </si>
  <si>
    <t>P_fw</t>
  </si>
  <si>
    <t>Q_fw</t>
  </si>
  <si>
    <t>A_plasma</t>
  </si>
  <si>
    <t>A_fw</t>
  </si>
  <si>
    <t>fpeak_fw</t>
  </si>
  <si>
    <t>frad_core</t>
  </si>
  <si>
    <t>pnbi</t>
  </si>
  <si>
    <t>Qnbi0</t>
  </si>
  <si>
    <t>Qtc_15</t>
  </si>
  <si>
    <t>Ip Limit</t>
  </si>
  <si>
    <t>PF3</t>
  </si>
  <si>
    <t>peaking factor</t>
  </si>
  <si>
    <t>P_Brem/P_alpha</t>
  </si>
  <si>
    <t>frad-C57</t>
  </si>
  <si>
    <t>2*PI()^2*R0^3*e^2*kappa</t>
  </si>
  <si>
    <t xml:space="preserve"> Rminor</t>
  </si>
  <si>
    <t>P_alpha</t>
  </si>
  <si>
    <t>fradcalc</t>
  </si>
  <si>
    <t>vol</t>
  </si>
  <si>
    <t>Wtot</t>
  </si>
  <si>
    <t>HH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</si>
</sst>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E+00"/>
    <numFmt numFmtId="168" formatCode="m/d/yyyy"/>
    <numFmt numFmtId="169" formatCode="0.000000"/>
    <numFmt numFmtId="170" formatCode="0.0000"/>
    <numFmt numFmtId="171" formatCode="0.0E+00"/>
    <numFmt numFmtId="172" formatCode="&quot;$&quot;#,##0.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8"/>
      <name val="Geneva"/>
      <family val="0"/>
    </font>
    <font>
      <sz val="12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6" fontId="0" fillId="0" borderId="2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4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70" fontId="0" fillId="4" borderId="0" xfId="0" applyNumberFormat="1" applyFill="1" applyAlignment="1">
      <alignment/>
    </xf>
    <xf numFmtId="11" fontId="0" fillId="0" borderId="0" xfId="0" applyNumberFormat="1" applyFill="1" applyAlignment="1">
      <alignment/>
    </xf>
    <xf numFmtId="2" fontId="0" fillId="2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7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1" fontId="0" fillId="2" borderId="0" xfId="0" applyNumberFormat="1" applyFill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1" xfId="0" applyNumberFormat="1" applyBorder="1" applyAlignment="1">
      <alignment/>
    </xf>
    <xf numFmtId="0" fontId="8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Fill="1" applyBorder="1" applyAlignment="1">
      <alignment/>
    </xf>
    <xf numFmtId="10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TF_inductance!$A$18:$A$69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TF_inductance!$B$18:$B$69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33235075"/>
        <c:axId val="30680220"/>
      </c:scatterChart>
      <c:val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0220"/>
        <c:crosses val="autoZero"/>
        <c:crossBetween val="midCat"/>
        <c:dispUnits/>
      </c:valAx>
      <c:valAx>
        <c:axId val="30680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35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Blanket!$K$4</c:f>
              <c:strCache>
                <c:ptCount val="1"/>
                <c:pt idx="0">
                  <c:v>NWL p.u.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0.056391</c:v>
                </c:pt>
                <c:pt idx="2">
                  <c:v>0.11278</c:v>
                </c:pt>
                <c:pt idx="3">
                  <c:v>0.18797</c:v>
                </c:pt>
                <c:pt idx="4">
                  <c:v>0.26316</c:v>
                </c:pt>
                <c:pt idx="5">
                  <c:v>0.33835</c:v>
                </c:pt>
                <c:pt idx="6">
                  <c:v>0.41353</c:v>
                </c:pt>
                <c:pt idx="7">
                  <c:v>0.48872</c:v>
                </c:pt>
                <c:pt idx="8">
                  <c:v>0.56391</c:v>
                </c:pt>
                <c:pt idx="9">
                  <c:v>0.6391</c:v>
                </c:pt>
                <c:pt idx="10">
                  <c:v>0.71429</c:v>
                </c:pt>
                <c:pt idx="11">
                  <c:v>0.78947</c:v>
                </c:pt>
                <c:pt idx="12">
                  <c:v>0.86466</c:v>
                </c:pt>
                <c:pt idx="13">
                  <c:v>0.93985</c:v>
                </c:pt>
                <c:pt idx="14">
                  <c:v>1</c:v>
                </c:pt>
              </c:numCache>
            </c:numRef>
          </c:xVal>
          <c:yVal>
            <c:numRef>
              <c:f>Blanket!$K$5:$K$19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0.97054</c:v>
                </c:pt>
                <c:pt idx="3">
                  <c:v>0.93023</c:v>
                </c:pt>
                <c:pt idx="4">
                  <c:v>0.86357</c:v>
                </c:pt>
                <c:pt idx="5">
                  <c:v>0.82636</c:v>
                </c:pt>
                <c:pt idx="6">
                  <c:v>0.74264</c:v>
                </c:pt>
                <c:pt idx="7">
                  <c:v>0.69302</c:v>
                </c:pt>
                <c:pt idx="8">
                  <c:v>0.61085</c:v>
                </c:pt>
                <c:pt idx="9">
                  <c:v>0.57674</c:v>
                </c:pt>
                <c:pt idx="10">
                  <c:v>0.48372</c:v>
                </c:pt>
                <c:pt idx="11">
                  <c:v>0.42636</c:v>
                </c:pt>
                <c:pt idx="12">
                  <c:v>0.34264</c:v>
                </c:pt>
                <c:pt idx="13">
                  <c:v>0.27132</c:v>
                </c:pt>
                <c:pt idx="14">
                  <c:v>0.15504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Blanket!$L$4</c:f>
              <c:strCache>
                <c:ptCount val="1"/>
                <c:pt idx="0">
                  <c:v>NWL/Avg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0.056391</c:v>
                </c:pt>
                <c:pt idx="2">
                  <c:v>0.11278</c:v>
                </c:pt>
                <c:pt idx="3">
                  <c:v>0.18797</c:v>
                </c:pt>
                <c:pt idx="4">
                  <c:v>0.26316</c:v>
                </c:pt>
                <c:pt idx="5">
                  <c:v>0.33835</c:v>
                </c:pt>
                <c:pt idx="6">
                  <c:v>0.41353</c:v>
                </c:pt>
                <c:pt idx="7">
                  <c:v>0.48872</c:v>
                </c:pt>
                <c:pt idx="8">
                  <c:v>0.56391</c:v>
                </c:pt>
                <c:pt idx="9">
                  <c:v>0.6391</c:v>
                </c:pt>
                <c:pt idx="10">
                  <c:v>0.71429</c:v>
                </c:pt>
                <c:pt idx="11">
                  <c:v>0.78947</c:v>
                </c:pt>
                <c:pt idx="12">
                  <c:v>0.86466</c:v>
                </c:pt>
                <c:pt idx="13">
                  <c:v>0.93985</c:v>
                </c:pt>
                <c:pt idx="14">
                  <c:v>1</c:v>
                </c:pt>
              </c:numCache>
            </c:numRef>
          </c:xVal>
          <c:yVal>
            <c:numRef>
              <c:f>Blanket!$L$5:$L$19</c:f>
              <c:numCache>
                <c:ptCount val="15"/>
                <c:pt idx="0">
                  <c:v>1.2617015368844149</c:v>
                </c:pt>
                <c:pt idx="1">
                  <c:v>1.2617015368844149</c:v>
                </c:pt>
                <c:pt idx="2">
                  <c:v>1.2245318096078</c:v>
                </c:pt>
                <c:pt idx="3">
                  <c:v>1.1736726206559893</c:v>
                </c:pt>
                <c:pt idx="4">
                  <c:v>1.0895675962072742</c:v>
                </c:pt>
                <c:pt idx="5">
                  <c:v>1.042619682019805</c:v>
                </c:pt>
                <c:pt idx="6">
                  <c:v>0.9369900293518418</c:v>
                </c:pt>
                <c:pt idx="7">
                  <c:v>0.8743843990916371</c:v>
                </c:pt>
                <c:pt idx="8">
                  <c:v>0.7707103838058449</c:v>
                </c:pt>
                <c:pt idx="9">
                  <c:v>0.7276737443827175</c:v>
                </c:pt>
                <c:pt idx="10">
                  <c:v>0.6103102674217291</c:v>
                </c:pt>
                <c:pt idx="11">
                  <c:v>0.5379390672660391</c:v>
                </c:pt>
                <c:pt idx="12">
                  <c:v>0.4323094145980759</c:v>
                </c:pt>
                <c:pt idx="13">
                  <c:v>0.34232486098747944</c:v>
                </c:pt>
                <c:pt idx="14">
                  <c:v>0.1956142062785597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Blanket!$M$4</c:f>
              <c:strCache>
                <c:ptCount val="1"/>
                <c:pt idx="0">
                  <c:v>Integral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0.056391</c:v>
                </c:pt>
                <c:pt idx="2">
                  <c:v>0.11278</c:v>
                </c:pt>
                <c:pt idx="3">
                  <c:v>0.18797</c:v>
                </c:pt>
                <c:pt idx="4">
                  <c:v>0.26316</c:v>
                </c:pt>
                <c:pt idx="5">
                  <c:v>0.33835</c:v>
                </c:pt>
                <c:pt idx="6">
                  <c:v>0.41353</c:v>
                </c:pt>
                <c:pt idx="7">
                  <c:v>0.48872</c:v>
                </c:pt>
                <c:pt idx="8">
                  <c:v>0.56391</c:v>
                </c:pt>
                <c:pt idx="9">
                  <c:v>0.6391</c:v>
                </c:pt>
                <c:pt idx="10">
                  <c:v>0.71429</c:v>
                </c:pt>
                <c:pt idx="11">
                  <c:v>0.78947</c:v>
                </c:pt>
                <c:pt idx="12">
                  <c:v>0.86466</c:v>
                </c:pt>
                <c:pt idx="13">
                  <c:v>0.93985</c:v>
                </c:pt>
                <c:pt idx="14">
                  <c:v>1</c:v>
                </c:pt>
              </c:numCache>
            </c:numRef>
          </c:xVal>
          <c:yVal>
            <c:numRef>
              <c:f>Blanket!$M$5:$M$19</c:f>
              <c:numCache>
                <c:ptCount val="15"/>
                <c:pt idx="0">
                  <c:v>0</c:v>
                </c:pt>
                <c:pt idx="1">
                  <c:v>0.07114861136644904</c:v>
                </c:pt>
                <c:pt idx="2">
                  <c:v>0.1422946993298243</c:v>
                </c:pt>
                <c:pt idx="3">
                  <c:v>0.23436724609423476</c:v>
                </c:pt>
                <c:pt idx="4">
                  <c:v>0.3226156904413586</c:v>
                </c:pt>
                <c:pt idx="5">
                  <c:v>0.40454027800018355</c:v>
                </c:pt>
                <c:pt idx="6">
                  <c:v>0.4829244256944325</c:v>
                </c:pt>
                <c:pt idx="7">
                  <c:v>0.5533767060013974</c:v>
                </c:pt>
                <c:pt idx="8">
                  <c:v>0.6191216689690977</c:v>
                </c:pt>
                <c:pt idx="9">
                  <c:v>0.6770713827274591</c:v>
                </c:pt>
                <c:pt idx="10">
                  <c:v>0.7317851715675957</c:v>
                </c:pt>
                <c:pt idx="11">
                  <c:v>0.7776682974723613</c:v>
                </c:pt>
                <c:pt idx="12">
                  <c:v>0.8181159359400948</c:v>
                </c:pt>
                <c:pt idx="13">
                  <c:v>0.8506212808237241</c:v>
                </c:pt>
                <c:pt idx="14">
                  <c:v>0.871212121212121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Blanket!$N$4</c:f>
              <c:strCache>
                <c:ptCount val="1"/>
                <c:pt idx="0">
                  <c:v>Running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0.056391</c:v>
                </c:pt>
                <c:pt idx="2">
                  <c:v>0.11278</c:v>
                </c:pt>
                <c:pt idx="3">
                  <c:v>0.18797</c:v>
                </c:pt>
                <c:pt idx="4">
                  <c:v>0.26316</c:v>
                </c:pt>
                <c:pt idx="5">
                  <c:v>0.33835</c:v>
                </c:pt>
                <c:pt idx="6">
                  <c:v>0.41353</c:v>
                </c:pt>
                <c:pt idx="7">
                  <c:v>0.48872</c:v>
                </c:pt>
                <c:pt idx="8">
                  <c:v>0.56391</c:v>
                </c:pt>
                <c:pt idx="9">
                  <c:v>0.6391</c:v>
                </c:pt>
                <c:pt idx="10">
                  <c:v>0.71429</c:v>
                </c:pt>
                <c:pt idx="11">
                  <c:v>0.78947</c:v>
                </c:pt>
                <c:pt idx="12">
                  <c:v>0.86466</c:v>
                </c:pt>
                <c:pt idx="13">
                  <c:v>0.93985</c:v>
                </c:pt>
                <c:pt idx="14">
                  <c:v>1</c:v>
                </c:pt>
              </c:numCache>
            </c:numRef>
          </c:xVal>
          <c:yVal>
            <c:numRef>
              <c:f>Blanket!$N$5:$N$19</c:f>
              <c:numCache>
                <c:ptCount val="15"/>
                <c:pt idx="0">
                  <c:v>1.2617015368844149</c:v>
                </c:pt>
                <c:pt idx="1">
                  <c:v>1.2617015368844149</c:v>
                </c:pt>
                <c:pt idx="2">
                  <c:v>1.2617015368844147</c:v>
                </c:pt>
                <c:pt idx="3">
                  <c:v>1.2468332504880288</c:v>
                </c:pt>
                <c:pt idx="4">
                  <c:v>1.225929816238633</c:v>
                </c:pt>
                <c:pt idx="5">
                  <c:v>1.1956266528747852</c:v>
                </c:pt>
                <c:pt idx="6">
                  <c:v>1.1678098945528317</c:v>
                </c:pt>
                <c:pt idx="7">
                  <c:v>1.1322980561495282</c:v>
                </c:pt>
                <c:pt idx="8">
                  <c:v>1.097908653808405</c:v>
                </c:pt>
                <c:pt idx="9">
                  <c:v>1.0594138362188377</c:v>
                </c:pt>
                <c:pt idx="10">
                  <c:v>1.0244930932360745</c:v>
                </c:pt>
                <c:pt idx="11">
                  <c:v>0.9850511070368239</c:v>
                </c:pt>
                <c:pt idx="12">
                  <c:v>0.9461706751094011</c:v>
                </c:pt>
                <c:pt idx="13">
                  <c:v>0.9050606807721702</c:v>
                </c:pt>
                <c:pt idx="14">
                  <c:v>0.871212121212121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Blanket!$O$4</c:f>
              <c:strCache>
                <c:ptCount val="1"/>
                <c:pt idx="0">
                  <c:v>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0.056391</c:v>
                </c:pt>
                <c:pt idx="2">
                  <c:v>0.11278</c:v>
                </c:pt>
                <c:pt idx="3">
                  <c:v>0.18797</c:v>
                </c:pt>
                <c:pt idx="4">
                  <c:v>0.26316</c:v>
                </c:pt>
                <c:pt idx="5">
                  <c:v>0.33835</c:v>
                </c:pt>
                <c:pt idx="6">
                  <c:v>0.41353</c:v>
                </c:pt>
                <c:pt idx="7">
                  <c:v>0.48872</c:v>
                </c:pt>
                <c:pt idx="8">
                  <c:v>0.56391</c:v>
                </c:pt>
                <c:pt idx="9">
                  <c:v>0.6391</c:v>
                </c:pt>
                <c:pt idx="10">
                  <c:v>0.71429</c:v>
                </c:pt>
                <c:pt idx="11">
                  <c:v>0.78947</c:v>
                </c:pt>
                <c:pt idx="12">
                  <c:v>0.86466</c:v>
                </c:pt>
                <c:pt idx="13">
                  <c:v>0.93985</c:v>
                </c:pt>
                <c:pt idx="14">
                  <c:v>1</c:v>
                </c:pt>
              </c:numCache>
            </c:numRef>
          </c:xVal>
          <c:yVal>
            <c:numRef>
              <c:f>Blanket!$O$5:$O$19</c:f>
              <c:numCache>
                <c:ptCount val="15"/>
                <c:pt idx="0">
                  <c:v>1.2474001160103234</c:v>
                </c:pt>
                <c:pt idx="1">
                  <c:v>1.243558509719634</c:v>
                </c:pt>
                <c:pt idx="2">
                  <c:v>1.2320342358383942</c:v>
                </c:pt>
                <c:pt idx="3">
                  <c:v>1.2047156016693292</c:v>
                </c:pt>
                <c:pt idx="4">
                  <c:v>1.1637371962405998</c:v>
                </c:pt>
                <c:pt idx="5">
                  <c:v>1.1090990195522061</c:v>
                </c:pt>
                <c:pt idx="6">
                  <c:v>1.0408110632154302</c:v>
                </c:pt>
                <c:pt idx="7">
                  <c:v>0.9588551607082346</c:v>
                </c:pt>
                <c:pt idx="8">
                  <c:v>0.8632394869413751</c:v>
                </c:pt>
                <c:pt idx="9">
                  <c:v>0.7539640419148512</c:v>
                </c:pt>
                <c:pt idx="10">
                  <c:v>0.631028825628663</c:v>
                </c:pt>
                <c:pt idx="11">
                  <c:v>0.4944529129551109</c:v>
                </c:pt>
                <c:pt idx="12">
                  <c:v>0.34419997085012094</c:v>
                </c:pt>
                <c:pt idx="13">
                  <c:v>0.18028725748546698</c:v>
                </c:pt>
                <c:pt idx="14">
                  <c:v>0.0393268837845464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Blanket!$P$4</c:f>
              <c:strCache>
                <c:ptCount val="1"/>
                <c:pt idx="0">
                  <c:v>Integral 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0.056391</c:v>
                </c:pt>
                <c:pt idx="2">
                  <c:v>0.11278</c:v>
                </c:pt>
                <c:pt idx="3">
                  <c:v>0.18797</c:v>
                </c:pt>
                <c:pt idx="4">
                  <c:v>0.26316</c:v>
                </c:pt>
                <c:pt idx="5">
                  <c:v>0.33835</c:v>
                </c:pt>
                <c:pt idx="6">
                  <c:v>0.41353</c:v>
                </c:pt>
                <c:pt idx="7">
                  <c:v>0.48872</c:v>
                </c:pt>
                <c:pt idx="8">
                  <c:v>0.56391</c:v>
                </c:pt>
                <c:pt idx="9">
                  <c:v>0.6391</c:v>
                </c:pt>
                <c:pt idx="10">
                  <c:v>0.71429</c:v>
                </c:pt>
                <c:pt idx="11">
                  <c:v>0.78947</c:v>
                </c:pt>
                <c:pt idx="12">
                  <c:v>0.86466</c:v>
                </c:pt>
                <c:pt idx="13">
                  <c:v>0.93985</c:v>
                </c:pt>
                <c:pt idx="14">
                  <c:v>1</c:v>
                </c:pt>
              </c:numCache>
            </c:numRef>
          </c:xVal>
          <c:yVal>
            <c:numRef>
              <c:f>Blanket!$P$5:$P$19</c:f>
              <c:numCache>
                <c:ptCount val="15"/>
                <c:pt idx="0">
                  <c:v>0</c:v>
                </c:pt>
                <c:pt idx="1">
                  <c:v>0.0710714559411169</c:v>
                </c:pt>
                <c:pt idx="2">
                  <c:v>0.14167748876392083</c:v>
                </c:pt>
                <c:pt idx="3">
                  <c:v>0.23430442954252892</c:v>
                </c:pt>
                <c:pt idx="4">
                  <c:v>0.3241879203636717</c:v>
                </c:pt>
                <c:pt idx="5">
                  <c:v>0.4102305520540673</c:v>
                </c:pt>
                <c:pt idx="6">
                  <c:v>0.49132450583443094</c:v>
                </c:pt>
                <c:pt idx="7">
                  <c:v>0.5663940674329511</c:v>
                </c:pt>
                <c:pt idx="8">
                  <c:v>0.6343306883323576</c:v>
                </c:pt>
                <c:pt idx="9">
                  <c:v>0.6940369593593682</c:v>
                </c:pt>
                <c:pt idx="10">
                  <c:v>0.7444154713407011</c:v>
                </c:pt>
                <c:pt idx="11">
                  <c:v>0.7843642432553786</c:v>
                </c:pt>
                <c:pt idx="12">
                  <c:v>0.8127966150529609</c:v>
                </c:pt>
                <c:pt idx="13">
                  <c:v>0.8286091462364987</c:v>
                </c:pt>
                <c:pt idx="14">
                  <c:v>0.8314354851751713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Blanket!$Q$4</c:f>
              <c:strCache>
                <c:ptCount val="1"/>
                <c:pt idx="0">
                  <c:v>Running Fit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Blanket!$J$5:$J$19</c:f>
              <c:numCache>
                <c:ptCount val="15"/>
                <c:pt idx="0">
                  <c:v>0</c:v>
                </c:pt>
                <c:pt idx="1">
                  <c:v>0.056391</c:v>
                </c:pt>
                <c:pt idx="2">
                  <c:v>0.11278</c:v>
                </c:pt>
                <c:pt idx="3">
                  <c:v>0.18797</c:v>
                </c:pt>
                <c:pt idx="4">
                  <c:v>0.26316</c:v>
                </c:pt>
                <c:pt idx="5">
                  <c:v>0.33835</c:v>
                </c:pt>
                <c:pt idx="6">
                  <c:v>0.41353</c:v>
                </c:pt>
                <c:pt idx="7">
                  <c:v>0.48872</c:v>
                </c:pt>
                <c:pt idx="8">
                  <c:v>0.56391</c:v>
                </c:pt>
                <c:pt idx="9">
                  <c:v>0.6391</c:v>
                </c:pt>
                <c:pt idx="10">
                  <c:v>0.71429</c:v>
                </c:pt>
                <c:pt idx="11">
                  <c:v>0.78947</c:v>
                </c:pt>
                <c:pt idx="12">
                  <c:v>0.86466</c:v>
                </c:pt>
                <c:pt idx="13">
                  <c:v>0.93985</c:v>
                </c:pt>
                <c:pt idx="14">
                  <c:v>1</c:v>
                </c:pt>
              </c:numCache>
            </c:numRef>
          </c:xVal>
          <c:yVal>
            <c:numRef>
              <c:f>Blanket!$Q$5:$Q$19</c:f>
              <c:numCache>
                <c:ptCount val="15"/>
                <c:pt idx="0">
                  <c:v>1.2474001160103234</c:v>
                </c:pt>
                <c:pt idx="1">
                  <c:v>1.2461195805800938</c:v>
                </c:pt>
                <c:pt idx="2">
                  <c:v>1.2422781559530138</c:v>
                </c:pt>
                <c:pt idx="3">
                  <c:v>1.2331719445633254</c:v>
                </c:pt>
                <c:pt idx="4">
                  <c:v>1.219512476087082</c:v>
                </c:pt>
                <c:pt idx="5">
                  <c:v>1.2012997505242844</c:v>
                </c:pt>
                <c:pt idx="6">
                  <c:v>1.1785370984120256</c:v>
                </c:pt>
                <c:pt idx="7">
                  <c:v>1.1512184642429606</c:v>
                </c:pt>
                <c:pt idx="8">
                  <c:v>1.1193465729873404</c:v>
                </c:pt>
                <c:pt idx="9">
                  <c:v>1.082921424645166</c:v>
                </c:pt>
                <c:pt idx="10">
                  <c:v>1.0419430192164367</c:v>
                </c:pt>
                <c:pt idx="11">
                  <c:v>0.9964177149919192</c:v>
                </c:pt>
                <c:pt idx="12">
                  <c:v>0.9463334009569225</c:v>
                </c:pt>
                <c:pt idx="13">
                  <c:v>0.8916958298353713</c:v>
                </c:pt>
                <c:pt idx="14">
                  <c:v>0.8447090386017311</c:v>
                </c:pt>
              </c:numCache>
            </c:numRef>
          </c:yVal>
          <c:smooth val="1"/>
        </c:ser>
        <c:axId val="7686525"/>
        <c:axId val="2069862"/>
      </c:scatterChart>
      <c:val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862"/>
        <c:crosses val="autoZero"/>
        <c:crossBetween val="midCat"/>
        <c:dispUnits/>
      </c:valAx>
      <c:valAx>
        <c:axId val="206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6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Tritium!$I$16:$I$17</c:f>
              <c:strCache>
                <c:ptCount val="1"/>
                <c:pt idx="0">
                  <c:v>∑T (kG)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Tritium!$A$18:$C$52</c:f>
              <c:strCache/>
            </c:strRef>
          </c:xVal>
          <c:yVal>
            <c:numRef>
              <c:f>Tritium!$I$18:$I$52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18628759"/>
        <c:axId val="33441104"/>
      </c:scatterChart>
      <c:valAx>
        <c:axId val="18628759"/>
        <c:scaling>
          <c:orientation val="minMax"/>
          <c:max val="2036"/>
          <c:min val="2002"/>
        </c:scaling>
        <c:axPos val="b"/>
        <c:delete val="0"/>
        <c:numFmt formatCode="General" sourceLinked="1"/>
        <c:majorTickMark val="out"/>
        <c:minorTickMark val="none"/>
        <c:tickLblPos val="nextTo"/>
        <c:crossAx val="33441104"/>
        <c:crosses val="autoZero"/>
        <c:crossBetween val="midCat"/>
        <c:dispUnits/>
      </c:valAx>
      <c:valAx>
        <c:axId val="33441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5"/>
          <c:order val="0"/>
          <c:tx>
            <c:strRef>
              <c:f>Tritium!$D$16:$D$17</c:f>
              <c:strCache>
                <c:ptCount val="1"/>
                <c:pt idx="0">
                  <c:v>T (CANDU)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Tritium!$A$18:$C$52</c:f>
              <c:strCache/>
            </c:strRef>
          </c:xVal>
          <c:yVal>
            <c:numRef>
              <c:f>Tritium!$D$18:$D$52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Tritium!$E$16:$E$17</c:f>
              <c:strCache>
                <c:ptCount val="1"/>
                <c:pt idx="0">
                  <c:v>T (ITER)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Tritium!$A$18:$C$52</c:f>
              <c:strCache/>
            </c:strRef>
          </c:xVal>
          <c:yVal>
            <c:numRef>
              <c:f>Tritium!$E$18:$E$52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Tritium!$F$16:$F$17</c:f>
              <c:strCache>
                <c:ptCount val="1"/>
                <c:pt idx="0">
                  <c:v>T (CTF)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Tritium!$A$18:$C$52</c:f>
              <c:strCache/>
            </c:strRef>
          </c:xVal>
          <c:yVal>
            <c:numRef>
              <c:f>Tritium!$F$18:$F$52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Tritium!$G$16:$G$17</c:f>
              <c:strCache>
                <c:ptCount val="1"/>
                <c:pt idx="0">
                  <c:v>T (Other)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Tritium!$A$18:$C$52</c:f>
              <c:strCache/>
            </c:strRef>
          </c:xVal>
          <c:yVal>
            <c:numRef>
              <c:f>Tritium!$G$18:$G$52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Tritium!$H$16:$H$17</c:f>
              <c:strCache>
                <c:ptCount val="1"/>
                <c:pt idx="0">
                  <c:v>T (Decay)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Tritium!$A$18:$C$52</c:f>
              <c:strCache/>
            </c:strRef>
          </c:xVal>
          <c:yVal>
            <c:numRef>
              <c:f>Tritium!$H$18:$H$52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32534481"/>
        <c:axId val="24374874"/>
      </c:scatterChart>
      <c:valAx>
        <c:axId val="32534481"/>
        <c:scaling>
          <c:orientation val="minMax"/>
          <c:max val="2036"/>
          <c:min val="2002"/>
        </c:scaling>
        <c:axPos val="b"/>
        <c:delete val="0"/>
        <c:numFmt formatCode="General" sourceLinked="1"/>
        <c:majorTickMark val="out"/>
        <c:minorTickMark val="none"/>
        <c:tickLblPos val="nextTo"/>
        <c:crossAx val="24374874"/>
        <c:crosses val="autoZero"/>
        <c:crossBetween val="midCat"/>
        <c:dispUnits/>
      </c:valAx>
      <c:valAx>
        <c:axId val="24374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4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Fraction of Neutrons Intercepted by Center Stack vs. A vs. kappa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k=3.0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Base!$E$190:$E$207</c:f>
              <c:numCache>
                <c:ptCount val="18"/>
                <c:pt idx="0">
                  <c:v>1.3</c:v>
                </c:pt>
                <c:pt idx="1">
                  <c:v>1.4000000000000001</c:v>
                </c:pt>
                <c:pt idx="2">
                  <c:v>1.5000000000000002</c:v>
                </c:pt>
                <c:pt idx="3">
                  <c:v>1.6000000000000003</c:v>
                </c:pt>
                <c:pt idx="4">
                  <c:v>1.7000000000000004</c:v>
                </c:pt>
                <c:pt idx="5">
                  <c:v>1.8000000000000005</c:v>
                </c:pt>
                <c:pt idx="6">
                  <c:v>1.9000000000000006</c:v>
                </c:pt>
                <c:pt idx="7">
                  <c:v>2.0000000000000004</c:v>
                </c:pt>
                <c:pt idx="8">
                  <c:v>2.1000000000000005</c:v>
                </c:pt>
                <c:pt idx="9">
                  <c:v>2.2000000000000006</c:v>
                </c:pt>
                <c:pt idx="10">
                  <c:v>2.3000000000000007</c:v>
                </c:pt>
                <c:pt idx="11">
                  <c:v>2.400000000000001</c:v>
                </c:pt>
                <c:pt idx="12">
                  <c:v>2.500000000000001</c:v>
                </c:pt>
                <c:pt idx="13">
                  <c:v>2.600000000000001</c:v>
                </c:pt>
                <c:pt idx="14">
                  <c:v>2.700000000000001</c:v>
                </c:pt>
                <c:pt idx="15">
                  <c:v>2.800000000000001</c:v>
                </c:pt>
                <c:pt idx="16">
                  <c:v>2.9000000000000012</c:v>
                </c:pt>
                <c:pt idx="17">
                  <c:v>3.0000000000000013</c:v>
                </c:pt>
              </c:numCache>
            </c:numRef>
          </c:xVal>
          <c:yVal>
            <c:numRef>
              <c:f>Base!$F$190:$F$207</c:f>
              <c:numCache>
                <c:ptCount val="18"/>
                <c:pt idx="0">
                  <c:v>0.052720868482211025</c:v>
                </c:pt>
                <c:pt idx="1">
                  <c:v>0.06646203012327748</c:v>
                </c:pt>
                <c:pt idx="2">
                  <c:v>0.07883680282977469</c:v>
                </c:pt>
                <c:pt idx="3">
                  <c:v>0.09006157843904836</c:v>
                </c:pt>
                <c:pt idx="4">
                  <c:v>0.10030685990612266</c:v>
                </c:pt>
                <c:pt idx="5">
                  <c:v>0.10970923634531915</c:v>
                </c:pt>
                <c:pt idx="6">
                  <c:v>0.11837970052066482</c:v>
                </c:pt>
                <c:pt idx="7">
                  <c:v>0.1264095737483306</c:v>
                </c:pt>
                <c:pt idx="8">
                  <c:v>0.13387481923849126</c:v>
                </c:pt>
                <c:pt idx="9">
                  <c:v>0.14083924225441927</c:v>
                </c:pt>
                <c:pt idx="10">
                  <c:v>0.14735690427284576</c:v>
                </c:pt>
                <c:pt idx="11">
                  <c:v>0.15347397133363194</c:v>
                </c:pt>
                <c:pt idx="12">
                  <c:v>0.15923014803353838</c:v>
                </c:pt>
                <c:pt idx="13">
                  <c:v>0.16465980338315092</c:v>
                </c:pt>
                <c:pt idx="14">
                  <c:v>0.16979286432675084</c:v>
                </c:pt>
                <c:pt idx="15">
                  <c:v>0.174655531870671</c:v>
                </c:pt>
                <c:pt idx="16">
                  <c:v>0.1792708602179817</c:v>
                </c:pt>
                <c:pt idx="17">
                  <c:v>0.1836592289977144</c:v>
                </c:pt>
              </c:numCache>
            </c:numRef>
          </c:yVal>
          <c:smooth val="1"/>
        </c:ser>
        <c:ser>
          <c:idx val="1"/>
          <c:order val="1"/>
          <c:tx>
            <c:v>k=3.2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Base!$E$190:$E$207</c:f>
              <c:numCache>
                <c:ptCount val="18"/>
                <c:pt idx="0">
                  <c:v>1.3</c:v>
                </c:pt>
                <c:pt idx="1">
                  <c:v>1.4000000000000001</c:v>
                </c:pt>
                <c:pt idx="2">
                  <c:v>1.5000000000000002</c:v>
                </c:pt>
                <c:pt idx="3">
                  <c:v>1.6000000000000003</c:v>
                </c:pt>
                <c:pt idx="4">
                  <c:v>1.7000000000000004</c:v>
                </c:pt>
                <c:pt idx="5">
                  <c:v>1.8000000000000005</c:v>
                </c:pt>
                <c:pt idx="6">
                  <c:v>1.9000000000000006</c:v>
                </c:pt>
                <c:pt idx="7">
                  <c:v>2.0000000000000004</c:v>
                </c:pt>
                <c:pt idx="8">
                  <c:v>2.1000000000000005</c:v>
                </c:pt>
                <c:pt idx="9">
                  <c:v>2.2000000000000006</c:v>
                </c:pt>
                <c:pt idx="10">
                  <c:v>2.3000000000000007</c:v>
                </c:pt>
                <c:pt idx="11">
                  <c:v>2.400000000000001</c:v>
                </c:pt>
                <c:pt idx="12">
                  <c:v>2.500000000000001</c:v>
                </c:pt>
                <c:pt idx="13">
                  <c:v>2.600000000000001</c:v>
                </c:pt>
                <c:pt idx="14">
                  <c:v>2.700000000000001</c:v>
                </c:pt>
                <c:pt idx="15">
                  <c:v>2.800000000000001</c:v>
                </c:pt>
                <c:pt idx="16">
                  <c:v>2.9000000000000012</c:v>
                </c:pt>
                <c:pt idx="17">
                  <c:v>3.0000000000000013</c:v>
                </c:pt>
              </c:numCache>
            </c:numRef>
          </c:xVal>
          <c:yVal>
            <c:numRef>
              <c:f>Base!$G$190:$G$207</c:f>
              <c:numCache>
                <c:ptCount val="18"/>
                <c:pt idx="0">
                  <c:v>0.053358058932346256</c:v>
                </c:pt>
                <c:pt idx="1">
                  <c:v>0.06726529782561894</c:v>
                </c:pt>
                <c:pt idx="2">
                  <c:v>0.0797896334512823</c:v>
                </c:pt>
                <c:pt idx="3">
                  <c:v>0.09115007298319323</c:v>
                </c:pt>
                <c:pt idx="4">
                  <c:v>0.10151918009460362</c:v>
                </c:pt>
                <c:pt idx="5">
                  <c:v>0.11103519473150265</c:v>
                </c:pt>
                <c:pt idx="6">
                  <c:v>0.11981045112916605</c:v>
                </c:pt>
                <c:pt idx="7">
                  <c:v>0.1279373743236432</c:v>
                </c:pt>
                <c:pt idx="8">
                  <c:v>0.13549284562516067</c:v>
                </c:pt>
                <c:pt idx="9">
                  <c:v>0.14254144145470515</c:v>
                </c:pt>
                <c:pt idx="10">
                  <c:v>0.14913787668220257</c:v>
                </c:pt>
                <c:pt idx="11">
                  <c:v>0.15532887531555542</c:v>
                </c:pt>
                <c:pt idx="12">
                  <c:v>0.1611546218258247</c:v>
                </c:pt>
                <c:pt idx="13">
                  <c:v>0.16664990061139154</c:v>
                </c:pt>
                <c:pt idx="14">
                  <c:v>0.1718450003170109</c:v>
                </c:pt>
                <c:pt idx="15">
                  <c:v>0.17676643861737665</c:v>
                </c:pt>
                <c:pt idx="16">
                  <c:v>0.1814375483512959</c:v>
                </c:pt>
                <c:pt idx="17">
                  <c:v>0.18587895545832891</c:v>
                </c:pt>
              </c:numCache>
            </c:numRef>
          </c:yVal>
          <c:smooth val="1"/>
        </c:ser>
        <c:ser>
          <c:idx val="2"/>
          <c:order val="2"/>
          <c:tx>
            <c:v>k=3.4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Base!$E$190:$E$207</c:f>
              <c:numCache>
                <c:ptCount val="18"/>
                <c:pt idx="0">
                  <c:v>1.3</c:v>
                </c:pt>
                <c:pt idx="1">
                  <c:v>1.4000000000000001</c:v>
                </c:pt>
                <c:pt idx="2">
                  <c:v>1.5000000000000002</c:v>
                </c:pt>
                <c:pt idx="3">
                  <c:v>1.6000000000000003</c:v>
                </c:pt>
                <c:pt idx="4">
                  <c:v>1.7000000000000004</c:v>
                </c:pt>
                <c:pt idx="5">
                  <c:v>1.8000000000000005</c:v>
                </c:pt>
                <c:pt idx="6">
                  <c:v>1.9000000000000006</c:v>
                </c:pt>
                <c:pt idx="7">
                  <c:v>2.0000000000000004</c:v>
                </c:pt>
                <c:pt idx="8">
                  <c:v>2.1000000000000005</c:v>
                </c:pt>
                <c:pt idx="9">
                  <c:v>2.2000000000000006</c:v>
                </c:pt>
                <c:pt idx="10">
                  <c:v>2.3000000000000007</c:v>
                </c:pt>
                <c:pt idx="11">
                  <c:v>2.400000000000001</c:v>
                </c:pt>
                <c:pt idx="12">
                  <c:v>2.500000000000001</c:v>
                </c:pt>
                <c:pt idx="13">
                  <c:v>2.600000000000001</c:v>
                </c:pt>
                <c:pt idx="14">
                  <c:v>2.700000000000001</c:v>
                </c:pt>
                <c:pt idx="15">
                  <c:v>2.800000000000001</c:v>
                </c:pt>
                <c:pt idx="16">
                  <c:v>2.9000000000000012</c:v>
                </c:pt>
                <c:pt idx="17">
                  <c:v>3.0000000000000013</c:v>
                </c:pt>
              </c:numCache>
            </c:numRef>
          </c:xVal>
          <c:yVal>
            <c:numRef>
              <c:f>Base!$H$190:$H$207</c:f>
              <c:numCache>
                <c:ptCount val="18"/>
                <c:pt idx="0">
                  <c:v>0.05390402588813337</c:v>
                </c:pt>
                <c:pt idx="1">
                  <c:v>0.06795356555159694</c:v>
                </c:pt>
                <c:pt idx="2">
                  <c:v>0.08060605189210303</c:v>
                </c:pt>
                <c:pt idx="3">
                  <c:v>0.09208273299486093</c:v>
                </c:pt>
                <c:pt idx="4">
                  <c:v>0.10255793822822558</c:v>
                </c:pt>
                <c:pt idx="5">
                  <c:v>0.11217132202821807</c:v>
                </c:pt>
                <c:pt idx="6">
                  <c:v>0.12103636804937129</c:v>
                </c:pt>
                <c:pt idx="7">
                  <c:v>0.12924644703334276</c:v>
                </c:pt>
                <c:pt idx="8">
                  <c:v>0.13687922695043897</c:v>
                </c:pt>
                <c:pt idx="9">
                  <c:v>0.14399994497641697</c:v>
                </c:pt>
                <c:pt idx="10">
                  <c:v>0.15066387583123414</c:v>
                </c:pt>
                <c:pt idx="11">
                  <c:v>0.15691822160923144</c:v>
                </c:pt>
                <c:pt idx="12">
                  <c:v>0.162803577954473</c:v>
                </c:pt>
                <c:pt idx="13">
                  <c:v>0.16835508518406103</c:v>
                </c:pt>
                <c:pt idx="14">
                  <c:v>0.17360334186030565</c:v>
                </c:pt>
                <c:pt idx="15">
                  <c:v>0.17857513699037453</c:v>
                </c:pt>
                <c:pt idx="16">
                  <c:v>0.1832940421578722</c:v>
                </c:pt>
                <c:pt idx="17">
                  <c:v>0.1877808943497932</c:v>
                </c:pt>
              </c:numCache>
            </c:numRef>
          </c:yVal>
          <c:smooth val="1"/>
        </c:ser>
        <c:ser>
          <c:idx val="3"/>
          <c:order val="3"/>
          <c:tx>
            <c:v>k=3.6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Base!$E$190:$E$207</c:f>
              <c:numCache>
                <c:ptCount val="18"/>
                <c:pt idx="0">
                  <c:v>1.3</c:v>
                </c:pt>
                <c:pt idx="1">
                  <c:v>1.4000000000000001</c:v>
                </c:pt>
                <c:pt idx="2">
                  <c:v>1.5000000000000002</c:v>
                </c:pt>
                <c:pt idx="3">
                  <c:v>1.6000000000000003</c:v>
                </c:pt>
                <c:pt idx="4">
                  <c:v>1.7000000000000004</c:v>
                </c:pt>
                <c:pt idx="5">
                  <c:v>1.8000000000000005</c:v>
                </c:pt>
                <c:pt idx="6">
                  <c:v>1.9000000000000006</c:v>
                </c:pt>
                <c:pt idx="7">
                  <c:v>2.0000000000000004</c:v>
                </c:pt>
                <c:pt idx="8">
                  <c:v>2.1000000000000005</c:v>
                </c:pt>
                <c:pt idx="9">
                  <c:v>2.2000000000000006</c:v>
                </c:pt>
                <c:pt idx="10">
                  <c:v>2.3000000000000007</c:v>
                </c:pt>
                <c:pt idx="11">
                  <c:v>2.400000000000001</c:v>
                </c:pt>
                <c:pt idx="12">
                  <c:v>2.500000000000001</c:v>
                </c:pt>
                <c:pt idx="13">
                  <c:v>2.600000000000001</c:v>
                </c:pt>
                <c:pt idx="14">
                  <c:v>2.700000000000001</c:v>
                </c:pt>
                <c:pt idx="15">
                  <c:v>2.800000000000001</c:v>
                </c:pt>
                <c:pt idx="16">
                  <c:v>2.9000000000000012</c:v>
                </c:pt>
                <c:pt idx="17">
                  <c:v>3.0000000000000013</c:v>
                </c:pt>
              </c:numCache>
            </c:numRef>
          </c:xVal>
          <c:yVal>
            <c:numRef>
              <c:f>Base!$I$190:$I$207</c:f>
              <c:numCache>
                <c:ptCount val="18"/>
                <c:pt idx="0">
                  <c:v>0.05437469111294165</c:v>
                </c:pt>
                <c:pt idx="1">
                  <c:v>0.06854690491131828</c:v>
                </c:pt>
                <c:pt idx="2">
                  <c:v>0.08130986695803963</c:v>
                </c:pt>
                <c:pt idx="3">
                  <c:v>0.09288675717509433</c:v>
                </c:pt>
                <c:pt idx="4">
                  <c:v>0.10345342709490572</c:v>
                </c:pt>
                <c:pt idx="5">
                  <c:v>0.1131507505519617</c:v>
                </c:pt>
                <c:pt idx="6">
                  <c:v>0.12209320208800432</c:v>
                </c:pt>
                <c:pt idx="7">
                  <c:v>0.13037496771517204</c:v>
                </c:pt>
                <c:pt idx="8">
                  <c:v>0.13807439356485682</c:v>
                </c:pt>
                <c:pt idx="9">
                  <c:v>0.14525728643390587</c:v>
                </c:pt>
                <c:pt idx="10">
                  <c:v>0.15197940367577323</c:v>
                </c:pt>
                <c:pt idx="11">
                  <c:v>0.15828835953183296</c:v>
                </c:pt>
                <c:pt idx="12">
                  <c:v>0.16422510410868935</c:v>
                </c:pt>
                <c:pt idx="13">
                  <c:v>0.1698250845525724</c:v>
                </c:pt>
                <c:pt idx="14">
                  <c:v>0.17511916659840077</c:v>
                </c:pt>
                <c:pt idx="15">
                  <c:v>0.18013437316266287</c:v>
                </c:pt>
                <c:pt idx="16">
                  <c:v>0.18489448164521755</c:v>
                </c:pt>
                <c:pt idx="17">
                  <c:v>0.18942051097207044</c:v>
                </c:pt>
              </c:numCache>
            </c:numRef>
          </c:yVal>
          <c:smooth val="1"/>
        </c:ser>
        <c:ser>
          <c:idx val="4"/>
          <c:order val="4"/>
          <c:tx>
            <c:v>k=3.8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Base!$E$190:$E$207</c:f>
              <c:numCache>
                <c:ptCount val="18"/>
                <c:pt idx="0">
                  <c:v>1.3</c:v>
                </c:pt>
                <c:pt idx="1">
                  <c:v>1.4000000000000001</c:v>
                </c:pt>
                <c:pt idx="2">
                  <c:v>1.5000000000000002</c:v>
                </c:pt>
                <c:pt idx="3">
                  <c:v>1.6000000000000003</c:v>
                </c:pt>
                <c:pt idx="4">
                  <c:v>1.7000000000000004</c:v>
                </c:pt>
                <c:pt idx="5">
                  <c:v>1.8000000000000005</c:v>
                </c:pt>
                <c:pt idx="6">
                  <c:v>1.9000000000000006</c:v>
                </c:pt>
                <c:pt idx="7">
                  <c:v>2.0000000000000004</c:v>
                </c:pt>
                <c:pt idx="8">
                  <c:v>2.1000000000000005</c:v>
                </c:pt>
                <c:pt idx="9">
                  <c:v>2.2000000000000006</c:v>
                </c:pt>
                <c:pt idx="10">
                  <c:v>2.3000000000000007</c:v>
                </c:pt>
                <c:pt idx="11">
                  <c:v>2.400000000000001</c:v>
                </c:pt>
                <c:pt idx="12">
                  <c:v>2.500000000000001</c:v>
                </c:pt>
                <c:pt idx="13">
                  <c:v>2.600000000000001</c:v>
                </c:pt>
                <c:pt idx="14">
                  <c:v>2.700000000000001</c:v>
                </c:pt>
                <c:pt idx="15">
                  <c:v>2.800000000000001</c:v>
                </c:pt>
                <c:pt idx="16">
                  <c:v>2.9000000000000012</c:v>
                </c:pt>
                <c:pt idx="17">
                  <c:v>3.0000000000000013</c:v>
                </c:pt>
              </c:numCache>
            </c:numRef>
          </c:xVal>
          <c:yVal>
            <c:numRef>
              <c:f>Base!$J$190:$J$207</c:f>
              <c:numCache>
                <c:ptCount val="18"/>
                <c:pt idx="0">
                  <c:v>0.054782796182445845</c:v>
                </c:pt>
                <c:pt idx="1">
                  <c:v>0.0690613784434074</c:v>
                </c:pt>
                <c:pt idx="2">
                  <c:v>0.08192013192188766</c:v>
                </c:pt>
                <c:pt idx="3">
                  <c:v>0.09358391159964496</c:v>
                </c:pt>
                <c:pt idx="4">
                  <c:v>0.10422988884927815</c:v>
                </c:pt>
                <c:pt idx="5">
                  <c:v>0.11399999482302421</c:v>
                </c:pt>
                <c:pt idx="6">
                  <c:v>0.12300956324250943</c:v>
                </c:pt>
                <c:pt idx="7">
                  <c:v>0.1313534870257552</c:v>
                </c:pt>
                <c:pt idx="8">
                  <c:v>0.1391107003250275</c:v>
                </c:pt>
                <c:pt idx="9">
                  <c:v>0.14634750384503503</c:v>
                </c:pt>
                <c:pt idx="10">
                  <c:v>0.15312007342176734</c:v>
                </c:pt>
                <c:pt idx="11">
                  <c:v>0.15947638066163144</c:v>
                </c:pt>
                <c:pt idx="12">
                  <c:v>0.1654576830191129</c:v>
                </c:pt>
                <c:pt idx="13">
                  <c:v>0.17109969368627623</c:v>
                </c:pt>
                <c:pt idx="14">
                  <c:v>0.17643351005844382</c:v>
                </c:pt>
                <c:pt idx="15">
                  <c:v>0.181486357870529</c:v>
                </c:pt>
                <c:pt idx="16">
                  <c:v>0.18628219298183982</c:v>
                </c:pt>
                <c:pt idx="17">
                  <c:v>0.19084219207431724</c:v>
                </c:pt>
              </c:numCache>
            </c:numRef>
          </c:yVal>
          <c:smooth val="1"/>
        </c:ser>
        <c:ser>
          <c:idx val="5"/>
          <c:order val="5"/>
          <c:tx>
            <c:v>k=4.0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Base!$E$190:$E$207</c:f>
              <c:numCache>
                <c:ptCount val="18"/>
                <c:pt idx="0">
                  <c:v>1.3</c:v>
                </c:pt>
                <c:pt idx="1">
                  <c:v>1.4000000000000001</c:v>
                </c:pt>
                <c:pt idx="2">
                  <c:v>1.5000000000000002</c:v>
                </c:pt>
                <c:pt idx="3">
                  <c:v>1.6000000000000003</c:v>
                </c:pt>
                <c:pt idx="4">
                  <c:v>1.7000000000000004</c:v>
                </c:pt>
                <c:pt idx="5">
                  <c:v>1.8000000000000005</c:v>
                </c:pt>
                <c:pt idx="6">
                  <c:v>1.9000000000000006</c:v>
                </c:pt>
                <c:pt idx="7">
                  <c:v>2.0000000000000004</c:v>
                </c:pt>
                <c:pt idx="8">
                  <c:v>2.1000000000000005</c:v>
                </c:pt>
                <c:pt idx="9">
                  <c:v>2.2000000000000006</c:v>
                </c:pt>
                <c:pt idx="10">
                  <c:v>2.3000000000000007</c:v>
                </c:pt>
                <c:pt idx="11">
                  <c:v>2.400000000000001</c:v>
                </c:pt>
                <c:pt idx="12">
                  <c:v>2.500000000000001</c:v>
                </c:pt>
                <c:pt idx="13">
                  <c:v>2.600000000000001</c:v>
                </c:pt>
                <c:pt idx="14">
                  <c:v>2.700000000000001</c:v>
                </c:pt>
                <c:pt idx="15">
                  <c:v>2.800000000000001</c:v>
                </c:pt>
                <c:pt idx="16">
                  <c:v>2.9000000000000012</c:v>
                </c:pt>
                <c:pt idx="17">
                  <c:v>3.0000000000000013</c:v>
                </c:pt>
              </c:numCache>
            </c:numRef>
          </c:xVal>
          <c:yVal>
            <c:numRef>
              <c:f>Base!$K$190:$K$207</c:f>
              <c:numCache>
                <c:ptCount val="18"/>
                <c:pt idx="0">
                  <c:v>0.05513859871456687</c:v>
                </c:pt>
                <c:pt idx="1">
                  <c:v>0.06950991731024617</c:v>
                </c:pt>
                <c:pt idx="2">
                  <c:v>0.08245218563948954</c:v>
                </c:pt>
                <c:pt idx="3">
                  <c:v>0.09419171906902007</c:v>
                </c:pt>
                <c:pt idx="4">
                  <c:v>0.10490683966156891</c:v>
                </c:pt>
                <c:pt idx="5">
                  <c:v>0.11474040038181922</c:v>
                </c:pt>
                <c:pt idx="6">
                  <c:v>0.12380848401922603</c:v>
                </c:pt>
                <c:pt idx="7">
                  <c:v>0.13220659980099658</c:v>
                </c:pt>
                <c:pt idx="8">
                  <c:v>0.14001419453981598</c:v>
                </c:pt>
                <c:pt idx="9">
                  <c:v>0.14729799954927475</c:v>
                </c:pt>
                <c:pt idx="10">
                  <c:v>0.15411455551539</c:v>
                </c:pt>
                <c:pt idx="11">
                  <c:v>0.16051214560988153</c:v>
                </c:pt>
                <c:pt idx="12">
                  <c:v>0.16653229524556848</c:v>
                </c:pt>
                <c:pt idx="13">
                  <c:v>0.17221094956405159</c:v>
                </c:pt>
                <c:pt idx="14">
                  <c:v>0.17757940793157775</c:v>
                </c:pt>
                <c:pt idx="15">
                  <c:v>0.1826650729083797</c:v>
                </c:pt>
                <c:pt idx="16">
                  <c:v>0.1874920559419425</c:v>
                </c:pt>
                <c:pt idx="17">
                  <c:v>0.1920816712522225</c:v>
                </c:pt>
              </c:numCache>
            </c:numRef>
          </c:yVal>
          <c:smooth val="1"/>
        </c:ser>
        <c:axId val="18047275"/>
        <c:axId val="28207748"/>
      </c:scatterChart>
      <c:valAx>
        <c:axId val="18047275"/>
        <c:scaling>
          <c:orientation val="minMax"/>
          <c:max val="3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7748"/>
        <c:crosses val="autoZero"/>
        <c:crossBetween val="midCat"/>
        <c:dispUnits/>
      </c:valAx>
      <c:valAx>
        <c:axId val="28207748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47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18</xdr:row>
      <xdr:rowOff>123825</xdr:rowOff>
    </xdr:from>
    <xdr:to>
      <xdr:col>11</xdr:col>
      <xdr:colOff>104775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5581650" y="3028950"/>
        <a:ext cx="38957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19</xdr:row>
      <xdr:rowOff>133350</xdr:rowOff>
    </xdr:from>
    <xdr:to>
      <xdr:col>16</xdr:col>
      <xdr:colOff>619125</xdr:colOff>
      <xdr:row>42</xdr:row>
      <xdr:rowOff>76200</xdr:rowOff>
    </xdr:to>
    <xdr:graphicFrame>
      <xdr:nvGraphicFramePr>
        <xdr:cNvPr id="1" name="Chart 6"/>
        <xdr:cNvGraphicFramePr/>
      </xdr:nvGraphicFramePr>
      <xdr:xfrm>
        <a:off x="9782175" y="3362325"/>
        <a:ext cx="6229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4</xdr:row>
      <xdr:rowOff>95250</xdr:rowOff>
    </xdr:from>
    <xdr:to>
      <xdr:col>16</xdr:col>
      <xdr:colOff>180975</xdr:colOff>
      <xdr:row>37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742950"/>
          <a:ext cx="67056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38</xdr:row>
      <xdr:rowOff>95250</xdr:rowOff>
    </xdr:from>
    <xdr:to>
      <xdr:col>16</xdr:col>
      <xdr:colOff>352425</xdr:colOff>
      <xdr:row>71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5924550"/>
          <a:ext cx="680085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15</xdr:col>
      <xdr:colOff>762000</xdr:colOff>
      <xdr:row>105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1163300"/>
          <a:ext cx="66294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0.49825</cdr:y>
    </cdr:from>
    <cdr:to>
      <cdr:x>0.50025</cdr:x>
      <cdr:y>0.49825</cdr:y>
    </cdr:to>
    <cdr:sp>
      <cdr:nvSpPr>
        <cdr:cNvPr id="1" name="Shape 1"/>
        <cdr:cNvSpPr txBox="1">
          <a:spLocks noChangeArrowheads="1"/>
        </cdr:cNvSpPr>
      </cdr:nvSpPr>
      <cdr:spPr>
        <a:xfrm>
          <a:off x="3133725" y="1714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5</xdr:row>
      <xdr:rowOff>133350</xdr:rowOff>
    </xdr:from>
    <xdr:to>
      <xdr:col>17</xdr:col>
      <xdr:colOff>333375</xdr:colOff>
      <xdr:row>28</xdr:row>
      <xdr:rowOff>76200</xdr:rowOff>
    </xdr:to>
    <xdr:graphicFrame>
      <xdr:nvGraphicFramePr>
        <xdr:cNvPr id="1" name="Shape 3"/>
        <xdr:cNvGraphicFramePr/>
      </xdr:nvGraphicFramePr>
      <xdr:xfrm>
        <a:off x="7258050" y="942975"/>
        <a:ext cx="6276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647700</xdr:colOff>
      <xdr:row>32</xdr:row>
      <xdr:rowOff>9525</xdr:rowOff>
    </xdr:from>
    <xdr:to>
      <xdr:col>22</xdr:col>
      <xdr:colOff>219075</xdr:colOff>
      <xdr:row>54</xdr:row>
      <xdr:rowOff>104775</xdr:rowOff>
    </xdr:to>
    <xdr:graphicFrame>
      <xdr:nvGraphicFramePr>
        <xdr:cNvPr id="2" name="Shape 4"/>
        <xdr:cNvGraphicFramePr/>
      </xdr:nvGraphicFramePr>
      <xdr:xfrm>
        <a:off x="11334750" y="5191125"/>
        <a:ext cx="627697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211</xdr:row>
      <xdr:rowOff>133350</xdr:rowOff>
    </xdr:from>
    <xdr:to>
      <xdr:col>10</xdr:col>
      <xdr:colOff>419100</xdr:colOff>
      <xdr:row>239</xdr:row>
      <xdr:rowOff>85725</xdr:rowOff>
    </xdr:to>
    <xdr:graphicFrame>
      <xdr:nvGraphicFramePr>
        <xdr:cNvPr id="1" name="Chart 16"/>
        <xdr:cNvGraphicFramePr/>
      </xdr:nvGraphicFramePr>
      <xdr:xfrm>
        <a:off x="4533900" y="26546175"/>
        <a:ext cx="5048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4"/>
    </sheetView>
  </sheetViews>
  <sheetFormatPr defaultColWidth="11.00390625" defaultRowHeight="12"/>
  <sheetData>
    <row r="1" spans="1:4" ht="12.75">
      <c r="A1">
        <v>0</v>
      </c>
      <c r="B1">
        <f>(1-A1^2)^alpha_N</f>
        <v>1</v>
      </c>
      <c r="C1">
        <f>(1-A1^2)^alpha_T</f>
        <v>1</v>
      </c>
      <c r="D1">
        <v>0</v>
      </c>
    </row>
    <row r="2" spans="1:4" ht="12.75">
      <c r="A2">
        <f>A1+0.1</f>
        <v>0.1</v>
      </c>
      <c r="B2">
        <f>(1-A2^2)^alpha_N</f>
        <v>0.9974905699336811</v>
      </c>
      <c r="C2">
        <f>(1-A2^2)^alpha_T</f>
        <v>0.99</v>
      </c>
      <c r="D2">
        <f>D1+B1*C1*0.1</f>
        <v>0.1</v>
      </c>
    </row>
    <row r="3" spans="1:4" ht="12.75">
      <c r="A3">
        <f aca="true" t="shared" si="0" ref="A3:A10">A2+0.1</f>
        <v>0.2</v>
      </c>
      <c r="B3">
        <f aca="true" t="shared" si="1" ref="B3:B11">(1-A3^2)^alpha_N</f>
        <v>0.989846400767953</v>
      </c>
      <c r="C3">
        <f aca="true" t="shared" si="2" ref="C3:C10">(1-A3^2)^alpha_T</f>
        <v>0.96</v>
      </c>
      <c r="D3">
        <f aca="true" t="shared" si="3" ref="D3:D11">D2+B2*C2*0.1</f>
        <v>0.19875156642343444</v>
      </c>
    </row>
    <row r="4" spans="1:4" ht="12.75">
      <c r="A4">
        <f t="shared" si="0"/>
        <v>0.30000000000000004</v>
      </c>
      <c r="B4">
        <f t="shared" si="1"/>
        <v>0.9766981117095218</v>
      </c>
      <c r="C4">
        <f t="shared" si="2"/>
        <v>0.9099999999999999</v>
      </c>
      <c r="D4">
        <f t="shared" si="3"/>
        <v>0.29377682089715795</v>
      </c>
    </row>
    <row r="5" spans="1:4" ht="12.75">
      <c r="A5">
        <f t="shared" si="0"/>
        <v>0.4</v>
      </c>
      <c r="B5">
        <f t="shared" si="1"/>
        <v>0.9573479717381596</v>
      </c>
      <c r="C5">
        <f t="shared" si="2"/>
        <v>0.84</v>
      </c>
      <c r="D5">
        <f t="shared" si="3"/>
        <v>0.38265634906272444</v>
      </c>
    </row>
    <row r="6" spans="1:4" ht="12.75">
      <c r="A6">
        <f t="shared" si="0"/>
        <v>0.5</v>
      </c>
      <c r="B6">
        <f t="shared" si="1"/>
        <v>0.9306048591020996</v>
      </c>
      <c r="C6">
        <f t="shared" si="2"/>
        <v>0.75</v>
      </c>
      <c r="D6">
        <f t="shared" si="3"/>
        <v>0.46307357868872984</v>
      </c>
    </row>
    <row r="7" spans="1:4" ht="12.75">
      <c r="A7">
        <f t="shared" si="0"/>
        <v>0.6</v>
      </c>
      <c r="B7">
        <f t="shared" si="1"/>
        <v>0.8944271909999159</v>
      </c>
      <c r="C7">
        <f t="shared" si="2"/>
        <v>0.64</v>
      </c>
      <c r="D7">
        <f t="shared" si="3"/>
        <v>0.5328689431213873</v>
      </c>
    </row>
    <row r="8" spans="1:4" ht="12.75">
      <c r="A8">
        <f t="shared" si="0"/>
        <v>0.7</v>
      </c>
      <c r="B8">
        <f t="shared" si="1"/>
        <v>0.845069726622771</v>
      </c>
      <c r="C8">
        <f t="shared" si="2"/>
        <v>0.51</v>
      </c>
      <c r="D8">
        <f t="shared" si="3"/>
        <v>0.5901122833453819</v>
      </c>
    </row>
    <row r="9" spans="1:4" ht="12.75">
      <c r="A9">
        <f t="shared" si="0"/>
        <v>0.7999999999999999</v>
      </c>
      <c r="B9">
        <f t="shared" si="1"/>
        <v>0.7745966692414834</v>
      </c>
      <c r="C9">
        <f t="shared" si="2"/>
        <v>0.3600000000000001</v>
      </c>
      <c r="D9">
        <f t="shared" si="3"/>
        <v>0.6332108394031433</v>
      </c>
    </row>
    <row r="10" spans="1:4" ht="12.75">
      <c r="A10">
        <f t="shared" si="0"/>
        <v>0.8999999999999999</v>
      </c>
      <c r="B10">
        <f t="shared" si="1"/>
        <v>0.6602195804079636</v>
      </c>
      <c r="C10">
        <f t="shared" si="2"/>
        <v>0.19000000000000017</v>
      </c>
      <c r="D10">
        <f t="shared" si="3"/>
        <v>0.6610963194958367</v>
      </c>
    </row>
    <row r="11" spans="1:4" ht="12.75">
      <c r="A11">
        <f>A10+0.1</f>
        <v>0.9999999999999999</v>
      </c>
      <c r="B11">
        <f t="shared" si="1"/>
        <v>0.00012207031250000008</v>
      </c>
      <c r="C11">
        <f>(1-A11^2)^alpha_T</f>
        <v>2.220446049250313E-16</v>
      </c>
      <c r="D11">
        <f t="shared" si="3"/>
        <v>0.673640491523588</v>
      </c>
    </row>
    <row r="13" spans="1:2" ht="12.75">
      <c r="A13" t="s">
        <v>503</v>
      </c>
      <c r="B13">
        <f>1/D11</f>
        <v>1.4844713353531902</v>
      </c>
    </row>
    <row r="14" spans="1:2" ht="12.75">
      <c r="A14" t="s">
        <v>324</v>
      </c>
      <c r="B14">
        <f>(3.09+3.35/A+3.87/A^0.5)*(kappa/3)^0.5/B13^0.5</f>
        <v>6.96261727699423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1" sqref="A31"/>
    </sheetView>
  </sheetViews>
  <sheetFormatPr defaultColWidth="11.00390625" defaultRowHeight="12"/>
  <cols>
    <col min="2" max="2" width="12.00390625" style="0" bestFit="1" customWidth="1"/>
  </cols>
  <sheetData>
    <row r="1" spans="1:3" ht="12.75">
      <c r="A1" t="s">
        <v>211</v>
      </c>
      <c r="B1" s="8">
        <f>P_sol</f>
        <v>80.41531569828179</v>
      </c>
      <c r="C1" t="s">
        <v>39</v>
      </c>
    </row>
    <row r="2" spans="1:3" ht="12.75">
      <c r="A2" t="s">
        <v>422</v>
      </c>
      <c r="B2" s="8">
        <f>2*2*PI()*R0*2*R0/A</f>
        <v>37.69911184307752</v>
      </c>
      <c r="C2" t="s">
        <v>28</v>
      </c>
    </row>
    <row r="3" spans="1:3" ht="12.75">
      <c r="A3" t="s">
        <v>212</v>
      </c>
      <c r="B3" s="8">
        <f>B1/B2</f>
        <v>2.1330824989461394</v>
      </c>
      <c r="C3" t="s">
        <v>67</v>
      </c>
    </row>
    <row r="4" spans="1:2" ht="12.75">
      <c r="A4" t="s">
        <v>44</v>
      </c>
      <c r="B4" s="8">
        <v>35</v>
      </c>
    </row>
    <row r="5" spans="1:2" ht="12.75">
      <c r="A5" t="s">
        <v>45</v>
      </c>
      <c r="B5" s="8">
        <v>100</v>
      </c>
    </row>
    <row r="6" spans="1:2" ht="12.75">
      <c r="A6" t="s">
        <v>46</v>
      </c>
      <c r="B6" s="8">
        <f>B4+(B5-B4)/2</f>
        <v>67.5</v>
      </c>
    </row>
    <row r="7" spans="1:2" ht="12.75">
      <c r="A7" t="s">
        <v>437</v>
      </c>
      <c r="B7" s="8">
        <v>10</v>
      </c>
    </row>
    <row r="8" spans="1:2" ht="12.75">
      <c r="A8" t="s">
        <v>215</v>
      </c>
      <c r="B8" s="8">
        <v>32</v>
      </c>
    </row>
    <row r="9" spans="1:2" ht="12.75">
      <c r="A9" t="s">
        <v>217</v>
      </c>
      <c r="B9" s="8">
        <f>B1/B8</f>
        <v>2.512978615571306</v>
      </c>
    </row>
    <row r="10" spans="1:2" ht="12.75">
      <c r="A10" t="s">
        <v>216</v>
      </c>
      <c r="B10" s="8">
        <v>48</v>
      </c>
    </row>
    <row r="11" spans="1:2" ht="12.75">
      <c r="A11" t="s">
        <v>362</v>
      </c>
      <c r="B11" s="8">
        <f>B8*B10</f>
        <v>1536</v>
      </c>
    </row>
    <row r="12" spans="1:2" ht="12.75">
      <c r="A12" t="s">
        <v>361</v>
      </c>
      <c r="B12" s="8">
        <v>0.01</v>
      </c>
    </row>
    <row r="13" spans="1:3" ht="12.75">
      <c r="A13" t="s">
        <v>213</v>
      </c>
      <c r="B13" s="8">
        <v>1</v>
      </c>
      <c r="C13" t="s">
        <v>482</v>
      </c>
    </row>
    <row r="14" spans="1:2" ht="12.75">
      <c r="A14" t="s">
        <v>364</v>
      </c>
      <c r="B14" s="8">
        <f>PI()*B12</f>
        <v>0.031415926535897934</v>
      </c>
    </row>
    <row r="15" spans="1:2" ht="12.75">
      <c r="A15" t="s">
        <v>363</v>
      </c>
      <c r="B15" s="8">
        <f>B14*B11</f>
        <v>48.25486315913923</v>
      </c>
    </row>
    <row r="16" spans="1:2" ht="12.75">
      <c r="A16" t="s">
        <v>47</v>
      </c>
      <c r="B16" s="8">
        <f>B7*B11*PI()*B12^2/4</f>
        <v>1.2063715789784806</v>
      </c>
    </row>
    <row r="17" spans="1:2" ht="12.75">
      <c r="A17" t="s">
        <v>48</v>
      </c>
      <c r="B17" s="8">
        <f>4229.2-3.857*B6+0.06786*B6^2-0.0003745*B6^3+0.000000819*B6^4</f>
        <v>4179.865280429687</v>
      </c>
    </row>
    <row r="18" spans="1:2" ht="12.75">
      <c r="A18" t="s">
        <v>202</v>
      </c>
      <c r="B18" s="16">
        <v>0.000524</v>
      </c>
    </row>
    <row r="19" spans="1:2" ht="12.75">
      <c r="A19" t="s">
        <v>203</v>
      </c>
      <c r="B19" s="8">
        <f>1005.4-0.539*B6+0.0026713*B6^2</f>
        <v>981.1886106249999</v>
      </c>
    </row>
    <row r="20" spans="1:2" ht="12.75">
      <c r="A20" t="s">
        <v>204</v>
      </c>
      <c r="B20" s="8">
        <f>0.55183+0.0025297*B6-0.0000172*B6^2+0.0000000531*B6^3-0.0000000000813*B6^4</f>
        <v>0.6588602486992188</v>
      </c>
    </row>
    <row r="21" spans="1:2" ht="12.75">
      <c r="A21" t="s">
        <v>205</v>
      </c>
      <c r="B21" s="8">
        <f>13.527-0.43243*B6+0.00704*B6^2-0.0000618*B6^3+0.000000294*B6^4-0.000000000711*B6^5+0.000000000000682*B6^6</f>
        <v>2.579056704760255</v>
      </c>
    </row>
    <row r="22" spans="1:2" ht="12.75">
      <c r="A22" t="s">
        <v>440</v>
      </c>
      <c r="B22" s="8">
        <f>B19*B7*B12/B18</f>
        <v>187249.7348520992</v>
      </c>
    </row>
    <row r="23" spans="1:2" ht="12.75">
      <c r="A23" t="s">
        <v>471</v>
      </c>
      <c r="B23" s="8">
        <f>B16*B19</f>
        <v>1183.6780534753827</v>
      </c>
    </row>
    <row r="24" spans="1:13" ht="12.75">
      <c r="A24" t="s">
        <v>366</v>
      </c>
      <c r="B24">
        <f>1/B23/B17</f>
        <v>2.0211759416205966E-07</v>
      </c>
      <c r="M24" t="s">
        <v>234</v>
      </c>
    </row>
    <row r="25" spans="1:2" ht="12.75">
      <c r="A25" t="s">
        <v>441</v>
      </c>
      <c r="B25">
        <f>1/(0.023*B22^0.8*B21^0.4*B20*PI()*B13)/B11</f>
        <v>5.667825153394327E-07</v>
      </c>
    </row>
    <row r="26" spans="1:2" ht="12.75">
      <c r="A26" t="s">
        <v>214</v>
      </c>
      <c r="B26" s="8">
        <f>B1*1000000*(B24+B25)</f>
        <v>61.83134504600595</v>
      </c>
    </row>
    <row r="27" spans="1:2" ht="12.75">
      <c r="A27" t="s">
        <v>218</v>
      </c>
      <c r="B27">
        <v>0.1</v>
      </c>
    </row>
    <row r="28" spans="1:2" ht="12.75">
      <c r="A28" t="s">
        <v>119</v>
      </c>
      <c r="B28">
        <f>B27*B2</f>
        <v>3.7699111843077517</v>
      </c>
    </row>
    <row r="29" spans="1:2" ht="12.75">
      <c r="A29" t="s">
        <v>120</v>
      </c>
      <c r="B29">
        <f>B11*PI()*B12^2/4*B13</f>
        <v>0.12063715789784805</v>
      </c>
    </row>
    <row r="30" spans="1:2" ht="12.75">
      <c r="A30" t="s">
        <v>149</v>
      </c>
      <c r="B30">
        <f>B29/B28</f>
        <v>0.032</v>
      </c>
    </row>
    <row r="31" spans="1:2" ht="12.75">
      <c r="A31" t="s">
        <v>121</v>
      </c>
      <c r="B31">
        <f>(B4+B26)/2</f>
        <v>48.415672523002975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0"/>
  <sheetViews>
    <sheetView tabSelected="1" workbookViewId="0" topLeftCell="AH1">
      <selection activeCell="AN19" sqref="AN19:AP78"/>
    </sheetView>
  </sheetViews>
  <sheetFormatPr defaultColWidth="11.00390625" defaultRowHeight="12"/>
  <cols>
    <col min="1" max="1" width="28.125" style="0" bestFit="1" customWidth="1"/>
    <col min="2" max="2" width="12.125" style="0" bestFit="1" customWidth="1"/>
    <col min="3" max="3" width="97.375" style="13" hidden="1" customWidth="1"/>
    <col min="4" max="4" width="12.125" style="0" bestFit="1" customWidth="1"/>
    <col min="5" max="5" width="12.00390625" style="0" bestFit="1" customWidth="1"/>
    <col min="6" max="6" width="21.875" style="7" bestFit="1" customWidth="1"/>
    <col min="7" max="7" width="8.50390625" style="7" customWidth="1"/>
    <col min="8" max="23" width="8.50390625" style="0" customWidth="1"/>
    <col min="26" max="26" width="21.875" style="0" bestFit="1" customWidth="1"/>
    <col min="27" max="28" width="8.50390625" style="0" customWidth="1"/>
    <col min="40" max="40" width="21.875" style="0" bestFit="1" customWidth="1"/>
    <col min="41" max="41" width="12.125" style="0" customWidth="1"/>
    <col min="42" max="45" width="8.50390625" style="0" customWidth="1"/>
  </cols>
  <sheetData>
    <row r="1" spans="1:2" ht="12.75">
      <c r="A1" t="s">
        <v>115</v>
      </c>
      <c r="B1" s="1">
        <v>5</v>
      </c>
    </row>
    <row r="2" spans="1:2" ht="12.75">
      <c r="A2" t="s">
        <v>465</v>
      </c>
      <c r="B2" s="1">
        <v>1.8</v>
      </c>
    </row>
    <row r="3" spans="1:2" ht="12.75">
      <c r="A3" t="s">
        <v>501</v>
      </c>
      <c r="B3" s="1">
        <v>40</v>
      </c>
    </row>
    <row r="4" spans="1:2" ht="12.75">
      <c r="A4" t="s">
        <v>81</v>
      </c>
      <c r="B4" s="1">
        <v>30</v>
      </c>
    </row>
    <row r="5" spans="1:2" ht="12.75">
      <c r="A5" t="s">
        <v>483</v>
      </c>
      <c r="B5" s="1">
        <v>150</v>
      </c>
    </row>
    <row r="6" spans="1:2" ht="12.75">
      <c r="A6" t="s">
        <v>484</v>
      </c>
      <c r="B6" s="1">
        <v>100</v>
      </c>
    </row>
    <row r="7" spans="1:2" ht="12.75">
      <c r="A7" t="s">
        <v>398</v>
      </c>
      <c r="B7" s="1">
        <v>15</v>
      </c>
    </row>
    <row r="8" spans="1:3" ht="12.75">
      <c r="A8" t="s">
        <v>144</v>
      </c>
      <c r="B8" s="5">
        <v>0.9</v>
      </c>
      <c r="C8" s="3"/>
    </row>
    <row r="9" spans="1:2" ht="12.75">
      <c r="A9" t="s">
        <v>22</v>
      </c>
      <c r="B9" s="5">
        <v>1</v>
      </c>
    </row>
    <row r="10" spans="1:3" ht="12.75">
      <c r="A10" t="s">
        <v>496</v>
      </c>
      <c r="B10" s="5">
        <v>2</v>
      </c>
      <c r="C10" s="3"/>
    </row>
    <row r="11" spans="1:3" ht="12.75">
      <c r="A11" t="s">
        <v>145</v>
      </c>
      <c r="B11" s="5">
        <v>0.6</v>
      </c>
      <c r="C11" s="3"/>
    </row>
    <row r="12" spans="1:2" ht="12.75">
      <c r="A12" t="s">
        <v>190</v>
      </c>
      <c r="B12" s="9">
        <f>4*PI()*0.0000001</f>
        <v>1.2566370614359173E-06</v>
      </c>
    </row>
    <row r="13" spans="1:6" ht="12.75">
      <c r="A13" t="s">
        <v>429</v>
      </c>
      <c r="B13" s="14">
        <v>1.5</v>
      </c>
      <c r="D13" s="14">
        <v>1.5</v>
      </c>
      <c r="E13" s="14">
        <v>1.9068309503415877</v>
      </c>
      <c r="F13" s="8">
        <v>2.3144547035128284</v>
      </c>
    </row>
    <row r="14" spans="1:6" ht="12.75">
      <c r="A14" t="s">
        <v>101</v>
      </c>
      <c r="B14" s="48">
        <v>1.5</v>
      </c>
      <c r="D14" s="14">
        <v>1.5</v>
      </c>
      <c r="E14" s="48">
        <v>2</v>
      </c>
      <c r="F14" s="8">
        <v>2.5</v>
      </c>
    </row>
    <row r="15" spans="1:6" ht="12.75">
      <c r="A15" t="s">
        <v>461</v>
      </c>
      <c r="B15" s="8">
        <f>R0+R0/A</f>
        <v>2.5</v>
      </c>
      <c r="D15" s="14" t="s">
        <v>234</v>
      </c>
      <c r="E15" s="14" t="s">
        <v>234</v>
      </c>
      <c r="F15" s="8" t="s">
        <v>234</v>
      </c>
    </row>
    <row r="16" spans="1:6" ht="12.75">
      <c r="A16" t="s">
        <v>191</v>
      </c>
      <c r="B16" s="8">
        <f>1/A</f>
        <v>0.6666666666666666</v>
      </c>
      <c r="D16" s="14" t="s">
        <v>234</v>
      </c>
      <c r="E16" s="14" t="s">
        <v>234</v>
      </c>
      <c r="F16" s="8" t="s">
        <v>234</v>
      </c>
    </row>
    <row r="17" spans="1:6" ht="12.75">
      <c r="A17" t="s">
        <v>403</v>
      </c>
      <c r="B17" s="8">
        <f>3/(1.082+2.747/1.5)*(1.082+2.747/A)</f>
        <v>3</v>
      </c>
      <c r="C17" s="8">
        <f>1.082+2.747/A</f>
        <v>2.913333333333333</v>
      </c>
      <c r="D17" s="8" t="s">
        <v>234</v>
      </c>
      <c r="E17" s="8" t="s">
        <v>234</v>
      </c>
      <c r="F17" s="8" t="s">
        <v>234</v>
      </c>
    </row>
    <row r="18" spans="1:6" ht="12.75">
      <c r="A18" t="s">
        <v>102</v>
      </c>
      <c r="B18" s="14">
        <v>3</v>
      </c>
      <c r="D18" s="48">
        <v>3</v>
      </c>
      <c r="E18" s="14">
        <v>2.75</v>
      </c>
      <c r="F18" s="8">
        <v>2.5</v>
      </c>
    </row>
    <row r="19" spans="1:45" ht="12.75">
      <c r="A19" t="s">
        <v>103</v>
      </c>
      <c r="B19" s="5">
        <v>0.4</v>
      </c>
      <c r="C19" s="11" t="s">
        <v>457</v>
      </c>
      <c r="D19" s="12"/>
      <c r="E19" s="7">
        <f>B13</f>
        <v>1.5</v>
      </c>
      <c r="F19" s="24" t="str">
        <f>A13</f>
        <v>R0</v>
      </c>
      <c r="G19" s="25">
        <v>1.1</v>
      </c>
      <c r="H19" s="25">
        <v>1.2</v>
      </c>
      <c r="I19" s="25">
        <v>1.3</v>
      </c>
      <c r="J19" s="25">
        <v>1.1</v>
      </c>
      <c r="K19" s="25">
        <v>1.2</v>
      </c>
      <c r="L19" s="25">
        <v>1.3</v>
      </c>
      <c r="M19" s="25">
        <v>1.1</v>
      </c>
      <c r="N19" s="25">
        <v>1.2</v>
      </c>
      <c r="O19" s="25">
        <v>1.3</v>
      </c>
      <c r="P19" s="24" t="str">
        <f aca="true" t="shared" si="0" ref="P19:P50">F19</f>
        <v>R0</v>
      </c>
      <c r="Q19" s="25">
        <v>1.6</v>
      </c>
      <c r="R19" s="25">
        <v>1.65</v>
      </c>
      <c r="S19" s="25">
        <v>1.7</v>
      </c>
      <c r="T19" s="25">
        <v>1.45</v>
      </c>
      <c r="U19" s="25">
        <v>1.5</v>
      </c>
      <c r="V19" s="25">
        <v>1.55</v>
      </c>
      <c r="W19" s="25">
        <v>1.35</v>
      </c>
      <c r="X19" s="25">
        <v>1.4</v>
      </c>
      <c r="Y19" s="25">
        <v>1.45</v>
      </c>
      <c r="Z19" s="24" t="str">
        <f>P19</f>
        <v>R0</v>
      </c>
      <c r="AA19" s="25">
        <v>0.7</v>
      </c>
      <c r="AB19" s="25">
        <v>0.7</v>
      </c>
      <c r="AC19" s="25">
        <v>0.7</v>
      </c>
      <c r="AD19" s="25">
        <v>1.5</v>
      </c>
      <c r="AE19" s="25">
        <v>1.7</v>
      </c>
      <c r="AF19" s="25">
        <v>1.8</v>
      </c>
      <c r="AG19" s="25">
        <v>1.9</v>
      </c>
      <c r="AH19" s="25">
        <v>2</v>
      </c>
      <c r="AI19" s="25">
        <v>2.1</v>
      </c>
      <c r="AJ19" s="24" t="str">
        <f>F19</f>
        <v>R0</v>
      </c>
      <c r="AK19" s="25">
        <f>U19</f>
        <v>1.5</v>
      </c>
      <c r="AL19" s="25">
        <f>AD19</f>
        <v>1.5</v>
      </c>
      <c r="AM19" s="25">
        <f>AF19</f>
        <v>1.8</v>
      </c>
      <c r="AN19" s="24" t="str">
        <f>AJ19</f>
        <v>R0</v>
      </c>
      <c r="AO19" s="25">
        <v>1.5</v>
      </c>
      <c r="AP19" s="25">
        <v>1.5</v>
      </c>
      <c r="AQ19" s="24" t="str">
        <f>AJ19</f>
        <v>R0</v>
      </c>
      <c r="AR19" s="25">
        <v>1.2</v>
      </c>
      <c r="AS19" s="25">
        <v>1.2</v>
      </c>
    </row>
    <row r="20" spans="1:45" ht="12.75">
      <c r="A20" t="s">
        <v>354</v>
      </c>
      <c r="B20" s="8">
        <f>2.0499+0.34791*A</f>
        <v>2.571765</v>
      </c>
      <c r="C20" s="12" t="s">
        <v>427</v>
      </c>
      <c r="E20" s="7">
        <f>A</f>
        <v>1.5</v>
      </c>
      <c r="F20" s="24" t="str">
        <f>A14</f>
        <v>A</v>
      </c>
      <c r="G20" s="25">
        <v>1.45</v>
      </c>
      <c r="H20" s="25">
        <v>1.45</v>
      </c>
      <c r="I20" s="25">
        <v>1.45</v>
      </c>
      <c r="J20" s="25">
        <v>1.5</v>
      </c>
      <c r="K20" s="25">
        <v>1.5</v>
      </c>
      <c r="L20" s="25">
        <v>1.5</v>
      </c>
      <c r="M20" s="25">
        <v>1.55</v>
      </c>
      <c r="N20" s="25">
        <v>1.55</v>
      </c>
      <c r="O20" s="25">
        <v>1.55</v>
      </c>
      <c r="P20" s="24" t="str">
        <f t="shared" si="0"/>
        <v>A</v>
      </c>
      <c r="Q20" s="25">
        <v>1.45</v>
      </c>
      <c r="R20" s="25">
        <v>1.45</v>
      </c>
      <c r="S20" s="25">
        <v>1.45</v>
      </c>
      <c r="T20" s="25">
        <v>1.5</v>
      </c>
      <c r="U20" s="25">
        <v>1.5</v>
      </c>
      <c r="V20" s="25">
        <v>1.5</v>
      </c>
      <c r="W20" s="25">
        <v>1.55</v>
      </c>
      <c r="X20" s="25">
        <v>1.55</v>
      </c>
      <c r="Y20" s="25">
        <v>1.55</v>
      </c>
      <c r="Z20" s="24" t="str">
        <f aca="true" t="shared" si="1" ref="Z20:Z78">P20</f>
        <v>A</v>
      </c>
      <c r="AA20" s="25">
        <v>1.6</v>
      </c>
      <c r="AB20" s="25">
        <v>1.6</v>
      </c>
      <c r="AC20" s="25">
        <v>1.55</v>
      </c>
      <c r="AD20" s="25">
        <v>2</v>
      </c>
      <c r="AE20" s="25">
        <v>2.5</v>
      </c>
      <c r="AF20" s="25">
        <v>2.5</v>
      </c>
      <c r="AG20" s="25">
        <v>2.5</v>
      </c>
      <c r="AH20" s="25">
        <v>2.5</v>
      </c>
      <c r="AI20" s="25">
        <v>2.5</v>
      </c>
      <c r="AJ20" s="24" t="str">
        <f aca="true" t="shared" si="2" ref="AJ20:AJ78">F20</f>
        <v>A</v>
      </c>
      <c r="AK20" s="25">
        <f aca="true" t="shared" si="3" ref="AK20:AK78">U20</f>
        <v>1.5</v>
      </c>
      <c r="AL20" s="25">
        <f aca="true" t="shared" si="4" ref="AL20:AL78">AD20</f>
        <v>2</v>
      </c>
      <c r="AM20" s="25">
        <f aca="true" t="shared" si="5" ref="AM20:AM78">AF20</f>
        <v>2.5</v>
      </c>
      <c r="AN20" s="24" t="str">
        <f aca="true" t="shared" si="6" ref="AN20:AN78">AJ20</f>
        <v>A</v>
      </c>
      <c r="AO20" s="25">
        <v>1.5</v>
      </c>
      <c r="AP20" s="25">
        <v>1.5</v>
      </c>
      <c r="AQ20" s="24" t="str">
        <f>AJ20</f>
        <v>A</v>
      </c>
      <c r="AR20" s="25">
        <v>1.5</v>
      </c>
      <c r="AS20" s="25">
        <v>1.5</v>
      </c>
    </row>
    <row r="21" spans="1:45" ht="12.75">
      <c r="A21" t="s">
        <v>321</v>
      </c>
      <c r="B21" s="41">
        <v>3.008554636847287</v>
      </c>
      <c r="C21" s="12" t="s">
        <v>234</v>
      </c>
      <c r="E21" s="8">
        <f>B15</f>
        <v>2.5</v>
      </c>
      <c r="F21" s="25" t="str">
        <f>A15</f>
        <v>R0+a</v>
      </c>
      <c r="G21" s="25">
        <v>1.8586206896551727</v>
      </c>
      <c r="H21" s="25">
        <v>2.027586206896552</v>
      </c>
      <c r="I21" s="25">
        <v>2.1965517241379313</v>
      </c>
      <c r="J21" s="25">
        <v>1.8333333333333335</v>
      </c>
      <c r="K21" s="25">
        <v>2</v>
      </c>
      <c r="L21" s="25">
        <v>2.166666666666667</v>
      </c>
      <c r="M21" s="25">
        <v>1.8096774193548388</v>
      </c>
      <c r="N21" s="25">
        <v>1.9741935483870967</v>
      </c>
      <c r="O21" s="25">
        <v>2.138709677419355</v>
      </c>
      <c r="P21" s="24" t="str">
        <f t="shared" si="0"/>
        <v>R0+a</v>
      </c>
      <c r="Q21" s="25">
        <v>2.703448275862069</v>
      </c>
      <c r="R21" s="25">
        <v>2.7879310344827584</v>
      </c>
      <c r="S21" s="25">
        <v>2.872413793103448</v>
      </c>
      <c r="T21" s="25">
        <v>2.4166666666666665</v>
      </c>
      <c r="U21" s="25">
        <v>2.5</v>
      </c>
      <c r="V21" s="25">
        <v>2.5833333333333335</v>
      </c>
      <c r="W21" s="25">
        <v>2.220967741935484</v>
      </c>
      <c r="X21" s="25">
        <v>2.3032258064516125</v>
      </c>
      <c r="Y21" s="25">
        <v>2.3854838709677417</v>
      </c>
      <c r="Z21" s="24" t="str">
        <f t="shared" si="1"/>
        <v>R0+a</v>
      </c>
      <c r="AA21" s="25">
        <v>1.1375</v>
      </c>
      <c r="AB21" s="25">
        <v>1.1375</v>
      </c>
      <c r="AC21" s="25">
        <v>1.1516129032258062</v>
      </c>
      <c r="AD21" s="25">
        <v>2.25</v>
      </c>
      <c r="AE21" s="25">
        <v>2.38</v>
      </c>
      <c r="AF21" s="25">
        <v>2.52</v>
      </c>
      <c r="AG21" s="25">
        <v>2.66</v>
      </c>
      <c r="AH21" s="25">
        <v>2.8</v>
      </c>
      <c r="AI21" s="25">
        <v>2.94</v>
      </c>
      <c r="AJ21" s="24" t="str">
        <f t="shared" si="2"/>
        <v>R0+a</v>
      </c>
      <c r="AK21" s="25">
        <f t="shared" si="3"/>
        <v>2.5</v>
      </c>
      <c r="AL21" s="25">
        <f t="shared" si="4"/>
        <v>2.25</v>
      </c>
      <c r="AM21" s="25">
        <f t="shared" si="5"/>
        <v>2.52</v>
      </c>
      <c r="AN21" s="24" t="str">
        <f t="shared" si="6"/>
        <v>R0+a</v>
      </c>
      <c r="AO21" s="29">
        <v>2.5</v>
      </c>
      <c r="AP21" s="29">
        <v>2.5</v>
      </c>
      <c r="AQ21" s="24" t="str">
        <f>AJ21</f>
        <v>R0+a</v>
      </c>
      <c r="AR21" s="25">
        <v>2</v>
      </c>
      <c r="AS21" s="29">
        <v>2</v>
      </c>
    </row>
    <row r="22" spans="1:45" ht="12.75">
      <c r="A22" t="s">
        <v>104</v>
      </c>
      <c r="B22" s="2">
        <f>(1+kappa^2*(1+2*delta^2-1.2*delta^3))*(1.17-0.65*e)/(1-e^2)^2</f>
        <v>29.092227839999996</v>
      </c>
      <c r="C22" s="13" t="s">
        <v>458</v>
      </c>
      <c r="E22" s="7">
        <f>B18</f>
        <v>3</v>
      </c>
      <c r="F22" s="24" t="str">
        <f>A18</f>
        <v>kappa</v>
      </c>
      <c r="G22" s="25">
        <v>3.0650280123096345</v>
      </c>
      <c r="H22" s="25">
        <v>3.0650280123096345</v>
      </c>
      <c r="I22" s="25">
        <v>3.0650280123096345</v>
      </c>
      <c r="J22" s="25">
        <v>3</v>
      </c>
      <c r="K22" s="25">
        <v>3</v>
      </c>
      <c r="L22" s="25">
        <v>3</v>
      </c>
      <c r="M22" s="25">
        <v>2.9391673433232453</v>
      </c>
      <c r="N22" s="25">
        <v>2.9391673433232453</v>
      </c>
      <c r="O22" s="25">
        <v>2.9391673433232453</v>
      </c>
      <c r="P22" s="24" t="str">
        <f t="shared" si="0"/>
        <v>kappa</v>
      </c>
      <c r="Q22" s="25">
        <v>3.0650280123096345</v>
      </c>
      <c r="R22" s="25">
        <v>3.0650280123096345</v>
      </c>
      <c r="S22" s="25">
        <v>3.0650280123096345</v>
      </c>
      <c r="T22" s="25">
        <v>3</v>
      </c>
      <c r="U22" s="25">
        <v>3</v>
      </c>
      <c r="V22" s="25">
        <v>3</v>
      </c>
      <c r="W22" s="25">
        <v>2.9391673433232453</v>
      </c>
      <c r="X22" s="25">
        <v>2.9391673433232453</v>
      </c>
      <c r="Y22" s="25">
        <v>2.9391673433232453</v>
      </c>
      <c r="Z22" s="24" t="str">
        <f t="shared" si="1"/>
        <v>kappa</v>
      </c>
      <c r="AA22" s="25">
        <v>2.5</v>
      </c>
      <c r="AB22" s="25">
        <v>2.5</v>
      </c>
      <c r="AC22" s="25">
        <v>2.9391673433232453</v>
      </c>
      <c r="AD22" s="25">
        <v>2.75</v>
      </c>
      <c r="AE22" s="25">
        <v>2.5</v>
      </c>
      <c r="AF22" s="25">
        <v>2.5</v>
      </c>
      <c r="AG22" s="25">
        <v>2.5</v>
      </c>
      <c r="AH22" s="25">
        <v>2.5</v>
      </c>
      <c r="AI22" s="25">
        <v>2.5</v>
      </c>
      <c r="AJ22" s="24" t="str">
        <f t="shared" si="2"/>
        <v>kappa</v>
      </c>
      <c r="AK22" s="25">
        <f t="shared" si="3"/>
        <v>3</v>
      </c>
      <c r="AL22" s="25">
        <f t="shared" si="4"/>
        <v>2.75</v>
      </c>
      <c r="AM22" s="25">
        <f t="shared" si="5"/>
        <v>2.5</v>
      </c>
      <c r="AN22" s="24" t="str">
        <f t="shared" si="6"/>
        <v>kappa</v>
      </c>
      <c r="AO22" s="25">
        <v>3</v>
      </c>
      <c r="AP22" s="25">
        <v>3</v>
      </c>
      <c r="AQ22" s="24" t="str">
        <f>AJ22</f>
        <v>kappa</v>
      </c>
      <c r="AR22" s="25">
        <v>3</v>
      </c>
      <c r="AS22" s="25">
        <v>3</v>
      </c>
    </row>
    <row r="23" spans="1:45" ht="12.75">
      <c r="A23" t="s">
        <v>105</v>
      </c>
      <c r="B23" s="2">
        <f>(1+kappa^2)</f>
        <v>10</v>
      </c>
      <c r="C23" s="14" t="s">
        <v>234</v>
      </c>
      <c r="E23" s="7">
        <f>delta</f>
        <v>0.4</v>
      </c>
      <c r="F23" s="24" t="str">
        <f>A19</f>
        <v>delta</v>
      </c>
      <c r="G23" s="25">
        <v>0.4</v>
      </c>
      <c r="H23" s="25">
        <v>0.4</v>
      </c>
      <c r="I23" s="25">
        <v>0.4</v>
      </c>
      <c r="J23" s="25">
        <v>0.4</v>
      </c>
      <c r="K23" s="25">
        <v>0.4</v>
      </c>
      <c r="L23" s="25">
        <v>0.4</v>
      </c>
      <c r="M23" s="25">
        <v>0.4</v>
      </c>
      <c r="N23" s="25">
        <v>0.4</v>
      </c>
      <c r="O23" s="25">
        <v>0.4</v>
      </c>
      <c r="P23" s="24" t="str">
        <f t="shared" si="0"/>
        <v>delta</v>
      </c>
      <c r="Q23" s="25">
        <v>0.4</v>
      </c>
      <c r="R23" s="25">
        <v>0.4</v>
      </c>
      <c r="S23" s="25">
        <v>0.4</v>
      </c>
      <c r="T23" s="25">
        <v>0.4</v>
      </c>
      <c r="U23" s="25">
        <v>0.4</v>
      </c>
      <c r="V23" s="25">
        <v>0.4</v>
      </c>
      <c r="W23" s="25">
        <v>0.4</v>
      </c>
      <c r="X23" s="25">
        <v>0.4</v>
      </c>
      <c r="Y23" s="25">
        <v>0.4</v>
      </c>
      <c r="Z23" s="24" t="str">
        <f t="shared" si="1"/>
        <v>delta</v>
      </c>
      <c r="AA23" s="25">
        <v>0.4</v>
      </c>
      <c r="AB23" s="25">
        <v>0.4</v>
      </c>
      <c r="AC23" s="25">
        <v>0.4</v>
      </c>
      <c r="AD23" s="25">
        <v>0.4</v>
      </c>
      <c r="AE23" s="25">
        <v>0.4</v>
      </c>
      <c r="AF23" s="25">
        <v>0.4</v>
      </c>
      <c r="AG23" s="25">
        <v>0.4</v>
      </c>
      <c r="AH23" s="25">
        <v>0.4</v>
      </c>
      <c r="AI23" s="25">
        <v>0.4</v>
      </c>
      <c r="AJ23" s="24" t="str">
        <f t="shared" si="2"/>
        <v>delta</v>
      </c>
      <c r="AK23" s="25">
        <f t="shared" si="3"/>
        <v>0.4</v>
      </c>
      <c r="AL23" s="25">
        <f t="shared" si="4"/>
        <v>0.4</v>
      </c>
      <c r="AM23" s="25">
        <f t="shared" si="5"/>
        <v>0.4</v>
      </c>
      <c r="AN23" s="24" t="str">
        <f t="shared" si="6"/>
        <v>delta</v>
      </c>
      <c r="AO23" s="25">
        <v>0.4</v>
      </c>
      <c r="AP23" s="25">
        <v>0.4</v>
      </c>
      <c r="AQ23" s="24" t="str">
        <f>AJ23</f>
        <v>delta</v>
      </c>
      <c r="AR23" s="25">
        <v>0.4</v>
      </c>
      <c r="AS23" s="25">
        <v>0.4</v>
      </c>
    </row>
    <row r="24" spans="1:45" ht="12.75">
      <c r="A24" t="s">
        <v>106</v>
      </c>
      <c r="B24" s="33">
        <f>sMHD/s*qcyl</f>
        <v>8.752555696424972</v>
      </c>
      <c r="C24" s="14" t="s">
        <v>234</v>
      </c>
      <c r="E24" s="7">
        <f>B24</f>
        <v>8.752555696424972</v>
      </c>
      <c r="F24" s="24" t="str">
        <f>A24</f>
        <v>qMHD</v>
      </c>
      <c r="G24" s="25">
        <v>8.178231151496048</v>
      </c>
      <c r="H24" s="25">
        <v>8.178231151496048</v>
      </c>
      <c r="I24" s="25">
        <v>8.178231151496048</v>
      </c>
      <c r="J24" s="25">
        <v>7.481837333093759</v>
      </c>
      <c r="K24" s="25">
        <v>7.481837333093759</v>
      </c>
      <c r="L24" s="25">
        <v>7.481837333093759</v>
      </c>
      <c r="M24" s="25">
        <v>6.946255180137324</v>
      </c>
      <c r="N24" s="25">
        <v>6.946255180137324</v>
      </c>
      <c r="O24" s="25">
        <v>6.946255180137324</v>
      </c>
      <c r="P24" s="24" t="str">
        <f t="shared" si="0"/>
        <v>qMHD</v>
      </c>
      <c r="Q24" s="25">
        <v>9.55542159745839</v>
      </c>
      <c r="R24" s="25">
        <v>9.650567827594216</v>
      </c>
      <c r="S24" s="25">
        <v>9.735488183715493</v>
      </c>
      <c r="T24" s="25">
        <v>8.636402333396932</v>
      </c>
      <c r="U24" s="25">
        <v>8.752555698466354</v>
      </c>
      <c r="V24" s="25">
        <v>8.85761492227165</v>
      </c>
      <c r="W24" s="25">
        <v>7.8993157326104315</v>
      </c>
      <c r="X24" s="25">
        <v>8.02629250949671</v>
      </c>
      <c r="Y24" s="25">
        <v>8.142302537990245</v>
      </c>
      <c r="Z24" s="24" t="str">
        <f t="shared" si="1"/>
        <v>qMHD</v>
      </c>
      <c r="AA24" s="25">
        <v>6</v>
      </c>
      <c r="AB24" s="25">
        <v>5.2866890491452985</v>
      </c>
      <c r="AC24" s="25">
        <v>7.161903762356579</v>
      </c>
      <c r="AD24" s="25">
        <v>5.994131209772009</v>
      </c>
      <c r="AE24" s="25">
        <v>4.817446551930498</v>
      </c>
      <c r="AF24" s="25">
        <v>4.86185699177229</v>
      </c>
      <c r="AG24" s="25">
        <v>4.90569149415023</v>
      </c>
      <c r="AH24" s="25">
        <v>4.9482412090471675</v>
      </c>
      <c r="AI24" s="25">
        <v>4.989059645524089</v>
      </c>
      <c r="AJ24" s="24" t="str">
        <f t="shared" si="2"/>
        <v>qMHD</v>
      </c>
      <c r="AK24" s="25">
        <f t="shared" si="3"/>
        <v>8.752555698466354</v>
      </c>
      <c r="AL24" s="25">
        <f t="shared" si="4"/>
        <v>5.994131209772009</v>
      </c>
      <c r="AM24" s="25">
        <f t="shared" si="5"/>
        <v>4.86185699177229</v>
      </c>
      <c r="AN24" s="24" t="str">
        <f t="shared" si="6"/>
        <v>qMHD</v>
      </c>
      <c r="AO24" s="25">
        <v>7.898373252232299</v>
      </c>
      <c r="AP24" s="25">
        <v>8.752555696424972</v>
      </c>
      <c r="AQ24" s="24" t="str">
        <f>AJ24</f>
        <v>qMHD</v>
      </c>
      <c r="AR24" s="25">
        <v>7.481837333093759</v>
      </c>
      <c r="AS24" s="25">
        <v>7.481837333093759</v>
      </c>
    </row>
    <row r="25" spans="1:45" ht="12.75">
      <c r="A25" t="s">
        <v>243</v>
      </c>
      <c r="B25" s="40">
        <v>39769554.21349662</v>
      </c>
      <c r="C25" s="15" t="s">
        <v>285</v>
      </c>
      <c r="E25" s="8">
        <f>qcyl</f>
        <v>3.008554636847287</v>
      </c>
      <c r="F25" s="29" t="str">
        <f>A21</f>
        <v>qcyl</v>
      </c>
      <c r="G25" s="29">
        <v>2.5543695</v>
      </c>
      <c r="H25" s="29">
        <v>2.5543695</v>
      </c>
      <c r="I25" s="29">
        <v>2.5543695</v>
      </c>
      <c r="J25" s="29">
        <v>2.571765</v>
      </c>
      <c r="K25" s="29">
        <v>2.571765</v>
      </c>
      <c r="L25" s="29">
        <v>2.571765</v>
      </c>
      <c r="M25" s="29">
        <v>2.5891605</v>
      </c>
      <c r="N25" s="29">
        <v>2.5891605</v>
      </c>
      <c r="O25" s="29">
        <v>2.5891605</v>
      </c>
      <c r="P25" s="24" t="str">
        <f t="shared" si="0"/>
        <v>qcyl</v>
      </c>
      <c r="Q25" s="29">
        <v>2.9845179276601894</v>
      </c>
      <c r="R25" s="29">
        <v>3.0142356775986316</v>
      </c>
      <c r="S25" s="29">
        <v>3.0407595020769413</v>
      </c>
      <c r="T25" s="29">
        <v>2.9686287282276873</v>
      </c>
      <c r="U25" s="29">
        <v>3.00855463754898</v>
      </c>
      <c r="V25" s="29">
        <v>3.044667108681509</v>
      </c>
      <c r="W25" s="29">
        <v>2.9444061212129493</v>
      </c>
      <c r="X25" s="29">
        <v>2.9917356889592304</v>
      </c>
      <c r="Y25" s="29">
        <v>3.0349774898418462</v>
      </c>
      <c r="Z25" s="24" t="str">
        <f t="shared" si="1"/>
        <v>qcyl</v>
      </c>
      <c r="AA25" s="29"/>
      <c r="AB25" s="29">
        <v>2.1249084472656254</v>
      </c>
      <c r="AC25" s="29">
        <v>2.669541766809732</v>
      </c>
      <c r="AD25" s="29">
        <v>3.284644131858279</v>
      </c>
      <c r="AE25" s="29">
        <v>3.0879659154028665</v>
      </c>
      <c r="AF25" s="29">
        <v>3.116432847633707</v>
      </c>
      <c r="AG25" s="29">
        <v>3.144530606021391</v>
      </c>
      <c r="AH25" s="29">
        <v>3.171804820254074</v>
      </c>
      <c r="AI25" s="29">
        <v>3.1979692912455087</v>
      </c>
      <c r="AJ25" s="24" t="str">
        <f t="shared" si="2"/>
        <v>qcyl</v>
      </c>
      <c r="AK25" s="29">
        <f t="shared" si="3"/>
        <v>3.00855463754898</v>
      </c>
      <c r="AL25" s="29">
        <f t="shared" si="4"/>
        <v>3.284644131858279</v>
      </c>
      <c r="AM25" s="29">
        <f t="shared" si="5"/>
        <v>3.116432847633707</v>
      </c>
      <c r="AN25" s="24" t="str">
        <f t="shared" si="6"/>
        <v>qcyl</v>
      </c>
      <c r="AO25" s="29">
        <v>2.714942731670941</v>
      </c>
      <c r="AP25" s="29">
        <v>3.008554636847287</v>
      </c>
      <c r="AQ25" s="24" t="str">
        <f>AJ25</f>
        <v>qcyl</v>
      </c>
      <c r="AR25" s="29">
        <v>2.571765</v>
      </c>
      <c r="AS25" s="29">
        <v>2.571765</v>
      </c>
    </row>
    <row r="26" spans="1:45" ht="12.75">
      <c r="A26" t="s">
        <v>430</v>
      </c>
      <c r="B26" s="7">
        <v>0.1</v>
      </c>
      <c r="C26" s="15" t="s">
        <v>19</v>
      </c>
      <c r="E26" s="4">
        <f>qcyl/B20</f>
        <v>1.1698404157639937</v>
      </c>
      <c r="F26" s="26" t="s">
        <v>182</v>
      </c>
      <c r="G26" s="26">
        <v>1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1</v>
      </c>
      <c r="P26" s="24" t="str">
        <f t="shared" si="0"/>
        <v>qcyl/qcyl(A)</v>
      </c>
      <c r="Q26" s="26">
        <v>1.168397104514515</v>
      </c>
      <c r="R26" s="26">
        <v>1.1800311887526969</v>
      </c>
      <c r="S26" s="26">
        <v>1.190414895760751</v>
      </c>
      <c r="T26" s="26">
        <v>1.1543157046727393</v>
      </c>
      <c r="U26" s="26">
        <v>1.1698404160368385</v>
      </c>
      <c r="V26" s="26">
        <v>1.1838823176618039</v>
      </c>
      <c r="W26" s="26">
        <v>1.1372049439240823</v>
      </c>
      <c r="X26" s="26">
        <v>1.155484833388749</v>
      </c>
      <c r="Y26" s="26">
        <v>1.1721859227505773</v>
      </c>
      <c r="Z26" s="24" t="str">
        <f t="shared" si="1"/>
        <v>qcyl/qcyl(A)</v>
      </c>
      <c r="AA26" s="26"/>
      <c r="AB26" s="26">
        <v>0.8152168790026476</v>
      </c>
      <c r="AC26" s="26">
        <v>1.031045300903413</v>
      </c>
      <c r="AD26" s="26">
        <v>1.1962778913575598</v>
      </c>
      <c r="AE26" s="26">
        <v>1.057640290581269</v>
      </c>
      <c r="AF26" s="26">
        <v>1.0673903251675982</v>
      </c>
      <c r="AG26" s="26">
        <v>1.0770139162822543</v>
      </c>
      <c r="AH26" s="26">
        <v>1.0863554403329392</v>
      </c>
      <c r="AI26" s="26">
        <v>1.0953168730237128</v>
      </c>
      <c r="AJ26" s="24" t="str">
        <f t="shared" si="2"/>
        <v>qcyl/qcyl(A)</v>
      </c>
      <c r="AK26" s="26">
        <f t="shared" si="3"/>
        <v>1.1698404160368385</v>
      </c>
      <c r="AL26" s="26">
        <f t="shared" si="4"/>
        <v>1.1962778913575598</v>
      </c>
      <c r="AM26" s="26">
        <f t="shared" si="5"/>
        <v>1.0673903251675982</v>
      </c>
      <c r="AN26" s="24" t="str">
        <f t="shared" si="6"/>
        <v>qcyl/qcyl(A)</v>
      </c>
      <c r="AO26" s="26">
        <v>1.0556729451061588</v>
      </c>
      <c r="AP26" s="26">
        <v>1.1698404157639937</v>
      </c>
      <c r="AQ26" s="24" t="str">
        <f>AJ26</f>
        <v>qcyl/qcyl(A)</v>
      </c>
      <c r="AR26" s="26">
        <v>1</v>
      </c>
      <c r="AS26" s="26">
        <v>1</v>
      </c>
    </row>
    <row r="27" spans="1:45" ht="12.75">
      <c r="A27" t="s">
        <v>431</v>
      </c>
      <c r="B27" s="7">
        <f>R0-R0/A-B26</f>
        <v>0.4</v>
      </c>
      <c r="C27" s="13" t="s">
        <v>234</v>
      </c>
      <c r="E27" s="7">
        <f>B30</f>
        <v>2.665381106211456</v>
      </c>
      <c r="F27" s="24" t="str">
        <f>A30</f>
        <v>Bt</v>
      </c>
      <c r="G27" s="25">
        <v>1.707846675901301</v>
      </c>
      <c r="H27" s="25">
        <v>1.9737039073982658</v>
      </c>
      <c r="I27" s="25">
        <v>2.2366324122151675</v>
      </c>
      <c r="J27" s="25">
        <v>2.112399094092375</v>
      </c>
      <c r="K27" s="25">
        <v>2.4251837953215034</v>
      </c>
      <c r="L27" s="25">
        <v>2.5628664478498075</v>
      </c>
      <c r="M27" s="25">
        <v>2.533352954169965</v>
      </c>
      <c r="N27" s="25">
        <v>2.7137448766796566</v>
      </c>
      <c r="O27" s="25">
        <v>2.7778165291763015</v>
      </c>
      <c r="P27" s="24" t="str">
        <f t="shared" si="0"/>
        <v>Bt</v>
      </c>
      <c r="Q27" s="25">
        <v>2.4772534670691897</v>
      </c>
      <c r="R27" s="25">
        <v>2.4961837162403313</v>
      </c>
      <c r="S27" s="25">
        <v>2.514000455262262</v>
      </c>
      <c r="T27" s="25">
        <v>2.6424036828820747</v>
      </c>
      <c r="U27" s="25">
        <v>2.665381105456807</v>
      </c>
      <c r="V27" s="25">
        <v>2.686876104959038</v>
      </c>
      <c r="W27" s="25">
        <v>2.806292720619978</v>
      </c>
      <c r="X27" s="25">
        <v>2.8327350816372032</v>
      </c>
      <c r="Y27" s="25">
        <v>2.857353817187751</v>
      </c>
      <c r="Z27" s="24" t="str">
        <f t="shared" si="1"/>
        <v>Bt</v>
      </c>
      <c r="AA27" s="25">
        <v>3.43</v>
      </c>
      <c r="AB27" s="25">
        <v>3.43</v>
      </c>
      <c r="AC27" s="25">
        <v>1.121971401829764</v>
      </c>
      <c r="AD27" s="25">
        <v>4.331244297593616</v>
      </c>
      <c r="AE27" s="25">
        <v>5.4091557743703085</v>
      </c>
      <c r="AF27" s="25">
        <v>5.4418197585150585</v>
      </c>
      <c r="AG27" s="25">
        <v>5.4710454285393055</v>
      </c>
      <c r="AH27" s="25">
        <v>5.497348531561129</v>
      </c>
      <c r="AI27" s="25">
        <v>5.521146577152302</v>
      </c>
      <c r="AJ27" s="24" t="str">
        <f t="shared" si="2"/>
        <v>Bt</v>
      </c>
      <c r="AK27" s="25">
        <f t="shared" si="3"/>
        <v>2.665381105456807</v>
      </c>
      <c r="AL27" s="25">
        <f t="shared" si="4"/>
        <v>4.331244297593616</v>
      </c>
      <c r="AM27" s="25">
        <f t="shared" si="5"/>
        <v>5.4418197585150585</v>
      </c>
      <c r="AN27" s="24" t="str">
        <f t="shared" si="6"/>
        <v>Bt</v>
      </c>
      <c r="AO27" s="25">
        <v>2.665381106211456</v>
      </c>
      <c r="AP27" s="25">
        <v>2.665381106211456</v>
      </c>
      <c r="AQ27" s="24" t="str">
        <f>AJ27</f>
        <v>Bt</v>
      </c>
      <c r="AR27" s="25">
        <v>2.4251837953215034</v>
      </c>
      <c r="AS27" s="25">
        <v>2.345635026936787</v>
      </c>
    </row>
    <row r="28" spans="1:45" ht="12.75">
      <c r="A28" t="s">
        <v>149</v>
      </c>
      <c r="B28" s="7">
        <v>0.25</v>
      </c>
      <c r="C28" s="12" t="s">
        <v>20</v>
      </c>
      <c r="E28" s="4">
        <f>fracwater</f>
        <v>0.25</v>
      </c>
      <c r="F28" s="26" t="str">
        <f>A28</f>
        <v>fH20</v>
      </c>
      <c r="G28" s="26">
        <v>0.25</v>
      </c>
      <c r="H28" s="26">
        <v>0.25</v>
      </c>
      <c r="I28" s="26">
        <v>0.25</v>
      </c>
      <c r="J28" s="26">
        <v>0.25</v>
      </c>
      <c r="K28" s="26">
        <v>0.25</v>
      </c>
      <c r="L28" s="26">
        <v>0.18828365607914618</v>
      </c>
      <c r="M28" s="26">
        <v>0.25</v>
      </c>
      <c r="N28" s="26">
        <v>0.18717083616609212</v>
      </c>
      <c r="O28" s="26">
        <v>0.13570891474489793</v>
      </c>
      <c r="P28" s="24" t="str">
        <f t="shared" si="0"/>
        <v>fH20</v>
      </c>
      <c r="Q28" s="26">
        <v>0.25</v>
      </c>
      <c r="R28" s="26">
        <v>0.22894425511955707</v>
      </c>
      <c r="S28" s="26">
        <v>0.23348511232560495</v>
      </c>
      <c r="T28" s="26">
        <v>0.23702216749820165</v>
      </c>
      <c r="U28" s="26">
        <v>0.211421372116403</v>
      </c>
      <c r="V28" s="26">
        <v>0.19155696710849768</v>
      </c>
      <c r="W28" s="26">
        <v>0.25</v>
      </c>
      <c r="X28" s="26">
        <v>0.20029163077978107</v>
      </c>
      <c r="Y28" s="26">
        <v>0.18015288385851944</v>
      </c>
      <c r="Z28" s="24" t="str">
        <f t="shared" si="1"/>
        <v>fH20</v>
      </c>
      <c r="AA28" s="26"/>
      <c r="AB28" s="26">
        <v>0.25</v>
      </c>
      <c r="AC28" s="26">
        <v>0.25</v>
      </c>
      <c r="AD28" s="26">
        <v>0.25</v>
      </c>
      <c r="AE28" s="26">
        <v>0.25</v>
      </c>
      <c r="AF28" s="26">
        <v>0.25</v>
      </c>
      <c r="AG28" s="26">
        <v>0.25</v>
      </c>
      <c r="AH28" s="26">
        <v>0.25</v>
      </c>
      <c r="AI28" s="26">
        <v>0.25</v>
      </c>
      <c r="AJ28" s="24" t="str">
        <f t="shared" si="2"/>
        <v>fH20</v>
      </c>
      <c r="AK28" s="26">
        <f t="shared" si="3"/>
        <v>0.211421372116403</v>
      </c>
      <c r="AL28" s="26">
        <f t="shared" si="4"/>
        <v>0.25</v>
      </c>
      <c r="AM28" s="26">
        <f t="shared" si="5"/>
        <v>0.25</v>
      </c>
      <c r="AN28" s="24" t="str">
        <f t="shared" si="6"/>
        <v>fH20</v>
      </c>
      <c r="AO28" s="26">
        <v>0.25</v>
      </c>
      <c r="AP28" s="26">
        <v>0.25</v>
      </c>
      <c r="AQ28" s="24" t="str">
        <f>AJ28</f>
        <v>fH20</v>
      </c>
      <c r="AR28" s="26">
        <v>0.25</v>
      </c>
      <c r="AS28" s="26">
        <v>0.25</v>
      </c>
    </row>
    <row r="29" spans="1:45" ht="12.75">
      <c r="A29" t="s">
        <v>333</v>
      </c>
      <c r="B29" s="7">
        <f>mu0*B25*PI()*B27^2/2/PI()/R0</f>
        <v>2.665381106211456</v>
      </c>
      <c r="C29" s="13" t="s">
        <v>234</v>
      </c>
      <c r="E29" s="2">
        <f>TH20max</f>
        <v>89.11739041615857</v>
      </c>
      <c r="F29" s="27" t="str">
        <f>A32</f>
        <v>TH20max</v>
      </c>
      <c r="G29" s="27">
        <v>86.50044106219575</v>
      </c>
      <c r="H29" s="27">
        <v>88.68450050097616</v>
      </c>
      <c r="I29" s="27">
        <v>90.74064918557899</v>
      </c>
      <c r="J29" s="27">
        <v>85.51091563695933</v>
      </c>
      <c r="K29" s="27">
        <v>87.64384333761159</v>
      </c>
      <c r="L29" s="27">
        <v>96.42473701551292</v>
      </c>
      <c r="M29" s="27">
        <v>84.57290035768226</v>
      </c>
      <c r="N29" s="27">
        <v>93.50588926047752</v>
      </c>
      <c r="O29" s="27">
        <v>103.38418491593153</v>
      </c>
      <c r="P29" s="24" t="str">
        <f t="shared" si="0"/>
        <v>TH20max</v>
      </c>
      <c r="Q29" s="27">
        <v>95.07711233402408</v>
      </c>
      <c r="R29" s="27">
        <v>97.57371691165687</v>
      </c>
      <c r="S29" s="27">
        <v>94.37311170898047</v>
      </c>
      <c r="T29" s="27">
        <v>94.1567210525217</v>
      </c>
      <c r="U29" s="27">
        <v>97.89217500316629</v>
      </c>
      <c r="V29" s="27">
        <v>101.26566497468825</v>
      </c>
      <c r="W29" s="27">
        <v>87.46736642530526</v>
      </c>
      <c r="X29" s="27">
        <v>96.2598552495806</v>
      </c>
      <c r="Y29" s="27">
        <v>99.87023996357232</v>
      </c>
      <c r="Z29" s="24" t="str">
        <f t="shared" si="1"/>
        <v>TH20max</v>
      </c>
      <c r="AA29" s="27"/>
      <c r="AB29" s="27">
        <v>342.08612545691824</v>
      </c>
      <c r="AC29" s="27">
        <v>75.28706061814111</v>
      </c>
      <c r="AD29" s="27">
        <v>56.055867752991475</v>
      </c>
      <c r="AE29" s="27">
        <v>46.37755342671177</v>
      </c>
      <c r="AF29" s="27">
        <v>45.886310118279965</v>
      </c>
      <c r="AG29" s="27">
        <v>45.42810127754034</v>
      </c>
      <c r="AH29" s="27">
        <v>45.0011219427352</v>
      </c>
      <c r="AI29" s="27">
        <v>44.60379050735816</v>
      </c>
      <c r="AJ29" s="24" t="str">
        <f t="shared" si="2"/>
        <v>TH20max</v>
      </c>
      <c r="AK29" s="27">
        <f t="shared" si="3"/>
        <v>97.89217500316629</v>
      </c>
      <c r="AL29" s="27">
        <f t="shared" si="4"/>
        <v>56.055867752991475</v>
      </c>
      <c r="AM29" s="27">
        <f t="shared" si="5"/>
        <v>45.886310118279965</v>
      </c>
      <c r="AN29" s="24" t="str">
        <f t="shared" si="6"/>
        <v>TH20max</v>
      </c>
      <c r="AO29" s="27">
        <v>72.60117033802943</v>
      </c>
      <c r="AP29" s="27">
        <v>89.11739041615857</v>
      </c>
      <c r="AQ29" s="24" t="str">
        <f>AJ29</f>
        <v>TH20max</v>
      </c>
      <c r="AR29" s="27">
        <v>87.64384333761159</v>
      </c>
      <c r="AS29" s="27">
        <v>87.58599218162823</v>
      </c>
    </row>
    <row r="30" spans="1:45" ht="12.75">
      <c r="A30" t="s">
        <v>323</v>
      </c>
      <c r="B30" s="6">
        <f>B29</f>
        <v>2.665381106211456</v>
      </c>
      <c r="C30" s="12" t="s">
        <v>125</v>
      </c>
      <c r="D30" t="s">
        <v>234</v>
      </c>
      <c r="E30" s="2">
        <f>TCumax</f>
        <v>140.4478321426792</v>
      </c>
      <c r="F30" s="27" t="str">
        <f>A33</f>
        <v>TCumax</v>
      </c>
      <c r="G30" s="27">
        <v>149.99999999485408</v>
      </c>
      <c r="H30" s="27">
        <v>150.00000005700667</v>
      </c>
      <c r="I30" s="27">
        <v>150.00000030319316</v>
      </c>
      <c r="J30" s="27">
        <v>150.0000000184724</v>
      </c>
      <c r="K30" s="27">
        <v>149.99999963535666</v>
      </c>
      <c r="L30" s="27">
        <v>149.99987933229215</v>
      </c>
      <c r="M30" s="27">
        <v>149.99999724738527</v>
      </c>
      <c r="N30" s="27">
        <v>149.9999620165633</v>
      </c>
      <c r="O30" s="27">
        <v>149.99995757308258</v>
      </c>
      <c r="P30" s="24" t="str">
        <f t="shared" si="0"/>
        <v>TCumax</v>
      </c>
      <c r="Q30" s="27">
        <v>146.74709676352535</v>
      </c>
      <c r="R30" s="27">
        <v>145.9136460818417</v>
      </c>
      <c r="S30" s="27">
        <v>139.36326803888886</v>
      </c>
      <c r="T30" s="27">
        <v>149.99997152087445</v>
      </c>
      <c r="U30" s="27">
        <v>149.9999728923792</v>
      </c>
      <c r="V30" s="27">
        <v>149.9999832157746</v>
      </c>
      <c r="W30" s="27">
        <v>144.67292491376793</v>
      </c>
      <c r="X30" s="27">
        <v>149.99994345012527</v>
      </c>
      <c r="Y30" s="27">
        <v>149.9998368670573</v>
      </c>
      <c r="Z30" s="24" t="str">
        <f t="shared" si="1"/>
        <v>TCumax</v>
      </c>
      <c r="AA30" s="27"/>
      <c r="AB30" s="27">
        <v>1038.1285300633556</v>
      </c>
      <c r="AC30" s="27">
        <v>150.0000002941684</v>
      </c>
      <c r="AD30" s="27">
        <v>80.27742885635831</v>
      </c>
      <c r="AE30" s="27">
        <v>61.34399920633738</v>
      </c>
      <c r="AF30" s="27">
        <v>59.8367304202281</v>
      </c>
      <c r="AG30" s="27">
        <v>58.412134307999295</v>
      </c>
      <c r="AH30" s="27">
        <v>57.081016273047794</v>
      </c>
      <c r="AI30" s="27">
        <v>55.84692392593252</v>
      </c>
      <c r="AJ30" s="24" t="str">
        <f t="shared" si="2"/>
        <v>TCumax</v>
      </c>
      <c r="AK30" s="27">
        <f t="shared" si="3"/>
        <v>149.9999728923792</v>
      </c>
      <c r="AL30" s="27">
        <f t="shared" si="4"/>
        <v>80.27742885635831</v>
      </c>
      <c r="AM30" s="27">
        <f t="shared" si="5"/>
        <v>59.8367304202281</v>
      </c>
      <c r="AN30" s="24" t="str">
        <f t="shared" si="6"/>
        <v>TCumax</v>
      </c>
      <c r="AO30" s="27">
        <v>108.50377619790498</v>
      </c>
      <c r="AP30" s="27">
        <v>140.4478321426792</v>
      </c>
      <c r="AQ30" s="24" t="str">
        <f>AJ30</f>
        <v>TCumax</v>
      </c>
      <c r="AR30" s="27">
        <v>149.99999963535666</v>
      </c>
      <c r="AS30" s="27">
        <v>150.00000001710487</v>
      </c>
    </row>
    <row r="31" spans="1:45" ht="12.75">
      <c r="A31" t="s">
        <v>334</v>
      </c>
      <c r="B31" s="37">
        <f>Bt*2*PI()*R0/mu0</f>
        <v>19990358.29658592</v>
      </c>
      <c r="C31" s="3" t="s">
        <v>234</v>
      </c>
      <c r="D31" s="16" t="s">
        <v>234</v>
      </c>
      <c r="E31" s="2">
        <f>Sigmax</f>
        <v>99.99999999999997</v>
      </c>
      <c r="F31" s="27" t="str">
        <f>A34</f>
        <v>Sigmax</v>
      </c>
      <c r="G31" s="27">
        <v>60.631997819799864</v>
      </c>
      <c r="H31" s="27">
        <v>75.66362459798953</v>
      </c>
      <c r="I31" s="27">
        <v>91.90209661991949</v>
      </c>
      <c r="J31" s="27">
        <v>76.00089134125781</v>
      </c>
      <c r="K31" s="27">
        <v>94.19506125029686</v>
      </c>
      <c r="L31" s="27">
        <v>99.99999996640953</v>
      </c>
      <c r="M31" s="27">
        <v>92.22188105567545</v>
      </c>
      <c r="N31" s="27">
        <v>100.00000002917109</v>
      </c>
      <c r="O31" s="27">
        <v>99.999999401361</v>
      </c>
      <c r="P31" s="24" t="str">
        <f t="shared" si="0"/>
        <v>Sigmax</v>
      </c>
      <c r="Q31" s="27">
        <v>100.00000115993547</v>
      </c>
      <c r="R31" s="27">
        <v>99.9999999999983</v>
      </c>
      <c r="S31" s="27">
        <v>100.00000162271262</v>
      </c>
      <c r="T31" s="27">
        <v>100.00000000000209</v>
      </c>
      <c r="U31" s="27">
        <v>99.99999994337396</v>
      </c>
      <c r="V31" s="27">
        <v>99.99999924272818</v>
      </c>
      <c r="W31" s="27">
        <v>99.99999210769116</v>
      </c>
      <c r="X31" s="27">
        <v>99.99999840419194</v>
      </c>
      <c r="Y31" s="27">
        <v>100.00000315642421</v>
      </c>
      <c r="Z31" s="24" t="str">
        <f t="shared" si="1"/>
        <v>Sigmax</v>
      </c>
      <c r="AA31" s="27"/>
      <c r="AB31" s="27">
        <v>218.5226327880095</v>
      </c>
      <c r="AC31" s="27">
        <v>28.040529713672832</v>
      </c>
      <c r="AD31" s="27">
        <v>100</v>
      </c>
      <c r="AE31" s="27">
        <v>99.99999999999994</v>
      </c>
      <c r="AF31" s="27">
        <v>100</v>
      </c>
      <c r="AG31" s="27">
        <v>100</v>
      </c>
      <c r="AH31" s="27">
        <v>100</v>
      </c>
      <c r="AI31" s="27">
        <v>100</v>
      </c>
      <c r="AJ31" s="24" t="str">
        <f t="shared" si="2"/>
        <v>Sigmax</v>
      </c>
      <c r="AK31" s="27">
        <f t="shared" si="3"/>
        <v>99.99999994337396</v>
      </c>
      <c r="AL31" s="27">
        <f t="shared" si="4"/>
        <v>100</v>
      </c>
      <c r="AM31" s="27">
        <f t="shared" si="5"/>
        <v>100</v>
      </c>
      <c r="AN31" s="24" t="str">
        <f t="shared" si="6"/>
        <v>Sigmax</v>
      </c>
      <c r="AO31" s="27">
        <v>100</v>
      </c>
      <c r="AP31" s="27">
        <v>100</v>
      </c>
      <c r="AQ31" s="24" t="str">
        <f>AJ31</f>
        <v>Sigmax</v>
      </c>
      <c r="AR31" s="27">
        <v>94.19506125029686</v>
      </c>
      <c r="AS31" s="27">
        <v>88.11699819078432</v>
      </c>
    </row>
    <row r="32" spans="1:45" ht="12.75">
      <c r="A32" t="s">
        <v>318</v>
      </c>
      <c r="B32" s="2">
        <f>TF_Heating!L44</f>
        <v>89.11739041615857</v>
      </c>
      <c r="C32" s="3" t="s">
        <v>21</v>
      </c>
      <c r="D32" t="s">
        <v>234</v>
      </c>
      <c r="E32" s="16">
        <f>Javgtf</f>
        <v>39769554.21349662</v>
      </c>
      <c r="F32" s="28" t="str">
        <f>A25</f>
        <v>Javgtf</v>
      </c>
      <c r="G32" s="28">
        <v>51317041.57109161</v>
      </c>
      <c r="H32" s="28">
        <v>50795494.4089721</v>
      </c>
      <c r="I32" s="28">
        <v>50256096.114831194</v>
      </c>
      <c r="J32" s="28">
        <v>52005745.3174323</v>
      </c>
      <c r="K32" s="28">
        <v>51463998.52423739</v>
      </c>
      <c r="L32" s="28">
        <v>47723465.048180684</v>
      </c>
      <c r="M32" s="28">
        <v>52619520.567472756</v>
      </c>
      <c r="N32" s="28">
        <v>48825987.35834513</v>
      </c>
      <c r="O32" s="28">
        <v>44030577.7474363</v>
      </c>
      <c r="P32" s="24" t="str">
        <f t="shared" si="0"/>
        <v>Javgtf</v>
      </c>
      <c r="Q32" s="28">
        <v>40115376.656704985</v>
      </c>
      <c r="R32" s="28">
        <v>38604755.55452361</v>
      </c>
      <c r="S32" s="28">
        <v>37203776.82415847</v>
      </c>
      <c r="T32" s="28">
        <v>41498665.26625779</v>
      </c>
      <c r="U32" s="28">
        <v>39769554.20223667</v>
      </c>
      <c r="V32" s="28">
        <v>38178771.900398225</v>
      </c>
      <c r="W32" s="28">
        <v>41969570.44997396</v>
      </c>
      <c r="X32" s="28">
        <v>40092883.6026467</v>
      </c>
      <c r="Y32" s="28">
        <v>38376846.694956586</v>
      </c>
      <c r="Z32" s="24" t="str">
        <f t="shared" si="1"/>
        <v>Javgtf</v>
      </c>
      <c r="AA32" s="28"/>
      <c r="AB32" s="28">
        <v>54153643.36190894</v>
      </c>
      <c r="AC32" s="28">
        <v>56768534.53848806</v>
      </c>
      <c r="AD32" s="28">
        <v>24473571.82369023</v>
      </c>
      <c r="AE32" s="28">
        <v>17291110.52760723</v>
      </c>
      <c r="AF32" s="28">
        <v>16232471.107549649</v>
      </c>
      <c r="AG32" s="28">
        <v>15295982.3898064</v>
      </c>
      <c r="AH32" s="28">
        <v>14461656.077635141</v>
      </c>
      <c r="AI32" s="28">
        <v>13713639.383964354</v>
      </c>
      <c r="AJ32" s="24" t="str">
        <f t="shared" si="2"/>
        <v>Javgtf</v>
      </c>
      <c r="AK32" s="28">
        <f t="shared" si="3"/>
        <v>39769554.20223667</v>
      </c>
      <c r="AL32" s="28">
        <f t="shared" si="4"/>
        <v>24473571.82369023</v>
      </c>
      <c r="AM32" s="28">
        <f t="shared" si="5"/>
        <v>16232471.107549649</v>
      </c>
      <c r="AN32" s="24" t="str">
        <f t="shared" si="6"/>
        <v>Javgtf</v>
      </c>
      <c r="AO32" s="28">
        <v>39769554.21349662</v>
      </c>
      <c r="AP32" s="28">
        <v>39769554.21349662</v>
      </c>
      <c r="AQ32" s="24" t="str">
        <f>AJ32</f>
        <v>Javgtf</v>
      </c>
      <c r="AR32" s="28">
        <v>51463998.52423739</v>
      </c>
      <c r="AS32" s="28">
        <v>49775921.23019741</v>
      </c>
    </row>
    <row r="33" spans="1:45" ht="12.75">
      <c r="A33" t="s">
        <v>319</v>
      </c>
      <c r="B33" s="2">
        <f>TF_Heating!R44</f>
        <v>140.4478321426792</v>
      </c>
      <c r="C33" s="3"/>
      <c r="E33" s="2">
        <f>Itf/1000000</f>
        <v>19.99035829658592</v>
      </c>
      <c r="F33" s="27" t="str">
        <f>A31</f>
        <v>Itf</v>
      </c>
      <c r="G33" s="27">
        <v>9.393156717457154</v>
      </c>
      <c r="H33" s="27">
        <v>11.842223444389592</v>
      </c>
      <c r="I33" s="27">
        <v>14.53811067939859</v>
      </c>
      <c r="J33" s="27">
        <v>11.618195017508066</v>
      </c>
      <c r="K33" s="27">
        <v>14.551102771929019</v>
      </c>
      <c r="L33" s="27">
        <v>16.65863191102375</v>
      </c>
      <c r="M33" s="27">
        <v>13.933441247934807</v>
      </c>
      <c r="N33" s="27">
        <v>16.282469260077935</v>
      </c>
      <c r="O33" s="27">
        <v>18.05580743964596</v>
      </c>
      <c r="P33" s="24" t="str">
        <f t="shared" si="0"/>
        <v>Itf</v>
      </c>
      <c r="Q33" s="27">
        <v>19.81802773655352</v>
      </c>
      <c r="R33" s="27">
        <v>20.59351565898273</v>
      </c>
      <c r="S33" s="27">
        <v>21.369003869729223</v>
      </c>
      <c r="T33" s="27">
        <v>19.15742670089504</v>
      </c>
      <c r="U33" s="27">
        <v>19.99035829092605</v>
      </c>
      <c r="V33" s="27">
        <v>20.823289813432545</v>
      </c>
      <c r="W33" s="27">
        <v>18.942475864184853</v>
      </c>
      <c r="X33" s="27">
        <v>19.82914557146042</v>
      </c>
      <c r="Y33" s="27">
        <v>20.715815174611198</v>
      </c>
      <c r="Z33" s="24" t="str">
        <f t="shared" si="1"/>
        <v>Itf</v>
      </c>
      <c r="AA33" s="27">
        <v>12</v>
      </c>
      <c r="AB33" s="27">
        <v>12.005</v>
      </c>
      <c r="AC33" s="27">
        <v>3.926899906404174</v>
      </c>
      <c r="AD33" s="27">
        <v>32.48433223195212</v>
      </c>
      <c r="AE33" s="27">
        <v>45.97782408214761</v>
      </c>
      <c r="AF33" s="27">
        <v>48.97637782663552</v>
      </c>
      <c r="AG33" s="27">
        <v>51.9749315711234</v>
      </c>
      <c r="AH33" s="27">
        <v>54.973485315611285</v>
      </c>
      <c r="AI33" s="27">
        <v>57.97203906009917</v>
      </c>
      <c r="AJ33" s="24" t="str">
        <f t="shared" si="2"/>
        <v>Itf</v>
      </c>
      <c r="AK33" s="27">
        <f t="shared" si="3"/>
        <v>19.99035829092605</v>
      </c>
      <c r="AL33" s="27">
        <f t="shared" si="4"/>
        <v>32.48433223195212</v>
      </c>
      <c r="AM33" s="27">
        <f t="shared" si="5"/>
        <v>48.97637782663552</v>
      </c>
      <c r="AN33" s="24" t="str">
        <f t="shared" si="6"/>
        <v>Itf</v>
      </c>
      <c r="AO33" s="27">
        <v>19.99035829658592</v>
      </c>
      <c r="AP33" s="27">
        <v>19.99035829658592</v>
      </c>
      <c r="AQ33" s="24" t="str">
        <f>AJ33</f>
        <v>Itf</v>
      </c>
      <c r="AR33" s="27">
        <v>14.551102771929019</v>
      </c>
      <c r="AS33" s="27">
        <v>14.073810161620724</v>
      </c>
    </row>
    <row r="34" spans="1:45" ht="12.75">
      <c r="A34" t="s">
        <v>320</v>
      </c>
      <c r="B34" s="2">
        <f>TF_Stress!B8</f>
        <v>99.99999999999997</v>
      </c>
      <c r="C34" s="3" t="s">
        <v>122</v>
      </c>
      <c r="E34" s="7">
        <f>B42</f>
        <v>14.765568121245488</v>
      </c>
      <c r="F34" s="24" t="str">
        <f>A42</f>
        <v>Ip</v>
      </c>
      <c r="G34" s="25">
        <v>9.089942508279458</v>
      </c>
      <c r="H34" s="25">
        <v>11.459952550311694</v>
      </c>
      <c r="I34" s="25">
        <v>14.068815652690565</v>
      </c>
      <c r="J34" s="25">
        <v>10.039101998051112</v>
      </c>
      <c r="K34" s="25">
        <v>12.573382069364829</v>
      </c>
      <c r="L34" s="25">
        <v>14.394465289206913</v>
      </c>
      <c r="M34" s="25">
        <v>10.795051029065268</v>
      </c>
      <c r="N34" s="25">
        <v>12.614980277595123</v>
      </c>
      <c r="O34" s="25">
        <v>13.988888976787713</v>
      </c>
      <c r="P34" s="24" t="str">
        <f t="shared" si="0"/>
        <v>Ip</v>
      </c>
      <c r="Q34" s="25">
        <v>16.414192713084862</v>
      </c>
      <c r="R34" s="25">
        <v>16.888324939516068</v>
      </c>
      <c r="S34" s="25">
        <v>17.371426905508674</v>
      </c>
      <c r="T34" s="25">
        <v>14.340647899320983</v>
      </c>
      <c r="U34" s="25">
        <v>14.765568113621098</v>
      </c>
      <c r="V34" s="25">
        <v>15.198370038957181</v>
      </c>
      <c r="W34" s="25">
        <v>12.905187309807788</v>
      </c>
      <c r="X34" s="25">
        <v>13.295542438170802</v>
      </c>
      <c r="Y34" s="25">
        <v>13.692155889957299</v>
      </c>
      <c r="Z34" s="24" t="str">
        <f t="shared" si="1"/>
        <v>Ip</v>
      </c>
      <c r="AA34" s="25">
        <v>8</v>
      </c>
      <c r="AB34" s="25">
        <v>8</v>
      </c>
      <c r="AC34" s="25">
        <v>2.950790613418139</v>
      </c>
      <c r="AD34" s="25">
        <v>10.585130518337499</v>
      </c>
      <c r="AE34" s="25">
        <v>8.635826527303665</v>
      </c>
      <c r="AF34" s="25">
        <v>9.115004406726548</v>
      </c>
      <c r="AG34" s="25">
        <v>9.586632820023034</v>
      </c>
      <c r="AH34" s="25">
        <v>10.052516876022803</v>
      </c>
      <c r="AI34" s="25">
        <v>10.514104293278601</v>
      </c>
      <c r="AJ34" s="24" t="str">
        <f t="shared" si="2"/>
        <v>Ip</v>
      </c>
      <c r="AK34" s="25">
        <f t="shared" si="3"/>
        <v>14.765568113621098</v>
      </c>
      <c r="AL34" s="25">
        <f t="shared" si="4"/>
        <v>10.585130518337499</v>
      </c>
      <c r="AM34" s="25">
        <f t="shared" si="5"/>
        <v>9.115004406726548</v>
      </c>
      <c r="AN34" s="24" t="str">
        <f t="shared" si="6"/>
        <v>Ip</v>
      </c>
      <c r="AO34" s="25">
        <v>16.362414543277296</v>
      </c>
      <c r="AP34" s="25">
        <v>14.765568121245488</v>
      </c>
      <c r="AQ34" s="24" t="str">
        <f>AJ34</f>
        <v>Ip</v>
      </c>
      <c r="AR34" s="25">
        <v>12.573382069364829</v>
      </c>
      <c r="AS34" s="25">
        <v>12.16096093246875</v>
      </c>
    </row>
    <row r="35" spans="1:45" ht="12.75">
      <c r="A35" t="s">
        <v>195</v>
      </c>
      <c r="B35" s="12">
        <f>0.9*2*kappa*R0/A</f>
        <v>5.400000000000001</v>
      </c>
      <c r="C35" s="14" t="s">
        <v>234</v>
      </c>
      <c r="E35" s="23">
        <f>B60</f>
        <v>0.06215785586301681</v>
      </c>
      <c r="F35" s="30" t="str">
        <f>A60</f>
        <v>Beta_N_thermal</v>
      </c>
      <c r="G35" s="30">
        <v>0.04235919438073684</v>
      </c>
      <c r="H35" s="30">
        <v>0.03161769998880501</v>
      </c>
      <c r="I35" s="30">
        <v>0.02573854055267178</v>
      </c>
      <c r="J35" s="30">
        <v>0.030687387661055512</v>
      </c>
      <c r="K35" s="30">
        <v>0.0244257551578063</v>
      </c>
      <c r="L35" s="30">
        <v>0.0225406119813173</v>
      </c>
      <c r="M35" s="30">
        <v>0.024319998820595753</v>
      </c>
      <c r="N35" s="30">
        <v>0.02205380155381684</v>
      </c>
      <c r="O35" s="30">
        <v>0.021384683084291176</v>
      </c>
      <c r="P35" s="24" t="str">
        <f t="shared" si="0"/>
        <v>Beta_N_thermal</v>
      </c>
      <c r="Q35" s="30">
        <v>0.0637296215745925</v>
      </c>
      <c r="R35" s="30">
        <v>0.06310130676528977</v>
      </c>
      <c r="S35" s="30">
        <v>0.06255088551138449</v>
      </c>
      <c r="T35" s="30">
        <v>0.06299383406112002</v>
      </c>
      <c r="U35" s="30">
        <v>0.06215785599686748</v>
      </c>
      <c r="V35" s="30">
        <v>0.061420609370193724</v>
      </c>
      <c r="W35" s="30">
        <v>0.06247929075828935</v>
      </c>
      <c r="X35" s="30">
        <v>0.061490851257408434</v>
      </c>
      <c r="Y35" s="30">
        <v>0.0606147311386616</v>
      </c>
      <c r="Z35" s="24" t="str">
        <f t="shared" si="1"/>
        <v>Beta_N_thermal</v>
      </c>
      <c r="AA35" s="30"/>
      <c r="AB35" s="30">
        <v>0.017287704782229234</v>
      </c>
      <c r="AC35" s="30">
        <v>0.050395502784866174</v>
      </c>
      <c r="AD35" s="30">
        <v>0.04930559869953554</v>
      </c>
      <c r="AE35" s="30">
        <v>0.04690909508671433</v>
      </c>
      <c r="AF35" s="30">
        <v>0.04648060581975049</v>
      </c>
      <c r="AG35" s="30">
        <v>0.04606528124869823</v>
      </c>
      <c r="AH35" s="30">
        <v>0.045669167863130876</v>
      </c>
      <c r="AI35" s="30">
        <v>0.0452955214931772</v>
      </c>
      <c r="AJ35" s="24" t="str">
        <f t="shared" si="2"/>
        <v>Beta_N_thermal</v>
      </c>
      <c r="AK35" s="30">
        <f t="shared" si="3"/>
        <v>0.06215785599686748</v>
      </c>
      <c r="AL35" s="30">
        <f t="shared" si="4"/>
        <v>0.04930559869953554</v>
      </c>
      <c r="AM35" s="30">
        <f t="shared" si="5"/>
        <v>0.04648060581975049</v>
      </c>
      <c r="AN35" s="24" t="str">
        <f t="shared" si="6"/>
        <v>Beta_N_thermal</v>
      </c>
      <c r="AO35" s="30">
        <v>0.022033267391379056</v>
      </c>
      <c r="AP35" s="30">
        <v>0.06215785586301681</v>
      </c>
      <c r="AQ35" s="24" t="str">
        <f>AJ35</f>
        <v>Beta_N_thermal</v>
      </c>
      <c r="AR35" s="30">
        <v>0.0244257551578063</v>
      </c>
      <c r="AS35" s="30">
        <v>0.04040371089210004</v>
      </c>
    </row>
    <row r="36" spans="1:45" ht="12.75">
      <c r="A36" t="s">
        <v>196</v>
      </c>
      <c r="B36" s="12">
        <f>R0/A*kappa+4-B35/2</f>
        <v>4.299999999999999</v>
      </c>
      <c r="C36" s="14" t="s">
        <v>234</v>
      </c>
      <c r="E36" s="23">
        <f>Beta_n_total</f>
        <v>0.06778680041542628</v>
      </c>
      <c r="F36" s="30" t="str">
        <f>A63</f>
        <v>Beta_N_total</v>
      </c>
      <c r="G36" s="30">
        <v>0.056849456936314</v>
      </c>
      <c r="H36" s="30">
        <v>0.0480523173895012</v>
      </c>
      <c r="I36" s="30">
        <v>0.04217448110902376</v>
      </c>
      <c r="J36" s="30">
        <v>0.04776310913722237</v>
      </c>
      <c r="K36" s="30">
        <v>0.041339400574830515</v>
      </c>
      <c r="L36" s="30">
        <v>0.038773506977442446</v>
      </c>
      <c r="M36" s="30">
        <v>0.04188465221592064</v>
      </c>
      <c r="N36" s="30">
        <v>0.03875205957701061</v>
      </c>
      <c r="O36" s="30">
        <v>0.03736776591051755</v>
      </c>
      <c r="P36" s="30" t="str">
        <f t="shared" si="0"/>
        <v>Beta_N_total</v>
      </c>
      <c r="Q36" s="30">
        <v>0.07029947765680969</v>
      </c>
      <c r="R36" s="30">
        <v>0.06999313242140072</v>
      </c>
      <c r="S36" s="30">
        <v>0.0697707147898134</v>
      </c>
      <c r="T36" s="30">
        <v>0.06835303648370689</v>
      </c>
      <c r="U36" s="30">
        <v>0.06778680057009583</v>
      </c>
      <c r="V36" s="30">
        <v>0.06733313990301065</v>
      </c>
      <c r="W36" s="30">
        <v>0.06712502071908902</v>
      </c>
      <c r="X36" s="30">
        <v>0.0663558839606642</v>
      </c>
      <c r="Y36" s="30">
        <v>0.0657175600561389</v>
      </c>
      <c r="Z36" s="24" t="str">
        <f t="shared" si="1"/>
        <v>Beta_N_total</v>
      </c>
      <c r="AA36" s="30">
        <v>0.0288</v>
      </c>
      <c r="AB36" s="30">
        <v>0.043705918290690635</v>
      </c>
      <c r="AC36" s="30">
        <v>0.06791393385127276</v>
      </c>
      <c r="AD36" s="30">
        <v>0.054042035488340606</v>
      </c>
      <c r="AE36" s="30">
        <v>0.051530050437200124</v>
      </c>
      <c r="AF36" s="30">
        <v>0.05153005035938328</v>
      </c>
      <c r="AG36" s="30">
        <v>0.051530050456497875</v>
      </c>
      <c r="AH36" s="30">
        <v>0.05153005048643841</v>
      </c>
      <c r="AI36" s="30">
        <v>0.05153005048545103</v>
      </c>
      <c r="AJ36" s="24" t="str">
        <f t="shared" si="2"/>
        <v>Beta_N_total</v>
      </c>
      <c r="AK36" s="30">
        <f t="shared" si="3"/>
        <v>0.06778680057009583</v>
      </c>
      <c r="AL36" s="30">
        <f t="shared" si="4"/>
        <v>0.054042035488340606</v>
      </c>
      <c r="AM36" s="30">
        <f t="shared" si="5"/>
        <v>0.05153005035938328</v>
      </c>
      <c r="AN36" s="24" t="str">
        <f t="shared" si="6"/>
        <v>Beta_N_total</v>
      </c>
      <c r="AO36" s="30">
        <v>0.0365063612146211</v>
      </c>
      <c r="AP36" s="30">
        <v>0.06778680041542628</v>
      </c>
      <c r="AQ36" s="24" t="str">
        <f>AJ36</f>
        <v>Beta_N_total</v>
      </c>
      <c r="AR36" s="30">
        <v>0.041339400574830515</v>
      </c>
      <c r="AS36" s="30">
        <v>0.056306725893048866</v>
      </c>
    </row>
    <row r="37" spans="1:45" ht="12.75">
      <c r="A37" t="s">
        <v>197</v>
      </c>
      <c r="B37" s="12">
        <f>IF(MIN((B27+(1-delta)*R0/A)/B27,D37)&gt;1,MIN((B27+(1-delta)*R0/A)/B27,D37),1.1)</f>
        <v>2</v>
      </c>
      <c r="C37" s="14"/>
      <c r="D37" s="9">
        <v>2</v>
      </c>
      <c r="E37" s="4">
        <f>Beta_n_total/B59</f>
        <v>0.9735821705927504</v>
      </c>
      <c r="F37" s="26" t="s">
        <v>331</v>
      </c>
      <c r="G37" s="26">
        <v>0.7955004579269023</v>
      </c>
      <c r="H37" s="26">
        <v>0.6724011546956304</v>
      </c>
      <c r="I37" s="26">
        <v>0.5901519705393546</v>
      </c>
      <c r="J37" s="26">
        <v>0.685993603225047</v>
      </c>
      <c r="K37" s="26">
        <v>0.593733633922742</v>
      </c>
      <c r="L37" s="26">
        <v>0.556881204795749</v>
      </c>
      <c r="M37" s="26">
        <v>0.6167313818190511</v>
      </c>
      <c r="N37" s="26">
        <v>0.5706054601589731</v>
      </c>
      <c r="O37" s="26">
        <v>0.5502224009567979</v>
      </c>
      <c r="P37" s="24" t="str">
        <f t="shared" si="0"/>
        <v>Beta_N/Beta_N(A)</v>
      </c>
      <c r="Q37" s="26">
        <v>0.9837080190697788</v>
      </c>
      <c r="R37" s="26">
        <v>0.9794212978206284</v>
      </c>
      <c r="S37" s="26">
        <v>0.9763089843999929</v>
      </c>
      <c r="T37" s="26">
        <v>0.9817146880894617</v>
      </c>
      <c r="U37" s="26">
        <v>0.9735821728141786</v>
      </c>
      <c r="V37" s="26">
        <v>0.9670665099673329</v>
      </c>
      <c r="W37" s="26">
        <v>0.9883836821493411</v>
      </c>
      <c r="X37" s="26">
        <v>0.9770585128872014</v>
      </c>
      <c r="Y37" s="26">
        <v>0.9676595000541334</v>
      </c>
      <c r="Z37" s="24" t="str">
        <f t="shared" si="1"/>
        <v>Beta_N/Beta_N(A)</v>
      </c>
      <c r="AA37" s="26"/>
      <c r="AB37" s="26">
        <v>0.7076493590474819</v>
      </c>
      <c r="AC37" s="26">
        <v>1.0000000490141931</v>
      </c>
      <c r="AD37" s="26">
        <v>0.9167767385297833</v>
      </c>
      <c r="AE37" s="26">
        <v>1.000000002565187</v>
      </c>
      <c r="AF37" s="26">
        <v>1.0000000010550616</v>
      </c>
      <c r="AG37" s="26">
        <v>1.000000002939682</v>
      </c>
      <c r="AH37" s="26">
        <v>1.0000000035207126</v>
      </c>
      <c r="AI37" s="26">
        <v>1.0000000035015513</v>
      </c>
      <c r="AJ37" s="24" t="str">
        <f t="shared" si="2"/>
        <v>Beta_N/Beta_N(A)</v>
      </c>
      <c r="AK37" s="26">
        <f t="shared" si="3"/>
        <v>0.9735821728141786</v>
      </c>
      <c r="AL37" s="26">
        <f t="shared" si="4"/>
        <v>0.9167767385297833</v>
      </c>
      <c r="AM37" s="26">
        <f t="shared" si="5"/>
        <v>1.0000000010550616</v>
      </c>
      <c r="AN37" s="24" t="str">
        <f t="shared" si="6"/>
        <v>Beta_N/Beta_N(A)</v>
      </c>
      <c r="AO37" s="26">
        <v>0.5243195160998557</v>
      </c>
      <c r="AP37" s="26">
        <v>0.9735821705927504</v>
      </c>
      <c r="AQ37" s="24" t="str">
        <f>AJ37</f>
        <v>Beta_N/Beta_N(A)</v>
      </c>
      <c r="AR37" s="26">
        <v>0.593733633922742</v>
      </c>
      <c r="AS37" s="26">
        <v>0.8087005741231341</v>
      </c>
    </row>
    <row r="38" spans="1:45" ht="12.75">
      <c r="A38" t="s">
        <v>353</v>
      </c>
      <c r="B38">
        <v>0.95</v>
      </c>
      <c r="C38" s="11" t="s">
        <v>152</v>
      </c>
      <c r="E38" s="4">
        <f>B64</f>
        <v>0.3443395216080294</v>
      </c>
      <c r="F38" s="24" t="str">
        <f>A64</f>
        <v>Beta_T</v>
      </c>
      <c r="G38" s="26">
        <v>0.2971907353086001</v>
      </c>
      <c r="H38" s="26">
        <v>0.22182875868651553</v>
      </c>
      <c r="I38" s="26">
        <v>0.18058076657136102</v>
      </c>
      <c r="J38" s="26">
        <v>0.19887371552905955</v>
      </c>
      <c r="K38" s="26">
        <v>0.15829436954650664</v>
      </c>
      <c r="L38" s="26">
        <v>0.1460774473388075</v>
      </c>
      <c r="M38" s="26">
        <v>0.1460264613086085</v>
      </c>
      <c r="N38" s="26">
        <v>0.13241935672212654</v>
      </c>
      <c r="O38" s="26">
        <v>0.12840171663004235</v>
      </c>
      <c r="P38" s="24" t="str">
        <f t="shared" si="0"/>
        <v>Beta_T</v>
      </c>
      <c r="Q38" s="26">
        <v>0.38268235889726143</v>
      </c>
      <c r="R38" s="26">
        <v>0.3751737479142892</v>
      </c>
      <c r="S38" s="26">
        <v>0.36865716954614347</v>
      </c>
      <c r="T38" s="26">
        <v>0.3536640417068265</v>
      </c>
      <c r="U38" s="26">
        <v>0.34433952226921855</v>
      </c>
      <c r="V38" s="26">
        <v>0.33621962148757356</v>
      </c>
      <c r="W38" s="26">
        <v>0.3298871229403213</v>
      </c>
      <c r="X38" s="26">
        <v>0.3195319334950697</v>
      </c>
      <c r="Y38" s="26">
        <v>0.3104914840481699</v>
      </c>
      <c r="Z38" s="24" t="str">
        <f t="shared" si="1"/>
        <v>Beta_T</v>
      </c>
      <c r="AA38" s="26">
        <v>0.153</v>
      </c>
      <c r="AB38" s="26">
        <v>0.09216269105061815</v>
      </c>
      <c r="AC38" s="26">
        <v>0.2934823896542503</v>
      </c>
      <c r="AD38" s="26">
        <v>0.16066397603396007</v>
      </c>
      <c r="AE38" s="26">
        <v>0.1101342918593418</v>
      </c>
      <c r="AF38" s="26">
        <v>0.10813144664710542</v>
      </c>
      <c r="AG38" s="26">
        <v>0.10620767640599343</v>
      </c>
      <c r="AH38" s="26">
        <v>0.10438897907380579</v>
      </c>
      <c r="AI38" s="26">
        <v>0.10268783121980393</v>
      </c>
      <c r="AJ38" s="24" t="str">
        <f t="shared" si="2"/>
        <v>Beta_T</v>
      </c>
      <c r="AK38" s="26">
        <f t="shared" si="3"/>
        <v>0.34433952226921855</v>
      </c>
      <c r="AL38" s="26">
        <f t="shared" si="4"/>
        <v>0.16066397603396007</v>
      </c>
      <c r="AM38" s="26">
        <f t="shared" si="5"/>
        <v>0.10813144664710542</v>
      </c>
      <c r="AN38" s="24" t="str">
        <f t="shared" si="6"/>
        <v>Beta_T</v>
      </c>
      <c r="AO38" s="26">
        <v>0.1352592520298359</v>
      </c>
      <c r="AP38" s="26">
        <v>0.3443395216080294</v>
      </c>
      <c r="AQ38" s="24" t="str">
        <f>AJ38</f>
        <v>Beta_T</v>
      </c>
      <c r="AR38" s="26">
        <v>0.15829436954650664</v>
      </c>
      <c r="AS38" s="26">
        <v>0.2618416463148852</v>
      </c>
    </row>
    <row r="39" spans="1:45" ht="12.75">
      <c r="A39" t="s">
        <v>24</v>
      </c>
      <c r="B39" s="2">
        <f>TF_Heating!N44/1000000</f>
        <v>177.9687243353492</v>
      </c>
      <c r="C39" s="11"/>
      <c r="E39" s="4">
        <f>B65</f>
        <v>1.402539791048734</v>
      </c>
      <c r="F39" s="24" t="str">
        <f>A65</f>
        <v>Beta_P</v>
      </c>
      <c r="G39" s="26">
        <v>0.7844574977377606</v>
      </c>
      <c r="H39" s="26">
        <v>0.5855338417087657</v>
      </c>
      <c r="I39" s="26">
        <v>0.47665663647637</v>
      </c>
      <c r="J39" s="26">
        <v>0.5919056214610082</v>
      </c>
      <c r="K39" s="26">
        <v>0.4711297666006179</v>
      </c>
      <c r="L39" s="26">
        <v>0.43476867729099367</v>
      </c>
      <c r="M39" s="26">
        <v>0.4880049473740817</v>
      </c>
      <c r="N39" s="26">
        <v>0.44253144689935436</v>
      </c>
      <c r="O39" s="26">
        <v>0.4291049197882029</v>
      </c>
      <c r="P39" s="24" t="str">
        <f t="shared" si="0"/>
        <v>Beta_P</v>
      </c>
      <c r="Q39" s="26">
        <v>1.3789659363146887</v>
      </c>
      <c r="R39" s="26">
        <v>1.3789660236239845</v>
      </c>
      <c r="S39" s="26">
        <v>1.378965946245002</v>
      </c>
      <c r="T39" s="26">
        <v>1.4025397912128652</v>
      </c>
      <c r="U39" s="26">
        <v>1.4025397943960798</v>
      </c>
      <c r="V39" s="26">
        <v>1.402539818584531</v>
      </c>
      <c r="W39" s="26">
        <v>1.4257241477225688</v>
      </c>
      <c r="X39" s="26">
        <v>1.4257239004473612</v>
      </c>
      <c r="Y39" s="26">
        <v>1.4257236703295653</v>
      </c>
      <c r="Z39" s="24" t="str">
        <f t="shared" si="1"/>
        <v>Beta_P</v>
      </c>
      <c r="AA39" s="26"/>
      <c r="AB39" s="26">
        <v>0.29387831940474607</v>
      </c>
      <c r="AC39" s="26">
        <v>1.0426299714627172</v>
      </c>
      <c r="AD39" s="26">
        <v>1.6195134543618854</v>
      </c>
      <c r="AE39" s="26">
        <v>1.8106710843770741</v>
      </c>
      <c r="AF39" s="26">
        <v>1.8106710844323106</v>
      </c>
      <c r="AG39" s="26">
        <v>1.8106710845189364</v>
      </c>
      <c r="AH39" s="26">
        <v>1.8106710845658869</v>
      </c>
      <c r="AI39" s="26">
        <v>1.8106710845766454</v>
      </c>
      <c r="AJ39" s="24" t="str">
        <f t="shared" si="2"/>
        <v>Beta_P</v>
      </c>
      <c r="AK39" s="26">
        <f t="shared" si="3"/>
        <v>1.4025397943960798</v>
      </c>
      <c r="AL39" s="26">
        <f t="shared" si="4"/>
        <v>1.6195134543618854</v>
      </c>
      <c r="AM39" s="26">
        <f t="shared" si="5"/>
        <v>1.8106710844323106</v>
      </c>
      <c r="AN39" s="24" t="str">
        <f t="shared" si="6"/>
        <v>Beta_P</v>
      </c>
      <c r="AO39" s="26">
        <v>0.44864294369390195</v>
      </c>
      <c r="AP39" s="26">
        <v>1.402539791048734</v>
      </c>
      <c r="AQ39" s="24" t="str">
        <f>AJ39</f>
        <v>Beta_P</v>
      </c>
      <c r="AR39" s="26">
        <v>0.4711297666006179</v>
      </c>
      <c r="AS39" s="26">
        <v>0.7793163715681626</v>
      </c>
    </row>
    <row r="40" spans="1:45" ht="12.75">
      <c r="A40" t="s">
        <v>26</v>
      </c>
      <c r="B40" s="2">
        <f>TF_outer!B15</f>
        <v>17.976934418058825</v>
      </c>
      <c r="C40" s="14" t="s">
        <v>151</v>
      </c>
      <c r="E40" s="16">
        <f>xne</f>
        <v>3.296913573199327E+20</v>
      </c>
      <c r="F40" s="28" t="str">
        <f>A78</f>
        <v>xne</v>
      </c>
      <c r="G40" s="28">
        <v>1.548090475683102E+20</v>
      </c>
      <c r="H40" s="28">
        <v>1.1005868098277582E+20</v>
      </c>
      <c r="I40" s="28">
        <v>8.94361885721787E+19</v>
      </c>
      <c r="J40" s="28">
        <v>1.1910676524085951E+20</v>
      </c>
      <c r="K40" s="28">
        <v>9.489638696236424E+19</v>
      </c>
      <c r="L40" s="28">
        <v>8.585640589565415E+19</v>
      </c>
      <c r="M40" s="28">
        <v>1.0374886496686349E+20</v>
      </c>
      <c r="N40" s="28">
        <v>9.264534876438831E+19</v>
      </c>
      <c r="O40" s="28">
        <v>8.675466366855317E+19</v>
      </c>
      <c r="P40" s="24" t="str">
        <f t="shared" si="0"/>
        <v>xne</v>
      </c>
      <c r="Q40" s="28">
        <v>2.904120209377172E+20</v>
      </c>
      <c r="R40" s="28">
        <v>2.7829834629030393E+20</v>
      </c>
      <c r="S40" s="28">
        <v>2.6735188597830284E+20</v>
      </c>
      <c r="T40" s="28">
        <v>3.4666095440612026E+20</v>
      </c>
      <c r="U40" s="28">
        <v>3.296913565534444E+20</v>
      </c>
      <c r="V40" s="28">
        <v>3.143588741000119E+20</v>
      </c>
      <c r="W40" s="28">
        <v>3.99550716408497E+20</v>
      </c>
      <c r="X40" s="28">
        <v>3.7822379615989826E+20</v>
      </c>
      <c r="Y40" s="28">
        <v>3.588866773812665E+20</v>
      </c>
      <c r="Z40" s="24" t="str">
        <f t="shared" si="1"/>
        <v>xne</v>
      </c>
      <c r="AA40" s="28">
        <v>2.23E+21</v>
      </c>
      <c r="AB40" s="28">
        <v>1.2075996286478143E+20</v>
      </c>
      <c r="AC40" s="28">
        <v>1.7754075609858756E+20</v>
      </c>
      <c r="AD40" s="28">
        <v>4.006284609636779E+20</v>
      </c>
      <c r="AE40" s="28">
        <v>4.2353986408008175E+20</v>
      </c>
      <c r="AF40" s="28">
        <v>3.931951583480262E+20</v>
      </c>
      <c r="AG40" s="28">
        <v>3.6701860519357166E+20</v>
      </c>
      <c r="AH40" s="28">
        <v>3.4435063699265756E+20</v>
      </c>
      <c r="AI40" s="28">
        <v>3.2461300461788837E+20</v>
      </c>
      <c r="AJ40" s="24" t="str">
        <f t="shared" si="2"/>
        <v>xne</v>
      </c>
      <c r="AK40" s="28">
        <f t="shared" si="3"/>
        <v>3.296913565534444E+20</v>
      </c>
      <c r="AL40" s="28">
        <f t="shared" si="4"/>
        <v>4.006284609636779E+20</v>
      </c>
      <c r="AM40" s="28">
        <f t="shared" si="5"/>
        <v>3.931951583480262E+20</v>
      </c>
      <c r="AN40" s="24" t="str">
        <f t="shared" si="6"/>
        <v>xne</v>
      </c>
      <c r="AO40" s="28">
        <v>7.99627807165612E+19</v>
      </c>
      <c r="AP40" s="28">
        <v>3.296913573199327E+20</v>
      </c>
      <c r="AQ40" s="24" t="str">
        <f>AJ40</f>
        <v>xne</v>
      </c>
      <c r="AR40" s="28">
        <v>9.489638696236424E+19</v>
      </c>
      <c r="AS40" s="28">
        <v>1.4211784169564548E+20</v>
      </c>
    </row>
    <row r="41" spans="1:45" ht="12.75">
      <c r="A41" t="s">
        <v>25</v>
      </c>
      <c r="B41" s="2">
        <f>(B39+B40)/B38</f>
        <v>206.25858816148215</v>
      </c>
      <c r="C41" s="14" t="s">
        <v>234</v>
      </c>
      <c r="E41" s="4">
        <f>B77</f>
        <v>0.7891504274023177</v>
      </c>
      <c r="F41" s="24" t="str">
        <f>A77</f>
        <v>fGW</v>
      </c>
      <c r="G41" s="26">
        <v>0.34640724239178317</v>
      </c>
      <c r="H41" s="26">
        <v>0.23247184744489166</v>
      </c>
      <c r="I41" s="26">
        <v>0.18059629620431988</v>
      </c>
      <c r="J41" s="26">
        <v>0.2255001373045439</v>
      </c>
      <c r="K41" s="26">
        <v>0.1707182436290441</v>
      </c>
      <c r="L41" s="26">
        <v>0.1583374874107806</v>
      </c>
      <c r="M41" s="26">
        <v>0.17107361144505343</v>
      </c>
      <c r="N41" s="26">
        <v>0.1555745435964122</v>
      </c>
      <c r="O41" s="26">
        <v>0.15418258065465068</v>
      </c>
      <c r="P41" s="24" t="str">
        <f t="shared" si="0"/>
        <v>fGW</v>
      </c>
      <c r="Q41" s="26">
        <v>0.761379916643198</v>
      </c>
      <c r="R41" s="26">
        <v>0.7541510296890659</v>
      </c>
      <c r="S41" s="26">
        <v>0.7476735071317641</v>
      </c>
      <c r="T41" s="26">
        <v>0.7983476237987115</v>
      </c>
      <c r="U41" s="26">
        <v>0.7891504259751365</v>
      </c>
      <c r="V41" s="26">
        <v>0.7805702300489954</v>
      </c>
      <c r="W41" s="26">
        <v>0.830068889559678</v>
      </c>
      <c r="X41" s="26">
        <v>0.8202341724208682</v>
      </c>
      <c r="Y41" s="26">
        <v>0.8107006195324741</v>
      </c>
      <c r="Z41" s="24" t="str">
        <f t="shared" si="1"/>
        <v>fGW</v>
      </c>
      <c r="AA41" s="26"/>
      <c r="AB41" s="26">
        <v>0.10211545896792244</v>
      </c>
      <c r="AC41" s="26">
        <v>0.4337053212311009</v>
      </c>
      <c r="AD41" s="26">
        <v>0.7524376237302323</v>
      </c>
      <c r="AE41" s="26">
        <v>0.8015130607531371</v>
      </c>
      <c r="AF41" s="26">
        <v>0.7903485602851743</v>
      </c>
      <c r="AG41" s="26">
        <v>0.7815406404413869</v>
      </c>
      <c r="AH41" s="26">
        <v>0.7748336065877242</v>
      </c>
      <c r="AI41" s="26">
        <v>0.7699359550977649</v>
      </c>
      <c r="AJ41" s="24" t="str">
        <f t="shared" si="2"/>
        <v>fGW</v>
      </c>
      <c r="AK41" s="26">
        <f t="shared" si="3"/>
        <v>0.7891504259751365</v>
      </c>
      <c r="AL41" s="26">
        <f t="shared" si="4"/>
        <v>0.7524376237302323</v>
      </c>
      <c r="AM41" s="26">
        <f t="shared" si="5"/>
        <v>0.7903485602851743</v>
      </c>
      <c r="AN41" s="24" t="str">
        <f t="shared" si="6"/>
        <v>fGW</v>
      </c>
      <c r="AO41" s="26">
        <v>0.1727201045235374</v>
      </c>
      <c r="AP41" s="26">
        <v>0.7891504274023177</v>
      </c>
      <c r="AQ41" s="24" t="str">
        <f>AJ41</f>
        <v>fGW</v>
      </c>
      <c r="AR41" s="26">
        <v>0.1707182436290441</v>
      </c>
      <c r="AS41" s="26">
        <v>0.26434011779494837</v>
      </c>
    </row>
    <row r="42" spans="1:45" ht="12.75">
      <c r="A42" t="s">
        <v>322</v>
      </c>
      <c r="B42" s="7">
        <f>PI()*R0*e^2*Bt*s/qcyl/mu0/1000000</f>
        <v>14.765568121245488</v>
      </c>
      <c r="C42" s="14" t="s">
        <v>234</v>
      </c>
      <c r="E42" s="7">
        <f>B57</f>
        <v>0.25</v>
      </c>
      <c r="F42" s="24" t="str">
        <f>A57</f>
        <v>alpha_n(A)</v>
      </c>
      <c r="G42" s="25">
        <v>0.25</v>
      </c>
      <c r="H42" s="25">
        <v>0.25</v>
      </c>
      <c r="I42" s="25">
        <v>0.25</v>
      </c>
      <c r="J42" s="25">
        <v>0.25</v>
      </c>
      <c r="K42" s="25">
        <v>0.25</v>
      </c>
      <c r="L42" s="25">
        <v>0.25</v>
      </c>
      <c r="M42" s="25">
        <v>0.25</v>
      </c>
      <c r="N42" s="25">
        <v>0.25</v>
      </c>
      <c r="O42" s="25">
        <v>0.25</v>
      </c>
      <c r="P42" s="24" t="str">
        <f t="shared" si="0"/>
        <v>alpha_n(A)</v>
      </c>
      <c r="Q42" s="25">
        <v>0.25</v>
      </c>
      <c r="R42" s="25">
        <v>0.25</v>
      </c>
      <c r="S42" s="25">
        <v>0.25</v>
      </c>
      <c r="T42" s="25">
        <v>0.25</v>
      </c>
      <c r="U42" s="25">
        <v>0.25</v>
      </c>
      <c r="V42" s="25">
        <v>0.25</v>
      </c>
      <c r="W42" s="25">
        <v>0.25</v>
      </c>
      <c r="X42" s="25">
        <v>0.25</v>
      </c>
      <c r="Y42" s="25">
        <v>0.25</v>
      </c>
      <c r="Z42" s="24" t="str">
        <f t="shared" si="1"/>
        <v>alpha_n(A)</v>
      </c>
      <c r="AA42" s="25"/>
      <c r="AB42" s="25">
        <v>0.25</v>
      </c>
      <c r="AC42" s="25">
        <v>0.25</v>
      </c>
      <c r="AD42" s="25">
        <v>0.25</v>
      </c>
      <c r="AE42" s="25">
        <v>0.25</v>
      </c>
      <c r="AF42" s="25">
        <v>0.25</v>
      </c>
      <c r="AG42" s="25">
        <v>0.25</v>
      </c>
      <c r="AH42" s="25">
        <v>0.25</v>
      </c>
      <c r="AI42" s="25">
        <v>0.25</v>
      </c>
      <c r="AJ42" s="24" t="str">
        <f t="shared" si="2"/>
        <v>alpha_n(A)</v>
      </c>
      <c r="AK42" s="25">
        <f t="shared" si="3"/>
        <v>0.25</v>
      </c>
      <c r="AL42" s="25">
        <f t="shared" si="4"/>
        <v>0.25</v>
      </c>
      <c r="AM42" s="25">
        <f t="shared" si="5"/>
        <v>0.25</v>
      </c>
      <c r="AN42" s="24" t="str">
        <f t="shared" si="6"/>
        <v>alpha_n(A)</v>
      </c>
      <c r="AO42" s="25">
        <v>0.25</v>
      </c>
      <c r="AP42" s="25">
        <v>0.25</v>
      </c>
      <c r="AQ42" s="24" t="str">
        <f>AJ42</f>
        <v>alpha_n(A)</v>
      </c>
      <c r="AR42" s="25">
        <v>0.25</v>
      </c>
      <c r="AS42" s="25">
        <v>0.25</v>
      </c>
    </row>
    <row r="43" spans="1:45" ht="12.75">
      <c r="A43" t="s">
        <v>134</v>
      </c>
      <c r="B43" s="16">
        <v>4</v>
      </c>
      <c r="C43" s="12" t="s">
        <v>234</v>
      </c>
      <c r="E43" s="7">
        <f>B58</f>
        <v>1</v>
      </c>
      <c r="F43" s="24" t="str">
        <f>A58</f>
        <v>alpha_T(A)</v>
      </c>
      <c r="G43" s="25">
        <v>1</v>
      </c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5">
        <v>1</v>
      </c>
      <c r="O43" s="25">
        <v>1</v>
      </c>
      <c r="P43" s="24" t="str">
        <f t="shared" si="0"/>
        <v>alpha_T(A)</v>
      </c>
      <c r="Q43" s="25">
        <v>1</v>
      </c>
      <c r="R43" s="25">
        <v>1</v>
      </c>
      <c r="S43" s="25">
        <v>1</v>
      </c>
      <c r="T43" s="25">
        <v>1</v>
      </c>
      <c r="U43" s="25">
        <v>1</v>
      </c>
      <c r="V43" s="25">
        <v>1</v>
      </c>
      <c r="W43" s="25">
        <v>1</v>
      </c>
      <c r="X43" s="25">
        <v>1</v>
      </c>
      <c r="Y43" s="25">
        <v>1</v>
      </c>
      <c r="Z43" s="24" t="str">
        <f t="shared" si="1"/>
        <v>alpha_T(A)</v>
      </c>
      <c r="AA43" s="25"/>
      <c r="AB43" s="25">
        <v>1</v>
      </c>
      <c r="AC43" s="25">
        <v>1</v>
      </c>
      <c r="AD43" s="25">
        <v>1</v>
      </c>
      <c r="AE43" s="25">
        <v>1</v>
      </c>
      <c r="AF43" s="25">
        <v>1</v>
      </c>
      <c r="AG43" s="25">
        <v>1</v>
      </c>
      <c r="AH43" s="25">
        <v>1</v>
      </c>
      <c r="AI43" s="25">
        <v>1</v>
      </c>
      <c r="AJ43" s="24" t="str">
        <f t="shared" si="2"/>
        <v>alpha_T(A)</v>
      </c>
      <c r="AK43" s="25">
        <f t="shared" si="3"/>
        <v>1</v>
      </c>
      <c r="AL43" s="25">
        <f t="shared" si="4"/>
        <v>1</v>
      </c>
      <c r="AM43" s="25">
        <f t="shared" si="5"/>
        <v>1</v>
      </c>
      <c r="AN43" s="24" t="str">
        <f t="shared" si="6"/>
        <v>alpha_T(A)</v>
      </c>
      <c r="AO43" s="25">
        <v>1</v>
      </c>
      <c r="AP43" s="25">
        <v>1</v>
      </c>
      <c r="AQ43" s="24" t="str">
        <f>AJ43</f>
        <v>alpha_T(A)</v>
      </c>
      <c r="AR43" s="25">
        <v>1</v>
      </c>
      <c r="AS43" s="25">
        <v>1</v>
      </c>
    </row>
    <row r="44" spans="1:45" ht="12.75">
      <c r="A44" t="s">
        <v>135</v>
      </c>
      <c r="B44" s="16">
        <f>TF_outer!B4+TF_outer!B6/2+0.4+Base!B51/2</f>
        <v>5.503784135131815</v>
      </c>
      <c r="C44" s="11" t="s">
        <v>126</v>
      </c>
      <c r="E44" s="4">
        <f>B69</f>
        <v>0.8999999999958755</v>
      </c>
      <c r="F44" s="24" t="str">
        <f>A69</f>
        <v>fBS</v>
      </c>
      <c r="G44" s="26">
        <v>0.5119863291669176</v>
      </c>
      <c r="H44" s="26">
        <v>0.3821562329176569</v>
      </c>
      <c r="I44" s="26">
        <v>0.31109611710814217</v>
      </c>
      <c r="J44" s="26">
        <v>0.3798217082412572</v>
      </c>
      <c r="K44" s="26">
        <v>0.30232068469270235</v>
      </c>
      <c r="L44" s="26">
        <v>0.2789880273325557</v>
      </c>
      <c r="M44" s="26">
        <v>0.30805717142660877</v>
      </c>
      <c r="N44" s="26">
        <v>0.2793516470123802</v>
      </c>
      <c r="O44" s="26">
        <v>0.27087604038953705</v>
      </c>
      <c r="P44" s="24" t="str">
        <f t="shared" si="0"/>
        <v>fBS</v>
      </c>
      <c r="Q44" s="26">
        <v>0.899999948774783</v>
      </c>
      <c r="R44" s="26">
        <v>0.9000000057583237</v>
      </c>
      <c r="S44" s="26">
        <v>0.8999999552559301</v>
      </c>
      <c r="T44" s="26">
        <v>0.9000000001011974</v>
      </c>
      <c r="U44" s="26">
        <v>0.9000000021438441</v>
      </c>
      <c r="V44" s="26">
        <v>0.9000000176654044</v>
      </c>
      <c r="W44" s="26">
        <v>0.9000001957876742</v>
      </c>
      <c r="X44" s="26">
        <v>0.9000000396931479</v>
      </c>
      <c r="Y44" s="26">
        <v>0.8999998944293801</v>
      </c>
      <c r="Z44" s="24" t="str">
        <f t="shared" si="1"/>
        <v>fBS</v>
      </c>
      <c r="AA44" s="26">
        <f>2.3/8</f>
        <v>0.2875</v>
      </c>
      <c r="AB44" s="26">
        <v>0.1825914779231951</v>
      </c>
      <c r="AC44" s="26">
        <v>0.6581688189468327</v>
      </c>
      <c r="AD44" s="26">
        <v>0.9000000014071822</v>
      </c>
      <c r="AE44" s="26">
        <v>0.8999999999969102</v>
      </c>
      <c r="AF44" s="26">
        <v>0.9000000000243658</v>
      </c>
      <c r="AG44" s="26">
        <v>0.9000000000674233</v>
      </c>
      <c r="AH44" s="26">
        <v>0.9000000000907601</v>
      </c>
      <c r="AI44" s="26">
        <v>0.9000000000961077</v>
      </c>
      <c r="AJ44" s="24" t="str">
        <f t="shared" si="2"/>
        <v>fBS</v>
      </c>
      <c r="AK44" s="26">
        <f t="shared" si="3"/>
        <v>0.9000000021438441</v>
      </c>
      <c r="AL44" s="26">
        <f t="shared" si="4"/>
        <v>0.9000000014071822</v>
      </c>
      <c r="AM44" s="26">
        <f t="shared" si="5"/>
        <v>0.9000000000243658</v>
      </c>
      <c r="AN44" s="24" t="str">
        <f t="shared" si="6"/>
        <v>fBS</v>
      </c>
      <c r="AO44" s="26">
        <v>0.28789104729837306</v>
      </c>
      <c r="AP44" s="26">
        <v>0.8999999999958755</v>
      </c>
      <c r="AQ44" s="24" t="str">
        <f>AJ44</f>
        <v>fBS</v>
      </c>
      <c r="AR44" s="26">
        <v>0.30232068469270235</v>
      </c>
      <c r="AS44" s="26">
        <v>0.5000818792340138</v>
      </c>
    </row>
    <row r="45" spans="1:45" ht="12.75">
      <c r="A45" t="s">
        <v>136</v>
      </c>
      <c r="B45" s="16">
        <v>0.5</v>
      </c>
      <c r="C45" s="13" t="s">
        <v>234</v>
      </c>
      <c r="E45" s="7">
        <f>B88</f>
        <v>10.389370481186159</v>
      </c>
      <c r="F45" s="24" t="str">
        <f>A88</f>
        <v>Tempavg</v>
      </c>
      <c r="G45" s="25">
        <v>7.682879513737309</v>
      </c>
      <c r="H45" s="25">
        <v>10.80620714237858</v>
      </c>
      <c r="I45" s="25">
        <v>13.95209198924881</v>
      </c>
      <c r="J45" s="25">
        <v>10.24419852667354</v>
      </c>
      <c r="K45" s="25">
        <v>13.53763257026544</v>
      </c>
      <c r="L45" s="25">
        <v>15.45952976263448</v>
      </c>
      <c r="M45" s="25">
        <v>12.443993450340352</v>
      </c>
      <c r="N45" s="25">
        <v>14.537809121154423</v>
      </c>
      <c r="O45" s="25">
        <v>15.802561369751055</v>
      </c>
      <c r="P45" s="24" t="str">
        <f t="shared" si="0"/>
        <v>Tempavg</v>
      </c>
      <c r="Q45" s="25">
        <v>11.35467102605535</v>
      </c>
      <c r="R45" s="25">
        <v>11.809627167043562</v>
      </c>
      <c r="S45" s="25">
        <v>12.268279627897082</v>
      </c>
      <c r="T45" s="25">
        <v>9.961717094760523</v>
      </c>
      <c r="U45" s="25">
        <v>10.389370521608752</v>
      </c>
      <c r="V45" s="25">
        <v>10.824962756470025</v>
      </c>
      <c r="W45" s="25">
        <v>9.067988953434432</v>
      </c>
      <c r="X45" s="25">
        <v>9.465842369483937</v>
      </c>
      <c r="Y45" s="25">
        <v>9.874942203687327</v>
      </c>
      <c r="Z45" s="24" t="str">
        <f t="shared" si="1"/>
        <v>Tempavg</v>
      </c>
      <c r="AA45" s="25">
        <v>10.2</v>
      </c>
      <c r="AB45" s="25">
        <v>12.342578357982985</v>
      </c>
      <c r="AC45" s="25">
        <v>2.8448192396069363</v>
      </c>
      <c r="AD45" s="25">
        <v>10.528232151129101</v>
      </c>
      <c r="AE45" s="25">
        <v>10.648828008474863</v>
      </c>
      <c r="AF45" s="25">
        <v>11.424364505855253</v>
      </c>
      <c r="AG45" s="25">
        <v>12.177176023017818</v>
      </c>
      <c r="AH45" s="25">
        <v>12.906137472726234</v>
      </c>
      <c r="AI45" s="25">
        <v>13.611668070528978</v>
      </c>
      <c r="AJ45" s="24" t="str">
        <f t="shared" si="2"/>
        <v>Tempavg</v>
      </c>
      <c r="AK45" s="25">
        <f t="shared" si="3"/>
        <v>10.389370521608752</v>
      </c>
      <c r="AL45" s="25">
        <f t="shared" si="4"/>
        <v>10.528232151129101</v>
      </c>
      <c r="AM45" s="25">
        <f t="shared" si="5"/>
        <v>11.424364505855253</v>
      </c>
      <c r="AN45" s="24" t="str">
        <f t="shared" si="6"/>
        <v>Tempavg</v>
      </c>
      <c r="AO45" s="25">
        <v>16.6666663622592</v>
      </c>
      <c r="AP45" s="25">
        <v>10.389370481186159</v>
      </c>
      <c r="AQ45" s="24" t="str">
        <f>AJ45</f>
        <v>Tempavg</v>
      </c>
      <c r="AR45" s="25">
        <v>13.53763257026544</v>
      </c>
      <c r="AS45" s="25">
        <v>14.058358048071629</v>
      </c>
    </row>
    <row r="46" spans="1:45" ht="12.75">
      <c r="A46" t="s">
        <v>137</v>
      </c>
      <c r="B46" s="16">
        <f>Ip*B45*1000000</f>
        <v>7382784.060622744</v>
      </c>
      <c r="E46" s="7">
        <f>B144</f>
        <v>1.7999999965856741</v>
      </c>
      <c r="F46" s="24" t="str">
        <f>A144</f>
        <v>HH</v>
      </c>
      <c r="G46" s="25">
        <v>1.399999997062461</v>
      </c>
      <c r="H46" s="25">
        <v>1.4000000544791777</v>
      </c>
      <c r="I46" s="25">
        <v>1.3999999906738143</v>
      </c>
      <c r="J46" s="25">
        <v>1.3999999895138446</v>
      </c>
      <c r="K46" s="25">
        <v>1.3999996552505565</v>
      </c>
      <c r="L46" s="25">
        <v>1.3999998625872543</v>
      </c>
      <c r="M46" s="25">
        <v>1.400000197098918</v>
      </c>
      <c r="N46" s="25">
        <v>1.400000032617291</v>
      </c>
      <c r="O46" s="25">
        <v>1.3999998439106742</v>
      </c>
      <c r="P46" s="24" t="str">
        <f t="shared" si="0"/>
        <v>HH</v>
      </c>
      <c r="Q46" s="25">
        <v>1.7999998957841064</v>
      </c>
      <c r="R46" s="25">
        <v>1.799999999618288</v>
      </c>
      <c r="S46" s="25">
        <v>1.7999999013622379</v>
      </c>
      <c r="T46" s="25">
        <v>1.7999999550611285</v>
      </c>
      <c r="U46" s="25">
        <v>1.800000004547883</v>
      </c>
      <c r="V46" s="25">
        <v>1.8000000390493252</v>
      </c>
      <c r="W46" s="25">
        <v>1.800000501327908</v>
      </c>
      <c r="X46" s="25">
        <v>1.800000096710512</v>
      </c>
      <c r="Y46" s="25">
        <v>1.79999975180173</v>
      </c>
      <c r="Z46" s="24" t="str">
        <f t="shared" si="1"/>
        <v>HH</v>
      </c>
      <c r="AA46" s="25">
        <v>1.3</v>
      </c>
      <c r="AB46" s="25">
        <v>1.3000000011160318</v>
      </c>
      <c r="AC46" s="25">
        <v>1.3000002014811964</v>
      </c>
      <c r="AD46" s="25">
        <v>1.800000360468462</v>
      </c>
      <c r="AE46" s="25">
        <v>1.7999999992520768</v>
      </c>
      <c r="AF46" s="25">
        <v>1.8000000003552712</v>
      </c>
      <c r="AG46" s="25">
        <v>1.8000000016568298</v>
      </c>
      <c r="AH46" s="25">
        <v>1.800000002610486</v>
      </c>
      <c r="AI46" s="25">
        <v>1.800000003050034</v>
      </c>
      <c r="AJ46" s="24" t="str">
        <f t="shared" si="2"/>
        <v>HH</v>
      </c>
      <c r="AK46" s="25">
        <f t="shared" si="3"/>
        <v>1.800000004547883</v>
      </c>
      <c r="AL46" s="25">
        <f t="shared" si="4"/>
        <v>1.800000360468462</v>
      </c>
      <c r="AM46" s="25">
        <f t="shared" si="5"/>
        <v>1.8000000003552712</v>
      </c>
      <c r="AN46" s="24" t="str">
        <f t="shared" si="6"/>
        <v>HH</v>
      </c>
      <c r="AO46" s="25">
        <v>1.399999984865635</v>
      </c>
      <c r="AP46" s="25">
        <v>1.7999999965856741</v>
      </c>
      <c r="AQ46" s="24" t="str">
        <f>AJ46</f>
        <v>HH</v>
      </c>
      <c r="AR46" s="25">
        <v>1.3999996552505565</v>
      </c>
      <c r="AS46" s="25">
        <v>1.8000000042291908</v>
      </c>
    </row>
    <row r="47" spans="1:45" ht="12.75">
      <c r="A47" t="s">
        <v>138</v>
      </c>
      <c r="B47" s="16">
        <v>5000000</v>
      </c>
      <c r="E47" s="7">
        <f>B145</f>
        <v>1.2901801966546829</v>
      </c>
      <c r="F47" s="25" t="str">
        <f>A145</f>
        <v>Tau_E*HH</v>
      </c>
      <c r="G47" s="25">
        <v>0.4071885836184129</v>
      </c>
      <c r="H47" s="25">
        <v>0.5456472230493412</v>
      </c>
      <c r="I47" s="25">
        <v>0.7196355897909572</v>
      </c>
      <c r="J47" s="25">
        <v>0.44246500386682497</v>
      </c>
      <c r="K47" s="25">
        <v>0.60131628770782</v>
      </c>
      <c r="L47" s="25">
        <v>0.7397885769531536</v>
      </c>
      <c r="M47" s="25">
        <v>0.4795036553771108</v>
      </c>
      <c r="N47" s="25">
        <v>0.6061675198104446</v>
      </c>
      <c r="O47" s="25">
        <v>0.7209514858532033</v>
      </c>
      <c r="P47" s="24" t="str">
        <f t="shared" si="0"/>
        <v>Tau_E*HH</v>
      </c>
      <c r="Q47" s="25">
        <v>1.4303213057872368</v>
      </c>
      <c r="R47" s="25">
        <v>1.4783880084475551</v>
      </c>
      <c r="S47" s="25">
        <v>1.5275168472059428</v>
      </c>
      <c r="T47" s="25">
        <v>1.2453039094984186</v>
      </c>
      <c r="U47" s="25">
        <v>1.2901802050340783</v>
      </c>
      <c r="V47" s="25">
        <v>1.3352757019747363</v>
      </c>
      <c r="W47" s="25">
        <v>1.1147655922150628</v>
      </c>
      <c r="X47" s="25">
        <v>1.1589772646302914</v>
      </c>
      <c r="Y47" s="25">
        <v>1.2026657898033775</v>
      </c>
      <c r="Z47" s="24" t="str">
        <f t="shared" si="1"/>
        <v>Tau_E*HH</v>
      </c>
      <c r="AA47" s="25"/>
      <c r="AB47" s="25">
        <v>0.1883703471540193</v>
      </c>
      <c r="AC47" s="25">
        <v>0.09720778803977106</v>
      </c>
      <c r="AD47" s="25">
        <v>1.0015172942616395</v>
      </c>
      <c r="AE47" s="25">
        <v>0.9333246027592443</v>
      </c>
      <c r="AF47" s="25">
        <v>0.9932294820846292</v>
      </c>
      <c r="AG47" s="25">
        <v>1.0562189557259452</v>
      </c>
      <c r="AH47" s="25">
        <v>1.122554329067743</v>
      </c>
      <c r="AI47" s="25">
        <v>1.1923377964792412</v>
      </c>
      <c r="AJ47" s="24" t="str">
        <f t="shared" si="2"/>
        <v>Tau_E*HH</v>
      </c>
      <c r="AK47" s="25">
        <f t="shared" si="3"/>
        <v>1.2901802050340783</v>
      </c>
      <c r="AL47" s="25">
        <f t="shared" si="4"/>
        <v>1.0015172942616395</v>
      </c>
      <c r="AM47" s="25">
        <f t="shared" si="5"/>
        <v>0.9932294820846292</v>
      </c>
      <c r="AN47" s="24" t="str">
        <f t="shared" si="6"/>
        <v>Tau_E*HH</v>
      </c>
      <c r="AO47" s="25">
        <v>0.959316713959135</v>
      </c>
      <c r="AP47" s="25">
        <v>1.2901801966546829</v>
      </c>
      <c r="AQ47" s="24" t="str">
        <f>AJ47</f>
        <v>Tau_E*HH</v>
      </c>
      <c r="AR47" s="25">
        <v>0.60131628770782</v>
      </c>
      <c r="AS47" s="25">
        <v>0.7774575732224508</v>
      </c>
    </row>
    <row r="48" spans="1:45" ht="12.75">
      <c r="A48" t="s">
        <v>174</v>
      </c>
      <c r="B48" s="16">
        <f>B46/B47</f>
        <v>1.476556812124549</v>
      </c>
      <c r="E48" s="7">
        <f>B75</f>
        <v>19.997043981504778</v>
      </c>
      <c r="F48" s="24" t="str">
        <f>A75</f>
        <v>Q</v>
      </c>
      <c r="G48" s="25">
        <v>1.5858719127869347</v>
      </c>
      <c r="H48" s="25">
        <v>2.144418646302987</v>
      </c>
      <c r="I48" s="25">
        <v>2.6964606943581595</v>
      </c>
      <c r="J48" s="25">
        <v>1.8921815021363686</v>
      </c>
      <c r="K48" s="25">
        <v>2.4380327107335384</v>
      </c>
      <c r="L48" s="25">
        <v>2.8177470739141506</v>
      </c>
      <c r="M48" s="25">
        <v>2.118713894668457</v>
      </c>
      <c r="N48" s="25">
        <v>2.5113386124964423</v>
      </c>
      <c r="O48" s="25">
        <v>2.8148299439669895</v>
      </c>
      <c r="P48" s="24" t="str">
        <f t="shared" si="0"/>
        <v>Q</v>
      </c>
      <c r="Q48" s="25">
        <v>24.55676128862479</v>
      </c>
      <c r="R48" s="25">
        <v>26.71368682048067</v>
      </c>
      <c r="S48" s="25">
        <v>28.9350701054708</v>
      </c>
      <c r="T48" s="25">
        <v>18.149787668444265</v>
      </c>
      <c r="U48" s="25">
        <v>19.99704444029024</v>
      </c>
      <c r="V48" s="25">
        <v>21.937062335635666</v>
      </c>
      <c r="W48" s="25">
        <v>14.392556805299401</v>
      </c>
      <c r="X48" s="25">
        <v>15.975748935138807</v>
      </c>
      <c r="Y48" s="25">
        <v>17.6645126590738</v>
      </c>
      <c r="Z48" s="24" t="str">
        <f t="shared" si="1"/>
        <v>Q</v>
      </c>
      <c r="AA48" s="25"/>
      <c r="AB48" s="25">
        <v>1.4569218280511465</v>
      </c>
      <c r="AC48" s="25">
        <v>0.482710236614344</v>
      </c>
      <c r="AD48" s="25">
        <v>18.360854752632022</v>
      </c>
      <c r="AE48" s="25">
        <v>18.360336349837524</v>
      </c>
      <c r="AF48" s="25">
        <v>21.49042436860508</v>
      </c>
      <c r="AG48" s="25">
        <v>24.66601438893979</v>
      </c>
      <c r="AH48" s="25">
        <v>27.85002727136852</v>
      </c>
      <c r="AI48" s="25">
        <v>31.0164575354514</v>
      </c>
      <c r="AJ48" s="24" t="str">
        <f t="shared" si="2"/>
        <v>Q</v>
      </c>
      <c r="AK48" s="25">
        <f t="shared" si="3"/>
        <v>19.99704444029024</v>
      </c>
      <c r="AL48" s="25">
        <f t="shared" si="4"/>
        <v>18.360854752632022</v>
      </c>
      <c r="AM48" s="25">
        <f t="shared" si="5"/>
        <v>21.49042436860508</v>
      </c>
      <c r="AN48" s="24" t="str">
        <f t="shared" si="6"/>
        <v>Q</v>
      </c>
      <c r="AO48" s="25">
        <v>3.3522107231517584</v>
      </c>
      <c r="AP48" s="25">
        <v>19.997043981504778</v>
      </c>
      <c r="AQ48" s="24" t="str">
        <f>AJ48</f>
        <v>Q</v>
      </c>
      <c r="AR48" s="25">
        <v>2.4380327107335384</v>
      </c>
      <c r="AS48" s="25">
        <v>4.261697032019178</v>
      </c>
    </row>
    <row r="49" spans="1:45" ht="12.75">
      <c r="A49" t="s">
        <v>198</v>
      </c>
      <c r="B49">
        <v>2</v>
      </c>
      <c r="E49" s="2">
        <f>B99</f>
        <v>40.03329581529585</v>
      </c>
      <c r="F49" s="24" t="str">
        <f>A99</f>
        <v>P_Brem</v>
      </c>
      <c r="G49" s="27">
        <v>3.1411998034404434</v>
      </c>
      <c r="H49" s="27">
        <v>2.4601056161480956</v>
      </c>
      <c r="I49" s="27">
        <v>2.364529058553353</v>
      </c>
      <c r="J49" s="27">
        <v>1.9722520297032287</v>
      </c>
      <c r="K49" s="27">
        <v>1.882313410337005</v>
      </c>
      <c r="L49" s="27">
        <v>2.10422962124061</v>
      </c>
      <c r="M49" s="27">
        <v>1.5193142089313956</v>
      </c>
      <c r="N49" s="27">
        <v>1.7090347938562425</v>
      </c>
      <c r="O49" s="27">
        <v>1.994078051666774</v>
      </c>
      <c r="P49" s="24" t="str">
        <f t="shared" si="0"/>
        <v>P_Brem</v>
      </c>
      <c r="Q49" s="27">
        <v>43.3269409320046</v>
      </c>
      <c r="R49" s="27">
        <v>44.611343066060996</v>
      </c>
      <c r="S49" s="27">
        <v>46.00756395408794</v>
      </c>
      <c r="T49" s="27">
        <v>39.05288699642889</v>
      </c>
      <c r="U49" s="27">
        <v>40.03329572370552</v>
      </c>
      <c r="V49" s="27">
        <v>41.09239498704398</v>
      </c>
      <c r="W49" s="27">
        <v>36.45207405839622</v>
      </c>
      <c r="X49" s="27">
        <v>37.31088710468719</v>
      </c>
      <c r="Y49" s="27">
        <v>38.21312378455506</v>
      </c>
      <c r="Z49" s="24" t="str">
        <f t="shared" si="1"/>
        <v>P_Brem</v>
      </c>
      <c r="AA49" s="27"/>
      <c r="AB49" s="27">
        <v>0.4198266383495009</v>
      </c>
      <c r="AC49" s="27">
        <v>0.5395394409524588</v>
      </c>
      <c r="AD49" s="27">
        <v>30.65060766550497</v>
      </c>
      <c r="AE49" s="27">
        <v>29.187568093330107</v>
      </c>
      <c r="AF49" s="27">
        <v>31.06656331196335</v>
      </c>
      <c r="AG49" s="27">
        <v>33.005092499908734</v>
      </c>
      <c r="AH49" s="27">
        <v>35.02664361983365</v>
      </c>
      <c r="AI49" s="27">
        <v>37.146334079342104</v>
      </c>
      <c r="AJ49" s="24" t="str">
        <f t="shared" si="2"/>
        <v>P_Brem</v>
      </c>
      <c r="AK49" s="27">
        <f t="shared" si="3"/>
        <v>40.03329572370552</v>
      </c>
      <c r="AL49" s="27">
        <f t="shared" si="4"/>
        <v>30.65060766550497</v>
      </c>
      <c r="AM49" s="27">
        <f t="shared" si="5"/>
        <v>31.06656331196335</v>
      </c>
      <c r="AN49" s="24" t="str">
        <f t="shared" si="6"/>
        <v>P_Brem</v>
      </c>
      <c r="AO49" s="27">
        <v>2.9265816645812346</v>
      </c>
      <c r="AP49" s="27">
        <v>40.03329581529585</v>
      </c>
      <c r="AQ49" s="24" t="str">
        <f>AJ49</f>
        <v>P_Brem</v>
      </c>
      <c r="AR49" s="27">
        <v>1.882313410337005</v>
      </c>
      <c r="AS49" s="27">
        <v>4.346498577977413</v>
      </c>
    </row>
    <row r="50" spans="1:45" ht="12.75">
      <c r="A50" t="s">
        <v>199</v>
      </c>
      <c r="B50" s="47">
        <v>2</v>
      </c>
      <c r="E50" s="2">
        <f>B156</f>
        <v>20.103828924570447</v>
      </c>
      <c r="F50" s="27" t="str">
        <f>A156</f>
        <v>P_line</v>
      </c>
      <c r="G50" s="27">
        <v>9.732514636239387</v>
      </c>
      <c r="H50" s="27">
        <v>9.39990009588894</v>
      </c>
      <c r="I50" s="27">
        <v>9.473003931629284</v>
      </c>
      <c r="J50" s="27">
        <v>8.386453390132734</v>
      </c>
      <c r="K50" s="27">
        <v>8.405146753348745</v>
      </c>
      <c r="L50" s="27">
        <v>8.951738308652843</v>
      </c>
      <c r="M50" s="27">
        <v>7.498618565241997</v>
      </c>
      <c r="N50" s="27">
        <v>8.013323025925043</v>
      </c>
      <c r="O50" s="27">
        <v>8.703099341409228</v>
      </c>
      <c r="P50" s="24" t="str">
        <f t="shared" si="0"/>
        <v>P_line</v>
      </c>
      <c r="Q50" s="27">
        <v>23.100174275070742</v>
      </c>
      <c r="R50" s="27">
        <v>24.398241234854527</v>
      </c>
      <c r="S50" s="27">
        <v>25.740900009630202</v>
      </c>
      <c r="T50" s="27">
        <v>18.991871851551856</v>
      </c>
      <c r="U50" s="27">
        <v>20.103828808084526</v>
      </c>
      <c r="V50" s="27">
        <v>21.26632057023528</v>
      </c>
      <c r="W50" s="27">
        <v>16.528029536824004</v>
      </c>
      <c r="X50" s="27">
        <v>17.498766195044578</v>
      </c>
      <c r="Y50" s="27">
        <v>18.522894283673335</v>
      </c>
      <c r="Z50" s="24" t="str">
        <f t="shared" si="1"/>
        <v>P_line</v>
      </c>
      <c r="AA50" s="27"/>
      <c r="AB50" s="27">
        <v>4.542931089352921</v>
      </c>
      <c r="AC50" s="27">
        <v>3.7576022739531503</v>
      </c>
      <c r="AD50" s="27">
        <v>16.452921823277162</v>
      </c>
      <c r="AE50" s="27">
        <v>15.986990537791371</v>
      </c>
      <c r="AF50" s="27">
        <v>17.720638254206925</v>
      </c>
      <c r="AG50" s="27">
        <v>19.45693921848491</v>
      </c>
      <c r="AH50" s="27">
        <v>21.189218516578528</v>
      </c>
      <c r="AI50" s="27">
        <v>22.914333852607918</v>
      </c>
      <c r="AJ50" s="24" t="str">
        <f t="shared" si="2"/>
        <v>P_line</v>
      </c>
      <c r="AK50" s="27">
        <f t="shared" si="3"/>
        <v>20.103828808084526</v>
      </c>
      <c r="AL50" s="27">
        <f t="shared" si="4"/>
        <v>16.452921823277162</v>
      </c>
      <c r="AM50" s="27">
        <f t="shared" si="5"/>
        <v>17.720638254206925</v>
      </c>
      <c r="AN50" s="24" t="str">
        <f t="shared" si="6"/>
        <v>P_line</v>
      </c>
      <c r="AO50" s="27">
        <v>10.620555817000703</v>
      </c>
      <c r="AP50" s="27">
        <v>20.103828924570447</v>
      </c>
      <c r="AQ50" s="24" t="str">
        <f>AJ50</f>
        <v>P_line</v>
      </c>
      <c r="AR50" s="27">
        <v>8.405146753348745</v>
      </c>
      <c r="AS50" s="27">
        <v>10.059502729373074</v>
      </c>
    </row>
    <row r="51" spans="1:45" ht="12.75">
      <c r="A51" t="s">
        <v>200</v>
      </c>
      <c r="B51" s="7">
        <f>MAX(SQRT(B48/B50/B49),D51)</f>
        <v>0.6075682702636283</v>
      </c>
      <c r="D51" s="7">
        <v>0</v>
      </c>
      <c r="E51" s="2">
        <f>B73</f>
        <v>28.113812224306002</v>
      </c>
      <c r="F51" s="24" t="str">
        <f>A73</f>
        <v>P_aux</v>
      </c>
      <c r="G51" s="27">
        <v>39.3294719736295</v>
      </c>
      <c r="H51" s="27">
        <v>34.61415786772152</v>
      </c>
      <c r="I51" s="27">
        <v>32.30676431362764</v>
      </c>
      <c r="J51" s="27">
        <v>31.85095970644704</v>
      </c>
      <c r="K51" s="27">
        <v>29.515896790043602</v>
      </c>
      <c r="L51" s="27">
        <v>29.9721374999257</v>
      </c>
      <c r="M51" s="27">
        <v>27.4013057456516</v>
      </c>
      <c r="N51" s="27">
        <v>27.808392559129455</v>
      </c>
      <c r="O51" s="27">
        <v>29.117441379035906</v>
      </c>
      <c r="P51" s="24" t="str">
        <f aca="true" t="shared" si="7" ref="P51:P78">F51</f>
        <v>P_aux</v>
      </c>
      <c r="Q51" s="27">
        <v>26.86827185943145</v>
      </c>
      <c r="R51" s="27">
        <v>26.26666380336101</v>
      </c>
      <c r="S51" s="27">
        <v>25.74211113974547</v>
      </c>
      <c r="T51" s="27">
        <v>28.94459497224564</v>
      </c>
      <c r="U51" s="27">
        <v>28.113811579300265</v>
      </c>
      <c r="V51" s="27">
        <v>27.364527302354265</v>
      </c>
      <c r="W51" s="27">
        <v>30.7056472689999</v>
      </c>
      <c r="X51" s="27">
        <v>29.74976342065374</v>
      </c>
      <c r="Y51" s="27">
        <v>28.861773627356786</v>
      </c>
      <c r="Z51" s="24" t="str">
        <f t="shared" si="1"/>
        <v>P_aux</v>
      </c>
      <c r="AA51" s="27">
        <v>45</v>
      </c>
      <c r="AB51" s="27">
        <v>17.914482093327344</v>
      </c>
      <c r="AC51" s="27">
        <v>17.625909733536893</v>
      </c>
      <c r="AD51" s="27">
        <v>24.167616896517835</v>
      </c>
      <c r="AE51" s="27">
        <v>23.35636779156235</v>
      </c>
      <c r="AF51" s="27">
        <v>22.58736087033479</v>
      </c>
      <c r="AG51" s="27">
        <v>21.95943615904586</v>
      </c>
      <c r="AH51" s="27">
        <v>21.457019914439396</v>
      </c>
      <c r="AI51" s="27">
        <v>21.062316450389275</v>
      </c>
      <c r="AJ51" s="24" t="str">
        <f t="shared" si="2"/>
        <v>P_aux</v>
      </c>
      <c r="AK51" s="27">
        <f t="shared" si="3"/>
        <v>28.113811579300265</v>
      </c>
      <c r="AL51" s="27">
        <f t="shared" si="4"/>
        <v>24.167616896517835</v>
      </c>
      <c r="AM51" s="27">
        <f t="shared" si="5"/>
        <v>22.58736087033479</v>
      </c>
      <c r="AN51" s="24" t="str">
        <f t="shared" si="6"/>
        <v>P_aux</v>
      </c>
      <c r="AO51" s="27">
        <v>33.541634817553295</v>
      </c>
      <c r="AP51" s="27">
        <v>28.113812224306002</v>
      </c>
      <c r="AQ51" s="24" t="str">
        <f>AJ51</f>
        <v>P_aux</v>
      </c>
      <c r="AR51" s="27">
        <v>29.515896790043602</v>
      </c>
      <c r="AS51" s="27">
        <v>29.499999910775383</v>
      </c>
    </row>
    <row r="52" spans="1:45" ht="12.75">
      <c r="A52" t="s">
        <v>201</v>
      </c>
      <c r="B52" s="7">
        <f>MAX(B48/B50/B51,D52)</f>
        <v>1.2151365405272565</v>
      </c>
      <c r="D52" s="7">
        <v>0</v>
      </c>
      <c r="E52" s="2">
        <f>B74</f>
        <v>562.1931395372138</v>
      </c>
      <c r="F52" s="24" t="str">
        <f>A74</f>
        <v>P_fusion</v>
      </c>
      <c r="G52" s="27">
        <v>62.37150494771996</v>
      </c>
      <c r="H52" s="27">
        <v>74.22724555761727</v>
      </c>
      <c r="I52" s="27">
        <v>87.11392013358979</v>
      </c>
      <c r="J52" s="27">
        <v>60.26779678182991</v>
      </c>
      <c r="K52" s="27">
        <v>71.96072186076135</v>
      </c>
      <c r="L52" s="27">
        <v>84.45390273936823</v>
      </c>
      <c r="M52" s="27">
        <v>58.05552721537068</v>
      </c>
      <c r="N52" s="27">
        <v>69.83628998520055</v>
      </c>
      <c r="O52" s="27">
        <v>81.96064588541374</v>
      </c>
      <c r="P52" s="24" t="str">
        <f t="shared" si="7"/>
        <v>P_fusion</v>
      </c>
      <c r="Q52" s="27">
        <v>659.797738289933</v>
      </c>
      <c r="R52" s="27">
        <v>701.6794306618417</v>
      </c>
      <c r="S52" s="27">
        <v>744.8497904913561</v>
      </c>
      <c r="T52" s="27">
        <v>525.3382528953778</v>
      </c>
      <c r="U52" s="27">
        <v>562.1931395372137</v>
      </c>
      <c r="V52" s="27">
        <v>600.2973412169496</v>
      </c>
      <c r="W52" s="27">
        <v>441.9327725625675</v>
      </c>
      <c r="X52" s="27">
        <v>475.2747512881404</v>
      </c>
      <c r="Y52" s="27">
        <v>509.8291656037663</v>
      </c>
      <c r="Z52" s="24" t="str">
        <f t="shared" si="1"/>
        <v>P_fusion</v>
      </c>
      <c r="AA52" s="27">
        <v>26.1</v>
      </c>
      <c r="AB52" s="27">
        <v>26.1</v>
      </c>
      <c r="AC52" s="27">
        <v>8.508207058018662</v>
      </c>
      <c r="AD52" s="27">
        <v>443.73810355421944</v>
      </c>
      <c r="AE52" s="27">
        <v>428.83076856359656</v>
      </c>
      <c r="AF52" s="27">
        <v>485.41197047031966</v>
      </c>
      <c r="AG52" s="27">
        <v>541.6517682720299</v>
      </c>
      <c r="AH52" s="27">
        <v>597.5785897794347</v>
      </c>
      <c r="AI52" s="27">
        <v>653.2784437817385</v>
      </c>
      <c r="AJ52" s="24" t="str">
        <f t="shared" si="2"/>
        <v>P_fusion</v>
      </c>
      <c r="AK52" s="27">
        <f t="shared" si="3"/>
        <v>562.1931395372137</v>
      </c>
      <c r="AL52" s="27">
        <f t="shared" si="4"/>
        <v>443.73810355421944</v>
      </c>
      <c r="AM52" s="27">
        <f t="shared" si="5"/>
        <v>485.41197047031966</v>
      </c>
      <c r="AN52" s="24" t="str">
        <f t="shared" si="6"/>
        <v>P_fusion</v>
      </c>
      <c r="AO52" s="27">
        <v>112.43862790744252</v>
      </c>
      <c r="AP52" s="27">
        <v>562.1931395372138</v>
      </c>
      <c r="AQ52" s="24" t="str">
        <f>AJ52</f>
        <v>P_fusion</v>
      </c>
      <c r="AR52" s="27">
        <v>71.96072186076135</v>
      </c>
      <c r="AS52" s="27">
        <v>125.72006206431746</v>
      </c>
    </row>
    <row r="53" spans="1:45" ht="12.75">
      <c r="A53" t="s">
        <v>175</v>
      </c>
      <c r="B53" s="2">
        <f>2*B46^2*0.00000001742*(1+0.0041*(60-20))*2*PI()*B44/(B50*B51*B52)/1000000</f>
        <v>51.76813951949964</v>
      </c>
      <c r="C53" s="14" t="s">
        <v>234</v>
      </c>
      <c r="E53" s="2">
        <f>B125</f>
        <v>112.43862821384207</v>
      </c>
      <c r="F53" s="27" t="str">
        <f>A125</f>
        <v>P_alpha</v>
      </c>
      <c r="G53" s="27">
        <v>12.474301011007878</v>
      </c>
      <c r="H53" s="27">
        <v>14.845448227871278</v>
      </c>
      <c r="I53" s="27">
        <v>17.422784403072125</v>
      </c>
      <c r="J53" s="27">
        <v>12.05355927391986</v>
      </c>
      <c r="K53" s="27">
        <v>14.392150387037127</v>
      </c>
      <c r="L53" s="27">
        <v>16.89078366457913</v>
      </c>
      <c r="M53" s="27">
        <v>11.61110128948978</v>
      </c>
      <c r="N53" s="27">
        <v>13.967257364352001</v>
      </c>
      <c r="O53" s="27">
        <v>16.392133379677006</v>
      </c>
      <c r="P53" s="24" t="str">
        <f t="shared" si="7"/>
        <v>P_alpha</v>
      </c>
      <c r="Q53" s="27">
        <v>131.95954044792686</v>
      </c>
      <c r="R53" s="27">
        <v>140.33588543697255</v>
      </c>
      <c r="S53" s="27">
        <v>148.96995286249347</v>
      </c>
      <c r="T53" s="27">
        <v>105.06765128194253</v>
      </c>
      <c r="U53" s="27">
        <v>112.43862818482786</v>
      </c>
      <c r="V53" s="27">
        <v>120.0594705358661</v>
      </c>
      <c r="W53" s="27">
        <v>88.38657447351635</v>
      </c>
      <c r="X53" s="27">
        <v>95.05495465925634</v>
      </c>
      <c r="Y53" s="27">
        <v>101.96582157556493</v>
      </c>
      <c r="Z53" s="24" t="str">
        <f t="shared" si="1"/>
        <v>P_alpha</v>
      </c>
      <c r="AA53" s="27"/>
      <c r="AB53" s="27">
        <v>5.21999999178676</v>
      </c>
      <c r="AC53" s="27">
        <v>1.701641077181317</v>
      </c>
      <c r="AD53" s="27">
        <v>88.74759988537292</v>
      </c>
      <c r="AE53" s="27">
        <v>85.76615299072462</v>
      </c>
      <c r="AF53" s="27">
        <v>97.08239371266318</v>
      </c>
      <c r="AG53" s="27">
        <v>108.3303524332872</v>
      </c>
      <c r="AH53" s="27">
        <v>119.5157162882869</v>
      </c>
      <c r="AI53" s="27">
        <v>130.6556868919924</v>
      </c>
      <c r="AJ53" s="24" t="str">
        <f t="shared" si="2"/>
        <v>P_alpha</v>
      </c>
      <c r="AK53" s="27">
        <f t="shared" si="3"/>
        <v>112.43862818482786</v>
      </c>
      <c r="AL53" s="27">
        <f t="shared" si="4"/>
        <v>88.74759988537292</v>
      </c>
      <c r="AM53" s="27">
        <f t="shared" si="5"/>
        <v>97.08239371266318</v>
      </c>
      <c r="AN53" s="24" t="str">
        <f t="shared" si="6"/>
        <v>P_alpha</v>
      </c>
      <c r="AO53" s="27">
        <v>22.487725932031452</v>
      </c>
      <c r="AP53" s="27">
        <v>112.43862821384207</v>
      </c>
      <c r="AQ53" s="24" t="str">
        <f>AJ53</f>
        <v>P_alpha</v>
      </c>
      <c r="AR53" s="27">
        <v>14.392150387037127</v>
      </c>
      <c r="AS53" s="27">
        <v>25.144012314067403</v>
      </c>
    </row>
    <row r="54" spans="1:45" ht="12.75">
      <c r="A54" t="s">
        <v>290</v>
      </c>
      <c r="B54">
        <v>0.95</v>
      </c>
      <c r="C54" s="11" t="s">
        <v>123</v>
      </c>
      <c r="E54" s="4">
        <f>B126</f>
        <v>0.044085922532985836</v>
      </c>
      <c r="F54" s="26" t="str">
        <f>A126</f>
        <v>fTC</v>
      </c>
      <c r="G54" s="26">
        <v>0.477176042802722</v>
      </c>
      <c r="H54" s="26">
        <v>0.4193732438621387</v>
      </c>
      <c r="I54" s="26">
        <v>0.37954649231847964</v>
      </c>
      <c r="J54" s="26">
        <v>0.46260535482565374</v>
      </c>
      <c r="K54" s="26">
        <v>0.41342096086825714</v>
      </c>
      <c r="L54" s="26">
        <v>0.38256286749140217</v>
      </c>
      <c r="M54" s="26">
        <v>0.4558784576629506</v>
      </c>
      <c r="N54" s="26">
        <v>0.41609337842118</v>
      </c>
      <c r="O54" s="26">
        <v>0.387235726006691</v>
      </c>
      <c r="P54" s="24" t="str">
        <f t="shared" si="7"/>
        <v>fTC</v>
      </c>
      <c r="Q54" s="26">
        <v>0.03755076980706472</v>
      </c>
      <c r="R54" s="26">
        <v>0.035211884342795596</v>
      </c>
      <c r="S54" s="26">
        <v>0.03314145685484086</v>
      </c>
      <c r="T54" s="26">
        <v>0.04755072464570961</v>
      </c>
      <c r="U54" s="26">
        <v>0.044085921619706626</v>
      </c>
      <c r="V54" s="26">
        <v>0.04103107262600302</v>
      </c>
      <c r="W54" s="26">
        <v>0.05717867547894006</v>
      </c>
      <c r="X54" s="26">
        <v>0.05264376318572353</v>
      </c>
      <c r="Y54" s="26">
        <v>0.04864122026302234</v>
      </c>
      <c r="Z54" s="24" t="str">
        <f t="shared" si="1"/>
        <v>fTC</v>
      </c>
      <c r="AA54" s="26"/>
      <c r="AB54" s="26">
        <v>0.66021702089693</v>
      </c>
      <c r="AC54" s="26">
        <v>0.9482805150812739</v>
      </c>
      <c r="AD54" s="26">
        <v>0.04833821956295664</v>
      </c>
      <c r="AE54" s="26">
        <v>0.04861896082316154</v>
      </c>
      <c r="AF54" s="26">
        <v>0.043041719430794385</v>
      </c>
      <c r="AG54" s="26">
        <v>0.03873104188790077</v>
      </c>
      <c r="AH54" s="26">
        <v>0.035327173111850164</v>
      </c>
      <c r="AI54" s="26">
        <v>0.03258656167401702</v>
      </c>
      <c r="AJ54" s="24" t="str">
        <f t="shared" si="2"/>
        <v>fTC</v>
      </c>
      <c r="AK54" s="26">
        <f t="shared" si="3"/>
        <v>0.044085921619706626</v>
      </c>
      <c r="AL54" s="26">
        <f t="shared" si="4"/>
        <v>0.04833821956295664</v>
      </c>
      <c r="AM54" s="26">
        <f t="shared" si="5"/>
        <v>0.043041719430794385</v>
      </c>
      <c r="AN54" s="24" t="str">
        <f t="shared" si="6"/>
        <v>fTC</v>
      </c>
      <c r="AO54" s="26">
        <v>0.3340378883849205</v>
      </c>
      <c r="AP54" s="26">
        <v>0.044085922532985836</v>
      </c>
      <c r="AQ54" s="24" t="str">
        <f>AJ54</f>
        <v>fTC</v>
      </c>
      <c r="AR54" s="26">
        <v>0.41342096086825714</v>
      </c>
      <c r="AS54" s="26">
        <v>0.24107041823114456</v>
      </c>
    </row>
    <row r="55" spans="1:45" ht="12.75">
      <c r="A55" t="s">
        <v>291</v>
      </c>
      <c r="B55" t="s">
        <v>445</v>
      </c>
      <c r="C55" s="11"/>
      <c r="E55" s="8">
        <f>B70</f>
        <v>0.25973426283426976</v>
      </c>
      <c r="F55" s="29" t="str">
        <f>A70</f>
        <v>Eta_CD</v>
      </c>
      <c r="G55" s="29">
        <v>0.19207198856188484</v>
      </c>
      <c r="H55" s="29">
        <v>0.2701551611270203</v>
      </c>
      <c r="I55" s="29">
        <v>0.34880230277957175</v>
      </c>
      <c r="J55" s="29">
        <v>0.25610497777302366</v>
      </c>
      <c r="K55" s="29">
        <v>0.33844094624948157</v>
      </c>
      <c r="L55" s="29">
        <v>0.38648830189793243</v>
      </c>
      <c r="M55" s="29">
        <v>0.3110997720476203</v>
      </c>
      <c r="N55" s="29">
        <v>0.3634452148958894</v>
      </c>
      <c r="O55" s="29">
        <v>0.3950640995830584</v>
      </c>
      <c r="P55" s="24" t="str">
        <f t="shared" si="7"/>
        <v>Eta_CD</v>
      </c>
      <c r="Q55" s="29">
        <v>0.2838667909660222</v>
      </c>
      <c r="R55" s="29">
        <v>0.29524068607500065</v>
      </c>
      <c r="S55" s="29">
        <v>0.30670700848337973</v>
      </c>
      <c r="T55" s="29">
        <v>0.24904293518735818</v>
      </c>
      <c r="U55" s="29">
        <v>0.2597342624762908</v>
      </c>
      <c r="V55" s="29">
        <v>0.2706240628623686</v>
      </c>
      <c r="W55" s="29">
        <v>0.22669966985439635</v>
      </c>
      <c r="X55" s="29">
        <v>0.23664604831131394</v>
      </c>
      <c r="Y55" s="29">
        <v>0.24687358087339245</v>
      </c>
      <c r="Z55" s="24" t="str">
        <f t="shared" si="1"/>
        <v>Eta_CD</v>
      </c>
      <c r="AA55" s="29"/>
      <c r="AB55" s="29">
        <v>0.3085644589889981</v>
      </c>
      <c r="AC55" s="29">
        <v>0.07112047233285308</v>
      </c>
      <c r="AD55" s="29">
        <v>0.26320579148193485</v>
      </c>
      <c r="AE55" s="29">
        <v>0.26622069856029207</v>
      </c>
      <c r="AF55" s="29">
        <v>0.2856091119871921</v>
      </c>
      <c r="AG55" s="29">
        <v>0.3044293987641219</v>
      </c>
      <c r="AH55" s="29">
        <v>0.3226534346614172</v>
      </c>
      <c r="AI55" s="29">
        <v>0.340291699612361</v>
      </c>
      <c r="AJ55" s="24" t="str">
        <f t="shared" si="2"/>
        <v>Eta_CD</v>
      </c>
      <c r="AK55" s="29">
        <f t="shared" si="3"/>
        <v>0.2597342624762908</v>
      </c>
      <c r="AL55" s="29">
        <f t="shared" si="4"/>
        <v>0.26320579148193485</v>
      </c>
      <c r="AM55" s="29">
        <f t="shared" si="5"/>
        <v>0.2856091119871921</v>
      </c>
      <c r="AN55" s="24" t="str">
        <f t="shared" si="6"/>
        <v>Eta_CD</v>
      </c>
      <c r="AO55" s="29">
        <v>0.41666666666666385</v>
      </c>
      <c r="AP55" s="29">
        <v>0.25973426283426976</v>
      </c>
      <c r="AQ55" s="24" t="str">
        <f>AJ55</f>
        <v>Eta_CD</v>
      </c>
      <c r="AR55" s="29">
        <v>0.33844094624948157</v>
      </c>
      <c r="AS55" s="29">
        <v>0.35145894993554755</v>
      </c>
    </row>
    <row r="56" spans="1:45" ht="12.75">
      <c r="A56" t="s">
        <v>292</v>
      </c>
      <c r="B56" s="21">
        <f>IF(B55="No",B53/B54,0)</f>
        <v>54.49277844157857</v>
      </c>
      <c r="C56" s="11"/>
      <c r="E56" s="2">
        <f>B71</f>
        <v>28.113812224306002</v>
      </c>
      <c r="F56" s="24" t="str">
        <f>A71</f>
        <v>P_CD</v>
      </c>
      <c r="G56" s="27">
        <v>39.3294719736295</v>
      </c>
      <c r="H56" s="27">
        <v>34.61415786772152</v>
      </c>
      <c r="I56" s="27">
        <v>32.30676431362764</v>
      </c>
      <c r="J56" s="27">
        <v>31.85095970644704</v>
      </c>
      <c r="K56" s="27">
        <v>29.515896790043602</v>
      </c>
      <c r="L56" s="27">
        <v>29.9721374999257</v>
      </c>
      <c r="M56" s="27">
        <v>27.4013057456516</v>
      </c>
      <c r="N56" s="27">
        <v>27.808392559129455</v>
      </c>
      <c r="O56" s="27">
        <v>29.117441379035906</v>
      </c>
      <c r="P56" s="24" t="str">
        <f t="shared" si="7"/>
        <v>P_CD</v>
      </c>
      <c r="Q56" s="27">
        <v>26.86827185943145</v>
      </c>
      <c r="R56" s="27">
        <v>26.26666380336101</v>
      </c>
      <c r="S56" s="27">
        <v>25.74211113974547</v>
      </c>
      <c r="T56" s="27">
        <v>28.94459497224564</v>
      </c>
      <c r="U56" s="27">
        <v>28.113811579300265</v>
      </c>
      <c r="V56" s="27">
        <v>27.364527302354265</v>
      </c>
      <c r="W56" s="27">
        <v>30.7056472689999</v>
      </c>
      <c r="X56" s="27">
        <v>29.74976342065374</v>
      </c>
      <c r="Y56" s="27">
        <v>28.861773627356786</v>
      </c>
      <c r="Z56" s="24" t="str">
        <f t="shared" si="1"/>
        <v>P_CD</v>
      </c>
      <c r="AA56" s="27"/>
      <c r="AB56" s="27">
        <v>17.914482093327344</v>
      </c>
      <c r="AC56" s="27">
        <v>17.625909733536893</v>
      </c>
      <c r="AD56" s="27">
        <v>24.167616896517835</v>
      </c>
      <c r="AE56" s="27">
        <v>23.35636779156235</v>
      </c>
      <c r="AF56" s="27">
        <v>22.58736087033479</v>
      </c>
      <c r="AG56" s="27">
        <v>21.95943615904586</v>
      </c>
      <c r="AH56" s="27">
        <v>21.457019914439396</v>
      </c>
      <c r="AI56" s="27">
        <v>21.062316450389275</v>
      </c>
      <c r="AJ56" s="24" t="str">
        <f t="shared" si="2"/>
        <v>P_CD</v>
      </c>
      <c r="AK56" s="27">
        <f t="shared" si="3"/>
        <v>28.113811579300265</v>
      </c>
      <c r="AL56" s="27">
        <f t="shared" si="4"/>
        <v>24.167616896517835</v>
      </c>
      <c r="AM56" s="27">
        <f t="shared" si="5"/>
        <v>22.58736087033479</v>
      </c>
      <c r="AN56" s="24" t="str">
        <f t="shared" si="6"/>
        <v>P_CD</v>
      </c>
      <c r="AO56" s="27">
        <v>33.541634817553295</v>
      </c>
      <c r="AP56" s="27">
        <v>28.113812224306002</v>
      </c>
      <c r="AQ56" s="24" t="str">
        <f>AJ56</f>
        <v>P_CD</v>
      </c>
      <c r="AR56" s="27">
        <v>29.515896790043602</v>
      </c>
      <c r="AS56" s="27">
        <v>29.499999910775383</v>
      </c>
    </row>
    <row r="57" spans="1:45" ht="12.75">
      <c r="A57" t="s">
        <v>169</v>
      </c>
      <c r="B57" s="14">
        <v>0.25</v>
      </c>
      <c r="C57" s="11"/>
      <c r="E57" s="4">
        <f>B72</f>
        <v>1</v>
      </c>
      <c r="F57" s="25" t="s">
        <v>17</v>
      </c>
      <c r="G57" s="26">
        <v>1</v>
      </c>
      <c r="H57" s="26">
        <v>1</v>
      </c>
      <c r="I57" s="26">
        <v>1</v>
      </c>
      <c r="J57" s="26">
        <v>1</v>
      </c>
      <c r="K57" s="26">
        <v>1</v>
      </c>
      <c r="L57" s="26">
        <v>1</v>
      </c>
      <c r="M57" s="26">
        <v>1</v>
      </c>
      <c r="N57" s="26">
        <v>1</v>
      </c>
      <c r="O57" s="26">
        <v>1</v>
      </c>
      <c r="P57" s="24" t="str">
        <f t="shared" si="7"/>
        <v>P_CD/P_aux</v>
      </c>
      <c r="Q57" s="26">
        <v>1</v>
      </c>
      <c r="R57" s="26">
        <v>1</v>
      </c>
      <c r="S57" s="26">
        <v>1</v>
      </c>
      <c r="T57" s="26">
        <v>1</v>
      </c>
      <c r="U57" s="26">
        <v>1</v>
      </c>
      <c r="V57" s="26">
        <v>1</v>
      </c>
      <c r="W57" s="26">
        <v>1</v>
      </c>
      <c r="X57" s="26">
        <v>1</v>
      </c>
      <c r="Y57" s="26">
        <v>1</v>
      </c>
      <c r="Z57" s="24" t="str">
        <f t="shared" si="1"/>
        <v>P_CD/P_aux</v>
      </c>
      <c r="AA57" s="26"/>
      <c r="AB57" s="26">
        <v>1</v>
      </c>
      <c r="AC57" s="26">
        <v>1</v>
      </c>
      <c r="AD57" s="26">
        <v>1</v>
      </c>
      <c r="AE57" s="26">
        <v>1</v>
      </c>
      <c r="AF57" s="26">
        <v>1</v>
      </c>
      <c r="AG57" s="26">
        <v>1</v>
      </c>
      <c r="AH57" s="26">
        <v>1</v>
      </c>
      <c r="AI57" s="26">
        <v>1</v>
      </c>
      <c r="AJ57" s="24" t="str">
        <f t="shared" si="2"/>
        <v>P_CD/P_aux</v>
      </c>
      <c r="AK57" s="26">
        <f t="shared" si="3"/>
        <v>1</v>
      </c>
      <c r="AL57" s="26">
        <f t="shared" si="4"/>
        <v>1</v>
      </c>
      <c r="AM57" s="26">
        <f t="shared" si="5"/>
        <v>1</v>
      </c>
      <c r="AN57" s="24" t="str">
        <f t="shared" si="6"/>
        <v>P_CD/P_aux</v>
      </c>
      <c r="AO57" s="26">
        <v>1</v>
      </c>
      <c r="AP57" s="26">
        <v>1</v>
      </c>
      <c r="AQ57" s="24" t="str">
        <f>AJ57</f>
        <v>P_CD/P_aux</v>
      </c>
      <c r="AR57" s="26">
        <v>1</v>
      </c>
      <c r="AS57" s="26">
        <v>1</v>
      </c>
    </row>
    <row r="58" spans="1:45" ht="12.75">
      <c r="A58" t="s">
        <v>261</v>
      </c>
      <c r="B58" s="14">
        <v>1</v>
      </c>
      <c r="C58" s="11"/>
      <c r="E58" s="2">
        <f>B196</f>
        <v>62.47513827623556</v>
      </c>
      <c r="F58" s="25" t="str">
        <f>A196</f>
        <v>P_aux_input</v>
      </c>
      <c r="G58" s="27">
        <v>87.39882660806556</v>
      </c>
      <c r="H58" s="27">
        <v>76.92035081715892</v>
      </c>
      <c r="I58" s="27">
        <v>71.7928095858392</v>
      </c>
      <c r="J58" s="27">
        <v>70.7799104587712</v>
      </c>
      <c r="K58" s="27">
        <v>65.59088175565245</v>
      </c>
      <c r="L58" s="27">
        <v>66.6047499998349</v>
      </c>
      <c r="M58" s="27">
        <v>60.89179054589245</v>
      </c>
      <c r="N58" s="27">
        <v>61.796427909176565</v>
      </c>
      <c r="O58" s="27">
        <v>64.70542528674646</v>
      </c>
      <c r="P58" s="24" t="str">
        <f t="shared" si="7"/>
        <v>P_aux_input</v>
      </c>
      <c r="Q58" s="27">
        <v>59.70727079873655</v>
      </c>
      <c r="R58" s="27">
        <v>58.37036400746891</v>
      </c>
      <c r="S58" s="27">
        <v>57.204691421656605</v>
      </c>
      <c r="T58" s="27">
        <v>64.32132216054586</v>
      </c>
      <c r="U58" s="27">
        <v>62.475136842889476</v>
      </c>
      <c r="V58" s="27">
        <v>60.81006067189836</v>
      </c>
      <c r="W58" s="27">
        <v>68.23477170888867</v>
      </c>
      <c r="X58" s="27">
        <v>66.11058537923053</v>
      </c>
      <c r="Y58" s="27">
        <v>64.13727472745953</v>
      </c>
      <c r="Z58" s="24" t="str">
        <f t="shared" si="1"/>
        <v>P_aux_input</v>
      </c>
      <c r="AA58" s="27"/>
      <c r="AB58" s="27">
        <v>39.8099602073941</v>
      </c>
      <c r="AC58" s="27">
        <v>39.16868829674865</v>
      </c>
      <c r="AD58" s="27">
        <v>53.70581532559519</v>
      </c>
      <c r="AE58" s="27">
        <v>51.90303953680522</v>
      </c>
      <c r="AF58" s="27">
        <v>50.194135267410644</v>
      </c>
      <c r="AG58" s="27">
        <v>48.798747020101914</v>
      </c>
      <c r="AH58" s="27">
        <v>47.68226647653199</v>
      </c>
      <c r="AI58" s="27">
        <v>46.80514766753172</v>
      </c>
      <c r="AJ58" s="24" t="str">
        <f t="shared" si="2"/>
        <v>P_aux_input</v>
      </c>
      <c r="AK58" s="27">
        <f t="shared" si="3"/>
        <v>62.475136842889476</v>
      </c>
      <c r="AL58" s="27">
        <f t="shared" si="4"/>
        <v>53.70581532559519</v>
      </c>
      <c r="AM58" s="27">
        <f t="shared" si="5"/>
        <v>50.194135267410644</v>
      </c>
      <c r="AN58" s="24" t="str">
        <f t="shared" si="6"/>
        <v>P_aux_input</v>
      </c>
      <c r="AO58" s="27">
        <v>74.53696626122954</v>
      </c>
      <c r="AP58" s="27">
        <v>62.47513827623556</v>
      </c>
      <c r="AQ58" s="24" t="str">
        <f>AJ58</f>
        <v>P_aux_input</v>
      </c>
      <c r="AR58" s="27">
        <v>65.59088175565245</v>
      </c>
      <c r="AS58" s="27">
        <v>65.55555535727862</v>
      </c>
    </row>
    <row r="59" spans="1:45" ht="12.75">
      <c r="A59" t="s">
        <v>404</v>
      </c>
      <c r="B59" s="23">
        <f>((3.09+3.35/A+3.87/A^0.5)*(kappa/3)^0.5/pf^0.5)/100</f>
        <v>0.0696261727699423</v>
      </c>
      <c r="C59" s="11"/>
      <c r="E59" s="2">
        <f>B41</f>
        <v>206.25858816148215</v>
      </c>
      <c r="F59" s="25" t="str">
        <f>A41</f>
        <v>∑P_tf</v>
      </c>
      <c r="G59" s="27">
        <v>97.20450733002248</v>
      </c>
      <c r="H59" s="27">
        <v>130.90896939023153</v>
      </c>
      <c r="I59" s="27">
        <v>170.86036778996248</v>
      </c>
      <c r="J59" s="27">
        <v>118.6428252576214</v>
      </c>
      <c r="K59" s="27">
        <v>158.75470437893688</v>
      </c>
      <c r="L59" s="27">
        <v>172.7408615430155</v>
      </c>
      <c r="M59" s="27">
        <v>140.5300925056575</v>
      </c>
      <c r="N59" s="27">
        <v>157.04551216884857</v>
      </c>
      <c r="O59" s="27">
        <v>163.4685640009724</v>
      </c>
      <c r="P59" s="24" t="str">
        <f t="shared" si="7"/>
        <v>∑P_tf</v>
      </c>
      <c r="Q59" s="27">
        <v>225.7468985860028</v>
      </c>
      <c r="R59" s="27">
        <v>228.33613256560471</v>
      </c>
      <c r="S59" s="27">
        <v>234.9121700190849</v>
      </c>
      <c r="T59" s="27">
        <v>198.77475171169792</v>
      </c>
      <c r="U59" s="27">
        <v>201.21120361872974</v>
      </c>
      <c r="V59" s="27">
        <v>204.6237282439383</v>
      </c>
      <c r="W59" s="27">
        <v>183.03592340970556</v>
      </c>
      <c r="X59" s="27">
        <v>182.9471175864171</v>
      </c>
      <c r="Y59" s="27">
        <v>186.5342986166394</v>
      </c>
      <c r="Z59" s="24" t="str">
        <f t="shared" si="1"/>
        <v>∑P_tf</v>
      </c>
      <c r="AA59" s="27"/>
      <c r="AB59" s="27">
        <v>278.9695171538878</v>
      </c>
      <c r="AC59" s="27">
        <v>29.76045284999525</v>
      </c>
      <c r="AD59" s="27">
        <v>198.59079737182088</v>
      </c>
      <c r="AE59" s="27">
        <v>238.095966913229</v>
      </c>
      <c r="AF59" s="27">
        <v>251.93139110706895</v>
      </c>
      <c r="AG59" s="27">
        <v>266.11063078522005</v>
      </c>
      <c r="AH59" s="27">
        <v>280.63516858337204</v>
      </c>
      <c r="AI59" s="27">
        <v>295.50582693735447</v>
      </c>
      <c r="AJ59" s="24" t="str">
        <f t="shared" si="2"/>
        <v>∑P_tf</v>
      </c>
      <c r="AK59" s="27">
        <f t="shared" si="3"/>
        <v>201.21120361872974</v>
      </c>
      <c r="AL59" s="27">
        <f t="shared" si="4"/>
        <v>198.59079737182088</v>
      </c>
      <c r="AM59" s="27">
        <f t="shared" si="5"/>
        <v>251.93139110706895</v>
      </c>
      <c r="AN59" s="24" t="str">
        <f t="shared" si="6"/>
        <v>∑P_tf</v>
      </c>
      <c r="AO59" s="27">
        <v>201.65960379060638</v>
      </c>
      <c r="AP59" s="27">
        <v>206.25858816148215</v>
      </c>
      <c r="AQ59" s="24" t="str">
        <f>AJ59</f>
        <v>∑P_tf</v>
      </c>
      <c r="AR59" s="27">
        <v>158.75470437893688</v>
      </c>
      <c r="AS59" s="27">
        <v>148.53197645267048</v>
      </c>
    </row>
    <row r="60" spans="1:45" ht="12.75">
      <c r="A60" t="s">
        <v>420</v>
      </c>
      <c r="B60" s="60">
        <v>0.06215785586301681</v>
      </c>
      <c r="C60" s="11"/>
      <c r="E60" s="2">
        <f>B56</f>
        <v>54.49277844157857</v>
      </c>
      <c r="F60" s="27" t="str">
        <f>A56</f>
        <v>∑P_pf</v>
      </c>
      <c r="G60" s="27">
        <v>29.238552541371003</v>
      </c>
      <c r="H60" s="27">
        <v>38.385245929721684</v>
      </c>
      <c r="I60" s="27">
        <v>48.99030041465888</v>
      </c>
      <c r="J60" s="27">
        <v>32.20306757688408</v>
      </c>
      <c r="K60" s="27">
        <v>41.989183900578425</v>
      </c>
      <c r="L60" s="27">
        <v>49.86875569111026</v>
      </c>
      <c r="M60" s="27">
        <v>34.523766290696834</v>
      </c>
      <c r="N60" s="27">
        <v>41.913727468100795</v>
      </c>
      <c r="O60" s="27">
        <v>48.16150007528454</v>
      </c>
      <c r="P60" s="24" t="str">
        <f t="shared" si="7"/>
        <v>∑P_pf</v>
      </c>
      <c r="Q60" s="27">
        <v>62.998041922528714</v>
      </c>
      <c r="R60" s="27">
        <v>65.82649883746438</v>
      </c>
      <c r="S60" s="27">
        <v>68.74733759684432</v>
      </c>
      <c r="T60" s="27">
        <v>52.08092128083876</v>
      </c>
      <c r="U60" s="27">
        <v>54.492778412663974</v>
      </c>
      <c r="V60" s="27">
        <v>56.984357374901265</v>
      </c>
      <c r="W60" s="27">
        <v>45.041200953735846</v>
      </c>
      <c r="X60" s="27">
        <v>47.17496277144394</v>
      </c>
      <c r="Y60" s="27">
        <v>49.37663066762105</v>
      </c>
      <c r="Z60" s="24" t="str">
        <f t="shared" si="1"/>
        <v>∑P_pf</v>
      </c>
      <c r="AA60" s="27"/>
      <c r="AB60" s="27">
        <v>21.785212270552577</v>
      </c>
      <c r="AC60" s="27">
        <v>7.889642468523697</v>
      </c>
      <c r="AD60" s="27">
        <v>36.959724182918805</v>
      </c>
      <c r="AE60" s="27">
        <v>30.762085203791372</v>
      </c>
      <c r="AF60" s="27">
        <v>33.363532180755556</v>
      </c>
      <c r="AG60" s="27">
        <v>36.02897747524357</v>
      </c>
      <c r="AH60" s="27">
        <v>38.76319521414266</v>
      </c>
      <c r="AI60" s="27">
        <v>41.57024862654959</v>
      </c>
      <c r="AJ60" s="24" t="str">
        <f t="shared" si="2"/>
        <v>∑P_pf</v>
      </c>
      <c r="AK60" s="27">
        <f t="shared" si="3"/>
        <v>54.492778412663974</v>
      </c>
      <c r="AL60" s="27">
        <f t="shared" si="4"/>
        <v>36.959724182918805</v>
      </c>
      <c r="AM60" s="27">
        <f t="shared" si="5"/>
        <v>33.363532180755556</v>
      </c>
      <c r="AN60" s="24" t="str">
        <f t="shared" si="6"/>
        <v>∑P_pf</v>
      </c>
      <c r="AO60" s="27">
        <v>60.56159115888707</v>
      </c>
      <c r="AP60" s="27">
        <v>54.49277844157857</v>
      </c>
      <c r="AQ60" s="24" t="str">
        <f>AJ60</f>
        <v>∑P_pf</v>
      </c>
      <c r="AR60" s="27">
        <v>41.989183900578425</v>
      </c>
      <c r="AS60" s="27">
        <v>40.574088243049935</v>
      </c>
    </row>
    <row r="61" spans="1:45" ht="12.75">
      <c r="A61" t="s">
        <v>406</v>
      </c>
      <c r="B61" s="23">
        <f>B135*R0*Bt/A/Ip</f>
        <v>0.0044472860036011775</v>
      </c>
      <c r="C61" s="11"/>
      <c r="E61" s="2">
        <f>B194</f>
        <v>20</v>
      </c>
      <c r="F61" s="25" t="str">
        <f>A194</f>
        <v>P_bop</v>
      </c>
      <c r="G61" s="27">
        <v>20</v>
      </c>
      <c r="H61" s="27">
        <v>20</v>
      </c>
      <c r="I61" s="27">
        <v>20</v>
      </c>
      <c r="J61" s="27">
        <v>20</v>
      </c>
      <c r="K61" s="27">
        <v>20</v>
      </c>
      <c r="L61" s="27">
        <v>20</v>
      </c>
      <c r="M61" s="27">
        <v>20</v>
      </c>
      <c r="N61" s="27">
        <v>20</v>
      </c>
      <c r="O61" s="27">
        <v>20</v>
      </c>
      <c r="P61" s="24" t="str">
        <f t="shared" si="7"/>
        <v>P_bop</v>
      </c>
      <c r="Q61" s="27">
        <v>20</v>
      </c>
      <c r="R61" s="27">
        <v>20</v>
      </c>
      <c r="S61" s="27">
        <v>20</v>
      </c>
      <c r="T61" s="27">
        <v>20</v>
      </c>
      <c r="U61" s="27">
        <v>20</v>
      </c>
      <c r="V61" s="27">
        <v>20</v>
      </c>
      <c r="W61" s="27">
        <v>20</v>
      </c>
      <c r="X61" s="27">
        <v>20</v>
      </c>
      <c r="Y61" s="27">
        <v>20</v>
      </c>
      <c r="Z61" s="24" t="str">
        <f t="shared" si="1"/>
        <v>P_bop</v>
      </c>
      <c r="AA61" s="27"/>
      <c r="AB61" s="27">
        <v>20</v>
      </c>
      <c r="AC61" s="27">
        <v>20</v>
      </c>
      <c r="AD61" s="27">
        <v>20</v>
      </c>
      <c r="AE61" s="27">
        <v>20</v>
      </c>
      <c r="AF61" s="27">
        <v>20</v>
      </c>
      <c r="AG61" s="27">
        <v>20</v>
      </c>
      <c r="AH61" s="27">
        <v>20</v>
      </c>
      <c r="AI61" s="27">
        <v>20</v>
      </c>
      <c r="AJ61" s="24" t="str">
        <f t="shared" si="2"/>
        <v>P_bop</v>
      </c>
      <c r="AK61" s="27">
        <f t="shared" si="3"/>
        <v>20</v>
      </c>
      <c r="AL61" s="27">
        <f t="shared" si="4"/>
        <v>20</v>
      </c>
      <c r="AM61" s="27">
        <f t="shared" si="5"/>
        <v>20</v>
      </c>
      <c r="AN61" s="24" t="str">
        <f t="shared" si="6"/>
        <v>P_bop</v>
      </c>
      <c r="AO61" s="27">
        <v>20</v>
      </c>
      <c r="AP61" s="27">
        <v>20</v>
      </c>
      <c r="AQ61" s="24" t="str">
        <f>AJ61</f>
        <v>P_bop</v>
      </c>
      <c r="AR61" s="27">
        <v>20</v>
      </c>
      <c r="AS61" s="27">
        <v>20</v>
      </c>
    </row>
    <row r="62" spans="1:45" ht="12.75">
      <c r="A62" t="s">
        <v>407</v>
      </c>
      <c r="B62" s="23">
        <f>B141*R0*Bt/A/Ip</f>
        <v>0.0011816585488082913</v>
      </c>
      <c r="C62" s="11" t="s">
        <v>139</v>
      </c>
      <c r="E62" s="2">
        <f>B197</f>
        <v>343.2265048792963</v>
      </c>
      <c r="F62" s="25" t="str">
        <f>A197</f>
        <v>∑P_elec input</v>
      </c>
      <c r="G62" s="27">
        <v>233.84188647945905</v>
      </c>
      <c r="H62" s="27">
        <v>266.2145661371121</v>
      </c>
      <c r="I62" s="27">
        <v>311.64347779046057</v>
      </c>
      <c r="J62" s="27">
        <v>241.6258032932767</v>
      </c>
      <c r="K62" s="27">
        <v>286.33477003516776</v>
      </c>
      <c r="L62" s="27">
        <v>309.2143672339607</v>
      </c>
      <c r="M62" s="27">
        <v>255.94564934224678</v>
      </c>
      <c r="N62" s="27">
        <v>280.75566754612595</v>
      </c>
      <c r="O62" s="27">
        <v>296.33548936300343</v>
      </c>
      <c r="P62" s="24" t="str">
        <f t="shared" si="7"/>
        <v>∑P_elec input</v>
      </c>
      <c r="Q62" s="27">
        <v>368.45221130726804</v>
      </c>
      <c r="R62" s="27">
        <v>372.532995410538</v>
      </c>
      <c r="S62" s="27">
        <v>380.8641990375858</v>
      </c>
      <c r="T62" s="27">
        <v>335.17699515308254</v>
      </c>
      <c r="U62" s="27">
        <v>338.1791188742832</v>
      </c>
      <c r="V62" s="27">
        <v>342.418146290738</v>
      </c>
      <c r="W62" s="27">
        <v>316.3118960723301</v>
      </c>
      <c r="X62" s="27">
        <v>316.23266573709157</v>
      </c>
      <c r="Y62" s="27">
        <v>320.04820401172</v>
      </c>
      <c r="Z62" s="24" t="str">
        <f t="shared" si="1"/>
        <v>∑P_elec input</v>
      </c>
      <c r="AA62" s="27"/>
      <c r="AB62" s="27">
        <v>360.5646896318345</v>
      </c>
      <c r="AC62" s="27">
        <v>96.81878361526759</v>
      </c>
      <c r="AD62" s="27">
        <v>309.2563368803349</v>
      </c>
      <c r="AE62" s="27">
        <v>340.76109165382564</v>
      </c>
      <c r="AF62" s="27">
        <v>355.48905855523515</v>
      </c>
      <c r="AG62" s="27">
        <v>370.93835528056553</v>
      </c>
      <c r="AH62" s="27">
        <v>387.0806302740467</v>
      </c>
      <c r="AI62" s="27">
        <v>403.8812232314358</v>
      </c>
      <c r="AJ62" s="24" t="str">
        <f t="shared" si="2"/>
        <v>∑P_elec input</v>
      </c>
      <c r="AK62" s="27">
        <f t="shared" si="3"/>
        <v>338.1791188742832</v>
      </c>
      <c r="AL62" s="27">
        <f t="shared" si="4"/>
        <v>309.2563368803349</v>
      </c>
      <c r="AM62" s="27">
        <f t="shared" si="5"/>
        <v>355.48905855523515</v>
      </c>
      <c r="AN62" s="24" t="str">
        <f t="shared" si="6"/>
        <v>∑P_elec input</v>
      </c>
      <c r="AO62" s="27">
        <v>356.75816121072296</v>
      </c>
      <c r="AP62" s="27">
        <v>343.2265048792963</v>
      </c>
      <c r="AQ62" s="24" t="str">
        <f>AJ62</f>
        <v>∑P_elec input</v>
      </c>
      <c r="AR62" s="27">
        <v>286.33477003516776</v>
      </c>
      <c r="AS62" s="27">
        <v>274.66162005299907</v>
      </c>
    </row>
    <row r="63" spans="1:45" ht="12.75">
      <c r="A63" t="s">
        <v>419</v>
      </c>
      <c r="B63" s="61">
        <f>Beta_N+B61+B62</f>
        <v>0.06778680041542628</v>
      </c>
      <c r="C63" s="11"/>
      <c r="E63" s="2">
        <f>B162</f>
        <v>5.370435867231856</v>
      </c>
      <c r="F63" s="27" t="str">
        <f>A162</f>
        <v>Xnwall</v>
      </c>
      <c r="G63" s="27">
        <v>1.0623859821108232</v>
      </c>
      <c r="H63" s="27">
        <v>1.06238599837704</v>
      </c>
      <c r="I63" s="27">
        <v>1.0623859768305701</v>
      </c>
      <c r="J63" s="27">
        <v>1.070548770708089</v>
      </c>
      <c r="K63" s="27">
        <v>1.074087061955208</v>
      </c>
      <c r="L63" s="27">
        <v>1.074087124630166</v>
      </c>
      <c r="M63" s="27">
        <v>1.0738236698667674</v>
      </c>
      <c r="N63" s="27">
        <v>1.0854089624657373</v>
      </c>
      <c r="O63" s="27">
        <v>1.0854088806051425</v>
      </c>
      <c r="P63" s="24" t="str">
        <f t="shared" si="7"/>
        <v>Xnwall</v>
      </c>
      <c r="Q63" s="27">
        <v>5.311929985397979</v>
      </c>
      <c r="R63" s="27">
        <v>5.3119299194195</v>
      </c>
      <c r="S63" s="27">
        <v>5.311929959513015</v>
      </c>
      <c r="T63" s="27">
        <v>5.370435830729819</v>
      </c>
      <c r="U63" s="27">
        <v>5.3704358675783075</v>
      </c>
      <c r="V63" s="27">
        <v>5.37043584525398</v>
      </c>
      <c r="W63" s="27">
        <v>5.427044444462204</v>
      </c>
      <c r="X63" s="27">
        <v>5.42704468804347</v>
      </c>
      <c r="Y63" s="27">
        <v>5.427044904490918</v>
      </c>
      <c r="Z63" s="24" t="str">
        <f t="shared" si="1"/>
        <v>Xnwall</v>
      </c>
      <c r="AA63" s="27"/>
      <c r="AB63" s="27">
        <v>1.3054962722643608</v>
      </c>
      <c r="AC63" s="27">
        <v>0.38861246129354776</v>
      </c>
      <c r="AD63" s="27">
        <v>5.837190140343055</v>
      </c>
      <c r="AE63" s="27">
        <v>5.682498518215631</v>
      </c>
      <c r="AF63" s="27">
        <v>5.737420843679917</v>
      </c>
      <c r="AG63" s="27">
        <v>5.745981180034088</v>
      </c>
      <c r="AH63" s="27">
        <v>5.721188721873149</v>
      </c>
      <c r="AI63" s="27">
        <v>5.672976371691645</v>
      </c>
      <c r="AJ63" s="24" t="str">
        <f t="shared" si="2"/>
        <v>Xnwall</v>
      </c>
      <c r="AK63" s="27">
        <f t="shared" si="3"/>
        <v>5.3704358675783075</v>
      </c>
      <c r="AL63" s="27">
        <f t="shared" si="4"/>
        <v>5.837190140343055</v>
      </c>
      <c r="AM63" s="27">
        <f t="shared" si="5"/>
        <v>5.737420843679917</v>
      </c>
      <c r="AN63" s="24" t="str">
        <f t="shared" si="6"/>
        <v>Xnwall</v>
      </c>
      <c r="AO63" s="27">
        <v>1.0740871699923316</v>
      </c>
      <c r="AP63" s="27">
        <v>5.370435867231856</v>
      </c>
      <c r="AQ63" s="24" t="str">
        <f>AJ63</f>
        <v>Xnwall</v>
      </c>
      <c r="AR63" s="27">
        <v>1.074087061955208</v>
      </c>
      <c r="AS63" s="27">
        <v>1.8765001634375005</v>
      </c>
    </row>
    <row r="64" spans="1:45" ht="12.75">
      <c r="A64" t="s">
        <v>18</v>
      </c>
      <c r="B64" s="3">
        <f>Ip*Beta_N/R0/e/Bt</f>
        <v>0.3443395216080294</v>
      </c>
      <c r="C64" s="11"/>
      <c r="E64" s="8">
        <f>B163</f>
        <v>2.9825272356247683</v>
      </c>
      <c r="F64" s="29" t="str">
        <f>A163</f>
        <v>Qn_wall</v>
      </c>
      <c r="G64" s="29">
        <v>0.5852688896510786</v>
      </c>
      <c r="H64" s="29">
        <v>0.5852688986121442</v>
      </c>
      <c r="I64" s="29">
        <v>0.5852688867421848</v>
      </c>
      <c r="J64" s="29">
        <v>0.5945403584806727</v>
      </c>
      <c r="K64" s="29">
        <v>0.5965053852071802</v>
      </c>
      <c r="L64" s="29">
        <v>0.5965054200143679</v>
      </c>
      <c r="M64" s="29">
        <v>0.6009462597266658</v>
      </c>
      <c r="N64" s="29">
        <v>0.6074297620469806</v>
      </c>
      <c r="O64" s="29">
        <v>0.6074297162351592</v>
      </c>
      <c r="P64" s="29" t="str">
        <f t="shared" si="7"/>
        <v>Qn_wall</v>
      </c>
      <c r="Q64" s="29">
        <v>2.926344489486909</v>
      </c>
      <c r="R64" s="29">
        <v>2.9263444531393366</v>
      </c>
      <c r="S64" s="29">
        <v>2.926344475226871</v>
      </c>
      <c r="T64" s="29">
        <v>2.9825272153529836</v>
      </c>
      <c r="U64" s="29">
        <v>2.9825272358171744</v>
      </c>
      <c r="V64" s="29">
        <v>2.9825272234191273</v>
      </c>
      <c r="W64" s="29">
        <v>3.0371486043649876</v>
      </c>
      <c r="X64" s="29">
        <v>3.037148740680898</v>
      </c>
      <c r="Y64" s="29">
        <v>3.037148861811852</v>
      </c>
      <c r="Z64" s="24" t="str">
        <f t="shared" si="1"/>
        <v>Qn_wall</v>
      </c>
      <c r="AA64" s="29"/>
      <c r="AB64" s="29">
        <v>0.7750799330766072</v>
      </c>
      <c r="AC64" s="29">
        <v>0.2174800310804349</v>
      </c>
      <c r="AD64" s="29">
        <v>3.348058868715764</v>
      </c>
      <c r="AE64" s="29">
        <v>3.3737289525669425</v>
      </c>
      <c r="AF64" s="29">
        <v>3.406336623113129</v>
      </c>
      <c r="AG64" s="29">
        <v>3.411418939370529</v>
      </c>
      <c r="AH64" s="29">
        <v>3.396699527894267</v>
      </c>
      <c r="AI64" s="29">
        <v>3.368075604604672</v>
      </c>
      <c r="AJ64" s="24" t="str">
        <f t="shared" si="2"/>
        <v>Qn_wall</v>
      </c>
      <c r="AK64" s="29">
        <f t="shared" si="3"/>
        <v>2.9825272358171744</v>
      </c>
      <c r="AL64" s="29">
        <f t="shared" si="4"/>
        <v>3.348058868715764</v>
      </c>
      <c r="AM64" s="29">
        <f t="shared" si="5"/>
        <v>3.406336623113129</v>
      </c>
      <c r="AN64" s="24" t="str">
        <f t="shared" si="6"/>
        <v>Qn_wall</v>
      </c>
      <c r="AO64" s="29">
        <v>0.596505445206717</v>
      </c>
      <c r="AP64" s="29">
        <v>2.9825272356247683</v>
      </c>
      <c r="AQ64" s="24" t="str">
        <f>AJ64</f>
        <v>Qn_wall</v>
      </c>
      <c r="AR64" s="29">
        <v>0.5965053852071802</v>
      </c>
      <c r="AS64" s="29">
        <v>1.042133819948482</v>
      </c>
    </row>
    <row r="65" spans="1:45" ht="12.75">
      <c r="A65" t="s">
        <v>325</v>
      </c>
      <c r="B65" s="4">
        <f>Beta_T*qcyl^2*2*A^2/(1+kappa^2)</f>
        <v>1.402539791048734</v>
      </c>
      <c r="C65" s="11"/>
      <c r="E65" s="8">
        <f>B164</f>
        <v>4.999999996593706</v>
      </c>
      <c r="F65" s="29" t="str">
        <f>A164</f>
        <v>Qn_tm</v>
      </c>
      <c r="G65" s="29">
        <v>0.999999999569838</v>
      </c>
      <c r="H65" s="29">
        <v>1.0000000148808608</v>
      </c>
      <c r="I65" s="29">
        <v>0.999999994599654</v>
      </c>
      <c r="J65" s="29">
        <v>1.0000000017099875</v>
      </c>
      <c r="K65" s="29">
        <v>0.9999998955178898</v>
      </c>
      <c r="L65" s="29">
        <v>0.9999999538697252</v>
      </c>
      <c r="M65" s="29">
        <v>1.0000000894311973</v>
      </c>
      <c r="N65" s="29">
        <v>1.0000000113244916</v>
      </c>
      <c r="O65" s="29">
        <v>0.9999999359053653</v>
      </c>
      <c r="P65" s="29" t="str">
        <f t="shared" si="7"/>
        <v>Qn_tm</v>
      </c>
      <c r="Q65" s="29">
        <v>5.00000006829803</v>
      </c>
      <c r="R65" s="29">
        <v>5.000000006193976</v>
      </c>
      <c r="S65" s="29">
        <v>5.000000043933098</v>
      </c>
      <c r="T65" s="29">
        <v>4.999999962609465</v>
      </c>
      <c r="U65" s="29">
        <v>4.999999996916261</v>
      </c>
      <c r="V65" s="29">
        <v>4.999999976131797</v>
      </c>
      <c r="W65" s="29">
        <v>4.999999717702749</v>
      </c>
      <c r="X65" s="29">
        <v>4.999999942117029</v>
      </c>
      <c r="Y65" s="29">
        <v>5.000000141532603</v>
      </c>
      <c r="Z65" s="24" t="str">
        <f t="shared" si="1"/>
        <v>Qn_tm</v>
      </c>
      <c r="AA65" s="29"/>
      <c r="AB65" s="29" t="e">
        <v>#DIV/0!</v>
      </c>
      <c r="AC65" s="29" t="e">
        <v>#DIV/0!</v>
      </c>
      <c r="AD65" s="29">
        <v>5.000000293324716</v>
      </c>
      <c r="AE65" s="29">
        <v>4.561935956931042</v>
      </c>
      <c r="AF65" s="29">
        <v>4.620322012872407</v>
      </c>
      <c r="AG65" s="29">
        <v>4.639330813934175</v>
      </c>
      <c r="AH65" s="29">
        <v>4.6296124003221335</v>
      </c>
      <c r="AI65" s="29">
        <v>4.561661116393889</v>
      </c>
      <c r="AJ65" s="24" t="str">
        <f t="shared" si="2"/>
        <v>Qn_tm</v>
      </c>
      <c r="AK65" s="29">
        <f t="shared" si="3"/>
        <v>4.999999996916261</v>
      </c>
      <c r="AL65" s="29">
        <f t="shared" si="4"/>
        <v>5.000000293324716</v>
      </c>
      <c r="AM65" s="29">
        <f t="shared" si="5"/>
        <v>4.620322012872407</v>
      </c>
      <c r="AN65" s="24" t="str">
        <f t="shared" si="6"/>
        <v>Qn_tm</v>
      </c>
      <c r="AO65" s="29">
        <v>0.9999999961029504</v>
      </c>
      <c r="AP65" s="29">
        <v>4.999999996593706</v>
      </c>
      <c r="AQ65" s="24" t="str">
        <f>AJ65</f>
        <v>Qn_tm</v>
      </c>
      <c r="AR65" s="29">
        <v>0.9999998955178898</v>
      </c>
      <c r="AS65" s="29">
        <v>1.7470650507240333</v>
      </c>
    </row>
    <row r="66" spans="1:45" ht="12.75">
      <c r="A66" t="s">
        <v>386</v>
      </c>
      <c r="B66" s="7">
        <f>Beta_N!B13</f>
        <v>1.4844713353531902</v>
      </c>
      <c r="C66" s="11"/>
      <c r="E66" s="8">
        <f>Blanket!B1</f>
        <v>1.999998</v>
      </c>
      <c r="F66" s="29" t="str">
        <f>Blanket!A1</f>
        <v>Port Height (delta Z)</v>
      </c>
      <c r="G66" s="29">
        <v>1.5501275595447286</v>
      </c>
      <c r="H66" s="29">
        <v>1.6910482467760672</v>
      </c>
      <c r="I66" s="29">
        <v>1.8319689340074066</v>
      </c>
      <c r="J66" s="29">
        <v>1.4</v>
      </c>
      <c r="K66" s="29">
        <v>1.5999983999999998</v>
      </c>
      <c r="L66" s="29">
        <v>1.7333316</v>
      </c>
      <c r="M66" s="29">
        <v>1.1717213905233157</v>
      </c>
      <c r="N66" s="29">
        <v>1.5169880795643365</v>
      </c>
      <c r="O66" s="29">
        <v>1.6434037528613645</v>
      </c>
      <c r="P66" s="29" t="str">
        <f t="shared" si="7"/>
        <v>Port Height (delta Z)</v>
      </c>
      <c r="Q66" s="29">
        <v>2.2547309957014234</v>
      </c>
      <c r="R66" s="29">
        <v>2.3251913393170924</v>
      </c>
      <c r="S66" s="29">
        <v>2.3956516829327623</v>
      </c>
      <c r="T66" s="29">
        <v>1.9333314</v>
      </c>
      <c r="U66" s="29">
        <v>1.999998</v>
      </c>
      <c r="V66" s="29">
        <v>2.0666646</v>
      </c>
      <c r="W66" s="29">
        <v>1.7066115895098786</v>
      </c>
      <c r="X66" s="29">
        <v>1.7698194261583924</v>
      </c>
      <c r="Y66" s="29">
        <v>1.8330272628069062</v>
      </c>
      <c r="Z66" s="24" t="str">
        <f t="shared" si="1"/>
        <v>Port Height (delta Z)</v>
      </c>
      <c r="AA66" s="29"/>
      <c r="AB66" s="29">
        <v>0</v>
      </c>
      <c r="AC66" s="29">
        <v>0</v>
      </c>
      <c r="AD66" s="29">
        <v>1.125</v>
      </c>
      <c r="AE66" s="29">
        <v>1</v>
      </c>
      <c r="AF66" s="29">
        <v>1</v>
      </c>
      <c r="AG66" s="29">
        <v>1</v>
      </c>
      <c r="AH66" s="29">
        <v>1</v>
      </c>
      <c r="AI66" s="29">
        <v>1.2</v>
      </c>
      <c r="AJ66" s="24" t="str">
        <f t="shared" si="2"/>
        <v>Port Height (delta Z)</v>
      </c>
      <c r="AK66" s="29">
        <f t="shared" si="3"/>
        <v>1.999998</v>
      </c>
      <c r="AL66" s="29">
        <f t="shared" si="4"/>
        <v>1.125</v>
      </c>
      <c r="AM66" s="29">
        <f t="shared" si="5"/>
        <v>1</v>
      </c>
      <c r="AN66" s="24" t="str">
        <f t="shared" si="6"/>
        <v>Port Height (delta Z)</v>
      </c>
      <c r="AO66" s="29">
        <v>1.999998</v>
      </c>
      <c r="AP66" s="29">
        <v>1.999998</v>
      </c>
      <c r="AQ66" s="24" t="str">
        <f>AJ66</f>
        <v>Port Height (delta Z)</v>
      </c>
      <c r="AR66" s="29">
        <v>1.5999983999999998</v>
      </c>
      <c r="AS66" s="29">
        <v>1.5999983999999998</v>
      </c>
    </row>
    <row r="67" spans="2:45" ht="12.75">
      <c r="B67" s="7"/>
      <c r="C67" s="11"/>
      <c r="E67" s="47">
        <f>Blanket!$B$9</f>
        <v>2</v>
      </c>
      <c r="F67" s="55" t="str">
        <f>Blanket!$A$9</f>
        <v>#NBI Port</v>
      </c>
      <c r="G67" s="55">
        <v>3</v>
      </c>
      <c r="H67" s="55">
        <v>3</v>
      </c>
      <c r="I67" s="55">
        <v>2</v>
      </c>
      <c r="J67" s="55">
        <v>3</v>
      </c>
      <c r="K67" s="55">
        <v>2</v>
      </c>
      <c r="L67" s="55">
        <v>2</v>
      </c>
      <c r="M67" s="55">
        <v>3</v>
      </c>
      <c r="N67" s="55">
        <v>2</v>
      </c>
      <c r="O67" s="55">
        <v>2</v>
      </c>
      <c r="P67" s="24" t="str">
        <f t="shared" si="7"/>
        <v>#NBI Port</v>
      </c>
      <c r="Q67" s="55">
        <v>2</v>
      </c>
      <c r="R67" s="55">
        <v>2</v>
      </c>
      <c r="S67" s="55">
        <v>2</v>
      </c>
      <c r="T67" s="55">
        <v>2</v>
      </c>
      <c r="U67" s="55">
        <v>2</v>
      </c>
      <c r="V67" s="55">
        <v>2</v>
      </c>
      <c r="W67" s="55">
        <v>2</v>
      </c>
      <c r="X67" s="55">
        <v>2</v>
      </c>
      <c r="Y67" s="55">
        <v>2</v>
      </c>
      <c r="Z67" s="24" t="str">
        <f t="shared" si="1"/>
        <v>#NBI Port</v>
      </c>
      <c r="AA67" s="55"/>
      <c r="AB67" s="55" t="e">
        <v>#DIV/0!</v>
      </c>
      <c r="AC67" s="55" t="e">
        <v>#DIV/0!</v>
      </c>
      <c r="AD67" s="55">
        <v>3</v>
      </c>
      <c r="AE67" s="55">
        <v>3</v>
      </c>
      <c r="AF67" s="55">
        <v>3</v>
      </c>
      <c r="AG67" s="55">
        <v>3</v>
      </c>
      <c r="AH67" s="55">
        <v>3</v>
      </c>
      <c r="AI67" s="55">
        <v>2</v>
      </c>
      <c r="AJ67" s="24" t="str">
        <f t="shared" si="2"/>
        <v>#NBI Port</v>
      </c>
      <c r="AK67" s="55">
        <f t="shared" si="3"/>
        <v>2</v>
      </c>
      <c r="AL67" s="55">
        <f t="shared" si="4"/>
        <v>3</v>
      </c>
      <c r="AM67" s="55">
        <f t="shared" si="5"/>
        <v>3</v>
      </c>
      <c r="AN67" s="24" t="str">
        <f t="shared" si="6"/>
        <v>#NBI Port</v>
      </c>
      <c r="AO67" s="55">
        <v>2</v>
      </c>
      <c r="AP67" s="55">
        <v>2</v>
      </c>
      <c r="AQ67" s="24" t="str">
        <f>AJ67</f>
        <v>#NBI Port</v>
      </c>
      <c r="AR67" s="55">
        <v>2</v>
      </c>
      <c r="AS67" s="55">
        <v>2</v>
      </c>
    </row>
    <row r="68" spans="1:45" ht="12.75">
      <c r="A68" t="s">
        <v>132</v>
      </c>
      <c r="B68">
        <f>0.712</f>
        <v>0.712</v>
      </c>
      <c r="C68" s="11"/>
      <c r="E68" s="8">
        <f>Blanket!B21</f>
        <v>23.999976</v>
      </c>
      <c r="F68" s="25" t="str">
        <f>Blanket!A21</f>
        <v>Available Test Module Area</v>
      </c>
      <c r="G68" s="27">
        <v>9.300765357268372</v>
      </c>
      <c r="H68" s="27">
        <v>13.528385974208538</v>
      </c>
      <c r="I68" s="27">
        <v>16.48772040606666</v>
      </c>
      <c r="J68" s="27">
        <v>8.4</v>
      </c>
      <c r="K68" s="27">
        <v>12.799987199999999</v>
      </c>
      <c r="L68" s="27">
        <v>15.5999844</v>
      </c>
      <c r="M68" s="27">
        <v>7.030328343139894</v>
      </c>
      <c r="N68" s="27">
        <v>12.135904636514692</v>
      </c>
      <c r="O68" s="27">
        <v>14.79063377575228</v>
      </c>
      <c r="P68" s="24" t="str">
        <f t="shared" si="7"/>
        <v>Available Test Module Area</v>
      </c>
      <c r="Q68" s="27">
        <v>29.311502944118505</v>
      </c>
      <c r="R68" s="27">
        <v>32.55267875043929</v>
      </c>
      <c r="S68" s="27">
        <v>33.53912356105867</v>
      </c>
      <c r="T68" s="27">
        <v>21.266645399999998</v>
      </c>
      <c r="U68" s="27">
        <v>23.999976</v>
      </c>
      <c r="V68" s="27">
        <v>24.799975200000002</v>
      </c>
      <c r="W68" s="27">
        <v>15.359504305588906</v>
      </c>
      <c r="X68" s="27">
        <v>17.698194261583925</v>
      </c>
      <c r="Y68" s="27">
        <v>20.16329989087597</v>
      </c>
      <c r="Z68" s="24" t="str">
        <f t="shared" si="1"/>
        <v>Available Test Module Area</v>
      </c>
      <c r="AA68" s="27"/>
      <c r="AB68" s="27" t="e">
        <v>#DIV/0!</v>
      </c>
      <c r="AC68" s="27" t="e">
        <v>#DIV/0!</v>
      </c>
      <c r="AD68" s="27">
        <v>10.125</v>
      </c>
      <c r="AE68" s="27">
        <v>9</v>
      </c>
      <c r="AF68" s="27">
        <v>10</v>
      </c>
      <c r="AG68" s="27">
        <v>11</v>
      </c>
      <c r="AH68" s="27">
        <v>12</v>
      </c>
      <c r="AI68" s="27">
        <v>15.6</v>
      </c>
      <c r="AJ68" s="24" t="str">
        <f t="shared" si="2"/>
        <v>Available Test Module Area</v>
      </c>
      <c r="AK68" s="27">
        <f t="shared" si="3"/>
        <v>23.999976</v>
      </c>
      <c r="AL68" s="27">
        <f t="shared" si="4"/>
        <v>10.125</v>
      </c>
      <c r="AM68" s="27">
        <f t="shared" si="5"/>
        <v>10</v>
      </c>
      <c r="AN68" s="24" t="str">
        <f t="shared" si="6"/>
        <v>Available Test Module Area</v>
      </c>
      <c r="AO68" s="29">
        <v>21.999978</v>
      </c>
      <c r="AP68" s="29">
        <v>23.999976</v>
      </c>
      <c r="AQ68" s="24" t="str">
        <f>AJ68</f>
        <v>Available Test Module Area</v>
      </c>
      <c r="AR68" s="27">
        <v>12.799987199999999</v>
      </c>
      <c r="AS68" s="29">
        <v>12.799987199999999</v>
      </c>
    </row>
    <row r="69" spans="1:45" ht="12.75">
      <c r="A69" t="s">
        <v>13</v>
      </c>
      <c r="B69" s="42">
        <f>Beta_P*B68*B66^0.25/SQRT(A)</f>
        <v>0.8999999999958755</v>
      </c>
      <c r="C69" s="11"/>
      <c r="E69" s="47">
        <f>Blanket!B36</f>
        <v>6</v>
      </c>
      <c r="F69" s="25" t="s">
        <v>116</v>
      </c>
      <c r="G69" s="24">
        <v>7</v>
      </c>
      <c r="H69" s="24">
        <v>6</v>
      </c>
      <c r="I69" s="24">
        <v>6</v>
      </c>
      <c r="J69" s="24">
        <v>8</v>
      </c>
      <c r="K69" s="24">
        <v>7</v>
      </c>
      <c r="L69" s="24">
        <v>6</v>
      </c>
      <c r="M69" s="24">
        <v>9</v>
      </c>
      <c r="N69" s="24">
        <v>7</v>
      </c>
      <c r="O69" s="24">
        <v>7</v>
      </c>
      <c r="P69" s="24" t="str">
        <f t="shared" si="7"/>
        <v>#Test Module Ports</v>
      </c>
      <c r="Q69" s="24">
        <v>5</v>
      </c>
      <c r="R69" s="24">
        <v>5</v>
      </c>
      <c r="S69" s="24">
        <v>5</v>
      </c>
      <c r="T69" s="24">
        <v>6</v>
      </c>
      <c r="U69" s="24">
        <v>6</v>
      </c>
      <c r="V69" s="24">
        <v>5</v>
      </c>
      <c r="W69" s="24">
        <v>6</v>
      </c>
      <c r="X69" s="24">
        <v>6</v>
      </c>
      <c r="Y69" s="24">
        <v>6</v>
      </c>
      <c r="Z69" s="24" t="str">
        <f t="shared" si="1"/>
        <v>#Test Module Ports</v>
      </c>
      <c r="AA69" s="24"/>
      <c r="AB69" s="24" t="e">
        <v>#DIV/0!</v>
      </c>
      <c r="AC69" s="24" t="e">
        <v>#DIV/0!</v>
      </c>
      <c r="AD69" s="24">
        <v>9</v>
      </c>
      <c r="AE69" s="24">
        <v>10</v>
      </c>
      <c r="AF69" s="24">
        <v>11</v>
      </c>
      <c r="AG69" s="24">
        <v>11</v>
      </c>
      <c r="AH69" s="24">
        <v>11</v>
      </c>
      <c r="AI69" s="24">
        <v>9</v>
      </c>
      <c r="AJ69" s="24" t="str">
        <f t="shared" si="2"/>
        <v>#Test Module Ports</v>
      </c>
      <c r="AK69" s="24">
        <f t="shared" si="3"/>
        <v>6</v>
      </c>
      <c r="AL69" s="24">
        <f t="shared" si="4"/>
        <v>9</v>
      </c>
      <c r="AM69" s="24">
        <f t="shared" si="5"/>
        <v>11</v>
      </c>
      <c r="AN69" s="24" t="str">
        <f t="shared" si="6"/>
        <v>#Test Module Ports</v>
      </c>
      <c r="AO69" s="55">
        <v>6</v>
      </c>
      <c r="AP69" s="55">
        <v>6</v>
      </c>
      <c r="AQ69" s="24" t="str">
        <f>AJ69</f>
        <v>#Test Module Ports</v>
      </c>
      <c r="AR69" s="24">
        <v>7</v>
      </c>
      <c r="AS69" s="55">
        <v>7</v>
      </c>
    </row>
    <row r="70" spans="1:45" ht="12.75">
      <c r="A70" t="s">
        <v>15</v>
      </c>
      <c r="B70" s="41">
        <v>0.25973426283426976</v>
      </c>
      <c r="C70" s="11"/>
      <c r="E70" s="8">
        <f>B211</f>
        <v>85.99886828872306</v>
      </c>
      <c r="F70" s="27" t="str">
        <f>A211</f>
        <v>T fueling rate</v>
      </c>
      <c r="G70" s="27">
        <v>9.540989495858748</v>
      </c>
      <c r="H70" s="27">
        <v>11.354566011600513</v>
      </c>
      <c r="I70" s="27">
        <v>13.325844833058522</v>
      </c>
      <c r="J70" s="27">
        <v>9.219184570197049</v>
      </c>
      <c r="K70" s="27">
        <v>11.007855140956243</v>
      </c>
      <c r="L70" s="27">
        <v>12.918941102928194</v>
      </c>
      <c r="M70" s="27">
        <v>8.88077297161068</v>
      </c>
      <c r="N70" s="27">
        <v>10.682880102653373</v>
      </c>
      <c r="O70" s="27">
        <v>12.537546787142531</v>
      </c>
      <c r="P70" s="24" t="str">
        <f t="shared" si="7"/>
        <v>T fueling rate</v>
      </c>
      <c r="Q70" s="27">
        <v>100.92947565867148</v>
      </c>
      <c r="R70" s="27">
        <v>107.3361318284097</v>
      </c>
      <c r="S70" s="27">
        <v>113.93991588029502</v>
      </c>
      <c r="T70" s="27">
        <v>80.36116423435462</v>
      </c>
      <c r="U70" s="27">
        <v>85.99886828872305</v>
      </c>
      <c r="V70" s="27">
        <v>91.82768047273518</v>
      </c>
      <c r="W70" s="27">
        <v>67.60260064959881</v>
      </c>
      <c r="X70" s="27">
        <v>72.70293403194198</v>
      </c>
      <c r="Y70" s="27">
        <v>77.98873408273887</v>
      </c>
      <c r="Z70" s="24" t="str">
        <f t="shared" si="1"/>
        <v>T fueling rate</v>
      </c>
      <c r="AA70" s="27"/>
      <c r="AB70" s="27">
        <v>3.992525529897711</v>
      </c>
      <c r="AC70" s="27">
        <v>1.3015032142833487</v>
      </c>
      <c r="AD70" s="27">
        <v>67.87876272140288</v>
      </c>
      <c r="AE70" s="27">
        <v>65.59838281593164</v>
      </c>
      <c r="AF70" s="27">
        <v>74.2536277632454</v>
      </c>
      <c r="AG70" s="27">
        <v>82.856648013039</v>
      </c>
      <c r="AH70" s="27">
        <v>91.41179217680704</v>
      </c>
      <c r="AI70" s="27">
        <v>99.93221704714318</v>
      </c>
      <c r="AJ70" s="24" t="str">
        <f t="shared" si="2"/>
        <v>T fueling rate</v>
      </c>
      <c r="AK70" s="27">
        <f t="shared" si="3"/>
        <v>85.99886828872305</v>
      </c>
      <c r="AL70" s="27">
        <f t="shared" si="4"/>
        <v>67.87876272140288</v>
      </c>
      <c r="AM70" s="27">
        <f t="shared" si="5"/>
        <v>74.2536277632454</v>
      </c>
      <c r="AN70" s="24" t="str">
        <f t="shared" si="6"/>
        <v>T fueling rate</v>
      </c>
      <c r="AO70" s="29">
        <v>17.199773657744576</v>
      </c>
      <c r="AP70" s="29">
        <v>85.99886828872306</v>
      </c>
      <c r="AQ70" s="24" t="str">
        <f>AJ70</f>
        <v>T fueling rate</v>
      </c>
      <c r="AR70" s="27">
        <v>11.007855140956243</v>
      </c>
      <c r="AS70" s="29">
        <v>19.231438981306976</v>
      </c>
    </row>
    <row r="71" spans="1:45" ht="12.75">
      <c r="A71" t="s">
        <v>14</v>
      </c>
      <c r="B71" s="2">
        <f>(xne*R0*Ip*(1-fBS))/100000000000000000000/Eta_CD</f>
        <v>28.113812224306002</v>
      </c>
      <c r="C71" s="11"/>
      <c r="E71" s="4">
        <f>B189</f>
        <v>0.8267434622374145</v>
      </c>
      <c r="F71" s="30" t="str">
        <f>A189</f>
        <v>fN</v>
      </c>
      <c r="G71" s="30">
        <v>0.8258056506828841</v>
      </c>
      <c r="H71" s="30">
        <v>0.8309833875651749</v>
      </c>
      <c r="I71" s="30">
        <v>0.8353645495424984</v>
      </c>
      <c r="J71" s="30">
        <v>0.8131379889741365</v>
      </c>
      <c r="K71" s="30">
        <v>0.8156262974937378</v>
      </c>
      <c r="L71" s="30">
        <v>0.8199021300874596</v>
      </c>
      <c r="M71" s="30">
        <v>0.8050868985544204</v>
      </c>
      <c r="N71" s="30">
        <v>0.8012386752293792</v>
      </c>
      <c r="O71" s="30">
        <v>0.8054159944555455</v>
      </c>
      <c r="P71" s="24" t="str">
        <f t="shared" si="7"/>
        <v>fN</v>
      </c>
      <c r="Q71" s="30">
        <v>0.845222163991476</v>
      </c>
      <c r="R71" s="30">
        <v>0.8465165982120487</v>
      </c>
      <c r="S71" s="30">
        <v>0.8477348892431761</v>
      </c>
      <c r="T71" s="30">
        <v>0.8252100602038037</v>
      </c>
      <c r="U71" s="30">
        <v>0.8267434622374145</v>
      </c>
      <c r="V71" s="30">
        <v>0.8281779351075664</v>
      </c>
      <c r="W71" s="30">
        <v>0.8072725807782858</v>
      </c>
      <c r="X71" s="30">
        <v>0.8089965537922592</v>
      </c>
      <c r="Y71" s="30">
        <v>0.8106016321156138</v>
      </c>
      <c r="Z71" s="24" t="str">
        <f t="shared" si="1"/>
        <v>fN</v>
      </c>
      <c r="AA71" s="30"/>
      <c r="AB71" s="30" t="e">
        <v>#DIV/0!</v>
      </c>
      <c r="AC71" s="30" t="e">
        <v>#DIV/0!</v>
      </c>
      <c r="AD71" s="30">
        <v>0.7349756762212569</v>
      </c>
      <c r="AE71" s="30">
        <v>0.6703744974075782</v>
      </c>
      <c r="AF71" s="30">
        <v>0.6731738169265148</v>
      </c>
      <c r="AG71" s="30">
        <v>0.6755568120101376</v>
      </c>
      <c r="AH71" s="30">
        <v>0.6776014813769926</v>
      </c>
      <c r="AI71" s="30">
        <v>0.6760215340069905</v>
      </c>
      <c r="AJ71" s="24" t="str">
        <f t="shared" si="2"/>
        <v>fN</v>
      </c>
      <c r="AK71" s="30">
        <f t="shared" si="3"/>
        <v>0.8267434622374145</v>
      </c>
      <c r="AL71" s="30">
        <f t="shared" si="4"/>
        <v>0.7349756762212569</v>
      </c>
      <c r="AM71" s="30">
        <f t="shared" si="5"/>
        <v>0.6731738169265148</v>
      </c>
      <c r="AN71" s="24" t="str">
        <f t="shared" si="6"/>
        <v>fN</v>
      </c>
      <c r="AO71" s="26">
        <v>0.8267434622374145</v>
      </c>
      <c r="AP71" s="26">
        <v>0.8267434622374145</v>
      </c>
      <c r="AQ71" s="24" t="str">
        <f>AJ71</f>
        <v>fN</v>
      </c>
      <c r="AR71" s="30">
        <v>0.8156262974937378</v>
      </c>
      <c r="AS71" s="26">
        <v>0.8156262974937378</v>
      </c>
    </row>
    <row r="72" spans="1:45" ht="12.75">
      <c r="A72" t="s">
        <v>405</v>
      </c>
      <c r="B72" s="38">
        <v>1</v>
      </c>
      <c r="C72" s="11"/>
      <c r="E72" s="4">
        <f>B213</f>
        <v>0.9920921546848973</v>
      </c>
      <c r="F72" s="26" t="s">
        <v>168</v>
      </c>
      <c r="G72" s="26">
        <v>0.9909667808194609</v>
      </c>
      <c r="H72" s="26">
        <v>0.9971800650782098</v>
      </c>
      <c r="I72" s="26">
        <v>1.002437459450998</v>
      </c>
      <c r="J72" s="26">
        <v>0.9757655867689637</v>
      </c>
      <c r="K72" s="26">
        <v>0.9787515569924854</v>
      </c>
      <c r="L72" s="26">
        <v>0.9838825561049515</v>
      </c>
      <c r="M72" s="26">
        <v>0.9661042782653044</v>
      </c>
      <c r="N72" s="26">
        <v>0.9614864102752549</v>
      </c>
      <c r="O72" s="26">
        <v>0.9664991933466545</v>
      </c>
      <c r="P72" s="24" t="str">
        <f t="shared" si="7"/>
        <v>FBR</v>
      </c>
      <c r="Q72" s="26">
        <v>1.014266596789771</v>
      </c>
      <c r="R72" s="26">
        <v>1.0158199178544585</v>
      </c>
      <c r="S72" s="26">
        <v>1.0172818670918113</v>
      </c>
      <c r="T72" s="26">
        <v>0.9902520722445645</v>
      </c>
      <c r="U72" s="26">
        <v>0.9920921546848973</v>
      </c>
      <c r="V72" s="26">
        <v>0.9938135221290797</v>
      </c>
      <c r="W72" s="26">
        <v>0.9687270969339429</v>
      </c>
      <c r="X72" s="26">
        <v>0.970795864550711</v>
      </c>
      <c r="Y72" s="26">
        <v>0.9727219585387364</v>
      </c>
      <c r="Z72" s="24" t="str">
        <f t="shared" si="1"/>
        <v>FBR</v>
      </c>
      <c r="AA72" s="26"/>
      <c r="AB72" s="26" t="e">
        <v>#DIV/0!</v>
      </c>
      <c r="AC72" s="26" t="e">
        <v>#DIV/0!</v>
      </c>
      <c r="AD72" s="26">
        <v>0.8819708114655083</v>
      </c>
      <c r="AE72" s="26">
        <v>0.8044493968890938</v>
      </c>
      <c r="AF72" s="26">
        <v>0.8078085803118177</v>
      </c>
      <c r="AG72" s="26">
        <v>0.8106681744121651</v>
      </c>
      <c r="AH72" s="26">
        <v>0.8131217776523911</v>
      </c>
      <c r="AI72" s="26">
        <v>0.8112258408083886</v>
      </c>
      <c r="AJ72" s="24" t="str">
        <f t="shared" si="2"/>
        <v>FBR</v>
      </c>
      <c r="AK72" s="26">
        <f t="shared" si="3"/>
        <v>0.9920921546848973</v>
      </c>
      <c r="AL72" s="26">
        <f t="shared" si="4"/>
        <v>0.8819708114655083</v>
      </c>
      <c r="AM72" s="26">
        <f t="shared" si="5"/>
        <v>0.8078085803118177</v>
      </c>
      <c r="AN72" s="24" t="str">
        <f t="shared" si="6"/>
        <v>FBR</v>
      </c>
      <c r="AO72" s="26">
        <v>0.9920921546848973</v>
      </c>
      <c r="AP72" s="26">
        <v>0.9920921546848973</v>
      </c>
      <c r="AQ72" s="24" t="str">
        <f>AJ72</f>
        <v>FBR</v>
      </c>
      <c r="AR72" s="26">
        <v>0.9787515569924854</v>
      </c>
      <c r="AS72" s="26">
        <v>0.9787515569924854</v>
      </c>
    </row>
    <row r="73" spans="1:45" ht="12.75">
      <c r="A73" t="s">
        <v>233</v>
      </c>
      <c r="B73" s="32">
        <f>B72*P_CD</f>
        <v>28.113812224306002</v>
      </c>
      <c r="C73" s="11"/>
      <c r="E73" s="8">
        <f>B215</f>
        <v>0.6800657477011072</v>
      </c>
      <c r="F73" s="26" t="str">
        <f>A215</f>
        <v>T consumption rate</v>
      </c>
      <c r="G73" s="29">
        <v>0.08618584931531359</v>
      </c>
      <c r="H73" s="29">
        <v>0.032019137217885074</v>
      </c>
      <c r="I73" s="29">
        <v>-0.03248120643087127</v>
      </c>
      <c r="J73" s="29">
        <v>0.2234215285273482</v>
      </c>
      <c r="K73" s="29">
        <v>0.23389978259758593</v>
      </c>
      <c r="L73" s="29">
        <v>0.20822030840988148</v>
      </c>
      <c r="M73" s="29">
        <v>0.3010202094347214</v>
      </c>
      <c r="N73" s="29">
        <v>0.41143606135223365</v>
      </c>
      <c r="O73" s="29">
        <v>0.42001793082333627</v>
      </c>
      <c r="P73" s="24" t="str">
        <f t="shared" si="7"/>
        <v>T consumption rate</v>
      </c>
      <c r="Q73" s="29">
        <v>-1.4399201334252751</v>
      </c>
      <c r="R73" s="29">
        <v>-1.6980487883407704</v>
      </c>
      <c r="S73" s="29">
        <v>-1.969094482695425</v>
      </c>
      <c r="T73" s="29">
        <v>0.7833548232991774</v>
      </c>
      <c r="U73" s="29">
        <v>0.6800657477011072</v>
      </c>
      <c r="V73" s="29">
        <v>0.5680899131825186</v>
      </c>
      <c r="W73" s="29">
        <v>2.114129577128267</v>
      </c>
      <c r="X73" s="29">
        <v>2.1232263330295638</v>
      </c>
      <c r="Y73" s="29">
        <v>2.127379921820406</v>
      </c>
      <c r="Z73" s="24" t="str">
        <f t="shared" si="1"/>
        <v>T consumption rate</v>
      </c>
      <c r="AA73" s="29"/>
      <c r="AB73" s="29" t="e">
        <v>#DIV/0!</v>
      </c>
      <c r="AC73" s="29" t="e">
        <v>#DIV/0!</v>
      </c>
      <c r="AD73" s="29">
        <v>8.01167528273249</v>
      </c>
      <c r="AE73" s="29">
        <v>12.827803322755543</v>
      </c>
      <c r="AF73" s="29">
        <v>14.270910136815964</v>
      </c>
      <c r="AG73" s="29">
        <v>15.687400430397332</v>
      </c>
      <c r="AH73" s="29">
        <v>17.08287322361076</v>
      </c>
      <c r="AI73" s="29">
        <v>18.864620249228068</v>
      </c>
      <c r="AJ73" s="24" t="str">
        <f t="shared" si="2"/>
        <v>T consumption rate</v>
      </c>
      <c r="AK73" s="29">
        <f t="shared" si="3"/>
        <v>0.6800657477011072</v>
      </c>
      <c r="AL73" s="29">
        <f t="shared" si="4"/>
        <v>8.01167528273249</v>
      </c>
      <c r="AM73" s="29">
        <f t="shared" si="5"/>
        <v>14.270910136815964</v>
      </c>
      <c r="AN73" s="24" t="str">
        <f t="shared" si="6"/>
        <v>T consumption rate</v>
      </c>
      <c r="AO73" s="29">
        <v>0.13601314954022214</v>
      </c>
      <c r="AP73" s="29">
        <v>0.6800657477011072</v>
      </c>
      <c r="AQ73" s="24" t="str">
        <f>AJ73</f>
        <v>T consumption rate</v>
      </c>
      <c r="AR73" s="29">
        <v>0.23389978259758593</v>
      </c>
      <c r="AS73" s="29">
        <v>0.4086381351467949</v>
      </c>
    </row>
    <row r="74" spans="1:45" ht="12.75">
      <c r="A74" t="s">
        <v>232</v>
      </c>
      <c r="B74" s="39">
        <v>562.1931395372138</v>
      </c>
      <c r="C74" s="14" t="s">
        <v>234</v>
      </c>
      <c r="E74" s="16">
        <f>NSW</f>
        <v>480661943676.001</v>
      </c>
      <c r="F74" s="28" t="str">
        <f>A201</f>
        <v>n/s/W</v>
      </c>
      <c r="G74" s="28">
        <v>78181862612.55334</v>
      </c>
      <c r="H74" s="28">
        <v>82240951104.08186</v>
      </c>
      <c r="I74" s="28">
        <v>82883827773.96388</v>
      </c>
      <c r="J74" s="28">
        <v>71989722918.59415</v>
      </c>
      <c r="K74" s="28">
        <v>72757345063.22859</v>
      </c>
      <c r="L74" s="28">
        <v>79485205136.19841</v>
      </c>
      <c r="M74" s="28">
        <v>64819080413.468185</v>
      </c>
      <c r="N74" s="28">
        <v>70742235939.3809</v>
      </c>
      <c r="O74" s="28">
        <v>79068986805.68118</v>
      </c>
      <c r="P74" s="24" t="str">
        <f t="shared" si="7"/>
        <v>n/s/W</v>
      </c>
      <c r="Q74" s="28">
        <v>537235600074.87665</v>
      </c>
      <c r="R74" s="28">
        <v>565944345789.9021</v>
      </c>
      <c r="S74" s="28">
        <v>588468005278.3997</v>
      </c>
      <c r="T74" s="28">
        <v>459085505238.05646</v>
      </c>
      <c r="U74" s="28">
        <v>487835912271.0202</v>
      </c>
      <c r="V74" s="28">
        <v>515344383283.9894</v>
      </c>
      <c r="W74" s="28">
        <v>400336424729.10815</v>
      </c>
      <c r="X74" s="28">
        <v>431567693284.75586</v>
      </c>
      <c r="Y74" s="28">
        <v>458332879759.705</v>
      </c>
      <c r="Z74" s="24" t="str">
        <f t="shared" si="1"/>
        <v>n/s/W</v>
      </c>
      <c r="AA74" s="28"/>
      <c r="AB74" s="28" t="e">
        <v>#DIV/0!</v>
      </c>
      <c r="AC74" s="28" t="e">
        <v>#DIV/0!</v>
      </c>
      <c r="AD74" s="28">
        <v>374322000440.72943</v>
      </c>
      <c r="AE74" s="28">
        <v>299445415482.56696</v>
      </c>
      <c r="AF74" s="28">
        <v>326268920103.8672</v>
      </c>
      <c r="AG74" s="28">
        <v>350142273787.9139</v>
      </c>
      <c r="AH74" s="28">
        <v>371306184932.5378</v>
      </c>
      <c r="AI74" s="28">
        <v>388123056146.47327</v>
      </c>
      <c r="AJ74" s="24" t="str">
        <f t="shared" si="2"/>
        <v>n/s/W</v>
      </c>
      <c r="AK74" s="28">
        <f t="shared" si="3"/>
        <v>487835912271.0202</v>
      </c>
      <c r="AL74" s="28">
        <f t="shared" si="4"/>
        <v>374322000440.72943</v>
      </c>
      <c r="AM74" s="28">
        <f t="shared" si="5"/>
        <v>326268920103.8672</v>
      </c>
      <c r="AN74" s="24" t="str">
        <f t="shared" si="6"/>
        <v>n/s/W</v>
      </c>
      <c r="AO74" s="28">
        <v>92486135630.92682</v>
      </c>
      <c r="AP74" s="28">
        <v>480661943676.001</v>
      </c>
      <c r="AQ74" s="24" t="str">
        <f>AJ74</f>
        <v>n/s/W</v>
      </c>
      <c r="AR74" s="28">
        <v>72757345063.22859</v>
      </c>
      <c r="AS74" s="28">
        <v>132514095122.12958</v>
      </c>
    </row>
    <row r="75" spans="1:45" ht="12.75">
      <c r="A75" t="s">
        <v>400</v>
      </c>
      <c r="B75" s="33">
        <f>P_fusion/P_aux</f>
        <v>19.997043981504778</v>
      </c>
      <c r="C75" s="14" t="s">
        <v>294</v>
      </c>
      <c r="E75" s="4">
        <f>frad_core</f>
        <v>0.2</v>
      </c>
      <c r="F75" s="25" t="str">
        <f>A159</f>
        <v>frad_core</v>
      </c>
      <c r="G75" s="26">
        <v>0.2</v>
      </c>
      <c r="H75" s="26">
        <v>0.2</v>
      </c>
      <c r="I75" s="26">
        <v>0.2</v>
      </c>
      <c r="J75" s="26">
        <v>0.2</v>
      </c>
      <c r="K75" s="26">
        <v>0.2</v>
      </c>
      <c r="L75" s="26">
        <v>0.2</v>
      </c>
      <c r="M75" s="26">
        <v>0.2</v>
      </c>
      <c r="N75" s="26">
        <v>0.2</v>
      </c>
      <c r="O75" s="26">
        <v>0.2</v>
      </c>
      <c r="P75" s="24" t="str">
        <f t="shared" si="7"/>
        <v>frad_core</v>
      </c>
      <c r="Q75" s="26">
        <v>0.2</v>
      </c>
      <c r="R75" s="26">
        <v>0.2</v>
      </c>
      <c r="S75" s="26">
        <v>0.2</v>
      </c>
      <c r="T75" s="26">
        <v>0.2</v>
      </c>
      <c r="U75" s="26">
        <v>0.2</v>
      </c>
      <c r="V75" s="26">
        <v>0.2</v>
      </c>
      <c r="W75" s="26">
        <v>0.2</v>
      </c>
      <c r="X75" s="26">
        <v>0.2</v>
      </c>
      <c r="Y75" s="26">
        <v>0.2</v>
      </c>
      <c r="Z75" s="24" t="str">
        <f t="shared" si="1"/>
        <v>frad_core</v>
      </c>
      <c r="AA75" s="26"/>
      <c r="AB75" s="26">
        <v>0.2</v>
      </c>
      <c r="AC75" s="26">
        <v>0.2</v>
      </c>
      <c r="AD75" s="26">
        <v>0.2</v>
      </c>
      <c r="AE75" s="26">
        <v>0.2</v>
      </c>
      <c r="AF75" s="26">
        <v>0.2</v>
      </c>
      <c r="AG75" s="26">
        <v>0.2</v>
      </c>
      <c r="AH75" s="26">
        <v>0.2</v>
      </c>
      <c r="AI75" s="26">
        <v>0.2</v>
      </c>
      <c r="AJ75" s="24" t="str">
        <f t="shared" si="2"/>
        <v>frad_core</v>
      </c>
      <c r="AK75" s="26">
        <f t="shared" si="3"/>
        <v>0.2</v>
      </c>
      <c r="AL75" s="26">
        <f t="shared" si="4"/>
        <v>0.2</v>
      </c>
      <c r="AM75" s="26">
        <f t="shared" si="5"/>
        <v>0.2</v>
      </c>
      <c r="AN75" s="24" t="str">
        <f t="shared" si="6"/>
        <v>frad_core</v>
      </c>
      <c r="AO75" s="26">
        <v>0.2</v>
      </c>
      <c r="AP75" s="26">
        <v>0.2</v>
      </c>
      <c r="AQ75" s="24" t="str">
        <f>AJ75</f>
        <v>frad_core</v>
      </c>
      <c r="AR75" s="26">
        <v>0.2</v>
      </c>
      <c r="AS75" s="26">
        <v>0.2</v>
      </c>
    </row>
    <row r="76" spans="1:45" ht="12.75">
      <c r="A76" t="s">
        <v>5</v>
      </c>
      <c r="B76" s="33">
        <f>P_fusion/5</f>
        <v>112.43862790744276</v>
      </c>
      <c r="C76" s="14" t="s">
        <v>426</v>
      </c>
      <c r="E76" s="53">
        <f>Q_fw</f>
        <v>0.7975933888069694</v>
      </c>
      <c r="F76" s="25" t="str">
        <f>A161</f>
        <v>Q_fw</v>
      </c>
      <c r="G76" s="25">
        <v>0.30200427925192286</v>
      </c>
      <c r="H76" s="25">
        <v>0.23378519319894583</v>
      </c>
      <c r="I76" s="25">
        <v>0.19882413114138</v>
      </c>
      <c r="J76" s="25">
        <v>0.25547094601235026</v>
      </c>
      <c r="K76" s="25">
        <v>0.21319012199369086</v>
      </c>
      <c r="L76" s="25">
        <v>0.19522321893949834</v>
      </c>
      <c r="M76" s="25">
        <v>0.23336677601546774</v>
      </c>
      <c r="N76" s="25">
        <v>0.21141047982998534</v>
      </c>
      <c r="O76" s="25">
        <v>0.1981982869544222</v>
      </c>
      <c r="P76" s="25" t="str">
        <f t="shared" si="7"/>
        <v>Q_fw</v>
      </c>
      <c r="Q76" s="25">
        <v>0.7365462497161748</v>
      </c>
      <c r="R76" s="25">
        <v>0.7195088139885457</v>
      </c>
      <c r="S76" s="25">
        <v>0.7047082578317162</v>
      </c>
      <c r="T76" s="25">
        <v>0.8238505015962989</v>
      </c>
      <c r="U76" s="25">
        <v>0.7975933860472726</v>
      </c>
      <c r="V76" s="25">
        <v>0.7745601841156975</v>
      </c>
      <c r="W76" s="25">
        <v>0.9102541538450146</v>
      </c>
      <c r="X76" s="25">
        <v>0.8756254722786896</v>
      </c>
      <c r="Y76" s="25">
        <v>0.8449679787244714</v>
      </c>
      <c r="Z76" s="24" t="str">
        <f t="shared" si="1"/>
        <v>Q_fw</v>
      </c>
      <c r="AA76" s="25"/>
      <c r="AB76" s="25">
        <v>0.3684419469300725</v>
      </c>
      <c r="AC76" s="25">
        <v>0.27460029516961726</v>
      </c>
      <c r="AD76" s="25">
        <v>0.8885048361735743</v>
      </c>
      <c r="AE76" s="25">
        <v>0.8885015210254115</v>
      </c>
      <c r="AF76" s="25">
        <v>0.8558999436592434</v>
      </c>
      <c r="AG76" s="25">
        <v>0.8260379573235209</v>
      </c>
      <c r="AH76" s="25">
        <v>0.7988421731412959</v>
      </c>
      <c r="AI76" s="25">
        <v>0.774129590765365</v>
      </c>
      <c r="AJ76" s="24" t="str">
        <f t="shared" si="2"/>
        <v>Q_fw</v>
      </c>
      <c r="AK76" s="25">
        <f t="shared" si="3"/>
        <v>0.7975933860472726</v>
      </c>
      <c r="AL76" s="25">
        <f t="shared" si="4"/>
        <v>0.8885048361735743</v>
      </c>
      <c r="AM76" s="25">
        <f t="shared" si="5"/>
        <v>0.8558999436592434</v>
      </c>
      <c r="AN76" s="24" t="str">
        <f t="shared" si="6"/>
        <v>Q_fw</v>
      </c>
      <c r="AO76" s="25">
        <v>0.179674491244938</v>
      </c>
      <c r="AP76" s="25">
        <v>0.7975933888069694</v>
      </c>
      <c r="AQ76" s="24" t="str">
        <f>AJ76</f>
        <v>Q_fw</v>
      </c>
      <c r="AR76" s="25">
        <v>0.21319012199369086</v>
      </c>
      <c r="AS76" s="25">
        <v>0.2985398851892105</v>
      </c>
    </row>
    <row r="77" spans="1:45" ht="12.75">
      <c r="A77" t="s">
        <v>326</v>
      </c>
      <c r="B77" s="41">
        <v>0.7891504274023177</v>
      </c>
      <c r="C77" s="14"/>
      <c r="E77" s="4">
        <f>frad_div</f>
        <v>0.7240226290642496</v>
      </c>
      <c r="F77" s="25" t="str">
        <f>A151</f>
        <v>frad_div</v>
      </c>
      <c r="G77" s="26">
        <v>0.6743648252483998</v>
      </c>
      <c r="H77" s="26">
        <v>0.5880764466180579</v>
      </c>
      <c r="I77" s="26">
        <v>0.5127252470571998</v>
      </c>
      <c r="J77" s="26">
        <v>0.6309948385946559</v>
      </c>
      <c r="K77" s="26">
        <v>0.5532545436327413</v>
      </c>
      <c r="L77" s="26">
        <v>0.5030441576698927</v>
      </c>
      <c r="M77" s="26">
        <v>0.5987934935411247</v>
      </c>
      <c r="N77" s="26">
        <v>0.5480251751062298</v>
      </c>
      <c r="O77" s="26">
        <v>0.5079287168440084</v>
      </c>
      <c r="P77" s="24" t="str">
        <f t="shared" si="7"/>
        <v>frad_div</v>
      </c>
      <c r="Q77" s="26">
        <v>0.7147293084047308</v>
      </c>
      <c r="R77" s="26">
        <v>0.7124449198487658</v>
      </c>
      <c r="S77" s="26">
        <v>0.7103920757237004</v>
      </c>
      <c r="T77" s="26">
        <v>0.7275116742572127</v>
      </c>
      <c r="U77" s="26">
        <v>0.7240226272000825</v>
      </c>
      <c r="V77" s="26">
        <v>0.720995384133607</v>
      </c>
      <c r="W77" s="26">
        <v>0.7402535846565226</v>
      </c>
      <c r="X77" s="26">
        <v>0.735434498484388</v>
      </c>
      <c r="Y77" s="26">
        <v>0.7312809295167697</v>
      </c>
      <c r="Z77" s="24" t="str">
        <f t="shared" si="1"/>
        <v>frad_div</v>
      </c>
      <c r="AA77" s="26"/>
      <c r="AB77" s="26">
        <v>0.7573559332584822</v>
      </c>
      <c r="AC77" s="26">
        <v>0.6845091122826419</v>
      </c>
      <c r="AD77" s="26">
        <v>0.7601989404808152</v>
      </c>
      <c r="AE77" s="26">
        <v>0.749813393488142</v>
      </c>
      <c r="AF77" s="26">
        <v>0.7464628790998302</v>
      </c>
      <c r="AG77" s="26">
        <v>0.7420830687725789</v>
      </c>
      <c r="AH77" s="26">
        <v>0.7368321325416846</v>
      </c>
      <c r="AI77" s="26">
        <v>0.7308620435079819</v>
      </c>
      <c r="AJ77" s="24" t="str">
        <f t="shared" si="2"/>
        <v>frad_div</v>
      </c>
      <c r="AK77" s="26">
        <f t="shared" si="3"/>
        <v>0.7240226272000825</v>
      </c>
      <c r="AL77" s="26">
        <f t="shared" si="4"/>
        <v>0.7601989404808152</v>
      </c>
      <c r="AM77" s="26">
        <f t="shared" si="5"/>
        <v>0.7464628790998302</v>
      </c>
      <c r="AN77" s="24" t="str">
        <f t="shared" si="6"/>
        <v>frad_div</v>
      </c>
      <c r="AO77" s="26">
        <v>0.4367453836093089</v>
      </c>
      <c r="AP77" s="26">
        <v>0.7240226290642496</v>
      </c>
      <c r="AQ77" s="24" t="str">
        <f>AJ77</f>
        <v>frad_div</v>
      </c>
      <c r="AR77" s="26">
        <v>0.5532545436327413</v>
      </c>
      <c r="AS77" s="26">
        <v>0.6342491540544852</v>
      </c>
    </row>
    <row r="78" spans="1:45" ht="12.75">
      <c r="A78" t="s">
        <v>327</v>
      </c>
      <c r="B78" s="11">
        <f>fGW*Ip/(PI()*R0^2*e^2*(1+0.5*alpha_N))*100000000000000000000</f>
        <v>3.296913573199327E+20</v>
      </c>
      <c r="C78" s="14" t="s">
        <v>133</v>
      </c>
      <c r="E78" s="2">
        <f>Q_div</f>
        <v>15</v>
      </c>
      <c r="F78" s="25" t="str">
        <f>A154</f>
        <v>Q_div</v>
      </c>
      <c r="G78" s="27">
        <v>15</v>
      </c>
      <c r="H78" s="27">
        <v>15</v>
      </c>
      <c r="I78" s="27">
        <v>15</v>
      </c>
      <c r="J78" s="27">
        <v>15</v>
      </c>
      <c r="K78" s="27">
        <v>15</v>
      </c>
      <c r="L78" s="27">
        <v>15</v>
      </c>
      <c r="M78" s="27">
        <v>15</v>
      </c>
      <c r="N78" s="27">
        <v>15</v>
      </c>
      <c r="O78" s="27">
        <v>15</v>
      </c>
      <c r="P78" s="24" t="str">
        <f t="shared" si="7"/>
        <v>Q_div</v>
      </c>
      <c r="Q78" s="27">
        <v>15</v>
      </c>
      <c r="R78" s="27">
        <v>15</v>
      </c>
      <c r="S78" s="27">
        <v>15</v>
      </c>
      <c r="T78" s="27">
        <v>15</v>
      </c>
      <c r="U78" s="27">
        <v>15</v>
      </c>
      <c r="V78" s="27">
        <v>15</v>
      </c>
      <c r="W78" s="27">
        <v>15</v>
      </c>
      <c r="X78" s="27">
        <v>15</v>
      </c>
      <c r="Y78" s="27">
        <v>15</v>
      </c>
      <c r="Z78" s="24" t="str">
        <f t="shared" si="1"/>
        <v>Q_div</v>
      </c>
      <c r="AA78" s="27"/>
      <c r="AB78" s="27">
        <v>15</v>
      </c>
      <c r="AC78" s="27">
        <v>15</v>
      </c>
      <c r="AD78" s="27">
        <v>15</v>
      </c>
      <c r="AE78" s="27">
        <v>15</v>
      </c>
      <c r="AF78" s="27">
        <v>15</v>
      </c>
      <c r="AG78" s="27">
        <v>15</v>
      </c>
      <c r="AH78" s="27">
        <v>15</v>
      </c>
      <c r="AI78" s="27">
        <v>15</v>
      </c>
      <c r="AJ78" s="24" t="str">
        <f t="shared" si="2"/>
        <v>Q_div</v>
      </c>
      <c r="AK78" s="27">
        <f t="shared" si="3"/>
        <v>15</v>
      </c>
      <c r="AL78" s="27">
        <f t="shared" si="4"/>
        <v>15</v>
      </c>
      <c r="AM78" s="27">
        <f t="shared" si="5"/>
        <v>15</v>
      </c>
      <c r="AN78" s="24" t="str">
        <f t="shared" si="6"/>
        <v>Q_div</v>
      </c>
      <c r="AO78" s="27">
        <v>15</v>
      </c>
      <c r="AP78" s="27">
        <v>15</v>
      </c>
      <c r="AQ78" s="24" t="str">
        <f>AJ78</f>
        <v>Q_div</v>
      </c>
      <c r="AR78" s="27">
        <v>15</v>
      </c>
      <c r="AS78" s="27">
        <v>15</v>
      </c>
    </row>
    <row r="79" spans="1:3" ht="12.75">
      <c r="A79" t="s">
        <v>328</v>
      </c>
      <c r="B79" s="14">
        <f>0.5*(2+alpha_N)*xne/10000000000000000000</f>
        <v>37.09027769849243</v>
      </c>
      <c r="C79" s="15" t="s">
        <v>287</v>
      </c>
    </row>
    <row r="80" spans="1:3" ht="12.75">
      <c r="A80" t="s">
        <v>6</v>
      </c>
      <c r="B80" s="5">
        <v>4.999895666749522</v>
      </c>
      <c r="C80" s="15"/>
    </row>
    <row r="81" spans="1:21" ht="12.75">
      <c r="A81" t="s">
        <v>346</v>
      </c>
      <c r="B81" s="10">
        <v>0.3560457517767758</v>
      </c>
      <c r="C81" s="15"/>
      <c r="E81" s="2"/>
      <c r="F81" s="53"/>
      <c r="G81" s="32"/>
      <c r="H81" s="32"/>
      <c r="I81" s="32"/>
      <c r="J81" s="32"/>
      <c r="K81" s="32"/>
      <c r="L81" s="32"/>
      <c r="M81" s="32"/>
      <c r="N81" s="59"/>
      <c r="O81" s="32"/>
      <c r="P81" s="32"/>
      <c r="Q81" s="32"/>
      <c r="R81" s="32"/>
      <c r="S81" s="32"/>
      <c r="T81" s="32"/>
      <c r="U81" s="32"/>
    </row>
    <row r="82" spans="1:21" ht="12.75">
      <c r="A82" t="s">
        <v>399</v>
      </c>
      <c r="B82" s="9">
        <f>1.5*tpote*(Beta_N*Ip*Bt/(R0*e*2*mu0))/(3.52*0.00000000000016*(1+(5/Q)-frad))</f>
        <v>1.4498462544911972E+19</v>
      </c>
      <c r="C82" s="13">
        <v>20</v>
      </c>
      <c r="E82" s="2"/>
      <c r="F82" s="53"/>
      <c r="G82" s="32"/>
      <c r="H82" s="32"/>
      <c r="I82" s="32"/>
      <c r="J82" s="32"/>
      <c r="K82" s="32"/>
      <c r="L82" s="32"/>
      <c r="M82" s="32"/>
      <c r="N82" s="59"/>
      <c r="O82" s="32"/>
      <c r="P82" s="32"/>
      <c r="Q82" s="32"/>
      <c r="R82" s="32"/>
      <c r="S82" s="32"/>
      <c r="T82" s="32"/>
      <c r="U82" s="32"/>
    </row>
    <row r="83" spans="1:19" ht="12.75">
      <c r="A83" t="s">
        <v>183</v>
      </c>
      <c r="B83" s="1">
        <v>4</v>
      </c>
      <c r="C83" s="13" t="s">
        <v>288</v>
      </c>
      <c r="E83" s="36">
        <f>B127</f>
        <v>-3.063993005980592E-07</v>
      </c>
      <c r="F83"/>
      <c r="G83"/>
      <c r="I83" s="2"/>
      <c r="R83" t="s">
        <v>234</v>
      </c>
      <c r="S83" s="2"/>
    </row>
    <row r="84" spans="1:7" ht="12.75">
      <c r="A84" t="s">
        <v>184</v>
      </c>
      <c r="B84" s="5">
        <v>0.06</v>
      </c>
      <c r="C84" s="13" t="s">
        <v>507</v>
      </c>
      <c r="D84" s="9"/>
      <c r="E84" s="36">
        <f>B129</f>
        <v>8.52473369672424E-10</v>
      </c>
      <c r="F84"/>
      <c r="G84"/>
    </row>
    <row r="85" spans="1:7" ht="12.75">
      <c r="A85" t="s">
        <v>347</v>
      </c>
      <c r="B85" s="9">
        <f>xne*(1-Zimp*fimp)-2*xnHe</f>
        <v>2.2156850647332487E+20</v>
      </c>
      <c r="C85" s="13" t="s">
        <v>289</v>
      </c>
      <c r="F85"/>
      <c r="G85"/>
    </row>
    <row r="86" spans="1:7" ht="12.75">
      <c r="A86" t="s">
        <v>185</v>
      </c>
      <c r="B86" s="9">
        <f>xnDT*(((1+fimp)/(1-Zimp*fimp))+1)+xnHe*(2*((1+fimp)/(1-Zimp*fimp))+1)</f>
        <v>5.855398077773655E+20</v>
      </c>
      <c r="C86" s="13" t="s">
        <v>242</v>
      </c>
      <c r="F86"/>
      <c r="G86"/>
    </row>
    <row r="87" spans="1:9" ht="12.75">
      <c r="A87" t="s">
        <v>186</v>
      </c>
      <c r="B87" s="8">
        <f>((Beta_N*Ip*Bt)/(R0*e*2*mu0)*(1+alpha_N+alpha_T)/((1+alpha_N)*xnTotal*0.00000000000000016))</f>
        <v>18.700866866135087</v>
      </c>
      <c r="C87" s="13" t="s">
        <v>286</v>
      </c>
      <c r="G87" t="s">
        <v>234</v>
      </c>
      <c r="H87" s="2"/>
      <c r="I87" s="2"/>
    </row>
    <row r="88" spans="1:9" ht="12.75">
      <c r="A88" t="s">
        <v>187</v>
      </c>
      <c r="B88" s="8">
        <f>((Beta_N*Ip*Bt)/(R0*e*2*mu0)/(xnTotal*0.00000000000000016))</f>
        <v>10.389370481186159</v>
      </c>
      <c r="C88" s="13" t="s">
        <v>459</v>
      </c>
      <c r="G88" t="s">
        <v>234</v>
      </c>
      <c r="H88" s="2"/>
      <c r="I88" s="2"/>
    </row>
    <row r="89" spans="1:9" ht="12.75">
      <c r="A89" t="s">
        <v>166</v>
      </c>
      <c r="B89" s="8">
        <f>Temp0/(1+alpha_T)</f>
        <v>9.350433433067543</v>
      </c>
      <c r="G89" t="s">
        <v>234</v>
      </c>
      <c r="H89" s="2"/>
      <c r="I89" s="2"/>
    </row>
    <row r="90" spans="1:7" ht="12.75">
      <c r="A90" t="s">
        <v>416</v>
      </c>
      <c r="B90" s="8">
        <v>400</v>
      </c>
      <c r="G90"/>
    </row>
    <row r="91" spans="1:7" ht="12.75">
      <c r="A91" t="s">
        <v>260</v>
      </c>
      <c r="B91" s="8">
        <v>1</v>
      </c>
      <c r="G91"/>
    </row>
    <row r="92" spans="1:7" ht="12.75">
      <c r="A92" t="s">
        <v>500</v>
      </c>
      <c r="B92" s="8">
        <f>IF(OR(B90&lt;200,B90&gt;400),"Eb out of range",IF(B90&lt;=250,2.38-0.0002*B90,2.944-0.00242*B90))</f>
        <v>1.976</v>
      </c>
      <c r="G92"/>
    </row>
    <row r="93" spans="1:7" ht="12.75">
      <c r="A93" t="s">
        <v>256</v>
      </c>
      <c r="B93" s="8">
        <f>IF(OR(B90&lt;200,B90&gt;400),"Eb out of range",0.114+0.00098*B90)</f>
        <v>0.506</v>
      </c>
      <c r="G93"/>
    </row>
    <row r="94" spans="1:7" ht="12.75">
      <c r="A94" t="s">
        <v>258</v>
      </c>
      <c r="B94" s="8">
        <f>(1+alpha_T)^ptc*(1+alpha_nbi)/(1+alpha_nbi+alpha_T*ptc)</f>
        <v>1.1333658088933976</v>
      </c>
      <c r="G94"/>
    </row>
    <row r="95" spans="1:7" ht="12.75">
      <c r="A95" t="s">
        <v>259</v>
      </c>
      <c r="B95" s="8">
        <f>IF(Tavg_ndw&lt;=20,0.5*P_aux*Qtc_15*(Tavg_ndw/15)^ptc*Fprof,"Tavg_ndw&gt;20")</f>
        <v>24.784803265753187</v>
      </c>
      <c r="G95"/>
    </row>
    <row r="96" spans="1:7" ht="12.75">
      <c r="A96" t="s">
        <v>390</v>
      </c>
      <c r="B96" s="4">
        <f>IF(Tavg_ndw&lt;=20,0.5*P_aux*Qtc_15*(Tavg_ndw/15)^ptc*Fprof,"Tavg_ndw&gt;20")/P_fusion</f>
        <v>0.04408592265312156</v>
      </c>
      <c r="G96"/>
    </row>
    <row r="97" spans="1:10" ht="12.75">
      <c r="A97" t="s">
        <v>329</v>
      </c>
      <c r="B97" s="8">
        <f>0.025*Tempavg</f>
        <v>0.259734262029654</v>
      </c>
      <c r="D97" s="16"/>
      <c r="G97"/>
      <c r="J97" s="16"/>
    </row>
    <row r="98" spans="1:10" ht="12.75">
      <c r="A98" t="s">
        <v>188</v>
      </c>
      <c r="B98" s="8">
        <f>(xnDT+4*xnHe+Zimp^2*fimp*xne)/xne</f>
        <v>1.8079517295374088</v>
      </c>
      <c r="C98" s="13" t="s">
        <v>460</v>
      </c>
      <c r="G98"/>
      <c r="J98" s="16"/>
    </row>
    <row r="99" spans="1:7" ht="12.75">
      <c r="A99" t="s">
        <v>189</v>
      </c>
      <c r="B99" s="7">
        <f>4.8E-43*Zeff*xne^2*(1+alpha_N)^2*Temp0^0.5*(1+alpha_T)^0.5*(2*PI()^2*R0^3*e^2*kappa)/(1+2*alpha_N+(alpha_T/2))</f>
        <v>40.03329581529585</v>
      </c>
      <c r="C99" s="13" t="s">
        <v>23</v>
      </c>
      <c r="G99"/>
    </row>
    <row r="100" spans="1:3" ht="12.75" hidden="1">
      <c r="A100" t="s">
        <v>192</v>
      </c>
      <c r="B100">
        <v>20</v>
      </c>
      <c r="C100" s="13" t="s">
        <v>387</v>
      </c>
    </row>
    <row r="101" spans="1:4" ht="12.75" hidden="1">
      <c r="A101" t="s">
        <v>499</v>
      </c>
      <c r="B101" s="2">
        <f>P_aux*(1+alpha_nbi)/(2*PI()^2*R0^3*e^2*kappa)</f>
        <v>0.633005495836691</v>
      </c>
      <c r="D101" t="s">
        <v>234</v>
      </c>
    </row>
    <row r="102" spans="1:10" ht="12.75" hidden="1">
      <c r="A102" t="s">
        <v>193</v>
      </c>
      <c r="B102">
        <f>R0*e/nrdiv</f>
        <v>0.05</v>
      </c>
      <c r="C102" s="13" t="s">
        <v>388</v>
      </c>
      <c r="J102" t="s">
        <v>78</v>
      </c>
    </row>
    <row r="103" spans="2:14" ht="12.75" hidden="1">
      <c r="B103" t="s">
        <v>507</v>
      </c>
      <c r="C103" s="13" t="s">
        <v>389</v>
      </c>
      <c r="D103" t="s">
        <v>194</v>
      </c>
      <c r="E103" t="s">
        <v>244</v>
      </c>
      <c r="F103" s="7" t="s">
        <v>245</v>
      </c>
      <c r="G103" t="s">
        <v>246</v>
      </c>
      <c r="H103" t="s">
        <v>247</v>
      </c>
      <c r="I103" t="s">
        <v>248</v>
      </c>
      <c r="J103" t="s">
        <v>249</v>
      </c>
      <c r="K103" t="s">
        <v>250</v>
      </c>
      <c r="L103" t="s">
        <v>498</v>
      </c>
      <c r="M103" t="s">
        <v>255</v>
      </c>
      <c r="N103" t="s">
        <v>79</v>
      </c>
    </row>
    <row r="104" spans="1:14" ht="12.75" hidden="1">
      <c r="A104">
        <v>1</v>
      </c>
      <c r="B104">
        <f>(A104-0.5)*dr</f>
        <v>0.025</v>
      </c>
      <c r="C104" s="13" t="s">
        <v>462</v>
      </c>
      <c r="D104">
        <f aca="true" t="shared" si="8" ref="D104:D123">Temp0*(1-(B104/R0/e)^2)^alpha_T</f>
        <v>18.689178824343752</v>
      </c>
      <c r="E104">
        <f aca="true" t="shared" si="9" ref="E104:E123">xnDT*(1+alpha_N)*(1-(B104/R0/e)^2)^alpha_N</f>
        <v>2.769173478464348E+20</v>
      </c>
      <c r="F104" s="7">
        <f aca="true" t="shared" si="10" ref="F104:F123">2*PI()*R0*2*PI()*B104*dr*kappa</f>
        <v>0.22206609902451058</v>
      </c>
      <c r="G104">
        <f aca="true" t="shared" si="11" ref="G104:G123">0.5*E104*0.000001</f>
        <v>138458673923217.4</v>
      </c>
      <c r="H104">
        <f aca="true" t="shared" si="12" ref="H104:H123">-23.836-22.712*D104^(-0.275)-0.09393*D104+0.0007994*D104^2-0.000003144*D104^3</f>
        <v>-35.48516417290819</v>
      </c>
      <c r="I104">
        <f>EXP(H104)</f>
        <v>3.8814054405648374E-16</v>
      </c>
      <c r="J104">
        <f>(0.00000056*G104^2*I104)*0.000001</f>
        <v>4.166941208544628</v>
      </c>
      <c r="K104">
        <f>J104*F104</f>
        <v>0.9253363790459852</v>
      </c>
      <c r="L104">
        <f aca="true" t="shared" si="13" ref="L104:L123">Qnbi0*(1-(B104/R0/e)^2)^alpha_nbi*F104</f>
        <v>0.14048120545832907</v>
      </c>
      <c r="M104">
        <f>Qtc_15*(D104/15)^ptc</f>
        <v>2.208561078130582</v>
      </c>
      <c r="N104">
        <f>0.5*L104*M104</f>
        <v>0.1551306612920655</v>
      </c>
    </row>
    <row r="105" spans="1:14" ht="12.75" hidden="1">
      <c r="A105">
        <f>1+A104</f>
        <v>2</v>
      </c>
      <c r="B105">
        <f>(A105-0.5)*dr</f>
        <v>0.07500000000000001</v>
      </c>
      <c r="C105" s="13" t="s">
        <v>251</v>
      </c>
      <c r="D105">
        <f t="shared" si="8"/>
        <v>18.595674490013078</v>
      </c>
      <c r="E105">
        <f t="shared" si="9"/>
        <v>2.765703329444826E+20</v>
      </c>
      <c r="F105" s="7">
        <f t="shared" si="10"/>
        <v>0.6661982970735318</v>
      </c>
      <c r="G105">
        <f t="shared" si="11"/>
        <v>138285166472241.3</v>
      </c>
      <c r="H105">
        <f t="shared" si="12"/>
        <v>-35.49287472828476</v>
      </c>
      <c r="I105">
        <f>EXP(H105)</f>
        <v>3.851592732946549E-16</v>
      </c>
      <c r="J105">
        <f aca="true" t="shared" si="14" ref="J105:J123">(0.00000056*G105^2*I105)*0.000001</f>
        <v>4.124578554229977</v>
      </c>
      <c r="K105">
        <f aca="true" t="shared" si="15" ref="K105:K123">K104+J105*F105</f>
        <v>3.6731235880200064</v>
      </c>
      <c r="L105">
        <f t="shared" si="13"/>
        <v>0.41933508045816437</v>
      </c>
      <c r="M105">
        <f aca="true" t="shared" si="16" ref="M105:M123">Qtc_15*(D105/15)^ptc</f>
        <v>2.202962997469063</v>
      </c>
      <c r="N105">
        <f aca="true" t="shared" si="17" ref="N105:N123">0.5*L105*M105</f>
        <v>0.4618898328950243</v>
      </c>
    </row>
    <row r="106" spans="1:14" ht="12.75" hidden="1">
      <c r="A106">
        <f aca="true" t="shared" si="18" ref="A106:A119">1+A105</f>
        <v>3</v>
      </c>
      <c r="B106">
        <f aca="true" t="shared" si="19" ref="B106:B123">(A106-0.5)*dr</f>
        <v>0.125</v>
      </c>
      <c r="C106" s="13" t="s">
        <v>252</v>
      </c>
      <c r="D106">
        <f t="shared" si="8"/>
        <v>18.408665821351725</v>
      </c>
      <c r="E106">
        <f t="shared" si="9"/>
        <v>2.7587235808630086E+20</v>
      </c>
      <c r="F106" s="7">
        <f t="shared" si="10"/>
        <v>1.1103304951225528</v>
      </c>
      <c r="G106">
        <f t="shared" si="11"/>
        <v>137936179043150.42</v>
      </c>
      <c r="H106">
        <f t="shared" si="12"/>
        <v>-35.508534510795805</v>
      </c>
      <c r="I106">
        <f aca="true" t="shared" si="20" ref="I106:I123">EXP(H106)</f>
        <v>3.791747433591118E-16</v>
      </c>
      <c r="J106">
        <f t="shared" si="14"/>
        <v>4.04002275686867</v>
      </c>
      <c r="K106">
        <f t="shared" si="15"/>
        <v>8.158884055960378</v>
      </c>
      <c r="L106">
        <f t="shared" si="13"/>
        <v>0.6918633477075306</v>
      </c>
      <c r="M106">
        <f t="shared" si="16"/>
        <v>2.1917249623867634</v>
      </c>
      <c r="N106">
        <f t="shared" si="17"/>
        <v>0.7581870848655338</v>
      </c>
    </row>
    <row r="107" spans="1:14" ht="12.75" hidden="1">
      <c r="A107">
        <f t="shared" si="18"/>
        <v>4</v>
      </c>
      <c r="B107">
        <f t="shared" si="19"/>
        <v>0.17500000000000002</v>
      </c>
      <c r="C107" s="13" t="s">
        <v>253</v>
      </c>
      <c r="D107">
        <f t="shared" si="8"/>
        <v>18.1281528183597</v>
      </c>
      <c r="E107">
        <f t="shared" si="9"/>
        <v>2.748153564382179E+20</v>
      </c>
      <c r="F107" s="7">
        <f t="shared" si="10"/>
        <v>1.5544626931715742</v>
      </c>
      <c r="G107">
        <f t="shared" si="11"/>
        <v>137407678219108.94</v>
      </c>
      <c r="H107">
        <f t="shared" si="12"/>
        <v>-35.53263648859735</v>
      </c>
      <c r="I107">
        <f t="shared" si="20"/>
        <v>3.701451349307892E-16</v>
      </c>
      <c r="J107">
        <f t="shared" si="14"/>
        <v>3.913650824263628</v>
      </c>
      <c r="K107">
        <f t="shared" si="15"/>
        <v>14.242508256378368</v>
      </c>
      <c r="L107">
        <f t="shared" si="13"/>
        <v>0.9538489353727823</v>
      </c>
      <c r="M107">
        <f t="shared" si="16"/>
        <v>2.1747616264055436</v>
      </c>
      <c r="N107">
        <f t="shared" si="17"/>
        <v>1.0371970310182541</v>
      </c>
    </row>
    <row r="108" spans="1:14" ht="12.75" hidden="1">
      <c r="A108">
        <f t="shared" si="18"/>
        <v>5</v>
      </c>
      <c r="B108">
        <f t="shared" si="19"/>
        <v>0.225</v>
      </c>
      <c r="C108" s="13" t="s">
        <v>254</v>
      </c>
      <c r="D108">
        <f t="shared" si="8"/>
        <v>17.754135481036997</v>
      </c>
      <c r="E108">
        <f t="shared" si="9"/>
        <v>2.7338676819407248E+20</v>
      </c>
      <c r="F108" s="7">
        <f t="shared" si="10"/>
        <v>1.9985948912205953</v>
      </c>
      <c r="G108">
        <f t="shared" si="11"/>
        <v>136693384097036.23</v>
      </c>
      <c r="H108">
        <f t="shared" si="12"/>
        <v>-35.565961079115745</v>
      </c>
      <c r="I108">
        <f t="shared" si="20"/>
        <v>3.58013464051922E-16</v>
      </c>
      <c r="J108">
        <f t="shared" si="14"/>
        <v>3.746125973249158</v>
      </c>
      <c r="K108">
        <f t="shared" si="15"/>
        <v>21.729496488382914</v>
      </c>
      <c r="L108">
        <f t="shared" si="13"/>
        <v>1.2010747716202732</v>
      </c>
      <c r="M108">
        <f t="shared" si="16"/>
        <v>2.151940827110561</v>
      </c>
      <c r="N108">
        <f t="shared" si="17"/>
        <v>1.2923209187310796</v>
      </c>
    </row>
    <row r="109" spans="1:14" ht="12.75" hidden="1">
      <c r="A109">
        <f t="shared" si="18"/>
        <v>6</v>
      </c>
      <c r="B109">
        <f t="shared" si="19"/>
        <v>0.275</v>
      </c>
      <c r="C109" s="13" t="s">
        <v>100</v>
      </c>
      <c r="D109">
        <f t="shared" si="8"/>
        <v>17.28661380938362</v>
      </c>
      <c r="E109">
        <f t="shared" si="9"/>
        <v>2.7156893622859373E+20</v>
      </c>
      <c r="F109" s="7">
        <f t="shared" si="10"/>
        <v>2.4427270892696162</v>
      </c>
      <c r="G109">
        <f t="shared" si="11"/>
        <v>135784468114296.86</v>
      </c>
      <c r="H109">
        <f t="shared" si="12"/>
        <v>-35.60963103070476</v>
      </c>
      <c r="I109">
        <f t="shared" si="20"/>
        <v>3.4271549529348125E-16</v>
      </c>
      <c r="J109">
        <f t="shared" si="14"/>
        <v>3.538522477077565</v>
      </c>
      <c r="K109">
        <f t="shared" si="15"/>
        <v>30.373141199129705</v>
      </c>
      <c r="L109">
        <f t="shared" si="13"/>
        <v>1.4293237846163573</v>
      </c>
      <c r="M109">
        <f t="shared" si="16"/>
        <v>2.12307818372279</v>
      </c>
      <c r="N109">
        <f t="shared" si="17"/>
        <v>1.5172830722975401</v>
      </c>
    </row>
    <row r="110" spans="1:14" ht="12.75" hidden="1">
      <c r="A110">
        <f t="shared" si="18"/>
        <v>7</v>
      </c>
      <c r="B110">
        <f t="shared" si="19"/>
        <v>0.325</v>
      </c>
      <c r="C110" s="13" t="s">
        <v>171</v>
      </c>
      <c r="D110">
        <f t="shared" si="8"/>
        <v>16.72558780339957</v>
      </c>
      <c r="E110">
        <f t="shared" si="9"/>
        <v>2.6933820164842927E+20</v>
      </c>
      <c r="F110" s="7">
        <f t="shared" si="10"/>
        <v>2.886859287318637</v>
      </c>
      <c r="G110">
        <f t="shared" si="11"/>
        <v>134669100824214.62</v>
      </c>
      <c r="H110">
        <f t="shared" si="12"/>
        <v>-35.66519544385099</v>
      </c>
      <c r="I110">
        <f t="shared" si="20"/>
        <v>3.2419209634033415E-16</v>
      </c>
      <c r="J110">
        <f t="shared" si="14"/>
        <v>3.292504449169296</v>
      </c>
      <c r="K110">
        <f t="shared" si="15"/>
        <v>39.87813824675202</v>
      </c>
      <c r="L110">
        <f t="shared" si="13"/>
        <v>1.6343789025273894</v>
      </c>
      <c r="M110">
        <f t="shared" si="16"/>
        <v>2.0879290955372296</v>
      </c>
      <c r="N110">
        <f t="shared" si="17"/>
        <v>1.706233631859571</v>
      </c>
    </row>
    <row r="111" spans="1:14" ht="12.75" hidden="1">
      <c r="A111">
        <f t="shared" si="18"/>
        <v>8</v>
      </c>
      <c r="B111">
        <f t="shared" si="19"/>
        <v>0.375</v>
      </c>
      <c r="C111" s="13" t="s">
        <v>172</v>
      </c>
      <c r="D111">
        <f t="shared" si="8"/>
        <v>16.07105746308484</v>
      </c>
      <c r="E111">
        <f t="shared" si="9"/>
        <v>2.6666359035193154E+20</v>
      </c>
      <c r="F111" s="7">
        <f t="shared" si="10"/>
        <v>3.330991485367658</v>
      </c>
      <c r="G111">
        <f t="shared" si="11"/>
        <v>133331795175965.77</v>
      </c>
      <c r="H111">
        <f t="shared" si="12"/>
        <v>-35.734755298488366</v>
      </c>
      <c r="I111">
        <f t="shared" si="20"/>
        <v>3.0240778118447E-16</v>
      </c>
      <c r="J111">
        <f t="shared" si="14"/>
        <v>3.0105680039019536</v>
      </c>
      <c r="K111">
        <f t="shared" si="15"/>
        <v>49.90631463386974</v>
      </c>
      <c r="L111">
        <f t="shared" si="13"/>
        <v>1.8120230535197228</v>
      </c>
      <c r="M111">
        <f t="shared" si="16"/>
        <v>2.0461772741295694</v>
      </c>
      <c r="N111">
        <f t="shared" si="17"/>
        <v>1.8538601961554626</v>
      </c>
    </row>
    <row r="112" spans="1:14" ht="12.75" hidden="1">
      <c r="A112">
        <f t="shared" si="18"/>
        <v>9</v>
      </c>
      <c r="B112">
        <f t="shared" si="19"/>
        <v>0.42500000000000004</v>
      </c>
      <c r="C112" s="13" t="s">
        <v>173</v>
      </c>
      <c r="D112">
        <f t="shared" si="8"/>
        <v>15.323022788439436</v>
      </c>
      <c r="E112">
        <f t="shared" si="9"/>
        <v>2.6350491516071058E+20</v>
      </c>
      <c r="F112" s="7">
        <f t="shared" si="10"/>
        <v>3.7751236834166804</v>
      </c>
      <c r="G112">
        <f t="shared" si="11"/>
        <v>131752457580355.28</v>
      </c>
      <c r="H112">
        <f t="shared" si="12"/>
        <v>-35.82115104406742</v>
      </c>
      <c r="I112">
        <f t="shared" si="20"/>
        <v>2.77377842712404E-16</v>
      </c>
      <c r="J112">
        <f t="shared" si="14"/>
        <v>2.6963560701471625</v>
      </c>
      <c r="K112">
        <f t="shared" si="15"/>
        <v>60.085392293206624</v>
      </c>
      <c r="L112">
        <f t="shared" si="13"/>
        <v>1.9580391657597127</v>
      </c>
      <c r="M112">
        <f t="shared" si="16"/>
        <v>1.9974184338294703</v>
      </c>
      <c r="N112">
        <f t="shared" si="17"/>
        <v>1.955511761924264</v>
      </c>
    </row>
    <row r="113" spans="1:14" ht="12.75" hidden="1">
      <c r="A113">
        <f t="shared" si="18"/>
        <v>10</v>
      </c>
      <c r="B113">
        <f t="shared" si="19"/>
        <v>0.47500000000000003</v>
      </c>
      <c r="C113" s="13" t="s">
        <v>3</v>
      </c>
      <c r="D113">
        <f t="shared" si="8"/>
        <v>14.481483779463357</v>
      </c>
      <c r="E113">
        <f t="shared" si="9"/>
        <v>2.5981000675307674E+20</v>
      </c>
      <c r="F113" s="7">
        <f t="shared" si="10"/>
        <v>4.219255881465701</v>
      </c>
      <c r="G113">
        <f t="shared" si="11"/>
        <v>129905003376538.36</v>
      </c>
      <c r="H113">
        <f t="shared" si="12"/>
        <v>-35.92824709208532</v>
      </c>
      <c r="I113">
        <f t="shared" si="20"/>
        <v>2.492071757909479E-16</v>
      </c>
      <c r="J113">
        <f t="shared" si="14"/>
        <v>2.3550510599497527</v>
      </c>
      <c r="K113">
        <f t="shared" si="15"/>
        <v>70.02195532905165</v>
      </c>
      <c r="L113">
        <f t="shared" si="13"/>
        <v>2.0682101674137114</v>
      </c>
      <c r="M113">
        <f t="shared" si="16"/>
        <v>1.9411369323442729</v>
      </c>
      <c r="N113">
        <f t="shared" si="17"/>
        <v>2.0073395699083436</v>
      </c>
    </row>
    <row r="114" spans="1:14" ht="12.75" hidden="1">
      <c r="A114">
        <f t="shared" si="18"/>
        <v>11</v>
      </c>
      <c r="B114">
        <f t="shared" si="19"/>
        <v>0.525</v>
      </c>
      <c r="C114" s="13" t="s">
        <v>4</v>
      </c>
      <c r="D114">
        <f t="shared" si="8"/>
        <v>13.546440436156601</v>
      </c>
      <c r="E114">
        <f t="shared" si="9"/>
        <v>2.555105910570677E+20</v>
      </c>
      <c r="F114" s="7">
        <f t="shared" si="10"/>
        <v>4.663388079514722</v>
      </c>
      <c r="G114">
        <f t="shared" si="11"/>
        <v>127755295528533.84</v>
      </c>
      <c r="H114">
        <f t="shared" si="12"/>
        <v>-36.06137424982867</v>
      </c>
      <c r="I114">
        <f t="shared" si="20"/>
        <v>2.1814444258927243E-16</v>
      </c>
      <c r="J114">
        <f t="shared" si="14"/>
        <v>1.9938386127954835</v>
      </c>
      <c r="K114">
        <f t="shared" si="15"/>
        <v>79.31999854843828</v>
      </c>
      <c r="L114">
        <f t="shared" si="13"/>
        <v>2.1383189866480743</v>
      </c>
      <c r="M114">
        <f t="shared" si="16"/>
        <v>1.876671722711164</v>
      </c>
      <c r="N114">
        <f t="shared" si="17"/>
        <v>2.006461388189416</v>
      </c>
    </row>
    <row r="115" spans="1:14" ht="12.75" hidden="1">
      <c r="A115">
        <f t="shared" si="18"/>
        <v>12</v>
      </c>
      <c r="B115">
        <f t="shared" si="19"/>
        <v>0.5750000000000001</v>
      </c>
      <c r="C115" s="15" t="s">
        <v>234</v>
      </c>
      <c r="D115">
        <f t="shared" si="8"/>
        <v>12.517892758519173</v>
      </c>
      <c r="E115">
        <f t="shared" si="9"/>
        <v>2.505159692113663E+20</v>
      </c>
      <c r="F115" s="7">
        <f t="shared" si="10"/>
        <v>5.107520277563744</v>
      </c>
      <c r="G115">
        <f t="shared" si="11"/>
        <v>125257984605683.16</v>
      </c>
      <c r="H115">
        <f t="shared" si="12"/>
        <v>-36.228041846648715</v>
      </c>
      <c r="I115">
        <f t="shared" si="20"/>
        <v>1.846551122806119E-16</v>
      </c>
      <c r="J115">
        <f t="shared" si="14"/>
        <v>1.622408459494463</v>
      </c>
      <c r="K115">
        <f t="shared" si="15"/>
        <v>87.6064826537972</v>
      </c>
      <c r="L115">
        <f t="shared" si="13"/>
        <v>2.164148551629156</v>
      </c>
      <c r="M115">
        <f t="shared" si="16"/>
        <v>1.8031653937781904</v>
      </c>
      <c r="N115">
        <f t="shared" si="17"/>
        <v>1.9511588876464439</v>
      </c>
    </row>
    <row r="116" spans="1:14" ht="12.75" hidden="1">
      <c r="A116">
        <f t="shared" si="18"/>
        <v>13</v>
      </c>
      <c r="B116">
        <f t="shared" si="19"/>
        <v>0.625</v>
      </c>
      <c r="C116" s="12" t="s">
        <v>504</v>
      </c>
      <c r="D116">
        <f t="shared" si="8"/>
        <v>11.395840746551064</v>
      </c>
      <c r="E116">
        <f t="shared" si="9"/>
        <v>2.447029480480279E+20</v>
      </c>
      <c r="F116" s="7">
        <f t="shared" si="10"/>
        <v>5.551652475612764</v>
      </c>
      <c r="G116">
        <f t="shared" si="11"/>
        <v>122351474024013.95</v>
      </c>
      <c r="H116">
        <f t="shared" si="12"/>
        <v>-36.4391357065672</v>
      </c>
      <c r="I116">
        <f t="shared" si="20"/>
        <v>1.495148871281616E-16</v>
      </c>
      <c r="J116">
        <f t="shared" si="14"/>
        <v>1.2534034219555075</v>
      </c>
      <c r="K116">
        <f t="shared" si="15"/>
        <v>94.564942864238</v>
      </c>
      <c r="L116">
        <f t="shared" si="13"/>
        <v>2.141481790523308</v>
      </c>
      <c r="M116">
        <f t="shared" si="16"/>
        <v>1.7194851407417449</v>
      </c>
      <c r="N116">
        <f t="shared" si="17"/>
        <v>1.841123058986927</v>
      </c>
    </row>
    <row r="117" spans="1:14" ht="12.75" hidden="1">
      <c r="A117">
        <f t="shared" si="18"/>
        <v>14</v>
      </c>
      <c r="B117">
        <f t="shared" si="19"/>
        <v>0.675</v>
      </c>
      <c r="C117" s="11" t="s">
        <v>505</v>
      </c>
      <c r="D117">
        <f t="shared" si="8"/>
        <v>10.180284400252287</v>
      </c>
      <c r="E117">
        <f t="shared" si="9"/>
        <v>2.3789898348688985E+20</v>
      </c>
      <c r="F117" s="7">
        <f t="shared" si="10"/>
        <v>5.995784673661786</v>
      </c>
      <c r="G117">
        <f t="shared" si="11"/>
        <v>118949491743444.92</v>
      </c>
      <c r="H117">
        <f t="shared" si="12"/>
        <v>-36.71104949102884</v>
      </c>
      <c r="I117">
        <f t="shared" si="20"/>
        <v>1.1391837496561073E-16</v>
      </c>
      <c r="J117">
        <f t="shared" si="14"/>
        <v>0.9026242342309858</v>
      </c>
      <c r="K117">
        <f t="shared" si="15"/>
        <v>99.97688341391586</v>
      </c>
      <c r="L117">
        <f t="shared" si="13"/>
        <v>2.0661016314968887</v>
      </c>
      <c r="M117">
        <f t="shared" si="16"/>
        <v>1.6240944342206989</v>
      </c>
      <c r="N117">
        <f t="shared" si="17"/>
        <v>1.6777720801242013</v>
      </c>
    </row>
    <row r="118" spans="1:14" ht="12.75" hidden="1">
      <c r="A118">
        <f t="shared" si="18"/>
        <v>15</v>
      </c>
      <c r="B118">
        <f t="shared" si="19"/>
        <v>0.7250000000000001</v>
      </c>
      <c r="C118" s="14" t="s">
        <v>506</v>
      </c>
      <c r="D118">
        <f t="shared" si="8"/>
        <v>8.87122371962283</v>
      </c>
      <c r="E118">
        <f t="shared" si="9"/>
        <v>2.2985210826846005E+20</v>
      </c>
      <c r="F118" s="7">
        <f t="shared" si="10"/>
        <v>6.439916871710807</v>
      </c>
      <c r="G118">
        <f t="shared" si="11"/>
        <v>114926054134230.02</v>
      </c>
      <c r="H118">
        <f t="shared" si="12"/>
        <v>-37.069758569692496</v>
      </c>
      <c r="I118">
        <f t="shared" si="20"/>
        <v>7.958081961467953E-17</v>
      </c>
      <c r="J118">
        <f t="shared" si="14"/>
        <v>0.5886178479172187</v>
      </c>
      <c r="K118">
        <f t="shared" si="15"/>
        <v>103.76753342370806</v>
      </c>
      <c r="L118">
        <f t="shared" si="13"/>
        <v>1.9337910027162482</v>
      </c>
      <c r="M118">
        <f t="shared" si="16"/>
        <v>1.5148318584405265</v>
      </c>
      <c r="N118">
        <f t="shared" si="17"/>
        <v>1.4646841092401117</v>
      </c>
    </row>
    <row r="119" spans="1:14" ht="12.75" hidden="1">
      <c r="A119">
        <f t="shared" si="18"/>
        <v>16</v>
      </c>
      <c r="B119">
        <f t="shared" si="19"/>
        <v>0.775</v>
      </c>
      <c r="C119" s="14" t="s">
        <v>402</v>
      </c>
      <c r="D119">
        <f t="shared" si="8"/>
        <v>7.468658704662697</v>
      </c>
      <c r="E119">
        <f t="shared" si="9"/>
        <v>2.201725955107339E+20</v>
      </c>
      <c r="F119" s="7">
        <f t="shared" si="10"/>
        <v>6.884049069759827</v>
      </c>
      <c r="G119">
        <f t="shared" si="11"/>
        <v>110086297755366.94</v>
      </c>
      <c r="H119">
        <f t="shared" si="12"/>
        <v>-37.55937745956437</v>
      </c>
      <c r="I119">
        <f t="shared" si="20"/>
        <v>4.8771894488253826E-17</v>
      </c>
      <c r="J119">
        <f t="shared" si="14"/>
        <v>0.3309970975534606</v>
      </c>
      <c r="K119">
        <f t="shared" si="15"/>
        <v>106.04613368521416</v>
      </c>
      <c r="L119">
        <f t="shared" si="13"/>
        <v>1.7403328323477418</v>
      </c>
      <c r="M119">
        <f t="shared" si="16"/>
        <v>1.3884988545747752</v>
      </c>
      <c r="N119">
        <f t="shared" si="17"/>
        <v>1.2082250721468568</v>
      </c>
    </row>
    <row r="120" spans="1:14" ht="12.75" hidden="1">
      <c r="A120">
        <f>1+A119</f>
        <v>17</v>
      </c>
      <c r="B120">
        <f t="shared" si="19"/>
        <v>0.8250000000000001</v>
      </c>
      <c r="C120" s="12" t="s">
        <v>463</v>
      </c>
      <c r="D120">
        <f t="shared" si="8"/>
        <v>5.97258935537189</v>
      </c>
      <c r="E120">
        <f t="shared" si="9"/>
        <v>2.0820601531758015E+20</v>
      </c>
      <c r="F120" s="7">
        <f t="shared" si="10"/>
        <v>7.32818126780885</v>
      </c>
      <c r="G120">
        <f t="shared" si="11"/>
        <v>104103007658790.08</v>
      </c>
      <c r="H120">
        <f t="shared" si="12"/>
        <v>-38.26262659021437</v>
      </c>
      <c r="I120">
        <f t="shared" si="20"/>
        <v>2.4140841728413554E-17</v>
      </c>
      <c r="J120">
        <f t="shared" si="14"/>
        <v>0.14650990599449906</v>
      </c>
      <c r="K120">
        <f t="shared" si="15"/>
        <v>107.11978483387148</v>
      </c>
      <c r="L120">
        <f t="shared" si="13"/>
        <v>1.481510048557725</v>
      </c>
      <c r="M120">
        <f t="shared" si="16"/>
        <v>1.2400039456098049</v>
      </c>
      <c r="N120">
        <f t="shared" si="17"/>
        <v>0.9185391528360763</v>
      </c>
    </row>
    <row r="121" spans="1:14" ht="12.75" hidden="1">
      <c r="A121">
        <f>1+A120</f>
        <v>18</v>
      </c>
      <c r="B121">
        <f t="shared" si="19"/>
        <v>0.875</v>
      </c>
      <c r="C121" s="14" t="s">
        <v>234</v>
      </c>
      <c r="D121">
        <f t="shared" si="8"/>
        <v>4.383015671750407</v>
      </c>
      <c r="E121">
        <f t="shared" si="9"/>
        <v>1.9270627851881615E+20</v>
      </c>
      <c r="F121" s="7">
        <f t="shared" si="10"/>
        <v>7.77231346585787</v>
      </c>
      <c r="G121">
        <f t="shared" si="11"/>
        <v>96353139259408.06</v>
      </c>
      <c r="H121">
        <f t="shared" si="12"/>
        <v>-39.360126425552586</v>
      </c>
      <c r="I121">
        <f t="shared" si="20"/>
        <v>8.055904077166623E-18</v>
      </c>
      <c r="J121">
        <f t="shared" si="14"/>
        <v>0.041882640216169574</v>
      </c>
      <c r="K121">
        <f t="shared" si="15"/>
        <v>107.44530984240929</v>
      </c>
      <c r="L121">
        <f t="shared" si="13"/>
        <v>1.15310557951255</v>
      </c>
      <c r="M121">
        <f t="shared" si="16"/>
        <v>1.0602832803709852</v>
      </c>
      <c r="N121">
        <f t="shared" si="17"/>
        <v>0.6113092832298263</v>
      </c>
    </row>
    <row r="122" spans="1:14" ht="12.75" hidden="1">
      <c r="A122">
        <f>1+A121</f>
        <v>19</v>
      </c>
      <c r="B122">
        <f t="shared" si="19"/>
        <v>0.925</v>
      </c>
      <c r="C122" s="12" t="s">
        <v>464</v>
      </c>
      <c r="D122">
        <f t="shared" si="8"/>
        <v>2.699937653798252</v>
      </c>
      <c r="E122">
        <f t="shared" si="9"/>
        <v>1.707226103808017E+20</v>
      </c>
      <c r="F122" s="7">
        <f t="shared" si="10"/>
        <v>8.216445663906892</v>
      </c>
      <c r="G122">
        <f t="shared" si="11"/>
        <v>85361305190400.84</v>
      </c>
      <c r="H122">
        <f t="shared" si="12"/>
        <v>-41.36739570923561</v>
      </c>
      <c r="I122">
        <f t="shared" si="20"/>
        <v>1.0823514736134776E-18</v>
      </c>
      <c r="J122">
        <f t="shared" si="14"/>
        <v>0.004416502021943906</v>
      </c>
      <c r="K122">
        <f t="shared" si="15"/>
        <v>107.48159779129712</v>
      </c>
      <c r="L122">
        <f t="shared" si="13"/>
        <v>0.750902353378573</v>
      </c>
      <c r="M122">
        <f t="shared" si="16"/>
        <v>0.8297547617981318</v>
      </c>
      <c r="N122">
        <f t="shared" si="17"/>
        <v>0.3115324016806472</v>
      </c>
    </row>
    <row r="123" spans="1:14" ht="12.75" hidden="1">
      <c r="A123">
        <f>1+A122</f>
        <v>20</v>
      </c>
      <c r="B123">
        <f t="shared" si="19"/>
        <v>0.9750000000000001</v>
      </c>
      <c r="C123" s="13" t="s">
        <v>335</v>
      </c>
      <c r="D123">
        <f t="shared" si="8"/>
        <v>0.9233553015154168</v>
      </c>
      <c r="E123">
        <f t="shared" si="9"/>
        <v>1.3055539420237906E+20</v>
      </c>
      <c r="F123" s="7">
        <f t="shared" si="10"/>
        <v>8.660577861955913</v>
      </c>
      <c r="G123">
        <f t="shared" si="11"/>
        <v>65277697101189.52</v>
      </c>
      <c r="H123">
        <f t="shared" si="12"/>
        <v>-47.137600055548525</v>
      </c>
      <c r="I123">
        <f t="shared" si="20"/>
        <v>3.3759842023579976E-21</v>
      </c>
      <c r="J123">
        <f t="shared" si="14"/>
        <v>8.055974488657393E-06</v>
      </c>
      <c r="K123">
        <f t="shared" si="15"/>
        <v>107.48166756069143</v>
      </c>
      <c r="L123">
        <f t="shared" si="13"/>
        <v>0.2706832983221454</v>
      </c>
      <c r="M123">
        <f t="shared" si="16"/>
        <v>0.4821269404192657</v>
      </c>
      <c r="N123">
        <f t="shared" si="17"/>
        <v>0.06525185522132565</v>
      </c>
    </row>
    <row r="124" spans="6:14" ht="12.75" hidden="1">
      <c r="F124" s="7">
        <f>SUM(F104:F123)</f>
        <v>88.82643960980424</v>
      </c>
      <c r="G124"/>
      <c r="L124">
        <f>SUM(L104:L123)</f>
        <v>28.148954489586387</v>
      </c>
      <c r="N124">
        <f>SUM(N104:N123)</f>
        <v>24.801011050248967</v>
      </c>
    </row>
    <row r="125" spans="1:2" ht="12.75">
      <c r="A125" t="s">
        <v>508</v>
      </c>
      <c r="B125" s="7">
        <f>K123+B95/5</f>
        <v>112.43862821384207</v>
      </c>
    </row>
    <row r="126" spans="1:6" ht="12.75">
      <c r="A126" t="s">
        <v>80</v>
      </c>
      <c r="B126" s="4">
        <f>B95/5/P_alpha</f>
        <v>0.044085922532985836</v>
      </c>
      <c r="F126" s="7" t="s">
        <v>234</v>
      </c>
    </row>
    <row r="127" spans="1:2" ht="12.75">
      <c r="A127" t="s">
        <v>425</v>
      </c>
      <c r="B127" s="34">
        <f>B76-P_alpha</f>
        <v>-3.063993005980592E-07</v>
      </c>
    </row>
    <row r="128" spans="1:5" ht="12.75">
      <c r="A128" t="s">
        <v>509</v>
      </c>
      <c r="B128" s="7">
        <f>P_Brem/P_alpha</f>
        <v>0.3560457509243024</v>
      </c>
      <c r="D128" t="s">
        <v>234</v>
      </c>
      <c r="E128" t="s">
        <v>234</v>
      </c>
    </row>
    <row r="129" spans="1:2" ht="12.75">
      <c r="A129" t="s">
        <v>16</v>
      </c>
      <c r="B129" s="35">
        <f>frad-B128</f>
        <v>8.52473369672424E-10</v>
      </c>
    </row>
    <row r="130" spans="1:2" ht="12.75">
      <c r="A130" t="s">
        <v>510</v>
      </c>
      <c r="B130" s="8">
        <f>2*PI()^2*R0^3*e^2*kappa</f>
        <v>88.82643960980421</v>
      </c>
    </row>
    <row r="131" spans="1:7" ht="12.75">
      <c r="A131" t="s">
        <v>408</v>
      </c>
      <c r="B131" s="7">
        <f>0.18*(Tavg_ndw/10)^1.5/(xne/100000000000000000000)</f>
        <v>0.04936425155407913</v>
      </c>
      <c r="G131"/>
    </row>
    <row r="132" spans="1:7" ht="12.75">
      <c r="A132" t="s">
        <v>409</v>
      </c>
      <c r="B132" s="7">
        <f>(1+2*alpha_N+2*alpha_T)*(1+alpha_T)^1.5/((1+alpha_N+3.5*alpha_T)*(1+alpha_N))</f>
        <v>1.6672833577451223</v>
      </c>
      <c r="G132"/>
    </row>
    <row r="133" spans="1:7" ht="12.75">
      <c r="A133" t="s">
        <v>410</v>
      </c>
      <c r="B133" s="7">
        <f>P_fusion/5/vol</f>
        <v>1.265823874078055</v>
      </c>
      <c r="G133"/>
    </row>
    <row r="134" spans="1:7" ht="12.75">
      <c r="A134" t="s">
        <v>411</v>
      </c>
      <c r="B134" s="7">
        <f>B132*B133*B131</f>
        <v>0.1041826150736744</v>
      </c>
      <c r="G134"/>
    </row>
    <row r="135" spans="1:7" ht="12.75">
      <c r="A135" t="s">
        <v>418</v>
      </c>
      <c r="B135" s="4">
        <f>1.68*B134/Bt^2</f>
        <v>0.024636891245234622</v>
      </c>
      <c r="G135"/>
    </row>
    <row r="136" spans="1:7" ht="12.75">
      <c r="A136" t="s">
        <v>412</v>
      </c>
      <c r="B136" s="7">
        <f>0.36*(Tavg_ndw/10)^1.5/(xne/100000000000000000000)</f>
        <v>0.09872850310815826</v>
      </c>
      <c r="G136"/>
    </row>
    <row r="137" spans="1:7" ht="12.75">
      <c r="A137" t="s">
        <v>413</v>
      </c>
      <c r="B137" s="7">
        <f>(1+alpha_nbi)*(1+alpha_T)^1.5/((1+alpha_nbi+1.5*alpha_T-alpha_N)*(1+alpha_N))</f>
        <v>1.3924564306442782</v>
      </c>
      <c r="G137"/>
    </row>
    <row r="138" spans="1:7" ht="12.75">
      <c r="A138" t="s">
        <v>415</v>
      </c>
      <c r="B138" s="7">
        <f>1/(1+2.5*((16*Tavg_ndw)/B90)^1.5)</f>
        <v>0.6361954275028596</v>
      </c>
      <c r="G138"/>
    </row>
    <row r="139" spans="1:7" ht="12.75">
      <c r="A139" t="s">
        <v>414</v>
      </c>
      <c r="B139" s="7">
        <f>P_aux/vol</f>
        <v>0.3165027479183455</v>
      </c>
      <c r="G139"/>
    </row>
    <row r="140" spans="1:7" ht="12.75">
      <c r="A140" t="s">
        <v>257</v>
      </c>
      <c r="B140" s="7">
        <f>B137*B138*B139*B136</f>
        <v>0.027681664196843724</v>
      </c>
      <c r="G140"/>
    </row>
    <row r="141" spans="1:7" ht="12.75">
      <c r="A141" t="s">
        <v>417</v>
      </c>
      <c r="B141" s="4">
        <f>1.68*B140/Bt^2</f>
        <v>0.00654610320371075</v>
      </c>
      <c r="G141"/>
    </row>
    <row r="142" spans="1:5" ht="12.75">
      <c r="A142" t="s">
        <v>511</v>
      </c>
      <c r="B142" s="8">
        <f>3/4/mu0*0.000001*((Beta_N*Ip*Bt)/R0/e)*vol</f>
        <v>129.68780975224922</v>
      </c>
      <c r="E142" t="s">
        <v>234</v>
      </c>
    </row>
    <row r="143" spans="1:2" ht="13.5" thickBot="1">
      <c r="A143" t="s">
        <v>10</v>
      </c>
      <c r="B143" s="7">
        <f>0.0562*Ip^0.93*R0^1.97*e^0.58*Bt^0.15*kappa^0.78*ane^0.41*2.5^0.19/(P_alpha*(1+5/Q-frad))^0.69</f>
        <v>0.7167667772788657</v>
      </c>
    </row>
    <row r="144" spans="1:3" ht="13.5" thickBot="1">
      <c r="A144" t="s">
        <v>512</v>
      </c>
      <c r="B144" s="31">
        <f>1/(Tau_e*P_alpha*(1+5/Q-frad)/Wtot)</f>
        <v>1.7999999965856741</v>
      </c>
      <c r="C144" s="15" t="s">
        <v>336</v>
      </c>
    </row>
    <row r="145" spans="1:3" ht="12.75">
      <c r="A145" t="s">
        <v>12</v>
      </c>
      <c r="B145" s="7">
        <f>Tau_e*HH</f>
        <v>1.2901801966546829</v>
      </c>
      <c r="C145" s="3" t="s">
        <v>455</v>
      </c>
    </row>
    <row r="146" spans="1:3" ht="12.75">
      <c r="A146" t="s">
        <v>117</v>
      </c>
      <c r="B146" s="6">
        <v>0.2</v>
      </c>
      <c r="C146" s="3"/>
    </row>
    <row r="147" spans="1:2" ht="12.75">
      <c r="A147" t="s">
        <v>486</v>
      </c>
      <c r="B147" s="7">
        <f>(1-frad_core_min)*(P_alpha+P_aux-P_Brem)</f>
        <v>80.41531569828179</v>
      </c>
    </row>
    <row r="148" spans="1:2" ht="12.75">
      <c r="A148" t="s">
        <v>487</v>
      </c>
      <c r="B148" s="6">
        <v>0.01</v>
      </c>
    </row>
    <row r="149" spans="1:3" ht="12.75">
      <c r="A149" t="s">
        <v>488</v>
      </c>
      <c r="B149" s="7">
        <f>7.5*R0/A</f>
        <v>7.5</v>
      </c>
      <c r="C149" s="3"/>
    </row>
    <row r="150" spans="1:3" ht="12.75">
      <c r="A150" t="s">
        <v>489</v>
      </c>
      <c r="B150" s="7">
        <f>B148*B149</f>
        <v>0.075</v>
      </c>
      <c r="C150" s="3"/>
    </row>
    <row r="151" spans="1:3" ht="12.75">
      <c r="A151" t="s">
        <v>490</v>
      </c>
      <c r="B151" s="7">
        <f>MIN(B8,IF(P_sol/(4*PI()*(R0+(R0/A)/4)*lambda_div)&lt;=Q_div_limit,0,4*PI()*lambda_div*R0*Q_div_limit/P_sol-R0/(R0+R0/A/4))/(lambda_div/2/(R0/A)-R0/(R0+(R0/A)/4)))</f>
        <v>0.7240226290642496</v>
      </c>
      <c r="C151" s="3"/>
    </row>
    <row r="152" spans="1:3" ht="12.75">
      <c r="A152" t="s">
        <v>124</v>
      </c>
      <c r="B152" s="7">
        <f>P_sol*(1-frad_div)</f>
        <v>22.192807409380183</v>
      </c>
      <c r="C152" s="3"/>
    </row>
    <row r="153" spans="1:7" ht="12.75">
      <c r="A153" t="s">
        <v>118</v>
      </c>
      <c r="B153" s="7">
        <f>P_sol*frad_div/8/PI()/R0/(R0/A)+P_sol*(1-frad_div)/4/PI()/(R0+(R0/A)/4)/lambda_div</f>
        <v>15.000000000000007</v>
      </c>
      <c r="C153" s="3"/>
      <c r="G153" s="7" t="s">
        <v>234</v>
      </c>
    </row>
    <row r="154" spans="1:3" ht="12.75">
      <c r="A154" t="s">
        <v>491</v>
      </c>
      <c r="B154" s="7">
        <f>MIN(Q_div_limit,B153)</f>
        <v>15</v>
      </c>
      <c r="C154" s="3"/>
    </row>
    <row r="155" spans="1:3" ht="12.75">
      <c r="A155" t="s">
        <v>143</v>
      </c>
      <c r="B155" s="7">
        <f>Q_div_limit/(frad_div/8/PI()/R0/(R0/A)+(1-frad_div)/4/PI()/(R0+(R0/A)/4)/lambda_div)</f>
        <v>80.41531569828176</v>
      </c>
      <c r="C155" s="3"/>
    </row>
    <row r="156" spans="1:3" ht="12.75">
      <c r="A156" t="s">
        <v>485</v>
      </c>
      <c r="B156" s="7">
        <f>IF(P_sol&gt;B155,P_sol-B155+frad_core_min*(P_alpha+P_aux-P_Brem),frad_core_min*(P_alpha+P_aux-P_Brem))</f>
        <v>20.103828924570447</v>
      </c>
      <c r="C156" s="3"/>
    </row>
    <row r="157" spans="1:3" ht="12.75">
      <c r="A157" t="s">
        <v>494</v>
      </c>
      <c r="B157" s="19">
        <f>(4*PI()^2*R0^2*e*SQRT((1+kappa)/2))</f>
        <v>83.74637039566656</v>
      </c>
      <c r="C157" s="3"/>
    </row>
    <row r="158" spans="1:3" ht="12.75">
      <c r="A158" t="s">
        <v>495</v>
      </c>
      <c r="B158" s="19">
        <f>Blanket!B27</f>
        <v>150.79644737231004</v>
      </c>
      <c r="C158" s="3"/>
    </row>
    <row r="159" spans="1:3" ht="12.75">
      <c r="A159" t="s">
        <v>497</v>
      </c>
      <c r="B159" s="7">
        <f>P_line/(P_alpha+P_aux-P_Brem)</f>
        <v>0.2</v>
      </c>
      <c r="C159" s="3"/>
    </row>
    <row r="160" spans="1:3" ht="12.75">
      <c r="A160" t="s">
        <v>492</v>
      </c>
      <c r="B160" s="7">
        <f>P_Brem+P_line</f>
        <v>60.137124739866294</v>
      </c>
      <c r="C160" s="3"/>
    </row>
    <row r="161" spans="1:3" ht="12.75">
      <c r="A161" t="s">
        <v>493</v>
      </c>
      <c r="B161" s="7">
        <f>B10*B160/A_fw</f>
        <v>0.7975933888069694</v>
      </c>
      <c r="C161" s="3"/>
    </row>
    <row r="162" spans="1:3" ht="12.75">
      <c r="A162" t="s">
        <v>453</v>
      </c>
      <c r="B162" s="19">
        <f>(P_fusion-P_alpha)/(4*PI()^2*R0^2*e*SQRT((1+kappa)/2))</f>
        <v>5.370435867231856</v>
      </c>
      <c r="C162" s="3"/>
    </row>
    <row r="163" spans="1:3" ht="12.75">
      <c r="A163" t="s">
        <v>113</v>
      </c>
      <c r="B163" s="8">
        <f>(P_fusion-P_alpha)/A_fw</f>
        <v>2.9825272356247683</v>
      </c>
      <c r="C163" s="3"/>
    </row>
    <row r="164" spans="1:3" ht="12.75">
      <c r="A164" t="s">
        <v>114</v>
      </c>
      <c r="B164" s="8">
        <f>B163*Blanket!B34</f>
        <v>4.999999996593706</v>
      </c>
      <c r="C164" s="3"/>
    </row>
    <row r="165" spans="1:3" ht="12.75" hidden="1">
      <c r="A165" t="s">
        <v>96</v>
      </c>
      <c r="B165" s="13">
        <f>e/2</f>
        <v>0.3333333333333333</v>
      </c>
      <c r="C165" s="15" t="s">
        <v>150</v>
      </c>
    </row>
    <row r="166" spans="1:3" ht="12.75" hidden="1">
      <c r="A166" t="s">
        <v>91</v>
      </c>
      <c r="B166" s="13">
        <f>(3.4/Zeff)*((1.13+Zeff)/(2.67+Zeff))</f>
        <v>1.233835706375066</v>
      </c>
      <c r="C166" s="11" t="s">
        <v>17</v>
      </c>
    </row>
    <row r="167" spans="1:3" ht="12.75" hidden="1">
      <c r="A167" t="s">
        <v>92</v>
      </c>
      <c r="B167" s="13">
        <f>(0.56/Zeff)*((3-Zeff)/(3+Zeff))</f>
        <v>0.07679535265279348</v>
      </c>
      <c r="C167" s="15" t="s">
        <v>428</v>
      </c>
    </row>
    <row r="168" spans="1:3" ht="12.75" hidden="1">
      <c r="A168" t="s">
        <v>93</v>
      </c>
      <c r="B168" s="13">
        <f>0.58+0.2*Zeff</f>
        <v>0.9415903459074817</v>
      </c>
      <c r="C168" s="15" t="s">
        <v>456</v>
      </c>
    </row>
    <row r="169" spans="1:2" ht="12.75" hidden="1">
      <c r="A169" t="s">
        <v>94</v>
      </c>
      <c r="B169" s="13">
        <f>1-(((1-B165)^2)/((1+1.46*SQRT(B165))*SQRT(1-B165^2)))</f>
        <v>0.7442094032489461</v>
      </c>
    </row>
    <row r="170" spans="1:2" ht="12.75" hidden="1">
      <c r="A170" t="s">
        <v>95</v>
      </c>
      <c r="B170" s="13">
        <v>0.05</v>
      </c>
    </row>
    <row r="171" spans="1:2" ht="12.75" hidden="1">
      <c r="A171" t="s">
        <v>337</v>
      </c>
      <c r="B171" s="16">
        <f>0.000103*20*(1/B166)*(1/(1-B169/(1+B168*B170)))*(1/(1-((B169*B167)/(1+B168*B170))))</f>
        <v>0.006105332476746166</v>
      </c>
    </row>
    <row r="172" spans="1:2" ht="12.75" hidden="1">
      <c r="A172" t="s">
        <v>11</v>
      </c>
      <c r="B172" s="2">
        <f>Wtot/B145</f>
        <v>100.51914460361246</v>
      </c>
    </row>
    <row r="173" spans="1:2" ht="12.75" hidden="1">
      <c r="A173" t="s">
        <v>97</v>
      </c>
      <c r="B173" s="22">
        <f>(mu0/(12*Eta_neo))*(e*R0)^2*(Temp0*1000/(1+alpha_T))^1.5*kappa</f>
        <v>46.52519131346409</v>
      </c>
    </row>
    <row r="174" spans="1:2" ht="12.75" hidden="1">
      <c r="A174" t="s">
        <v>98</v>
      </c>
      <c r="B174" s="17">
        <f>(1+1.81*SQRT(e)+2.05*e)*LN(8/e)-(2+9.25*SQRT(e)-1.21*e)</f>
        <v>0.8073602190092171</v>
      </c>
    </row>
    <row r="175" spans="1:2" ht="12.75" hidden="1">
      <c r="A175" t="s">
        <v>99</v>
      </c>
      <c r="B175" s="17">
        <f>0.73*SQRT(e)*(1+2*e^4-6*e^5+3.7*e^6)</f>
        <v>0.554180533969209</v>
      </c>
    </row>
    <row r="176" spans="1:2" ht="12.75" hidden="1">
      <c r="A176" t="s">
        <v>479</v>
      </c>
      <c r="B176" s="17">
        <f>1+0.98*e^2+0.49*e^4+1.47*e^6</f>
        <v>1.6613991769547323</v>
      </c>
    </row>
    <row r="177" spans="1:2" ht="12.75" hidden="1">
      <c r="A177" t="s">
        <v>480</v>
      </c>
      <c r="B177" s="17">
        <f>0.25*e*(1+0.84*e-1.44*e^2)</f>
        <v>0.15333333333333335</v>
      </c>
    </row>
    <row r="178" spans="1:2" ht="12.75" hidden="1">
      <c r="A178" t="s">
        <v>481</v>
      </c>
      <c r="B178" s="17">
        <f>B174*(1-e)/(1-e+B175*kappa)</f>
        <v>0.13483814454064566</v>
      </c>
    </row>
    <row r="179" spans="1:2" ht="12.75" hidden="1">
      <c r="A179" t="s">
        <v>482</v>
      </c>
      <c r="B179" s="17">
        <f>(1-e)^2/((1-e)^2*B176+B177*SQRT(kappa))</f>
        <v>0.2468142882969714</v>
      </c>
    </row>
    <row r="180" spans="1:2" ht="12.75" hidden="1">
      <c r="A180" t="s">
        <v>448</v>
      </c>
      <c r="B180" s="18">
        <v>0.1</v>
      </c>
    </row>
    <row r="181" spans="1:2" ht="12.75" hidden="1">
      <c r="A181" t="s">
        <v>449</v>
      </c>
      <c r="B181" s="20">
        <f>B178-((B179)/4)*(LN(8/(e*SQRT(kappa))+Beta_P+B180/2-3/2))</f>
        <v>0.01582882108813423</v>
      </c>
    </row>
    <row r="182" spans="1:2" ht="12.75" hidden="1">
      <c r="A182" t="s">
        <v>446</v>
      </c>
      <c r="B182" s="20">
        <f>0.02*(Tempavg*(1+alpha_T)/10)^(-1.5)*Zeff/1.4</f>
        <v>0.008623031003361575</v>
      </c>
    </row>
    <row r="183" spans="1:2" ht="12.75" hidden="1">
      <c r="A183" t="s">
        <v>447</v>
      </c>
      <c r="B183" s="18">
        <v>5</v>
      </c>
    </row>
    <row r="184" spans="1:2" ht="12.75" hidden="1">
      <c r="A184" t="s">
        <v>450</v>
      </c>
      <c r="B184" s="18">
        <v>0.25</v>
      </c>
    </row>
    <row r="185" spans="1:5" ht="12.75" hidden="1">
      <c r="A185" t="s">
        <v>451</v>
      </c>
      <c r="B185" s="19">
        <f>1+mu0*1000000*Ip*R0*(Lext+(Li/2)+C_ejima+FF*T_flat)</f>
        <v>10.990286750618923</v>
      </c>
      <c r="E185" t="s">
        <v>234</v>
      </c>
    </row>
    <row r="186" spans="1:2" ht="12.75" hidden="1">
      <c r="A186" t="s">
        <v>452</v>
      </c>
      <c r="B186" s="19">
        <f>mu0*1000000*Ip*R0*(Lext+Li+C_ejima+FF*T_flat)</f>
        <v>11.381908760692458</v>
      </c>
    </row>
    <row r="187" ht="12.75" hidden="1"/>
    <row r="188" spans="1:2" ht="12.75">
      <c r="A188" t="s">
        <v>454</v>
      </c>
      <c r="B188" s="19">
        <f>2.84/2.5*Bt^0.82*(ane/10)^0.58*R0^1.81*e^0.81</f>
        <v>8.1425995688737</v>
      </c>
    </row>
    <row r="189" spans="1:11" ht="12.75">
      <c r="A189" t="s">
        <v>348</v>
      </c>
      <c r="B189" s="4">
        <f>fN</f>
        <v>0.8267434622374145</v>
      </c>
      <c r="E189" s="7">
        <f>Blanket!B25</f>
        <v>0.07883680282977468</v>
      </c>
      <c r="F189" s="7">
        <v>3</v>
      </c>
      <c r="G189" s="7">
        <v>3.2</v>
      </c>
      <c r="H189" s="7">
        <v>3.4</v>
      </c>
      <c r="I189" s="7">
        <v>3.6</v>
      </c>
      <c r="J189" s="7">
        <v>3.8</v>
      </c>
      <c r="K189" s="7">
        <v>4</v>
      </c>
    </row>
    <row r="190" spans="1:11" ht="12.75">
      <c r="A190" t="s">
        <v>352</v>
      </c>
      <c r="B190" s="8">
        <v>0.35</v>
      </c>
      <c r="E190" s="7">
        <v>1.3</v>
      </c>
      <c r="F190" s="7">
        <f t="dataTable" ref="F190:K207" dt2D="1" dtr="1" r1="B18" r2="B14"/>
        <v>0.052720868482211046</v>
      </c>
      <c r="G190" s="7">
        <v>0.05335805893234626</v>
      </c>
      <c r="H190" s="7">
        <v>0.05390402588813339</v>
      </c>
      <c r="I190" s="7">
        <v>0.054374691112941666</v>
      </c>
      <c r="J190" s="7">
        <v>0.05478279618244586</v>
      </c>
      <c r="K190" s="7">
        <v>0.05513859871456689</v>
      </c>
    </row>
    <row r="191" spans="1:11" ht="12.75">
      <c r="A191" t="s">
        <v>42</v>
      </c>
      <c r="B191" s="8">
        <v>1.2</v>
      </c>
      <c r="E191" s="7">
        <f>E190+0.1</f>
        <v>1.4000000000000001</v>
      </c>
      <c r="F191" s="7">
        <v>0.06646203012327745</v>
      </c>
      <c r="G191" s="7">
        <v>0.06726529782561891</v>
      </c>
      <c r="H191" s="7">
        <v>0.06795356555159693</v>
      </c>
      <c r="I191" s="7">
        <v>0.06854690491131825</v>
      </c>
      <c r="J191" s="7">
        <v>0.06906137844340737</v>
      </c>
      <c r="K191" s="7">
        <v>0.06950991731024614</v>
      </c>
    </row>
    <row r="192" spans="1:11" ht="12.75">
      <c r="A192" t="s">
        <v>170</v>
      </c>
      <c r="B192" t="s">
        <v>445</v>
      </c>
      <c r="E192" s="7">
        <f aca="true" t="shared" si="21" ref="E192:E207">E191+0.1</f>
        <v>1.5000000000000002</v>
      </c>
      <c r="F192" s="7">
        <v>0.07883680282977469</v>
      </c>
      <c r="G192" s="7">
        <v>0.0797896334512823</v>
      </c>
      <c r="H192" s="7">
        <v>0.08060605189210303</v>
      </c>
      <c r="I192" s="7">
        <v>0.08130986695803963</v>
      </c>
      <c r="J192" s="7">
        <v>0.08192013192188766</v>
      </c>
      <c r="K192" s="7">
        <v>0.08245218563948954</v>
      </c>
    </row>
    <row r="193" spans="1:11" ht="12.75">
      <c r="A193" t="s">
        <v>330</v>
      </c>
      <c r="B193" s="8">
        <f>IF(B192="Yes",B189*B190*(((P_fusion-P_alpha)*B191+(P_aux+P_alpha)*frad)),0)</f>
        <v>0</v>
      </c>
      <c r="E193" s="7">
        <f t="shared" si="21"/>
        <v>1.6000000000000003</v>
      </c>
      <c r="F193" s="7">
        <v>0.09006157843904836</v>
      </c>
      <c r="G193" s="7">
        <v>0.09115007298319323</v>
      </c>
      <c r="H193" s="7">
        <v>0.09208273299486093</v>
      </c>
      <c r="I193" s="7">
        <v>0.09288675717509434</v>
      </c>
      <c r="J193" s="7">
        <v>0.09358391159964496</v>
      </c>
      <c r="K193" s="7">
        <v>0.09419171906902007</v>
      </c>
    </row>
    <row r="194" spans="1:11" ht="12.75">
      <c r="A194" t="s">
        <v>7</v>
      </c>
      <c r="B194" s="2">
        <f>IF(B192="Yes",0.1*P_Elec_gen,20)</f>
        <v>20</v>
      </c>
      <c r="E194" s="7">
        <f t="shared" si="21"/>
        <v>1.7000000000000004</v>
      </c>
      <c r="F194" s="7">
        <v>0.10030685990612266</v>
      </c>
      <c r="G194" s="7">
        <v>0.10151918009460362</v>
      </c>
      <c r="H194" s="7">
        <v>0.10255793822822559</v>
      </c>
      <c r="I194" s="7">
        <v>0.10345342709490572</v>
      </c>
      <c r="J194" s="7">
        <v>0.10422988884927815</v>
      </c>
      <c r="K194" s="7">
        <v>0.10490683966156891</v>
      </c>
    </row>
    <row r="195" spans="1:11" ht="12.75">
      <c r="A195" t="s">
        <v>351</v>
      </c>
      <c r="B195">
        <v>0.45</v>
      </c>
      <c r="E195" s="7">
        <f t="shared" si="21"/>
        <v>1.8000000000000005</v>
      </c>
      <c r="F195" s="7">
        <v>0.10970923634531912</v>
      </c>
      <c r="G195" s="7">
        <v>0.11103519473150261</v>
      </c>
      <c r="H195" s="7">
        <v>0.11217132202821806</v>
      </c>
      <c r="I195" s="7">
        <v>0.11315075055196168</v>
      </c>
      <c r="J195" s="7">
        <v>0.1139999948230242</v>
      </c>
      <c r="K195" s="7">
        <v>0.1147404003818192</v>
      </c>
    </row>
    <row r="196" spans="1:11" ht="12.75">
      <c r="A196" t="s">
        <v>176</v>
      </c>
      <c r="B196" s="2">
        <f>P_aux/B195</f>
        <v>62.47513827623556</v>
      </c>
      <c r="E196" s="7">
        <f t="shared" si="21"/>
        <v>1.9000000000000006</v>
      </c>
      <c r="F196" s="7">
        <v>0.11837970052066481</v>
      </c>
      <c r="G196" s="7">
        <v>0.11981045112916601</v>
      </c>
      <c r="H196" s="7">
        <v>0.12103636804937125</v>
      </c>
      <c r="I196" s="7">
        <v>0.12209320208800428</v>
      </c>
      <c r="J196" s="7">
        <v>0.12300956324250939</v>
      </c>
      <c r="K196" s="7">
        <v>0.123808484019226</v>
      </c>
    </row>
    <row r="197" spans="1:11" ht="12.75">
      <c r="A197" t="s">
        <v>9</v>
      </c>
      <c r="B197" s="2">
        <f>B41+B56+B196+B194</f>
        <v>343.2265048792963</v>
      </c>
      <c r="E197" s="7">
        <f t="shared" si="21"/>
        <v>2.0000000000000004</v>
      </c>
      <c r="F197" s="7">
        <v>0.12640957374833062</v>
      </c>
      <c r="G197" s="7">
        <v>0.1279373743236432</v>
      </c>
      <c r="H197" s="7">
        <v>0.12924644703334276</v>
      </c>
      <c r="I197" s="7">
        <v>0.13037496771517207</v>
      </c>
      <c r="J197" s="7">
        <v>0.1313534870257552</v>
      </c>
      <c r="K197" s="7">
        <v>0.13220659980099658</v>
      </c>
    </row>
    <row r="198" spans="1:11" ht="12.75">
      <c r="A198" t="s">
        <v>8</v>
      </c>
      <c r="B198" s="2">
        <f>P_Elec_gen-B197</f>
        <v>-343.2265048792963</v>
      </c>
      <c r="E198" s="7">
        <f t="shared" si="21"/>
        <v>2.1000000000000005</v>
      </c>
      <c r="F198" s="7">
        <v>0.13387481923849126</v>
      </c>
      <c r="G198" s="7">
        <v>0.13549284562516067</v>
      </c>
      <c r="H198" s="7">
        <v>0.13687922695043897</v>
      </c>
      <c r="I198" s="7">
        <v>0.13807439356485682</v>
      </c>
      <c r="J198" s="7">
        <v>0.1391107003250275</v>
      </c>
      <c r="K198" s="7">
        <v>0.14001419453981595</v>
      </c>
    </row>
    <row r="199" spans="1:11" ht="12.75">
      <c r="A199" t="s">
        <v>332</v>
      </c>
      <c r="B199" s="2">
        <f>P_Elec_gen/B197</f>
        <v>0</v>
      </c>
      <c r="E199" s="7">
        <f t="shared" si="21"/>
        <v>2.2000000000000006</v>
      </c>
      <c r="F199" s="7">
        <v>0.14083924225441927</v>
      </c>
      <c r="G199" s="7">
        <v>0.14254144145470515</v>
      </c>
      <c r="H199" s="7">
        <v>0.14399994497641697</v>
      </c>
      <c r="I199" s="7">
        <v>0.14525728643390587</v>
      </c>
      <c r="J199" s="7">
        <v>0.14634750384503503</v>
      </c>
      <c r="K199" s="7">
        <v>0.14729799954927478</v>
      </c>
    </row>
    <row r="200" spans="1:11" ht="12.75">
      <c r="A200" t="s">
        <v>401</v>
      </c>
      <c r="B200" s="16">
        <f>B189*(P_fusion-P_alpha)*1000000/((17.586-3.517)*1000000)/0.0000000000000000001602</f>
        <v>1.6497591895640297E+20</v>
      </c>
      <c r="E200" s="7">
        <f t="shared" si="21"/>
        <v>2.3000000000000007</v>
      </c>
      <c r="F200" s="7">
        <v>0.14735690427284578</v>
      </c>
      <c r="G200" s="7">
        <v>0.1491378766822026</v>
      </c>
      <c r="H200" s="7">
        <v>0.1506638758312342</v>
      </c>
      <c r="I200" s="7">
        <v>0.15197940367577326</v>
      </c>
      <c r="J200" s="7">
        <v>0.15312007342176737</v>
      </c>
      <c r="K200" s="7">
        <v>0.15411455551539002</v>
      </c>
    </row>
    <row r="201" spans="1:11" ht="12.75">
      <c r="A201" t="s">
        <v>432</v>
      </c>
      <c r="B201" s="16">
        <f>B200/B197/1000000</f>
        <v>480661943676.001</v>
      </c>
      <c r="E201" s="7">
        <f t="shared" si="21"/>
        <v>2.400000000000001</v>
      </c>
      <c r="F201" s="7">
        <v>0.15347397133363191</v>
      </c>
      <c r="G201" s="7">
        <v>0.1553288753155554</v>
      </c>
      <c r="H201" s="7">
        <v>0.15691822160923138</v>
      </c>
      <c r="I201" s="7">
        <v>0.1582883595318329</v>
      </c>
      <c r="J201" s="7">
        <v>0.15947638066163142</v>
      </c>
      <c r="K201" s="7">
        <v>0.1605121456098815</v>
      </c>
    </row>
    <row r="202" spans="1:11" ht="12.75">
      <c r="A202" s="24" t="s">
        <v>367</v>
      </c>
      <c r="B202" s="28">
        <v>6.022E+23</v>
      </c>
      <c r="C202" s="51"/>
      <c r="D202" s="24" t="s">
        <v>295</v>
      </c>
      <c r="E202" s="7">
        <f t="shared" si="21"/>
        <v>2.500000000000001</v>
      </c>
      <c r="F202" s="7">
        <v>0.15923014803353835</v>
      </c>
      <c r="G202" s="7">
        <v>0.16115462182582463</v>
      </c>
      <c r="H202" s="7">
        <v>0.16280357795447292</v>
      </c>
      <c r="I202" s="7">
        <v>0.16422510410868926</v>
      </c>
      <c r="J202" s="7">
        <v>0.16545768301911284</v>
      </c>
      <c r="K202" s="7">
        <v>0.1665322952455684</v>
      </c>
    </row>
    <row r="203" spans="1:11" ht="12.75">
      <c r="A203" s="24" t="s">
        <v>369</v>
      </c>
      <c r="B203" s="24">
        <v>17.586</v>
      </c>
      <c r="C203" s="51"/>
      <c r="D203" s="24" t="s">
        <v>298</v>
      </c>
      <c r="E203" s="7">
        <f t="shared" si="21"/>
        <v>2.600000000000001</v>
      </c>
      <c r="F203" s="7">
        <v>0.1646598033831509</v>
      </c>
      <c r="G203" s="7">
        <v>0.1666499006113915</v>
      </c>
      <c r="H203" s="7">
        <v>0.16835508518406103</v>
      </c>
      <c r="I203" s="7">
        <v>0.16982508455257234</v>
      </c>
      <c r="J203" s="7">
        <v>0.1710996936862762</v>
      </c>
      <c r="K203" s="7">
        <v>0.1722109495640515</v>
      </c>
    </row>
    <row r="204" spans="1:11" ht="12.75">
      <c r="A204" s="24"/>
      <c r="B204" s="28">
        <v>1.6E-19</v>
      </c>
      <c r="C204" s="51"/>
      <c r="D204" s="24" t="s">
        <v>368</v>
      </c>
      <c r="E204" s="7">
        <f>E203+0.1</f>
        <v>2.700000000000001</v>
      </c>
      <c r="F204" s="7">
        <v>0.16979286432675086</v>
      </c>
      <c r="G204" s="7">
        <v>0.1718450003170109</v>
      </c>
      <c r="H204" s="7">
        <v>0.17360334186030565</v>
      </c>
      <c r="I204" s="7">
        <v>0.17511916659840077</v>
      </c>
      <c r="J204" s="7">
        <v>0.17643351005844382</v>
      </c>
      <c r="K204" s="7">
        <v>0.17757940793157775</v>
      </c>
    </row>
    <row r="205" spans="1:11" ht="12.75">
      <c r="A205" s="24"/>
      <c r="B205" s="28">
        <f>B203*1000000*B204</f>
        <v>2.81376E-12</v>
      </c>
      <c r="C205" s="51"/>
      <c r="D205" s="24" t="s">
        <v>299</v>
      </c>
      <c r="E205" s="7">
        <f t="shared" si="21"/>
        <v>2.800000000000001</v>
      </c>
      <c r="F205" s="7">
        <v>0.174655531870671</v>
      </c>
      <c r="G205" s="7">
        <v>0.17676643861737665</v>
      </c>
      <c r="H205" s="7">
        <v>0.17857513699037456</v>
      </c>
      <c r="I205" s="7">
        <v>0.18013437316266287</v>
      </c>
      <c r="J205" s="7">
        <v>0.181486357870529</v>
      </c>
      <c r="K205" s="7">
        <v>0.1826650729083797</v>
      </c>
    </row>
    <row r="206" spans="1:11" ht="12.75">
      <c r="A206" s="24" t="s">
        <v>370</v>
      </c>
      <c r="B206" s="24">
        <v>3</v>
      </c>
      <c r="C206" s="51"/>
      <c r="D206" s="24" t="s">
        <v>371</v>
      </c>
      <c r="E206" s="7">
        <f>E205+0.1</f>
        <v>2.9000000000000012</v>
      </c>
      <c r="F206" s="7">
        <v>0.17927086021798172</v>
      </c>
      <c r="G206" s="7">
        <v>0.1814375483512959</v>
      </c>
      <c r="H206" s="7">
        <v>0.1832940421578722</v>
      </c>
      <c r="I206" s="7">
        <v>0.18489448164521755</v>
      </c>
      <c r="J206" s="7">
        <v>0.18628219298183982</v>
      </c>
      <c r="K206" s="7">
        <v>0.18749205594194251</v>
      </c>
    </row>
    <row r="207" spans="1:11" ht="12.75">
      <c r="A207" s="24" t="s">
        <v>297</v>
      </c>
      <c r="B207" s="28">
        <f>B206/B202</f>
        <v>4.981733643307871E-24</v>
      </c>
      <c r="C207" s="51"/>
      <c r="D207" s="24" t="s">
        <v>296</v>
      </c>
      <c r="E207" s="7">
        <f t="shared" si="21"/>
        <v>3.0000000000000013</v>
      </c>
      <c r="F207" s="7">
        <v>0.1836592289977144</v>
      </c>
      <c r="G207" s="7">
        <v>0.18587895545832891</v>
      </c>
      <c r="H207" s="7">
        <v>0.18778089434979323</v>
      </c>
      <c r="I207" s="7">
        <v>0.18942051097207044</v>
      </c>
      <c r="J207" s="7">
        <v>0.19084219207431724</v>
      </c>
      <c r="K207" s="7">
        <v>0.1920816712522225</v>
      </c>
    </row>
    <row r="208" spans="1:4" ht="12.75">
      <c r="A208" s="24" t="s">
        <v>300</v>
      </c>
      <c r="B208" s="28">
        <f>B205/B207</f>
        <v>564815424000</v>
      </c>
      <c r="C208" s="51"/>
      <c r="D208" s="24" t="s">
        <v>301</v>
      </c>
    </row>
    <row r="209" spans="1:4" ht="12.75">
      <c r="A209" s="24"/>
      <c r="B209" s="28">
        <f>B208*1000/1000000</f>
        <v>564815424</v>
      </c>
      <c r="C209" s="51"/>
      <c r="D209" s="24" t="s">
        <v>302</v>
      </c>
    </row>
    <row r="210" spans="1:4" ht="12.75">
      <c r="A210" s="24"/>
      <c r="B210" s="28">
        <f>B209/60/60/24</f>
        <v>6537.2155555555555</v>
      </c>
      <c r="C210" s="51"/>
      <c r="D210" s="24" t="s">
        <v>303</v>
      </c>
    </row>
    <row r="211" spans="1:4" ht="12.75">
      <c r="A211" s="52" t="s">
        <v>310</v>
      </c>
      <c r="B211" s="2">
        <f>(P_fusion)/B210*1000</f>
        <v>85.99886828872306</v>
      </c>
      <c r="C211" s="15"/>
      <c r="D211" s="2" t="s">
        <v>146</v>
      </c>
    </row>
    <row r="212" spans="1:2" ht="12.75">
      <c r="A212" s="52" t="s">
        <v>308</v>
      </c>
      <c r="B212">
        <v>1.2</v>
      </c>
    </row>
    <row r="213" spans="1:2" ht="12.75">
      <c r="A213" s="52" t="s">
        <v>168</v>
      </c>
      <c r="B213" s="23">
        <f>B212*B189</f>
        <v>0.9920921546848973</v>
      </c>
    </row>
    <row r="214" spans="1:4" ht="12.75">
      <c r="A214" s="52" t="s">
        <v>147</v>
      </c>
      <c r="B214" s="2">
        <f>B211*B213</f>
        <v>85.31880254102195</v>
      </c>
      <c r="D214" t="s">
        <v>146</v>
      </c>
    </row>
    <row r="215" spans="1:4" ht="12.75">
      <c r="A215" s="54" t="s">
        <v>148</v>
      </c>
      <c r="B215" s="2">
        <f>B211-B214</f>
        <v>0.6800657477011072</v>
      </c>
      <c r="C215" s="15"/>
      <c r="D215" s="2" t="s">
        <v>146</v>
      </c>
    </row>
    <row r="216" spans="1:2" ht="12.75">
      <c r="A216" s="52" t="s">
        <v>304</v>
      </c>
      <c r="B216" s="23">
        <v>0.3</v>
      </c>
    </row>
    <row r="217" spans="1:4" ht="12.75">
      <c r="A217" s="52" t="s">
        <v>305</v>
      </c>
      <c r="B217">
        <f>365*B216</f>
        <v>109.5</v>
      </c>
      <c r="D217" t="s">
        <v>306</v>
      </c>
    </row>
    <row r="218" spans="1:4" ht="12.75">
      <c r="A218" s="52" t="s">
        <v>310</v>
      </c>
      <c r="B218" s="16">
        <f>(P_fusion)*B217/B210</f>
        <v>9.416876077615175</v>
      </c>
      <c r="D218" t="s">
        <v>307</v>
      </c>
    </row>
    <row r="219" spans="1:4" ht="12.75">
      <c r="A219" s="52" t="s">
        <v>309</v>
      </c>
      <c r="B219" s="16">
        <f>B213*B218</f>
        <v>9.342408878241903</v>
      </c>
      <c r="D219" t="s">
        <v>307</v>
      </c>
    </row>
    <row r="220" spans="1:4" ht="12.75">
      <c r="A220" s="52" t="s">
        <v>148</v>
      </c>
      <c r="B220" s="16">
        <f>B218-B219</f>
        <v>0.07446719937327195</v>
      </c>
      <c r="D220" t="s">
        <v>307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4" sqref="B4"/>
    </sheetView>
  </sheetViews>
  <sheetFormatPr defaultColWidth="11.00390625" defaultRowHeight="12"/>
  <cols>
    <col min="2" max="2" width="12.125" style="0" bestFit="1" customWidth="1"/>
  </cols>
  <sheetData>
    <row r="1" spans="1:4" ht="12.75">
      <c r="A1" t="s">
        <v>34</v>
      </c>
      <c r="B1" s="16">
        <f>0.000000037</f>
        <v>3.7E-08</v>
      </c>
      <c r="C1" t="s">
        <v>35</v>
      </c>
      <c r="D1" s="16"/>
    </row>
    <row r="2" spans="1:3" ht="12.75">
      <c r="A2" t="s">
        <v>383</v>
      </c>
      <c r="B2" s="37">
        <f>Itf/(2*PI()*B4*B6)</f>
        <v>958663.4537340053</v>
      </c>
      <c r="C2" t="s">
        <v>27</v>
      </c>
    </row>
    <row r="3" spans="1:3" ht="12.75">
      <c r="A3" t="s">
        <v>33</v>
      </c>
      <c r="B3" s="2">
        <f>Base!B31/B2</f>
        <v>20.85232123820225</v>
      </c>
      <c r="C3" t="s">
        <v>28</v>
      </c>
    </row>
    <row r="4" spans="1:3" ht="12.75">
      <c r="A4" t="s">
        <v>32</v>
      </c>
      <c r="B4" s="7">
        <f>Shape!B17+Shape!D17/2+0.1+TF_outer!B6/2</f>
        <v>4.425</v>
      </c>
      <c r="C4" t="s">
        <v>482</v>
      </c>
    </row>
    <row r="5" spans="1:3" ht="12.75">
      <c r="A5" t="s">
        <v>40</v>
      </c>
      <c r="B5" s="2">
        <f>TF_Heating!D45</f>
        <v>6.999999999999999</v>
      </c>
      <c r="C5" t="s">
        <v>482</v>
      </c>
    </row>
    <row r="6" spans="1:3" ht="12.75">
      <c r="A6" t="s">
        <v>31</v>
      </c>
      <c r="B6" s="43">
        <v>0.75</v>
      </c>
      <c r="C6" t="s">
        <v>482</v>
      </c>
    </row>
    <row r="7" spans="1:3" ht="12.75">
      <c r="A7" t="s">
        <v>375</v>
      </c>
      <c r="B7" s="16">
        <f>2*B1*B5/B3</f>
        <v>2.484135910255421E-08</v>
      </c>
      <c r="C7" t="s">
        <v>37</v>
      </c>
    </row>
    <row r="8" spans="1:3" ht="12.75">
      <c r="A8" t="s">
        <v>384</v>
      </c>
      <c r="B8" s="37">
        <f>Itf/(2*PI()*B11*B12)</f>
        <v>1217823.6696955904</v>
      </c>
      <c r="C8" t="s">
        <v>27</v>
      </c>
    </row>
    <row r="9" spans="1:3" ht="12.75">
      <c r="A9" t="s">
        <v>385</v>
      </c>
      <c r="B9" s="2">
        <f>B3*B2/B8</f>
        <v>16.41482161500667</v>
      </c>
      <c r="C9" t="s">
        <v>28</v>
      </c>
    </row>
    <row r="10" spans="1:3" ht="12.75">
      <c r="A10" t="s">
        <v>36</v>
      </c>
      <c r="B10" s="2">
        <f>B4</f>
        <v>4.425</v>
      </c>
      <c r="C10" t="s">
        <v>482</v>
      </c>
    </row>
    <row r="11" spans="1:3" ht="12.75">
      <c r="A11" t="s">
        <v>29</v>
      </c>
      <c r="B11" s="16">
        <f>((Base!B27*Base!B37)+B10)/2</f>
        <v>2.6125</v>
      </c>
      <c r="C11" t="s">
        <v>482</v>
      </c>
    </row>
    <row r="12" spans="1:3" ht="12.75">
      <c r="A12" t="s">
        <v>30</v>
      </c>
      <c r="B12" s="43">
        <v>1</v>
      </c>
      <c r="C12" t="s">
        <v>482</v>
      </c>
    </row>
    <row r="13" spans="1:3" ht="12.75">
      <c r="A13" t="s">
        <v>41</v>
      </c>
      <c r="B13" s="16">
        <f>2*B1*(LN(B10)-LN(Base!B27*Base!B37))/2/PI()/TF_outer!B12</f>
        <v>2.0144340364855317E-08</v>
      </c>
      <c r="C13" t="s">
        <v>37</v>
      </c>
    </row>
    <row r="14" spans="1:3" ht="12.75">
      <c r="A14" t="s">
        <v>38</v>
      </c>
      <c r="B14" s="16">
        <f>B13+B7</f>
        <v>4.4985699467409526E-08</v>
      </c>
      <c r="C14" t="s">
        <v>37</v>
      </c>
    </row>
    <row r="15" spans="1:3" ht="12.75">
      <c r="A15" t="s">
        <v>26</v>
      </c>
      <c r="B15" s="2">
        <f>Base!B31^2*B14/1000000</f>
        <v>17.976934418058825</v>
      </c>
      <c r="C15" t="s">
        <v>39</v>
      </c>
    </row>
    <row r="17" spans="1:2" ht="12.75">
      <c r="A17" t="s">
        <v>382</v>
      </c>
      <c r="B17" s="4">
        <f>B15/Base!B39</f>
        <v>0.10101176195534566</v>
      </c>
    </row>
    <row r="19" spans="1:3" ht="12.75">
      <c r="A19" t="s">
        <v>128</v>
      </c>
      <c r="B19">
        <v>2670</v>
      </c>
      <c r="C19" t="s">
        <v>130</v>
      </c>
    </row>
    <row r="20" spans="1:2" ht="12.75">
      <c r="A20" t="s">
        <v>127</v>
      </c>
      <c r="B20" s="16">
        <f>2*PI()*(B10^2-(drtf*Base!B37)^2)*B12*B19</f>
        <v>317749.90941249154</v>
      </c>
    </row>
    <row r="21" spans="1:2" ht="12.75">
      <c r="A21" t="s">
        <v>129</v>
      </c>
      <c r="B21" s="16">
        <f>2*2*PI()*B4*B5*B6*B19</f>
        <v>779459.7678840001</v>
      </c>
    </row>
    <row r="22" spans="1:2" ht="12.75">
      <c r="A22" t="s">
        <v>131</v>
      </c>
      <c r="B22" s="16">
        <f>SUM(B19:B21)</f>
        <v>1099879.6772964916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3"/>
  <sheetViews>
    <sheetView workbookViewId="0" topLeftCell="A1">
      <selection activeCell="E29" sqref="E29"/>
    </sheetView>
  </sheetViews>
  <sheetFormatPr defaultColWidth="11.00390625" defaultRowHeight="12"/>
  <cols>
    <col min="6" max="6" width="18.375" style="0" bestFit="1" customWidth="1"/>
    <col min="7" max="7" width="6.625" style="0" customWidth="1"/>
    <col min="8" max="8" width="6.50390625" style="0" customWidth="1"/>
    <col min="9" max="9" width="5.625" style="0" customWidth="1"/>
    <col min="10" max="10" width="6.625" style="0" customWidth="1"/>
    <col min="11" max="11" width="18.375" style="0" bestFit="1" customWidth="1"/>
    <col min="12" max="12" width="6.625" style="0" customWidth="1"/>
    <col min="13" max="13" width="6.50390625" style="0" customWidth="1"/>
    <col min="14" max="14" width="5.625" style="0" customWidth="1"/>
    <col min="15" max="15" width="6.625" style="0" customWidth="1"/>
    <col min="16" max="16" width="18.375" style="0" bestFit="1" customWidth="1"/>
    <col min="17" max="17" width="6.625" style="0" customWidth="1"/>
    <col min="18" max="18" width="6.50390625" style="0" customWidth="1"/>
  </cols>
  <sheetData>
    <row r="1" spans="1:20" ht="12.75">
      <c r="A1" s="24" t="s">
        <v>101</v>
      </c>
      <c r="B1" s="29">
        <f>A</f>
        <v>1.5</v>
      </c>
      <c r="F1" s="24" t="s">
        <v>101</v>
      </c>
      <c r="G1" s="29">
        <v>1.5</v>
      </c>
      <c r="K1" s="24" t="s">
        <v>101</v>
      </c>
      <c r="L1" s="29">
        <v>1.5</v>
      </c>
      <c r="P1" s="25"/>
      <c r="Q1" s="25"/>
      <c r="R1" s="7"/>
      <c r="S1" s="7"/>
      <c r="T1" s="7"/>
    </row>
    <row r="2" spans="1:20" ht="12.75">
      <c r="A2" s="24" t="s">
        <v>429</v>
      </c>
      <c r="B2" s="29">
        <f>R0</f>
        <v>1.5</v>
      </c>
      <c r="F2" s="24" t="s">
        <v>429</v>
      </c>
      <c r="G2" s="29">
        <v>1.5</v>
      </c>
      <c r="K2" s="24" t="s">
        <v>429</v>
      </c>
      <c r="L2" s="29">
        <v>1.2</v>
      </c>
      <c r="P2" s="25"/>
      <c r="Q2" s="25"/>
      <c r="R2" s="7"/>
      <c r="S2" s="7"/>
      <c r="T2" s="7"/>
    </row>
    <row r="3" spans="1:20" ht="12.75">
      <c r="A3" s="24" t="s">
        <v>461</v>
      </c>
      <c r="B3" s="29">
        <f>Base!B15</f>
        <v>2.5</v>
      </c>
      <c r="C3" t="s">
        <v>234</v>
      </c>
      <c r="F3" s="24" t="s">
        <v>461</v>
      </c>
      <c r="G3" s="29">
        <v>2.5</v>
      </c>
      <c r="H3" t="s">
        <v>234</v>
      </c>
      <c r="K3" s="24" t="s">
        <v>461</v>
      </c>
      <c r="L3" s="29">
        <v>2</v>
      </c>
      <c r="M3" t="s">
        <v>234</v>
      </c>
      <c r="P3" s="25"/>
      <c r="Q3" s="25"/>
      <c r="R3" s="7"/>
      <c r="S3" s="7"/>
      <c r="T3" s="7"/>
    </row>
    <row r="4" spans="1:20" ht="12.75">
      <c r="A4" s="24" t="s">
        <v>102</v>
      </c>
      <c r="B4" s="29">
        <f>kappa</f>
        <v>3</v>
      </c>
      <c r="F4" s="24" t="s">
        <v>102</v>
      </c>
      <c r="G4" s="29">
        <v>3</v>
      </c>
      <c r="K4" s="24" t="s">
        <v>102</v>
      </c>
      <c r="L4" s="29">
        <v>3</v>
      </c>
      <c r="P4" s="25"/>
      <c r="Q4" s="25"/>
      <c r="R4" s="7"/>
      <c r="S4" s="7"/>
      <c r="T4" s="7"/>
    </row>
    <row r="5" spans="1:20" ht="12.75">
      <c r="A5" s="24" t="s">
        <v>265</v>
      </c>
      <c r="B5" s="29">
        <f>B4*B2/B1</f>
        <v>3</v>
      </c>
      <c r="C5" s="8"/>
      <c r="F5" s="24" t="s">
        <v>265</v>
      </c>
      <c r="G5" s="29">
        <v>3</v>
      </c>
      <c r="H5" s="8"/>
      <c r="K5" s="24" t="s">
        <v>265</v>
      </c>
      <c r="L5" s="29">
        <v>2.4</v>
      </c>
      <c r="M5" s="8"/>
      <c r="P5" s="25"/>
      <c r="Q5" s="25"/>
      <c r="R5" s="7"/>
      <c r="S5" s="7"/>
      <c r="T5" s="7"/>
    </row>
    <row r="6" spans="1:20" ht="12.75">
      <c r="A6" s="24" t="s">
        <v>266</v>
      </c>
      <c r="B6" s="29">
        <f>2*PI()*(R0+R0/A)*kappa*R0/A</f>
        <v>47.123889803846886</v>
      </c>
      <c r="F6" s="24" t="s">
        <v>266</v>
      </c>
      <c r="G6" s="29">
        <v>47.123889803846886</v>
      </c>
      <c r="K6" s="24" t="s">
        <v>266</v>
      </c>
      <c r="L6" s="29">
        <v>30.159289474462014</v>
      </c>
      <c r="P6" s="25"/>
      <c r="Q6" s="25"/>
      <c r="R6" s="7"/>
      <c r="S6" s="7"/>
      <c r="T6" s="7"/>
    </row>
    <row r="7" spans="1:20" ht="12.75">
      <c r="A7" s="52" t="s">
        <v>160</v>
      </c>
      <c r="B7" s="29">
        <v>0.1</v>
      </c>
      <c r="F7" s="52" t="s">
        <v>160</v>
      </c>
      <c r="G7" s="29">
        <v>0.1</v>
      </c>
      <c r="K7" s="52" t="s">
        <v>160</v>
      </c>
      <c r="L7" s="29">
        <v>0.1</v>
      </c>
      <c r="P7" s="7"/>
      <c r="Q7" s="7"/>
      <c r="R7" s="7"/>
      <c r="S7" s="7"/>
      <c r="T7" s="7"/>
    </row>
    <row r="8" spans="1:20" ht="12.75">
      <c r="A8" s="24"/>
      <c r="B8" s="29" t="s">
        <v>267</v>
      </c>
      <c r="C8" s="24" t="s">
        <v>268</v>
      </c>
      <c r="D8" s="24" t="s">
        <v>269</v>
      </c>
      <c r="E8" s="24" t="s">
        <v>270</v>
      </c>
      <c r="F8" s="24"/>
      <c r="G8" s="29" t="s">
        <v>267</v>
      </c>
      <c r="H8" s="24" t="s">
        <v>268</v>
      </c>
      <c r="I8" s="24" t="s">
        <v>269</v>
      </c>
      <c r="J8" s="24" t="s">
        <v>270</v>
      </c>
      <c r="K8" s="24"/>
      <c r="L8" s="29" t="s">
        <v>267</v>
      </c>
      <c r="M8" s="24" t="s">
        <v>268</v>
      </c>
      <c r="N8" s="24" t="s">
        <v>269</v>
      </c>
      <c r="O8" s="24" t="s">
        <v>270</v>
      </c>
      <c r="P8" s="7"/>
      <c r="Q8" s="49"/>
      <c r="R8" s="49"/>
      <c r="S8" s="49"/>
      <c r="T8" s="49"/>
    </row>
    <row r="9" spans="1:20" ht="12.75">
      <c r="A9" s="24" t="s">
        <v>271</v>
      </c>
      <c r="B9" s="25">
        <v>0</v>
      </c>
      <c r="C9" s="25">
        <v>0</v>
      </c>
      <c r="D9" s="25">
        <f>drtf</f>
        <v>0.4</v>
      </c>
      <c r="E9" s="25">
        <f>Base!B35</f>
        <v>5.400000000000001</v>
      </c>
      <c r="F9" s="24" t="s">
        <v>271</v>
      </c>
      <c r="G9" s="25">
        <v>0</v>
      </c>
      <c r="H9" s="25">
        <v>0</v>
      </c>
      <c r="I9" s="25">
        <v>0.4</v>
      </c>
      <c r="J9" s="25">
        <v>5.4</v>
      </c>
      <c r="K9" s="24" t="s">
        <v>271</v>
      </c>
      <c r="L9" s="25">
        <v>0</v>
      </c>
      <c r="M9" s="25">
        <v>0</v>
      </c>
      <c r="N9" s="25">
        <v>0.3</v>
      </c>
      <c r="O9" s="25">
        <v>4.32</v>
      </c>
      <c r="P9" s="25"/>
      <c r="Q9" s="25"/>
      <c r="R9" s="25"/>
      <c r="S9" s="25"/>
      <c r="T9" s="25"/>
    </row>
    <row r="10" spans="1:20" ht="12.75">
      <c r="A10" s="24" t="s">
        <v>272</v>
      </c>
      <c r="B10" s="25">
        <v>0</v>
      </c>
      <c r="C10" s="25">
        <f>TF_Heating!D45-TF_Heating!D35/2</f>
        <v>5.196410161513775</v>
      </c>
      <c r="D10" s="25">
        <f>2*TF_Heating!B4</f>
        <v>1.6</v>
      </c>
      <c r="E10" s="25">
        <f>TF_Heating!D35</f>
        <v>3.6071796769724482</v>
      </c>
      <c r="F10" s="24" t="s">
        <v>272</v>
      </c>
      <c r="G10" s="25">
        <v>0</v>
      </c>
      <c r="H10" s="25">
        <v>5.196410161513775</v>
      </c>
      <c r="I10" s="25">
        <v>1.6</v>
      </c>
      <c r="J10" s="25">
        <v>3.6071796769724482</v>
      </c>
      <c r="K10" s="24" t="s">
        <v>272</v>
      </c>
      <c r="L10" s="25">
        <v>0</v>
      </c>
      <c r="M10" s="25">
        <v>4.539807621135331</v>
      </c>
      <c r="N10" s="25">
        <v>1.2</v>
      </c>
      <c r="O10" s="25">
        <v>3.720384757729337</v>
      </c>
      <c r="P10" s="25"/>
      <c r="Q10" s="25"/>
      <c r="R10" s="25"/>
      <c r="S10" s="25"/>
      <c r="T10" s="25"/>
    </row>
    <row r="11" spans="1:20" ht="12.75">
      <c r="A11" s="24" t="s">
        <v>273</v>
      </c>
      <c r="B11" s="25">
        <f>D10/2+drfw+Shape!D11/2</f>
        <v>1.15</v>
      </c>
      <c r="C11" s="25">
        <f>B5+2.5</f>
        <v>5.5</v>
      </c>
      <c r="D11" s="25">
        <v>0.5</v>
      </c>
      <c r="E11" s="25">
        <f>Base!B51</f>
        <v>0.6075682702636283</v>
      </c>
      <c r="F11" s="24" t="s">
        <v>273</v>
      </c>
      <c r="G11" s="25">
        <v>1.15</v>
      </c>
      <c r="H11" s="25">
        <v>5.5</v>
      </c>
      <c r="I11" s="25">
        <v>0.5</v>
      </c>
      <c r="J11" s="25">
        <v>0.5</v>
      </c>
      <c r="K11" s="24" t="s">
        <v>273</v>
      </c>
      <c r="L11" s="25">
        <v>0.95</v>
      </c>
      <c r="M11" s="25">
        <v>4.9</v>
      </c>
      <c r="N11" s="25">
        <v>0.5</v>
      </c>
      <c r="O11" s="25">
        <v>0.5</v>
      </c>
      <c r="P11" s="25"/>
      <c r="Q11" s="25"/>
      <c r="R11" s="25"/>
      <c r="S11" s="25"/>
      <c r="T11" s="25"/>
    </row>
    <row r="12" spans="1:20" ht="12.75">
      <c r="A12" s="24" t="s">
        <v>167</v>
      </c>
      <c r="B12" s="25">
        <f>Base!B44</f>
        <v>5.503784135131815</v>
      </c>
      <c r="C12" s="25">
        <f>C11</f>
        <v>5.5</v>
      </c>
      <c r="D12" s="25">
        <f>Base!B51</f>
        <v>0.6075682702636283</v>
      </c>
      <c r="E12" s="25">
        <f>Base!B52</f>
        <v>1.2151365405272565</v>
      </c>
      <c r="F12" s="24" t="s">
        <v>167</v>
      </c>
      <c r="G12" s="25">
        <v>5.5037841350041585</v>
      </c>
      <c r="H12" s="25">
        <v>5.5</v>
      </c>
      <c r="I12" s="25">
        <v>0.6075682700083166</v>
      </c>
      <c r="J12" s="25">
        <v>1.2151365400166332</v>
      </c>
      <c r="K12" s="24" t="s">
        <v>167</v>
      </c>
      <c r="L12" s="25">
        <v>4.980327732668033</v>
      </c>
      <c r="M12" s="25">
        <v>4.9</v>
      </c>
      <c r="N12" s="25">
        <v>0.5606554653360654</v>
      </c>
      <c r="O12" s="25">
        <v>1.1213109306721307</v>
      </c>
      <c r="P12" s="25"/>
      <c r="Q12" s="25"/>
      <c r="R12" s="25"/>
      <c r="S12" s="25"/>
      <c r="T12" s="25"/>
    </row>
    <row r="13" spans="1:20" ht="12.75">
      <c r="A13" s="24" t="s">
        <v>502</v>
      </c>
      <c r="B13" s="25">
        <f>B12</f>
        <v>5.503784135131815</v>
      </c>
      <c r="C13" s="25">
        <f>2.25+E13/2</f>
        <v>2.857568270263628</v>
      </c>
      <c r="D13" s="25">
        <f>D12</f>
        <v>0.6075682702636283</v>
      </c>
      <c r="E13" s="25">
        <f>E12</f>
        <v>1.2151365405272565</v>
      </c>
      <c r="F13" s="24" t="s">
        <v>502</v>
      </c>
      <c r="G13" s="25">
        <v>5.5037841350041585</v>
      </c>
      <c r="H13" s="25">
        <v>2.8575682700083167</v>
      </c>
      <c r="I13" s="25">
        <v>0.6075682700083166</v>
      </c>
      <c r="J13" s="25">
        <v>1.2151365400166332</v>
      </c>
      <c r="K13" s="24" t="s">
        <v>502</v>
      </c>
      <c r="L13" s="25">
        <v>4.980327732668033</v>
      </c>
      <c r="M13" s="25">
        <v>2.8106554653360654</v>
      </c>
      <c r="N13" s="25">
        <v>0.5606554653360654</v>
      </c>
      <c r="O13" s="25">
        <v>1.1213109306721307</v>
      </c>
      <c r="P13" s="25"/>
      <c r="Q13" s="25"/>
      <c r="R13" s="25"/>
      <c r="S13" s="25"/>
      <c r="T13" s="25"/>
    </row>
    <row r="14" spans="1:20" ht="12.75">
      <c r="A14" s="24" t="s">
        <v>238</v>
      </c>
      <c r="B14" s="25">
        <f>B3+OSOL+D14/2</f>
        <v>2.625</v>
      </c>
      <c r="C14" s="25">
        <v>0</v>
      </c>
      <c r="D14" s="25">
        <v>0.05</v>
      </c>
      <c r="E14" s="25">
        <f>2*(C11-E11/2)</f>
        <v>10.392431729736371</v>
      </c>
      <c r="F14" s="24" t="s">
        <v>238</v>
      </c>
      <c r="G14" s="25">
        <v>2.625</v>
      </c>
      <c r="H14" s="25">
        <v>0</v>
      </c>
      <c r="I14" s="25">
        <v>0.05</v>
      </c>
      <c r="J14" s="25">
        <v>10.5</v>
      </c>
      <c r="K14" s="24" t="s">
        <v>238</v>
      </c>
      <c r="L14" s="25">
        <v>2.125</v>
      </c>
      <c r="M14" s="25">
        <v>0</v>
      </c>
      <c r="N14" s="25">
        <v>0.05</v>
      </c>
      <c r="O14" s="25">
        <v>9.3</v>
      </c>
      <c r="P14" s="25"/>
      <c r="Q14" s="25"/>
      <c r="R14" s="25"/>
      <c r="S14" s="25"/>
      <c r="T14" s="25"/>
    </row>
    <row r="15" spans="1:20" ht="12.75">
      <c r="A15" s="24" t="s">
        <v>239</v>
      </c>
      <c r="B15" s="25">
        <f>B14+D14/2+D15/2</f>
        <v>2.9499999999999997</v>
      </c>
      <c r="C15" s="25">
        <v>0</v>
      </c>
      <c r="D15" s="25">
        <v>0.6</v>
      </c>
      <c r="E15" s="25">
        <f>E14</f>
        <v>10.392431729736371</v>
      </c>
      <c r="F15" s="24" t="s">
        <v>239</v>
      </c>
      <c r="G15" s="25">
        <v>2.95</v>
      </c>
      <c r="H15" s="25">
        <v>0</v>
      </c>
      <c r="I15" s="25">
        <v>0.6</v>
      </c>
      <c r="J15" s="25">
        <v>10.5</v>
      </c>
      <c r="K15" s="24" t="s">
        <v>239</v>
      </c>
      <c r="L15" s="25">
        <v>2.45</v>
      </c>
      <c r="M15" s="25">
        <v>0</v>
      </c>
      <c r="N15" s="25">
        <v>0.6</v>
      </c>
      <c r="O15" s="25">
        <v>9.3</v>
      </c>
      <c r="P15" s="25"/>
      <c r="Q15" s="25"/>
      <c r="R15" s="25"/>
      <c r="S15" s="25"/>
      <c r="T15" s="25"/>
    </row>
    <row r="16" spans="1:20" ht="12.75">
      <c r="A16" s="24" t="s">
        <v>240</v>
      </c>
      <c r="B16" s="25">
        <f>B15+D15/2+D16/2</f>
        <v>3.3999999999999995</v>
      </c>
      <c r="C16" s="25">
        <v>0</v>
      </c>
      <c r="D16" s="25">
        <v>0.3</v>
      </c>
      <c r="E16" s="25">
        <f>E15</f>
        <v>10.392431729736371</v>
      </c>
      <c r="F16" s="24" t="s">
        <v>240</v>
      </c>
      <c r="G16" s="25">
        <v>3.4</v>
      </c>
      <c r="H16" s="25">
        <v>0</v>
      </c>
      <c r="I16" s="25">
        <v>0.3</v>
      </c>
      <c r="J16" s="25">
        <v>10.5</v>
      </c>
      <c r="K16" s="24" t="s">
        <v>240</v>
      </c>
      <c r="L16" s="25">
        <v>2.9</v>
      </c>
      <c r="M16" s="25">
        <v>0</v>
      </c>
      <c r="N16" s="25">
        <v>0.3</v>
      </c>
      <c r="O16" s="25">
        <v>9.3</v>
      </c>
      <c r="P16" s="25"/>
      <c r="Q16" s="25"/>
      <c r="R16" s="25"/>
      <c r="S16" s="25"/>
      <c r="T16" s="25"/>
    </row>
    <row r="17" spans="1:20" ht="12.75">
      <c r="A17" s="24" t="s">
        <v>241</v>
      </c>
      <c r="B17" s="25">
        <f>B16+D16/2+D17/2</f>
        <v>3.7499999999999996</v>
      </c>
      <c r="C17" s="25">
        <v>0</v>
      </c>
      <c r="D17" s="25">
        <v>0.4</v>
      </c>
      <c r="E17" s="25">
        <f>E16</f>
        <v>10.392431729736371</v>
      </c>
      <c r="F17" s="24" t="s">
        <v>241</v>
      </c>
      <c r="G17" s="25">
        <v>3.75</v>
      </c>
      <c r="H17" s="25">
        <v>0</v>
      </c>
      <c r="I17" s="25">
        <v>0.4</v>
      </c>
      <c r="J17" s="25">
        <v>10.5</v>
      </c>
      <c r="K17" s="24" t="s">
        <v>241</v>
      </c>
      <c r="L17" s="25">
        <v>3.25</v>
      </c>
      <c r="M17" s="25">
        <v>0</v>
      </c>
      <c r="N17" s="25">
        <v>0.4</v>
      </c>
      <c r="O17" s="25">
        <v>9.3</v>
      </c>
      <c r="P17" s="25"/>
      <c r="Q17" s="25"/>
      <c r="R17" s="25"/>
      <c r="S17" s="25"/>
      <c r="T17" s="25"/>
    </row>
    <row r="18" spans="1:20" ht="12.75">
      <c r="A18" s="24" t="s">
        <v>236</v>
      </c>
      <c r="B18" s="25">
        <f>TF_outer!B4</f>
        <v>4.425</v>
      </c>
      <c r="C18" s="25">
        <v>0</v>
      </c>
      <c r="D18" s="25">
        <f>TF_outer!B6</f>
        <v>0.75</v>
      </c>
      <c r="E18" s="25">
        <f>2*(C10+E10/2)</f>
        <v>13.999999999999998</v>
      </c>
      <c r="F18" s="24" t="s">
        <v>236</v>
      </c>
      <c r="G18" s="25">
        <v>4.425</v>
      </c>
      <c r="H18" s="25">
        <v>0</v>
      </c>
      <c r="I18" s="25">
        <v>0.75</v>
      </c>
      <c r="J18" s="25">
        <v>14</v>
      </c>
      <c r="K18" s="24" t="s">
        <v>236</v>
      </c>
      <c r="L18" s="25">
        <v>3.925</v>
      </c>
      <c r="M18" s="25">
        <v>0</v>
      </c>
      <c r="N18" s="25">
        <v>0.75</v>
      </c>
      <c r="O18" s="25">
        <v>12.8</v>
      </c>
      <c r="P18" s="25"/>
      <c r="Q18" s="25"/>
      <c r="R18" s="25"/>
      <c r="S18" s="25"/>
      <c r="T18" s="25"/>
    </row>
    <row r="19" spans="1:20" ht="12.75">
      <c r="A19" s="24" t="s">
        <v>235</v>
      </c>
      <c r="B19" s="25">
        <f>D10/2+D19/2</f>
        <v>2.425</v>
      </c>
      <c r="C19" s="25">
        <f>E18/2-E19/2</f>
        <v>6.499999999999999</v>
      </c>
      <c r="D19" s="25">
        <f>B18-D18/2-D10/2</f>
        <v>3.25</v>
      </c>
      <c r="E19" s="25">
        <f>TF_outer!B12</f>
        <v>1</v>
      </c>
      <c r="F19" s="24" t="s">
        <v>235</v>
      </c>
      <c r="G19" s="25">
        <v>2.425</v>
      </c>
      <c r="H19" s="25">
        <v>6.5</v>
      </c>
      <c r="I19" s="25">
        <v>3.25</v>
      </c>
      <c r="J19" s="25">
        <v>1</v>
      </c>
      <c r="K19" s="24" t="s">
        <v>235</v>
      </c>
      <c r="L19" s="25">
        <v>2.075</v>
      </c>
      <c r="M19" s="25">
        <v>5.9</v>
      </c>
      <c r="N19" s="25">
        <v>2.95</v>
      </c>
      <c r="O19" s="25">
        <v>1</v>
      </c>
      <c r="P19" s="25"/>
      <c r="Q19" s="25"/>
      <c r="R19" s="25"/>
      <c r="S19" s="25"/>
      <c r="T19" s="25"/>
    </row>
    <row r="20" spans="1:20" ht="12.75">
      <c r="A20" s="24" t="s">
        <v>237</v>
      </c>
      <c r="B20" s="24">
        <f aca="true" t="shared" si="0" ref="B20:B56">R0+R0/A*COS(A77+d*SIN(A77))</f>
        <v>2.5</v>
      </c>
      <c r="C20" s="24">
        <f aca="true" t="shared" si="1" ref="C20:C56">k*R0/A*SIN(A77)</f>
        <v>0</v>
      </c>
      <c r="D20" s="24"/>
      <c r="E20" s="24"/>
      <c r="F20" s="24" t="s">
        <v>237</v>
      </c>
      <c r="G20" s="24">
        <v>2.5</v>
      </c>
      <c r="H20" s="24">
        <v>0</v>
      </c>
      <c r="I20" s="24"/>
      <c r="J20" s="24"/>
      <c r="K20" s="24" t="s">
        <v>237</v>
      </c>
      <c r="L20" s="24">
        <v>2</v>
      </c>
      <c r="M20" s="24">
        <v>0</v>
      </c>
      <c r="N20" s="24"/>
      <c r="O20" s="24"/>
      <c r="P20" s="50"/>
      <c r="Q20" s="25"/>
      <c r="R20" s="25"/>
      <c r="S20" s="7"/>
      <c r="T20" s="7"/>
    </row>
    <row r="21" spans="2:20" ht="12.75">
      <c r="B21" s="24">
        <f t="shared" si="0"/>
        <v>2.470381281432179</v>
      </c>
      <c r="C21" s="24">
        <f t="shared" si="1"/>
        <v>0.5209445330007911</v>
      </c>
      <c r="F21" s="7"/>
      <c r="G21" s="25">
        <v>2.470381281432179</v>
      </c>
      <c r="H21" s="25">
        <v>0.5209445330007911</v>
      </c>
      <c r="I21" s="7"/>
      <c r="J21" s="7"/>
      <c r="L21" s="24">
        <v>1.976305025145743</v>
      </c>
      <c r="M21" s="24">
        <v>0.41675562640063285</v>
      </c>
      <c r="P21" s="7"/>
      <c r="Q21" s="25"/>
      <c r="R21" s="25"/>
      <c r="S21" s="7"/>
      <c r="T21" s="7"/>
    </row>
    <row r="22" spans="2:20" ht="12.75">
      <c r="B22" s="24">
        <f t="shared" si="0"/>
        <v>2.38426718825206</v>
      </c>
      <c r="C22" s="24">
        <f t="shared" si="1"/>
        <v>1.0260604299770062</v>
      </c>
      <c r="F22" s="7"/>
      <c r="G22" s="25">
        <v>2.38426718825206</v>
      </c>
      <c r="H22" s="25">
        <v>1.0260604299770062</v>
      </c>
      <c r="I22" s="7"/>
      <c r="J22" s="7"/>
      <c r="L22" s="24">
        <v>1.907413750601648</v>
      </c>
      <c r="M22" s="24">
        <v>0.8208483439816049</v>
      </c>
      <c r="P22" s="7"/>
      <c r="Q22" s="25"/>
      <c r="R22" s="25"/>
      <c r="S22" s="7"/>
      <c r="T22" s="7"/>
    </row>
    <row r="23" spans="2:20" ht="12.75">
      <c r="B23" s="24">
        <f t="shared" si="0"/>
        <v>2.249427888413064</v>
      </c>
      <c r="C23" s="24">
        <f t="shared" si="1"/>
        <v>1.5</v>
      </c>
      <c r="F23" s="7"/>
      <c r="G23" s="25">
        <v>2.249427888413064</v>
      </c>
      <c r="H23" s="25">
        <v>1.5</v>
      </c>
      <c r="I23" s="7"/>
      <c r="J23" s="7"/>
      <c r="L23" s="24">
        <v>1.799542310730451</v>
      </c>
      <c r="M23" s="24">
        <v>1.2</v>
      </c>
      <c r="P23" s="7"/>
      <c r="Q23" s="25"/>
      <c r="R23" s="25"/>
      <c r="S23" s="7"/>
      <c r="T23" s="7"/>
    </row>
    <row r="24" spans="2:20" ht="12.75">
      <c r="B24" s="24">
        <f t="shared" si="0"/>
        <v>2.0774073192149687</v>
      </c>
      <c r="C24" s="24">
        <f t="shared" si="1"/>
        <v>1.9283628290596182</v>
      </c>
      <c r="F24" s="7"/>
      <c r="G24" s="25">
        <v>2.0774073192149687</v>
      </c>
      <c r="H24" s="25">
        <v>1.9283628290596182</v>
      </c>
      <c r="I24" s="7"/>
      <c r="J24" s="7"/>
      <c r="L24" s="24">
        <v>1.6619258553719747</v>
      </c>
      <c r="M24" s="24">
        <v>1.5426902632476944</v>
      </c>
      <c r="P24" s="7"/>
      <c r="Q24" s="25"/>
      <c r="R24" s="25"/>
      <c r="S24" s="7"/>
      <c r="T24" s="7"/>
    </row>
    <row r="25" spans="2:20" ht="12.75">
      <c r="B25" s="24">
        <f t="shared" si="0"/>
        <v>1.8817730793584326</v>
      </c>
      <c r="C25" s="24">
        <f t="shared" si="1"/>
        <v>2.298133329356934</v>
      </c>
      <c r="F25" s="7"/>
      <c r="G25" s="25">
        <v>1.8817730793584326</v>
      </c>
      <c r="H25" s="25">
        <v>2.298133329356934</v>
      </c>
      <c r="I25" s="7"/>
      <c r="J25" s="7"/>
      <c r="L25" s="24">
        <v>1.505418463486746</v>
      </c>
      <c r="M25" s="24">
        <v>1.8385066634855471</v>
      </c>
      <c r="P25" s="7"/>
      <c r="Q25" s="25"/>
      <c r="R25" s="25"/>
      <c r="S25" s="7"/>
      <c r="T25" s="7"/>
    </row>
    <row r="26" spans="2:20" ht="12.75">
      <c r="B26" s="24">
        <f t="shared" si="0"/>
        <v>1.6762629052539042</v>
      </c>
      <c r="C26" s="24">
        <f t="shared" si="1"/>
        <v>2.598076211353316</v>
      </c>
      <c r="F26" s="7"/>
      <c r="G26" s="25">
        <v>1.6762629052539042</v>
      </c>
      <c r="H26" s="25">
        <v>2.598076211353316</v>
      </c>
      <c r="I26" s="7"/>
      <c r="J26" s="7"/>
      <c r="L26" s="24">
        <v>1.3410103242031233</v>
      </c>
      <c r="M26" s="24">
        <v>2.0784609690826525</v>
      </c>
      <c r="P26" s="7"/>
      <c r="Q26" s="25"/>
      <c r="R26" s="25"/>
      <c r="S26" s="7"/>
      <c r="T26" s="7"/>
    </row>
    <row r="27" spans="2:20" ht="12.75">
      <c r="B27" s="24">
        <f t="shared" si="0"/>
        <v>1.4731920141307955</v>
      </c>
      <c r="C27" s="24">
        <f t="shared" si="1"/>
        <v>2.819077862357725</v>
      </c>
      <c r="F27" s="7"/>
      <c r="G27" s="25">
        <v>1.4731920141307955</v>
      </c>
      <c r="H27" s="25">
        <v>2.819077862357725</v>
      </c>
      <c r="I27" s="7"/>
      <c r="J27" s="7"/>
      <c r="L27" s="24">
        <v>1.1785536113046364</v>
      </c>
      <c r="M27" s="24">
        <v>2.25526228988618</v>
      </c>
      <c r="P27" s="7"/>
      <c r="Q27" s="25"/>
      <c r="R27" s="25"/>
      <c r="S27" s="7"/>
      <c r="T27" s="7"/>
    </row>
    <row r="28" spans="2:20" ht="12.75">
      <c r="B28" s="24">
        <f t="shared" si="0"/>
        <v>1.2823655431412597</v>
      </c>
      <c r="C28" s="24">
        <f t="shared" si="1"/>
        <v>2.954423259036624</v>
      </c>
      <c r="F28" s="7"/>
      <c r="G28" s="25">
        <v>1.2823655431412597</v>
      </c>
      <c r="H28" s="25">
        <v>2.954423259036624</v>
      </c>
      <c r="I28" s="7"/>
      <c r="J28" s="7"/>
      <c r="L28" s="24">
        <v>1.0258924345130078</v>
      </c>
      <c r="M28" s="24">
        <v>2.363538607229299</v>
      </c>
      <c r="P28" s="7"/>
      <c r="Q28" s="25"/>
      <c r="R28" s="25"/>
      <c r="S28" s="7"/>
      <c r="T28" s="7"/>
    </row>
    <row r="29" spans="2:20" ht="12.75">
      <c r="B29" s="24">
        <f t="shared" si="0"/>
        <v>1.1105816576913496</v>
      </c>
      <c r="C29" s="24">
        <f t="shared" si="1"/>
        <v>3</v>
      </c>
      <c r="E29">
        <f>2*(kappa*R0/A+2.25)</f>
        <v>10.5</v>
      </c>
      <c r="F29" s="7"/>
      <c r="G29" s="25">
        <v>1.1105816576913496</v>
      </c>
      <c r="H29" s="25">
        <v>3</v>
      </c>
      <c r="I29" s="7"/>
      <c r="J29" s="7"/>
      <c r="L29" s="24">
        <v>0.8884653261530797</v>
      </c>
      <c r="M29" s="24">
        <v>2.4</v>
      </c>
      <c r="P29" s="7"/>
      <c r="Q29" s="25"/>
      <c r="R29" s="25"/>
      <c r="S29" s="7"/>
      <c r="T29" s="7"/>
    </row>
    <row r="30" spans="2:20" ht="12.75">
      <c r="B30" s="24">
        <f t="shared" si="0"/>
        <v>0.9616684668274168</v>
      </c>
      <c r="C30" s="24">
        <f t="shared" si="1"/>
        <v>2.954423259036624</v>
      </c>
      <c r="F30" s="7"/>
      <c r="G30" s="25">
        <v>0.9616684668274168</v>
      </c>
      <c r="H30" s="25">
        <v>2.954423259036624</v>
      </c>
      <c r="I30" s="7"/>
      <c r="J30" s="7"/>
      <c r="L30" s="24">
        <v>0.7693347734619334</v>
      </c>
      <c r="M30" s="24">
        <v>2.363538607229299</v>
      </c>
      <c r="P30" s="7"/>
      <c r="Q30" s="25"/>
      <c r="R30" s="25"/>
      <c r="S30" s="7"/>
      <c r="T30" s="7"/>
    </row>
    <row r="31" spans="2:20" ht="12.75">
      <c r="B31" s="24">
        <f t="shared" si="0"/>
        <v>0.8369072986978637</v>
      </c>
      <c r="C31" s="24">
        <f t="shared" si="1"/>
        <v>2.8190778623577253</v>
      </c>
      <c r="F31" s="7"/>
      <c r="G31" s="25">
        <v>0.8369072986978637</v>
      </c>
      <c r="H31" s="25">
        <v>2.8190778623577253</v>
      </c>
      <c r="I31" s="7"/>
      <c r="J31" s="7"/>
      <c r="L31" s="24">
        <v>0.669525838958291</v>
      </c>
      <c r="M31" s="24">
        <v>2.25526228988618</v>
      </c>
      <c r="P31" s="7"/>
      <c r="Q31" s="25"/>
      <c r="R31" s="25"/>
      <c r="S31" s="7"/>
      <c r="T31" s="7"/>
    </row>
    <row r="32" spans="2:20" ht="12.75">
      <c r="B32" s="24">
        <f t="shared" si="0"/>
        <v>0.7356653001178982</v>
      </c>
      <c r="C32" s="24">
        <f t="shared" si="1"/>
        <v>2.598076211353316</v>
      </c>
      <c r="F32" s="7"/>
      <c r="G32" s="25">
        <v>0.7356653001178982</v>
      </c>
      <c r="H32" s="25">
        <v>2.598076211353316</v>
      </c>
      <c r="I32" s="7"/>
      <c r="J32" s="7"/>
      <c r="L32" s="24">
        <v>0.5885322400943186</v>
      </c>
      <c r="M32" s="24">
        <v>2.078460969082653</v>
      </c>
      <c r="P32" s="7"/>
      <c r="Q32" s="25"/>
      <c r="R32" s="25"/>
      <c r="S32" s="7"/>
      <c r="T32" s="7"/>
    </row>
    <row r="33" spans="2:20" ht="12.75">
      <c r="B33" s="24">
        <f t="shared" si="0"/>
        <v>0.656079638456433</v>
      </c>
      <c r="C33" s="24">
        <f t="shared" si="1"/>
        <v>2.2981333293569346</v>
      </c>
      <c r="F33" s="7"/>
      <c r="G33" s="25">
        <v>0.656079638456433</v>
      </c>
      <c r="H33" s="25">
        <v>2.2981333293569346</v>
      </c>
      <c r="I33" s="7"/>
      <c r="J33" s="7"/>
      <c r="L33" s="24">
        <v>0.5248637107651465</v>
      </c>
      <c r="M33" s="24">
        <v>1.8385066634855476</v>
      </c>
      <c r="P33" s="7"/>
      <c r="Q33" s="25"/>
      <c r="R33" s="25"/>
      <c r="S33" s="7"/>
      <c r="T33" s="7"/>
    </row>
    <row r="34" spans="2:20" ht="12.75">
      <c r="B34" s="24">
        <f t="shared" si="0"/>
        <v>0.595681838583111</v>
      </c>
      <c r="C34" s="24">
        <f t="shared" si="1"/>
        <v>1.9283628290596195</v>
      </c>
      <c r="F34" s="7"/>
      <c r="G34" s="25">
        <v>0.595681838583111</v>
      </c>
      <c r="H34" s="25">
        <v>1.9283628290596195</v>
      </c>
      <c r="I34" s="7"/>
      <c r="J34" s="7"/>
      <c r="L34" s="24">
        <v>0.4765454708664888</v>
      </c>
      <c r="M34" s="24">
        <v>1.5426902632476955</v>
      </c>
      <c r="P34" s="7"/>
      <c r="Q34" s="25"/>
      <c r="R34" s="25"/>
      <c r="S34" s="7"/>
      <c r="T34" s="7"/>
    </row>
    <row r="35" spans="2:20" ht="12.75">
      <c r="B35" s="24">
        <f t="shared" si="0"/>
        <v>0.5519027807918754</v>
      </c>
      <c r="C35" s="24">
        <f t="shared" si="1"/>
        <v>1.5000000000000022</v>
      </c>
      <c r="F35" s="7"/>
      <c r="G35" s="25">
        <v>0.5519027807918754</v>
      </c>
      <c r="H35" s="25">
        <v>1.5</v>
      </c>
      <c r="I35" s="7"/>
      <c r="J35" s="7"/>
      <c r="L35" s="24">
        <v>0.4415222246335003</v>
      </c>
      <c r="M35" s="24">
        <v>1.2</v>
      </c>
      <c r="P35" s="7"/>
      <c r="Q35" s="25"/>
      <c r="R35" s="25"/>
      <c r="S35" s="7"/>
      <c r="T35" s="7"/>
    </row>
    <row r="36" spans="2:20" ht="12.75">
      <c r="B36" s="24">
        <f t="shared" si="0"/>
        <v>0.522442237011513</v>
      </c>
      <c r="C36" s="24">
        <f t="shared" si="1"/>
        <v>1.026060429977009</v>
      </c>
      <c r="F36" s="7"/>
      <c r="G36" s="25">
        <v>0.522442237011513</v>
      </c>
      <c r="H36" s="25">
        <v>1.026060429977009</v>
      </c>
      <c r="I36" s="7"/>
      <c r="J36" s="7"/>
      <c r="L36" s="24">
        <v>0.4179537896092105</v>
      </c>
      <c r="M36" s="24">
        <v>0.8208483439816073</v>
      </c>
      <c r="P36" s="7"/>
      <c r="Q36" s="25"/>
      <c r="R36" s="25"/>
      <c r="S36" s="7"/>
      <c r="T36" s="7"/>
    </row>
    <row r="37" spans="2:20" ht="12.75">
      <c r="B37" s="24">
        <f t="shared" si="0"/>
        <v>0.5055151594301392</v>
      </c>
      <c r="C37" s="24">
        <f t="shared" si="1"/>
        <v>0.5209445330007947</v>
      </c>
      <c r="F37" s="7"/>
      <c r="G37" s="25">
        <v>0.5055151594301392</v>
      </c>
      <c r="H37" s="25">
        <v>0.5209445330007947</v>
      </c>
      <c r="I37" s="7"/>
      <c r="J37" s="7"/>
      <c r="L37" s="24">
        <v>0.4044121275441114</v>
      </c>
      <c r="M37" s="24">
        <v>0.4167556264006358</v>
      </c>
      <c r="P37" s="7"/>
      <c r="Q37" s="25"/>
      <c r="R37" s="25"/>
      <c r="S37" s="7"/>
      <c r="T37" s="7"/>
    </row>
    <row r="38" spans="2:20" ht="12.75">
      <c r="B38" s="24">
        <f t="shared" si="0"/>
        <v>0.5</v>
      </c>
      <c r="C38" s="24">
        <f t="shared" si="1"/>
        <v>4.36419692839477E-15</v>
      </c>
      <c r="F38" s="7"/>
      <c r="G38" s="25">
        <v>0.5</v>
      </c>
      <c r="H38" s="25">
        <v>4.36419692839477E-15</v>
      </c>
      <c r="I38" s="7"/>
      <c r="J38" s="7"/>
      <c r="L38" s="24">
        <v>0.4</v>
      </c>
      <c r="M38" s="24">
        <v>3.4913575427158154E-15</v>
      </c>
      <c r="P38" s="7"/>
      <c r="Q38" s="25"/>
      <c r="R38" s="25"/>
      <c r="S38" s="7"/>
      <c r="T38" s="7"/>
    </row>
    <row r="39" spans="2:20" ht="12.75">
      <c r="B39" s="24">
        <f t="shared" si="0"/>
        <v>0.5055151594301391</v>
      </c>
      <c r="C39" s="24">
        <f t="shared" si="1"/>
        <v>-0.5209445330007861</v>
      </c>
      <c r="F39" s="7"/>
      <c r="G39" s="25">
        <v>0.5055151594301391</v>
      </c>
      <c r="H39" s="25">
        <v>-0.5209445330007861</v>
      </c>
      <c r="I39" s="7"/>
      <c r="J39" s="7"/>
      <c r="L39" s="24">
        <v>0.4044121275441114</v>
      </c>
      <c r="M39" s="24">
        <v>-0.4167556264006289</v>
      </c>
      <c r="P39" s="7"/>
      <c r="Q39" s="25"/>
      <c r="R39" s="25"/>
      <c r="S39" s="7"/>
      <c r="T39" s="7"/>
    </row>
    <row r="40" spans="2:20" ht="12.75">
      <c r="B40" s="24">
        <f t="shared" si="0"/>
        <v>0.5224422370115127</v>
      </c>
      <c r="C40" s="24">
        <f t="shared" si="1"/>
        <v>-1.0260604299770009</v>
      </c>
      <c r="F40" s="7"/>
      <c r="G40" s="25">
        <v>0.5224422370115127</v>
      </c>
      <c r="H40" s="25">
        <v>-1.0260604299770009</v>
      </c>
      <c r="I40" s="7"/>
      <c r="J40" s="7"/>
      <c r="L40" s="24">
        <v>0.41795378960921015</v>
      </c>
      <c r="M40" s="24">
        <v>-0.8208483439816008</v>
      </c>
      <c r="P40" s="7"/>
      <c r="Q40" s="25"/>
      <c r="R40" s="25"/>
      <c r="S40" s="7"/>
      <c r="T40" s="7"/>
    </row>
    <row r="41" spans="2:20" ht="12.75">
      <c r="B41" s="24">
        <f t="shared" si="0"/>
        <v>0.5519027807918747</v>
      </c>
      <c r="C41" s="24">
        <f t="shared" si="1"/>
        <v>-1.4999999999999947</v>
      </c>
      <c r="F41" s="7"/>
      <c r="G41" s="25">
        <v>0.5519027807918747</v>
      </c>
      <c r="H41" s="25">
        <v>-1.4999999999999947</v>
      </c>
      <c r="I41" s="7"/>
      <c r="J41" s="7"/>
      <c r="L41" s="24">
        <v>0.44152222463349977</v>
      </c>
      <c r="M41" s="24">
        <v>-1.2</v>
      </c>
      <c r="P41" s="7"/>
      <c r="Q41" s="25"/>
      <c r="R41" s="25"/>
      <c r="S41" s="7"/>
      <c r="T41" s="7"/>
    </row>
    <row r="42" spans="2:20" ht="12.75">
      <c r="B42" s="24">
        <f t="shared" si="0"/>
        <v>0.5956818385831101</v>
      </c>
      <c r="C42" s="24">
        <f t="shared" si="1"/>
        <v>-1.9283628290596129</v>
      </c>
      <c r="F42" s="7"/>
      <c r="G42" s="25">
        <v>0.5956818385831101</v>
      </c>
      <c r="H42" s="25">
        <v>-1.9283628290596129</v>
      </c>
      <c r="I42" s="7"/>
      <c r="J42" s="7"/>
      <c r="L42" s="24">
        <v>0.47654547086648813</v>
      </c>
      <c r="M42" s="24">
        <v>-1.5426902632476902</v>
      </c>
      <c r="P42" s="7"/>
      <c r="Q42" s="25"/>
      <c r="R42" s="25"/>
      <c r="S42" s="7"/>
      <c r="T42" s="7"/>
    </row>
    <row r="43" spans="2:20" ht="12.75">
      <c r="B43" s="24">
        <f t="shared" si="0"/>
        <v>0.6560796384564322</v>
      </c>
      <c r="C43" s="24">
        <f t="shared" si="1"/>
        <v>-2.29813332935693</v>
      </c>
      <c r="F43" s="7"/>
      <c r="G43" s="25">
        <v>0.6560796384564322</v>
      </c>
      <c r="H43" s="25">
        <v>-2.29813332935693</v>
      </c>
      <c r="I43" s="7"/>
      <c r="J43" s="7"/>
      <c r="L43" s="24">
        <v>0.5248637107651458</v>
      </c>
      <c r="M43" s="24">
        <v>-1.838506663485544</v>
      </c>
      <c r="P43" s="7"/>
      <c r="Q43" s="25"/>
      <c r="R43" s="25"/>
      <c r="S43" s="7"/>
      <c r="T43" s="7"/>
    </row>
    <row r="44" spans="2:20" ht="12.75">
      <c r="B44" s="24">
        <f t="shared" si="0"/>
        <v>0.7356653001178969</v>
      </c>
      <c r="C44" s="24">
        <f t="shared" si="1"/>
        <v>-2.5980762113533125</v>
      </c>
      <c r="F44" s="7"/>
      <c r="G44" s="25">
        <v>0.7356653001178969</v>
      </c>
      <c r="H44" s="25">
        <v>-2.5980762113533125</v>
      </c>
      <c r="I44" s="7"/>
      <c r="J44" s="7"/>
      <c r="L44" s="24">
        <v>0.5885322400943175</v>
      </c>
      <c r="M44" s="24">
        <v>-2.07846096908265</v>
      </c>
      <c r="P44" s="7"/>
      <c r="Q44" s="25"/>
      <c r="R44" s="25"/>
      <c r="S44" s="7"/>
      <c r="T44" s="7"/>
    </row>
    <row r="45" spans="2:20" ht="12.75">
      <c r="B45" s="24">
        <f t="shared" si="0"/>
        <v>0.8369072986978623</v>
      </c>
      <c r="C45" s="24">
        <f t="shared" si="1"/>
        <v>-2.8190778623577226</v>
      </c>
      <c r="F45" s="7"/>
      <c r="G45" s="25">
        <v>0.8369072986978623</v>
      </c>
      <c r="H45" s="25">
        <v>-2.8190778623577226</v>
      </c>
      <c r="I45" s="7"/>
      <c r="J45" s="7"/>
      <c r="L45" s="24">
        <v>0.6695258389582899</v>
      </c>
      <c r="M45" s="24">
        <v>-2.255262289886178</v>
      </c>
      <c r="P45" s="7"/>
      <c r="Q45" s="25"/>
      <c r="R45" s="25"/>
      <c r="S45" s="7"/>
      <c r="T45" s="7"/>
    </row>
    <row r="46" spans="2:20" ht="12.75">
      <c r="B46" s="24">
        <f t="shared" si="0"/>
        <v>0.9616684668274151</v>
      </c>
      <c r="C46" s="24">
        <f t="shared" si="1"/>
        <v>-2.9544232590366226</v>
      </c>
      <c r="F46" s="7"/>
      <c r="G46" s="25">
        <v>0.9616684668274151</v>
      </c>
      <c r="H46" s="25">
        <v>-2.9544232590366226</v>
      </c>
      <c r="I46" s="7"/>
      <c r="J46" s="7"/>
      <c r="L46" s="24">
        <v>0.769334773461932</v>
      </c>
      <c r="M46" s="24">
        <v>-2.363538607229298</v>
      </c>
      <c r="P46" s="7"/>
      <c r="Q46" s="25"/>
      <c r="R46" s="25"/>
      <c r="S46" s="7"/>
      <c r="T46" s="7"/>
    </row>
    <row r="47" spans="2:20" ht="12.75">
      <c r="B47" s="24">
        <f t="shared" si="0"/>
        <v>1.1105816576913465</v>
      </c>
      <c r="C47" s="24">
        <f t="shared" si="1"/>
        <v>-3</v>
      </c>
      <c r="F47" s="7"/>
      <c r="G47" s="25">
        <v>1.1105816576913465</v>
      </c>
      <c r="H47" s="25">
        <v>-3</v>
      </c>
      <c r="I47" s="7"/>
      <c r="J47" s="7"/>
      <c r="L47" s="24">
        <v>0.8884653261530773</v>
      </c>
      <c r="M47" s="24">
        <v>-2.4</v>
      </c>
      <c r="P47" s="7"/>
      <c r="Q47" s="25"/>
      <c r="R47" s="25"/>
      <c r="S47" s="7"/>
      <c r="T47" s="7"/>
    </row>
    <row r="48" spans="2:20" ht="12.75">
      <c r="B48" s="24">
        <f t="shared" si="0"/>
        <v>1.2823655431412562</v>
      </c>
      <c r="C48" s="24">
        <f t="shared" si="1"/>
        <v>-2.9544232590366257</v>
      </c>
      <c r="F48" s="7"/>
      <c r="G48" s="25">
        <v>1.2823655431412562</v>
      </c>
      <c r="H48" s="25">
        <v>-2.9544232590366257</v>
      </c>
      <c r="I48" s="7"/>
      <c r="J48" s="7"/>
      <c r="L48" s="24">
        <v>1.025892434513005</v>
      </c>
      <c r="M48" s="24">
        <v>-2.3635386072293003</v>
      </c>
      <c r="P48" s="7"/>
      <c r="Q48" s="25"/>
      <c r="R48" s="25"/>
      <c r="S48" s="7"/>
      <c r="T48" s="7"/>
    </row>
    <row r="49" spans="2:20" ht="12.75">
      <c r="B49" s="24">
        <f t="shared" si="0"/>
        <v>1.4731920141307915</v>
      </c>
      <c r="C49" s="24">
        <f t="shared" si="1"/>
        <v>-2.8190778623577284</v>
      </c>
      <c r="F49" s="7"/>
      <c r="G49" s="25">
        <v>1.4731920141307915</v>
      </c>
      <c r="H49" s="25">
        <v>-2.8190778623577284</v>
      </c>
      <c r="I49" s="7"/>
      <c r="J49" s="7"/>
      <c r="L49" s="24">
        <v>1.1785536113046333</v>
      </c>
      <c r="M49" s="24">
        <v>-2.2552622898861827</v>
      </c>
      <c r="P49" s="7"/>
      <c r="Q49" s="25"/>
      <c r="R49" s="25"/>
      <c r="S49" s="7"/>
      <c r="T49" s="7"/>
    </row>
    <row r="50" spans="2:20" ht="12.75">
      <c r="B50" s="24">
        <f t="shared" si="0"/>
        <v>1.6762629052539002</v>
      </c>
      <c r="C50" s="24">
        <f t="shared" si="1"/>
        <v>-2.5980762113533213</v>
      </c>
      <c r="F50" s="7"/>
      <c r="G50" s="25">
        <v>1.6762629052539002</v>
      </c>
      <c r="H50" s="25">
        <v>-2.5980762113533213</v>
      </c>
      <c r="I50" s="7"/>
      <c r="J50" s="7"/>
      <c r="L50" s="24">
        <v>1.34101032420312</v>
      </c>
      <c r="M50" s="24">
        <v>-2.078460969082657</v>
      </c>
      <c r="P50" s="7"/>
      <c r="Q50" s="25"/>
      <c r="R50" s="25"/>
      <c r="S50" s="7"/>
      <c r="T50" s="7"/>
    </row>
    <row r="51" spans="2:20" ht="12.75">
      <c r="B51" s="24">
        <f t="shared" si="0"/>
        <v>1.8817730793584282</v>
      </c>
      <c r="C51" s="24">
        <f t="shared" si="1"/>
        <v>-2.298133329356941</v>
      </c>
      <c r="F51" s="7"/>
      <c r="G51" s="25">
        <v>1.8817730793584282</v>
      </c>
      <c r="H51" s="25">
        <v>-2.298133329356941</v>
      </c>
      <c r="I51" s="7"/>
      <c r="J51" s="7"/>
      <c r="L51" s="24">
        <v>1.5054184634867425</v>
      </c>
      <c r="M51" s="24">
        <v>-1.8385066634855527</v>
      </c>
      <c r="P51" s="7"/>
      <c r="Q51" s="25"/>
      <c r="R51" s="25"/>
      <c r="S51" s="7"/>
      <c r="T51" s="7"/>
    </row>
    <row r="52" spans="2:20" ht="12.75">
      <c r="B52" s="24">
        <f t="shared" si="0"/>
        <v>2.0774073192149647</v>
      </c>
      <c r="C52" s="24">
        <f t="shared" si="1"/>
        <v>-1.928362829059627</v>
      </c>
      <c r="F52" s="7"/>
      <c r="G52" s="25">
        <v>2.0774073192149647</v>
      </c>
      <c r="H52" s="25">
        <v>-1.928362829059627</v>
      </c>
      <c r="I52" s="7"/>
      <c r="J52" s="7"/>
      <c r="L52" s="24">
        <v>1.6619258553719718</v>
      </c>
      <c r="M52" s="24">
        <v>-1.5426902632477015</v>
      </c>
      <c r="P52" s="7"/>
      <c r="Q52" s="25"/>
      <c r="R52" s="25"/>
      <c r="S52" s="7"/>
      <c r="T52" s="7"/>
    </row>
    <row r="53" spans="2:20" ht="12.75">
      <c r="B53" s="24">
        <f t="shared" si="0"/>
        <v>2.2494278884130603</v>
      </c>
      <c r="C53" s="24">
        <f t="shared" si="1"/>
        <v>-1.5000000000000107</v>
      </c>
      <c r="F53" s="7"/>
      <c r="G53" s="25">
        <v>2.2494278884130603</v>
      </c>
      <c r="H53" s="25">
        <v>-1.5000000000000107</v>
      </c>
      <c r="I53" s="7"/>
      <c r="J53" s="7"/>
      <c r="L53" s="24">
        <v>1.7995423107304482</v>
      </c>
      <c r="M53" s="24">
        <v>-1.2000000000000084</v>
      </c>
      <c r="P53" s="7"/>
      <c r="Q53" s="25"/>
      <c r="R53" s="25"/>
      <c r="S53" s="7"/>
      <c r="T53" s="7"/>
    </row>
    <row r="54" spans="2:20" ht="12.75">
      <c r="B54" s="24">
        <f t="shared" si="0"/>
        <v>2.3842671882520574</v>
      </c>
      <c r="C54" s="24">
        <f t="shared" si="1"/>
        <v>-1.0260604299770182</v>
      </c>
      <c r="F54" s="7"/>
      <c r="G54" s="25">
        <v>2.3842671882520574</v>
      </c>
      <c r="H54" s="25">
        <v>-1.0260604299770182</v>
      </c>
      <c r="I54" s="7"/>
      <c r="J54" s="7"/>
      <c r="L54" s="24">
        <v>1.9074137506016458</v>
      </c>
      <c r="M54" s="24">
        <v>-0.8208483439816147</v>
      </c>
      <c r="P54" s="7"/>
      <c r="Q54" s="25"/>
      <c r="R54" s="25"/>
      <c r="S54" s="7"/>
      <c r="T54" s="7"/>
    </row>
    <row r="55" spans="2:20" ht="12.75">
      <c r="B55" s="24">
        <f t="shared" si="0"/>
        <v>2.4703812814321777</v>
      </c>
      <c r="C55" s="24">
        <f t="shared" si="1"/>
        <v>-0.5209445330008043</v>
      </c>
      <c r="F55" s="7"/>
      <c r="G55" s="25">
        <v>2.4703812814321777</v>
      </c>
      <c r="H55" s="25">
        <v>-0.5209445330008043</v>
      </c>
      <c r="I55" s="7"/>
      <c r="J55" s="7"/>
      <c r="L55" s="24">
        <v>1.976305025145742</v>
      </c>
      <c r="M55" s="24">
        <v>-0.41675562640064345</v>
      </c>
      <c r="P55" s="7"/>
      <c r="Q55" s="25"/>
      <c r="R55" s="25"/>
      <c r="S55" s="7"/>
      <c r="T55" s="7"/>
    </row>
    <row r="56" spans="2:20" ht="12.75">
      <c r="B56" s="24">
        <f t="shared" si="0"/>
        <v>2.5</v>
      </c>
      <c r="C56" s="24">
        <f t="shared" si="1"/>
        <v>-1.405746437499029E-14</v>
      </c>
      <c r="F56" s="7"/>
      <c r="G56" s="25">
        <v>2.5</v>
      </c>
      <c r="H56" s="25">
        <v>-1.405746437499029E-14</v>
      </c>
      <c r="I56" s="7"/>
      <c r="J56" s="7"/>
      <c r="L56" s="24">
        <v>2</v>
      </c>
      <c r="M56" s="24">
        <v>-1.1245971499992232E-14</v>
      </c>
      <c r="P56" s="7"/>
      <c r="Q56" s="25"/>
      <c r="R56" s="25"/>
      <c r="S56" s="7"/>
      <c r="T56" s="7"/>
    </row>
    <row r="70" spans="1:3" ht="12.75">
      <c r="A70" s="24" t="s">
        <v>376</v>
      </c>
      <c r="B70" s="24">
        <v>10</v>
      </c>
      <c r="C70" s="24"/>
    </row>
    <row r="71" spans="1:3" ht="12.75">
      <c r="A71" s="24" t="s">
        <v>429</v>
      </c>
      <c r="B71" s="25">
        <f>R0</f>
        <v>1.5</v>
      </c>
      <c r="C71" s="25"/>
    </row>
    <row r="72" spans="1:3" ht="12.75">
      <c r="A72" s="24" t="s">
        <v>101</v>
      </c>
      <c r="B72" s="25">
        <f>A</f>
        <v>1.5</v>
      </c>
      <c r="C72" s="25"/>
    </row>
    <row r="73" spans="1:3" ht="12.75">
      <c r="A73" s="24" t="s">
        <v>377</v>
      </c>
      <c r="B73" s="25">
        <f>B71/B72</f>
        <v>1</v>
      </c>
      <c r="C73" s="25"/>
    </row>
    <row r="74" spans="1:3" ht="12.75">
      <c r="A74" s="24" t="s">
        <v>378</v>
      </c>
      <c r="B74" s="25">
        <f>kappa</f>
        <v>3</v>
      </c>
      <c r="C74" s="25"/>
    </row>
    <row r="75" spans="1:3" ht="12.75">
      <c r="A75" s="24" t="s">
        <v>379</v>
      </c>
      <c r="B75" s="25">
        <f>delta</f>
        <v>0.4</v>
      </c>
      <c r="C75" s="25"/>
    </row>
    <row r="76" spans="1:3" ht="12.75">
      <c r="A76" t="s">
        <v>374</v>
      </c>
      <c r="B76" t="s">
        <v>380</v>
      </c>
      <c r="C76" t="s">
        <v>381</v>
      </c>
    </row>
    <row r="77" ht="12.75">
      <c r="A77">
        <v>0</v>
      </c>
    </row>
    <row r="78" ht="12.75">
      <c r="A78">
        <f>A77+dTheta*PI()/180</f>
        <v>0.17453292519943295</v>
      </c>
    </row>
    <row r="79" ht="12.75">
      <c r="A79">
        <f aca="true" t="shared" si="2" ref="A79:A113">A78+dTheta*PI()/180</f>
        <v>0.3490658503988659</v>
      </c>
    </row>
    <row r="80" ht="12.75">
      <c r="A80">
        <f t="shared" si="2"/>
        <v>0.5235987755982988</v>
      </c>
    </row>
    <row r="81" ht="12.75">
      <c r="A81">
        <f t="shared" si="2"/>
        <v>0.6981317007977318</v>
      </c>
    </row>
    <row r="82" ht="12.75">
      <c r="A82">
        <f t="shared" si="2"/>
        <v>0.8726646259971648</v>
      </c>
    </row>
    <row r="83" ht="12.75">
      <c r="A83">
        <f t="shared" si="2"/>
        <v>1.0471975511965976</v>
      </c>
    </row>
    <row r="84" ht="12.75">
      <c r="A84">
        <f t="shared" si="2"/>
        <v>1.2217304763960306</v>
      </c>
    </row>
    <row r="85" ht="12.75">
      <c r="A85">
        <f t="shared" si="2"/>
        <v>1.3962634015954636</v>
      </c>
    </row>
    <row r="86" ht="12.75">
      <c r="A86">
        <f t="shared" si="2"/>
        <v>1.5707963267948966</v>
      </c>
    </row>
    <row r="87" ht="12.75">
      <c r="A87">
        <f t="shared" si="2"/>
        <v>1.7453292519943295</v>
      </c>
    </row>
    <row r="88" ht="12.75">
      <c r="A88">
        <f t="shared" si="2"/>
        <v>1.9198621771937625</v>
      </c>
    </row>
    <row r="89" ht="12.75">
      <c r="A89">
        <f t="shared" si="2"/>
        <v>2.0943951023931953</v>
      </c>
    </row>
    <row r="90" ht="12.75">
      <c r="A90">
        <f t="shared" si="2"/>
        <v>2.268928027592628</v>
      </c>
    </row>
    <row r="91" ht="12.75">
      <c r="A91">
        <f t="shared" si="2"/>
        <v>2.4434609527920608</v>
      </c>
    </row>
    <row r="92" ht="12.75">
      <c r="A92">
        <f t="shared" si="2"/>
        <v>2.6179938779914935</v>
      </c>
    </row>
    <row r="93" ht="12.75">
      <c r="A93">
        <f t="shared" si="2"/>
        <v>2.7925268031909263</v>
      </c>
    </row>
    <row r="94" ht="12.75">
      <c r="A94">
        <f t="shared" si="2"/>
        <v>2.967059728390359</v>
      </c>
    </row>
    <row r="95" ht="12.75">
      <c r="A95">
        <f t="shared" si="2"/>
        <v>3.141592653589792</v>
      </c>
    </row>
    <row r="96" ht="12.75">
      <c r="A96">
        <f t="shared" si="2"/>
        <v>3.3161255787892245</v>
      </c>
    </row>
    <row r="97" ht="12.75">
      <c r="A97">
        <f t="shared" si="2"/>
        <v>3.4906585039886573</v>
      </c>
    </row>
    <row r="98" ht="12.75">
      <c r="A98">
        <f t="shared" si="2"/>
        <v>3.66519142918809</v>
      </c>
    </row>
    <row r="99" ht="12.75">
      <c r="A99">
        <f t="shared" si="2"/>
        <v>3.839724354387523</v>
      </c>
    </row>
    <row r="100" ht="12.75">
      <c r="A100">
        <f t="shared" si="2"/>
        <v>4.014257279586956</v>
      </c>
    </row>
    <row r="101" ht="12.75">
      <c r="A101">
        <f t="shared" si="2"/>
        <v>4.188790204786389</v>
      </c>
    </row>
    <row r="102" ht="12.75">
      <c r="A102">
        <f t="shared" si="2"/>
        <v>4.3633231299858215</v>
      </c>
    </row>
    <row r="103" ht="12.75">
      <c r="A103">
        <f t="shared" si="2"/>
        <v>4.537856055185254</v>
      </c>
    </row>
    <row r="104" ht="12.75">
      <c r="A104">
        <f t="shared" si="2"/>
        <v>4.712388980384687</v>
      </c>
    </row>
    <row r="105" ht="12.75">
      <c r="A105">
        <f t="shared" si="2"/>
        <v>4.88692190558412</v>
      </c>
    </row>
    <row r="106" ht="12.75">
      <c r="A106">
        <f t="shared" si="2"/>
        <v>5.0614548307835525</v>
      </c>
    </row>
    <row r="107" ht="12.75">
      <c r="A107">
        <f t="shared" si="2"/>
        <v>5.235987755982985</v>
      </c>
    </row>
    <row r="108" ht="12.75">
      <c r="A108">
        <f t="shared" si="2"/>
        <v>5.410520681182418</v>
      </c>
    </row>
    <row r="109" ht="12.75">
      <c r="A109">
        <f t="shared" si="2"/>
        <v>5.585053606381851</v>
      </c>
    </row>
    <row r="110" ht="12.75">
      <c r="A110">
        <f t="shared" si="2"/>
        <v>5.7595865315812835</v>
      </c>
    </row>
    <row r="111" ht="12.75">
      <c r="A111">
        <f t="shared" si="2"/>
        <v>5.934119456780716</v>
      </c>
    </row>
    <row r="112" ht="12.75">
      <c r="A112">
        <f t="shared" si="2"/>
        <v>6.108652381980149</v>
      </c>
    </row>
    <row r="113" ht="12.75">
      <c r="A113">
        <f t="shared" si="2"/>
        <v>6.283185307179582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H5" sqref="H5"/>
    </sheetView>
  </sheetViews>
  <sheetFormatPr defaultColWidth="11.00390625" defaultRowHeight="12"/>
  <cols>
    <col min="2" max="2" width="12.00390625" style="0" bestFit="1" customWidth="1"/>
    <col min="5" max="5" width="12.00390625" style="0" bestFit="1" customWidth="1"/>
  </cols>
  <sheetData>
    <row r="1" spans="1:3" ht="12.75">
      <c r="A1" t="s">
        <v>338</v>
      </c>
      <c r="B1">
        <v>0.001</v>
      </c>
      <c r="C1" t="s">
        <v>482</v>
      </c>
    </row>
    <row r="2" spans="1:3" ht="12.75">
      <c r="A2" t="s">
        <v>339</v>
      </c>
      <c r="B2">
        <f>TF_outer!B10</f>
        <v>4.425</v>
      </c>
      <c r="C2" t="s">
        <v>482</v>
      </c>
    </row>
    <row r="3" spans="1:3" ht="12.75">
      <c r="A3" t="s">
        <v>340</v>
      </c>
      <c r="B3">
        <f>TF_outer!B4</f>
        <v>4.425</v>
      </c>
      <c r="C3" t="s">
        <v>482</v>
      </c>
    </row>
    <row r="4" spans="1:3" ht="12.75">
      <c r="A4" t="s">
        <v>341</v>
      </c>
      <c r="B4" s="16">
        <f>router1+TF_outer!B6</f>
        <v>5.175</v>
      </c>
      <c r="C4" t="s">
        <v>482</v>
      </c>
    </row>
    <row r="5" spans="1:3" ht="12.75">
      <c r="A5" t="s">
        <v>342</v>
      </c>
      <c r="B5">
        <f>Base!B35/2+Base!B36</f>
        <v>7</v>
      </c>
      <c r="C5" t="s">
        <v>482</v>
      </c>
    </row>
    <row r="6" spans="1:3" ht="12.75">
      <c r="A6" t="s">
        <v>343</v>
      </c>
      <c r="B6">
        <f>2*B5</f>
        <v>14</v>
      </c>
      <c r="C6" t="s">
        <v>482</v>
      </c>
    </row>
    <row r="7" spans="1:3" ht="12.75">
      <c r="A7" t="s">
        <v>88</v>
      </c>
      <c r="B7">
        <f>TF_outer!B5</f>
        <v>6.999999999999999</v>
      </c>
      <c r="C7" t="s">
        <v>482</v>
      </c>
    </row>
    <row r="8" spans="1:5" ht="12.75">
      <c r="A8" t="s">
        <v>344</v>
      </c>
      <c r="B8">
        <f>-(halfht-B7)/(router1+(router2-router1)/2-rinner2)</f>
        <v>-2.3684757858670005E-15</v>
      </c>
      <c r="E8" t="s">
        <v>234</v>
      </c>
    </row>
    <row r="9" spans="1:3" ht="12.75">
      <c r="A9" t="s">
        <v>345</v>
      </c>
      <c r="B9">
        <f>router1+(router2-router1)/2</f>
        <v>4.8</v>
      </c>
      <c r="C9" t="s">
        <v>482</v>
      </c>
    </row>
    <row r="10" spans="1:3" ht="12.75">
      <c r="A10" t="s">
        <v>178</v>
      </c>
      <c r="B10">
        <f>F69</f>
        <v>2.988692427121469E-06</v>
      </c>
      <c r="C10" t="s">
        <v>179</v>
      </c>
    </row>
    <row r="11" spans="1:2" ht="12.75">
      <c r="A11" t="s">
        <v>180</v>
      </c>
      <c r="B11">
        <v>1</v>
      </c>
    </row>
    <row r="12" spans="1:2" ht="12.75">
      <c r="A12" t="s">
        <v>181</v>
      </c>
      <c r="B12">
        <v>1</v>
      </c>
    </row>
    <row r="13" spans="1:3" ht="12.75">
      <c r="A13" t="s">
        <v>140</v>
      </c>
      <c r="B13" s="44">
        <f>(B11*B12)^2*B10</f>
        <v>2.988692427121469E-06</v>
      </c>
      <c r="C13" t="s">
        <v>141</v>
      </c>
    </row>
    <row r="14" spans="1:3" ht="12.75">
      <c r="A14" t="s">
        <v>90</v>
      </c>
      <c r="B14" s="2">
        <f>1/2*B13*Base!B31^2/1000000</f>
        <v>597.1623026228069</v>
      </c>
      <c r="C14" t="s">
        <v>89</v>
      </c>
    </row>
    <row r="16" spans="1:2" ht="12.75">
      <c r="A16" t="s">
        <v>193</v>
      </c>
      <c r="B16">
        <f>router2/50</f>
        <v>0.1035</v>
      </c>
    </row>
    <row r="17" spans="1:6" ht="12.75">
      <c r="A17" t="s">
        <v>380</v>
      </c>
      <c r="B17" t="s">
        <v>177</v>
      </c>
      <c r="C17" t="s">
        <v>381</v>
      </c>
      <c r="D17" t="s">
        <v>142</v>
      </c>
      <c r="E17" t="s">
        <v>86</v>
      </c>
      <c r="F17" t="s">
        <v>87</v>
      </c>
    </row>
    <row r="18" spans="1:6" ht="12.75">
      <c r="A18">
        <f>rinner1</f>
        <v>0.001</v>
      </c>
      <c r="B18">
        <f>C18/2</f>
        <v>7</v>
      </c>
      <c r="C18">
        <f aca="true" t="shared" si="0" ref="C18:C49">IF(A18&lt;rinner2,height,2*(slope*(A18-rinner2)+halfht))</f>
        <v>14</v>
      </c>
      <c r="D18">
        <f aca="true" t="shared" si="1" ref="D18:D49">IF(A18&lt;rinner2,(A18-rinner1)/(rinner2-rinner1),IF(A18&lt;router1,1,(1-(A18-router1)/(router2-router1))))</f>
        <v>0</v>
      </c>
      <c r="E18">
        <f aca="true" t="shared" si="2" ref="E18:E49">D18*4*PI()*0.0000001/2/PI()/A18</f>
        <v>0</v>
      </c>
      <c r="F18">
        <v>0</v>
      </c>
    </row>
    <row r="19" spans="1:6" ht="12.75">
      <c r="A19">
        <f aca="true" t="shared" si="3" ref="A19:A50">A18+deltaR</f>
        <v>0.1045</v>
      </c>
      <c r="B19">
        <f aca="true" t="shared" si="4" ref="B19:B69">C19/2</f>
        <v>7</v>
      </c>
      <c r="C19">
        <f t="shared" si="0"/>
        <v>14</v>
      </c>
      <c r="D19">
        <f t="shared" si="1"/>
        <v>0.02339511754068716</v>
      </c>
      <c r="E19">
        <f t="shared" si="2"/>
        <v>4.4775344575477823E-08</v>
      </c>
      <c r="F19">
        <f aca="true" t="shared" si="5" ref="F19:F50">F18+deltaR*C18*E18</f>
        <v>0</v>
      </c>
    </row>
    <row r="20" spans="1:6" ht="12.75">
      <c r="A20">
        <f t="shared" si="3"/>
        <v>0.208</v>
      </c>
      <c r="B20">
        <f t="shared" si="4"/>
        <v>7</v>
      </c>
      <c r="C20">
        <f t="shared" si="0"/>
        <v>14</v>
      </c>
      <c r="D20">
        <f t="shared" si="1"/>
        <v>0.04679023508137432</v>
      </c>
      <c r="E20">
        <f t="shared" si="2"/>
        <v>4.499061065516762E-08</v>
      </c>
      <c r="F20">
        <f t="shared" si="5"/>
        <v>6.487947428986736E-08</v>
      </c>
    </row>
    <row r="21" spans="1:6" ht="12.75">
      <c r="A21">
        <f t="shared" si="3"/>
        <v>0.3115</v>
      </c>
      <c r="B21">
        <f t="shared" si="4"/>
        <v>7</v>
      </c>
      <c r="C21">
        <f t="shared" si="0"/>
        <v>14</v>
      </c>
      <c r="D21">
        <f t="shared" si="1"/>
        <v>0.07018535262206149</v>
      </c>
      <c r="E21">
        <f t="shared" si="2"/>
        <v>4.5062826723634986E-08</v>
      </c>
      <c r="F21">
        <f t="shared" si="5"/>
        <v>1.3007086912920522E-07</v>
      </c>
    </row>
    <row r="22" spans="1:6" ht="12.75">
      <c r="A22">
        <f t="shared" si="3"/>
        <v>0.415</v>
      </c>
      <c r="B22">
        <f t="shared" si="4"/>
        <v>7</v>
      </c>
      <c r="C22">
        <f t="shared" si="0"/>
        <v>14</v>
      </c>
      <c r="D22">
        <f t="shared" si="1"/>
        <v>0.09358047016274865</v>
      </c>
      <c r="E22">
        <f t="shared" si="2"/>
        <v>4.509902176518007E-08</v>
      </c>
      <c r="F22">
        <f t="shared" si="5"/>
        <v>1.9536690505175231E-07</v>
      </c>
    </row>
    <row r="23" spans="1:6" ht="12.75">
      <c r="A23">
        <f t="shared" si="3"/>
        <v>0.5185</v>
      </c>
      <c r="B23">
        <f t="shared" si="4"/>
        <v>7</v>
      </c>
      <c r="C23">
        <f t="shared" si="0"/>
        <v>14</v>
      </c>
      <c r="D23">
        <f t="shared" si="1"/>
        <v>0.11697558770343582</v>
      </c>
      <c r="E23">
        <f t="shared" si="2"/>
        <v>4.5120766712993566E-08</v>
      </c>
      <c r="F23">
        <f t="shared" si="5"/>
        <v>2.607153875894982E-07</v>
      </c>
    </row>
    <row r="24" spans="1:6" ht="12.75">
      <c r="A24">
        <f t="shared" si="3"/>
        <v>0.622</v>
      </c>
      <c r="B24">
        <f t="shared" si="4"/>
        <v>7</v>
      </c>
      <c r="C24">
        <f t="shared" si="0"/>
        <v>14</v>
      </c>
      <c r="D24">
        <f t="shared" si="1"/>
        <v>0.14037070524412298</v>
      </c>
      <c r="E24">
        <f t="shared" si="2"/>
        <v>4.513527499811028E-08</v>
      </c>
      <c r="F24">
        <f t="shared" si="5"/>
        <v>3.260953785566259E-07</v>
      </c>
    </row>
    <row r="25" spans="1:6" ht="12.75">
      <c r="A25">
        <f t="shared" si="3"/>
        <v>0.7255</v>
      </c>
      <c r="B25">
        <f t="shared" si="4"/>
        <v>7</v>
      </c>
      <c r="C25">
        <f t="shared" si="0"/>
        <v>14</v>
      </c>
      <c r="D25">
        <f t="shared" si="1"/>
        <v>0.16376582278481017</v>
      </c>
      <c r="E25">
        <f t="shared" si="2"/>
        <v>4.51456437725183E-08</v>
      </c>
      <c r="F25">
        <f t="shared" si="5"/>
        <v>3.914963920288877E-07</v>
      </c>
    </row>
    <row r="26" spans="1:6" ht="12.75">
      <c r="A26">
        <f t="shared" si="3"/>
        <v>0.8290000000000001</v>
      </c>
      <c r="B26">
        <f t="shared" si="4"/>
        <v>7</v>
      </c>
      <c r="C26">
        <f t="shared" si="0"/>
        <v>14</v>
      </c>
      <c r="D26">
        <f t="shared" si="1"/>
        <v>0.18716094032549732</v>
      </c>
      <c r="E26">
        <f t="shared" si="2"/>
        <v>4.515342348021648E-08</v>
      </c>
      <c r="F26">
        <f t="shared" si="5"/>
        <v>4.5691242985526675E-07</v>
      </c>
    </row>
    <row r="27" spans="1:6" ht="12.75">
      <c r="A27">
        <f t="shared" si="3"/>
        <v>0.9325000000000001</v>
      </c>
      <c r="B27">
        <f t="shared" si="4"/>
        <v>7</v>
      </c>
      <c r="C27">
        <f t="shared" si="0"/>
        <v>14</v>
      </c>
      <c r="D27">
        <f t="shared" si="1"/>
        <v>0.2105560578661845</v>
      </c>
      <c r="E27">
        <f t="shared" si="2"/>
        <v>4.5159476217948414E-08</v>
      </c>
      <c r="F27">
        <f t="shared" si="5"/>
        <v>5.223397404781005E-07</v>
      </c>
    </row>
    <row r="28" spans="1:6" ht="12.75">
      <c r="A28">
        <f t="shared" si="3"/>
        <v>1.036</v>
      </c>
      <c r="B28">
        <f t="shared" si="4"/>
        <v>7</v>
      </c>
      <c r="C28">
        <f t="shared" si="0"/>
        <v>14</v>
      </c>
      <c r="D28">
        <f t="shared" si="1"/>
        <v>0.23395117540687166</v>
      </c>
      <c r="E28">
        <f t="shared" si="2"/>
        <v>4.516431957661615E-08</v>
      </c>
      <c r="F28">
        <f t="shared" si="5"/>
        <v>5.877758215179077E-07</v>
      </c>
    </row>
    <row r="29" spans="1:6" ht="12.75">
      <c r="A29">
        <f t="shared" si="3"/>
        <v>1.1395</v>
      </c>
      <c r="B29">
        <f t="shared" si="4"/>
        <v>7</v>
      </c>
      <c r="C29">
        <f t="shared" si="0"/>
        <v>14</v>
      </c>
      <c r="D29">
        <f t="shared" si="1"/>
        <v>0.25734629294755884</v>
      </c>
      <c r="E29">
        <f t="shared" si="2"/>
        <v>4.5168283097421473E-08</v>
      </c>
      <c r="F29">
        <f t="shared" si="5"/>
        <v>6.532189205844244E-07</v>
      </c>
    </row>
    <row r="30" spans="1:6" ht="12.75">
      <c r="A30">
        <f t="shared" si="3"/>
        <v>1.2429999999999999</v>
      </c>
      <c r="B30">
        <f t="shared" si="4"/>
        <v>7</v>
      </c>
      <c r="C30">
        <f t="shared" si="0"/>
        <v>14</v>
      </c>
      <c r="D30">
        <f t="shared" si="1"/>
        <v>0.28074141048824597</v>
      </c>
      <c r="E30">
        <f t="shared" si="2"/>
        <v>4.5171586562871435E-08</v>
      </c>
      <c r="F30">
        <f t="shared" si="5"/>
        <v>7.186677627925882E-07</v>
      </c>
    </row>
    <row r="31" spans="1:6" ht="12.75">
      <c r="A31">
        <f t="shared" si="3"/>
        <v>1.3464999999999998</v>
      </c>
      <c r="B31">
        <f t="shared" si="4"/>
        <v>7</v>
      </c>
      <c r="C31">
        <f t="shared" si="0"/>
        <v>14</v>
      </c>
      <c r="D31">
        <f t="shared" si="1"/>
        <v>0.3041365280289331</v>
      </c>
      <c r="E31">
        <f t="shared" si="2"/>
        <v>4.5174382180309406E-08</v>
      </c>
      <c r="F31">
        <f t="shared" si="5"/>
        <v>7.841213917221889E-07</v>
      </c>
    </row>
    <row r="32" spans="1:6" ht="12.75">
      <c r="A32">
        <f t="shared" si="3"/>
        <v>1.4499999999999997</v>
      </c>
      <c r="B32">
        <f t="shared" si="4"/>
        <v>7</v>
      </c>
      <c r="C32">
        <f t="shared" si="0"/>
        <v>14</v>
      </c>
      <c r="D32">
        <f t="shared" si="1"/>
        <v>0.3275316455696203</v>
      </c>
      <c r="E32">
        <f t="shared" si="2"/>
        <v>4.517677869925798E-08</v>
      </c>
      <c r="F32">
        <f t="shared" si="5"/>
        <v>8.495790715014572E-07</v>
      </c>
    </row>
    <row r="33" spans="1:6" ht="12.75">
      <c r="A33">
        <f t="shared" si="3"/>
        <v>1.5534999999999997</v>
      </c>
      <c r="B33">
        <f t="shared" si="4"/>
        <v>7</v>
      </c>
      <c r="C33">
        <f t="shared" si="0"/>
        <v>14</v>
      </c>
      <c r="D33">
        <f t="shared" si="1"/>
        <v>0.3509267631103074</v>
      </c>
      <c r="E33">
        <f t="shared" si="2"/>
        <v>4.517885588803444E-08</v>
      </c>
      <c r="F33">
        <f t="shared" si="5"/>
        <v>9.15040223836682E-07</v>
      </c>
    </row>
    <row r="34" spans="1:6" ht="12.75">
      <c r="A34">
        <f t="shared" si="3"/>
        <v>1.6569999999999996</v>
      </c>
      <c r="B34">
        <f t="shared" si="4"/>
        <v>7</v>
      </c>
      <c r="C34">
        <f t="shared" si="0"/>
        <v>14</v>
      </c>
      <c r="D34">
        <f t="shared" si="1"/>
        <v>0.37432188065099453</v>
      </c>
      <c r="E34">
        <f t="shared" si="2"/>
        <v>4.518067358491184E-08</v>
      </c>
      <c r="F34">
        <f t="shared" si="5"/>
        <v>9.80504386018444E-07</v>
      </c>
    </row>
    <row r="35" spans="1:6" ht="12.75">
      <c r="A35">
        <f t="shared" si="3"/>
        <v>1.7604999999999995</v>
      </c>
      <c r="B35">
        <f t="shared" si="4"/>
        <v>7</v>
      </c>
      <c r="C35">
        <f t="shared" si="0"/>
        <v>14</v>
      </c>
      <c r="D35">
        <f t="shared" si="1"/>
        <v>0.3977169981916817</v>
      </c>
      <c r="E35">
        <f t="shared" si="2"/>
        <v>4.5182277556567085E-08</v>
      </c>
      <c r="F35">
        <f t="shared" si="5"/>
        <v>1.045971182042981E-06</v>
      </c>
    </row>
    <row r="36" spans="1:6" ht="12.75">
      <c r="A36">
        <f t="shared" si="3"/>
        <v>1.8639999999999994</v>
      </c>
      <c r="B36">
        <f t="shared" si="4"/>
        <v>7</v>
      </c>
      <c r="C36">
        <f t="shared" si="0"/>
        <v>14</v>
      </c>
      <c r="D36">
        <f t="shared" si="1"/>
        <v>0.42111211573236884</v>
      </c>
      <c r="E36">
        <f t="shared" si="2"/>
        <v>4.518370340476061E-08</v>
      </c>
      <c r="F36">
        <f t="shared" si="5"/>
        <v>1.1114403022224469E-06</v>
      </c>
    </row>
    <row r="37" spans="1:6" ht="12.75">
      <c r="A37">
        <f t="shared" si="3"/>
        <v>1.9674999999999994</v>
      </c>
      <c r="B37">
        <f t="shared" si="4"/>
        <v>7</v>
      </c>
      <c r="C37">
        <f t="shared" si="0"/>
        <v>14</v>
      </c>
      <c r="D37">
        <f t="shared" si="1"/>
        <v>0.44450723327305597</v>
      </c>
      <c r="E37">
        <f t="shared" si="2"/>
        <v>4.518497923995488E-08</v>
      </c>
      <c r="F37">
        <f t="shared" si="5"/>
        <v>1.176911488455945E-06</v>
      </c>
    </row>
    <row r="38" spans="1:6" ht="12.75">
      <c r="A38">
        <f t="shared" si="3"/>
        <v>2.0709999999999993</v>
      </c>
      <c r="B38">
        <f t="shared" si="4"/>
        <v>7</v>
      </c>
      <c r="C38">
        <f t="shared" si="0"/>
        <v>14</v>
      </c>
      <c r="D38">
        <f t="shared" si="1"/>
        <v>0.46790235081374315</v>
      </c>
      <c r="E38">
        <f t="shared" si="2"/>
        <v>4.51861275532345E-08</v>
      </c>
      <c r="F38">
        <f t="shared" si="5"/>
        <v>1.2423845233746395E-06</v>
      </c>
    </row>
    <row r="39" spans="1:6" ht="12.75">
      <c r="A39">
        <f t="shared" si="3"/>
        <v>2.174499999999999</v>
      </c>
      <c r="B39">
        <f t="shared" si="4"/>
        <v>7</v>
      </c>
      <c r="C39">
        <f t="shared" si="0"/>
        <v>14</v>
      </c>
      <c r="D39">
        <f t="shared" si="1"/>
        <v>0.4912974683544303</v>
      </c>
      <c r="E39">
        <f t="shared" si="2"/>
        <v>4.5187166553638125E-08</v>
      </c>
      <c r="F39">
        <f t="shared" si="5"/>
        <v>1.3078592221992762E-06</v>
      </c>
    </row>
    <row r="40" spans="1:6" ht="12.75">
      <c r="A40">
        <f t="shared" si="3"/>
        <v>2.277999999999999</v>
      </c>
      <c r="B40">
        <f t="shared" si="4"/>
        <v>7</v>
      </c>
      <c r="C40">
        <f t="shared" si="0"/>
        <v>14</v>
      </c>
      <c r="D40">
        <f t="shared" si="1"/>
        <v>0.5146925858951175</v>
      </c>
      <c r="E40">
        <f t="shared" si="2"/>
        <v>4.5188111140923406E-08</v>
      </c>
      <c r="F40">
        <f t="shared" si="5"/>
        <v>1.3733354265354978E-06</v>
      </c>
    </row>
    <row r="41" spans="1:6" ht="12.75">
      <c r="A41">
        <f t="shared" si="3"/>
        <v>2.381499999999999</v>
      </c>
      <c r="B41">
        <f t="shared" si="4"/>
        <v>7</v>
      </c>
      <c r="C41">
        <f t="shared" si="0"/>
        <v>14</v>
      </c>
      <c r="D41">
        <f t="shared" si="1"/>
        <v>0.5380877034358046</v>
      </c>
      <c r="E41">
        <f t="shared" si="2"/>
        <v>4.5188973624673924E-08</v>
      </c>
      <c r="F41">
        <f t="shared" si="5"/>
        <v>1.4388129995786958E-06</v>
      </c>
    </row>
    <row r="42" spans="1:6" ht="12.75">
      <c r="A42">
        <f t="shared" si="3"/>
        <v>2.484999999999999</v>
      </c>
      <c r="B42">
        <f t="shared" si="4"/>
        <v>7</v>
      </c>
      <c r="C42">
        <f t="shared" si="0"/>
        <v>14</v>
      </c>
      <c r="D42">
        <f t="shared" si="1"/>
        <v>0.5614828209764917</v>
      </c>
      <c r="E42">
        <f t="shared" si="2"/>
        <v>4.518976426370157E-08</v>
      </c>
      <c r="F42">
        <f t="shared" si="5"/>
        <v>1.5042918223608482E-06</v>
      </c>
    </row>
    <row r="43" spans="1:6" ht="12.75">
      <c r="A43">
        <f t="shared" si="3"/>
        <v>2.588499999999999</v>
      </c>
      <c r="B43">
        <f t="shared" si="4"/>
        <v>7</v>
      </c>
      <c r="C43">
        <f t="shared" si="0"/>
        <v>14</v>
      </c>
      <c r="D43">
        <f t="shared" si="1"/>
        <v>0.5848779385171788</v>
      </c>
      <c r="E43">
        <f t="shared" si="2"/>
        <v>4.5190491676042423E-08</v>
      </c>
      <c r="F43">
        <f t="shared" si="5"/>
        <v>1.5697717907789518E-06</v>
      </c>
    </row>
    <row r="44" spans="1:6" ht="12.75">
      <c r="A44">
        <f t="shared" si="3"/>
        <v>2.691999999999999</v>
      </c>
      <c r="B44">
        <f t="shared" si="4"/>
        <v>7</v>
      </c>
      <c r="C44">
        <f t="shared" si="0"/>
        <v>14</v>
      </c>
      <c r="D44">
        <f t="shared" si="1"/>
        <v>0.608273056057866</v>
      </c>
      <c r="E44">
        <f t="shared" si="2"/>
        <v>4.519116315437342E-08</v>
      </c>
      <c r="F44">
        <f t="shared" si="5"/>
        <v>1.6352528132175372E-06</v>
      </c>
    </row>
    <row r="45" spans="1:6" ht="12.75">
      <c r="A45">
        <f t="shared" si="3"/>
        <v>2.7954999999999988</v>
      </c>
      <c r="B45">
        <f t="shared" si="4"/>
        <v>7</v>
      </c>
      <c r="C45">
        <f t="shared" si="0"/>
        <v>14</v>
      </c>
      <c r="D45">
        <f t="shared" si="1"/>
        <v>0.6316681735985532</v>
      </c>
      <c r="E45">
        <f t="shared" si="2"/>
        <v>4.519178491136136E-08</v>
      </c>
      <c r="F45">
        <f t="shared" si="5"/>
        <v>1.7007348086282244E-06</v>
      </c>
    </row>
    <row r="46" spans="1:6" ht="12.75">
      <c r="A46">
        <f t="shared" si="3"/>
        <v>2.8989999999999987</v>
      </c>
      <c r="B46">
        <f t="shared" si="4"/>
        <v>7</v>
      </c>
      <c r="C46">
        <f t="shared" si="0"/>
        <v>14</v>
      </c>
      <c r="D46">
        <f t="shared" si="1"/>
        <v>0.6550632911392403</v>
      </c>
      <c r="E46">
        <f t="shared" si="2"/>
        <v>4.5192362272455375E-08</v>
      </c>
      <c r="F46">
        <f t="shared" si="5"/>
        <v>1.766217704964787E-06</v>
      </c>
    </row>
    <row r="47" spans="1:6" ht="12.75">
      <c r="A47">
        <f t="shared" si="3"/>
        <v>3.0024999999999986</v>
      </c>
      <c r="B47">
        <f t="shared" si="4"/>
        <v>7</v>
      </c>
      <c r="C47">
        <f t="shared" si="0"/>
        <v>14</v>
      </c>
      <c r="D47">
        <f t="shared" si="1"/>
        <v>0.6784584086799275</v>
      </c>
      <c r="E47">
        <f t="shared" si="2"/>
        <v>4.519289982880452E-08</v>
      </c>
      <c r="F47">
        <f t="shared" si="5"/>
        <v>1.8317014378975748E-06</v>
      </c>
    </row>
    <row r="48" spans="1:6" ht="12.75">
      <c r="A48">
        <f t="shared" si="3"/>
        <v>3.1059999999999985</v>
      </c>
      <c r="B48">
        <f t="shared" si="4"/>
        <v>7</v>
      </c>
      <c r="C48">
        <f t="shared" si="0"/>
        <v>14</v>
      </c>
      <c r="D48">
        <f t="shared" si="1"/>
        <v>0.7018535262206146</v>
      </c>
      <c r="E48">
        <f t="shared" si="2"/>
        <v>4.519340155960173E-08</v>
      </c>
      <c r="F48">
        <f t="shared" si="5"/>
        <v>1.8971859497495125E-06</v>
      </c>
    </row>
    <row r="49" spans="1:6" ht="12.75">
      <c r="A49">
        <f t="shared" si="3"/>
        <v>3.2094999999999985</v>
      </c>
      <c r="B49">
        <f t="shared" si="4"/>
        <v>7</v>
      </c>
      <c r="C49">
        <f t="shared" si="0"/>
        <v>14</v>
      </c>
      <c r="D49">
        <f t="shared" si="1"/>
        <v>0.7252486437613017</v>
      </c>
      <c r="E49">
        <f t="shared" si="2"/>
        <v>4.51938709307557E-08</v>
      </c>
      <c r="F49">
        <f t="shared" si="5"/>
        <v>1.9626711886093754E-06</v>
      </c>
    </row>
    <row r="50" spans="1:6" ht="12.75">
      <c r="A50">
        <f t="shared" si="3"/>
        <v>3.3129999999999984</v>
      </c>
      <c r="B50">
        <f t="shared" si="4"/>
        <v>7</v>
      </c>
      <c r="C50">
        <f aca="true" t="shared" si="6" ref="C50:C68">IF(A50&lt;rinner2,height,2*(slope*(A50-rinner2)+halfht))</f>
        <v>14</v>
      </c>
      <c r="D50">
        <f aca="true" t="shared" si="7" ref="D50:D68">IF(A50&lt;rinner2,(A50-rinner1)/(rinner2-rinner1),IF(A50&lt;router1,1,(1-(A50-router1)/(router2-router1))))</f>
        <v>0.748643761301989</v>
      </c>
      <c r="E50">
        <f aca="true" t="shared" si="8" ref="E50:E68">D50*4*PI()*0.0000001/2/PI()/A50</f>
        <v>4.5194310975067265E-08</v>
      </c>
      <c r="F50">
        <f t="shared" si="5"/>
        <v>2.02815710758804E-06</v>
      </c>
    </row>
    <row r="51" spans="1:6" ht="12.75">
      <c r="A51">
        <f aca="true" t="shared" si="9" ref="A51:A68">A50+deltaR</f>
        <v>3.4164999999999983</v>
      </c>
      <c r="B51">
        <f t="shared" si="4"/>
        <v>7</v>
      </c>
      <c r="C51">
        <f t="shared" si="6"/>
        <v>14</v>
      </c>
      <c r="D51">
        <f t="shared" si="7"/>
        <v>0.7720388788426761</v>
      </c>
      <c r="E51">
        <f t="shared" si="8"/>
        <v>4.5194724357832655E-08</v>
      </c>
      <c r="F51">
        <f aca="true" t="shared" si="10" ref="F51:F68">F50+deltaR*C50*E50</f>
        <v>2.0936436641909125E-06</v>
      </c>
    </row>
    <row r="52" spans="1:6" ht="12.75">
      <c r="A52">
        <f t="shared" si="9"/>
        <v>3.5199999999999982</v>
      </c>
      <c r="B52">
        <f t="shared" si="4"/>
        <v>7</v>
      </c>
      <c r="C52">
        <f t="shared" si="6"/>
        <v>14</v>
      </c>
      <c r="D52">
        <f t="shared" si="7"/>
        <v>0.7954339963833632</v>
      </c>
      <c r="E52">
        <f t="shared" si="8"/>
        <v>4.5195113430872937E-08</v>
      </c>
      <c r="F52">
        <f t="shared" si="10"/>
        <v>2.159130819785412E-06</v>
      </c>
    </row>
    <row r="53" spans="1:6" ht="12.75">
      <c r="A53">
        <f t="shared" si="9"/>
        <v>3.623499999999998</v>
      </c>
      <c r="B53">
        <f t="shared" si="4"/>
        <v>7</v>
      </c>
      <c r="C53">
        <f t="shared" si="6"/>
        <v>14</v>
      </c>
      <c r="D53">
        <f t="shared" si="7"/>
        <v>0.8188291139240503</v>
      </c>
      <c r="E53">
        <f t="shared" si="8"/>
        <v>4.5195480277303753E-08</v>
      </c>
      <c r="F53">
        <f t="shared" si="10"/>
        <v>2.224618539146747E-06</v>
      </c>
    </row>
    <row r="54" spans="1:6" ht="12.75">
      <c r="A54">
        <f t="shared" si="9"/>
        <v>3.726999999999998</v>
      </c>
      <c r="B54">
        <f t="shared" si="4"/>
        <v>7</v>
      </c>
      <c r="C54">
        <f t="shared" si="6"/>
        <v>14</v>
      </c>
      <c r="D54">
        <f t="shared" si="7"/>
        <v>0.8422242314647375</v>
      </c>
      <c r="E54">
        <f t="shared" si="8"/>
        <v>4.5195826748845603E-08</v>
      </c>
      <c r="F54">
        <f t="shared" si="10"/>
        <v>2.2901067900685603E-06</v>
      </c>
    </row>
    <row r="55" spans="1:6" ht="12.75">
      <c r="A55">
        <f t="shared" si="9"/>
        <v>3.830499999999998</v>
      </c>
      <c r="B55">
        <f t="shared" si="4"/>
        <v>7</v>
      </c>
      <c r="C55">
        <f t="shared" si="6"/>
        <v>14</v>
      </c>
      <c r="D55">
        <f t="shared" si="7"/>
        <v>0.8656193490054246</v>
      </c>
      <c r="E55">
        <f t="shared" si="8"/>
        <v>4.5196154497085235E-08</v>
      </c>
      <c r="F55">
        <f t="shared" si="10"/>
        <v>2.3555955430276374E-06</v>
      </c>
    </row>
    <row r="56" spans="1:6" ht="12.75">
      <c r="A56">
        <f t="shared" si="9"/>
        <v>3.933999999999998</v>
      </c>
      <c r="B56">
        <f t="shared" si="4"/>
        <v>7</v>
      </c>
      <c r="C56">
        <f t="shared" si="6"/>
        <v>14</v>
      </c>
      <c r="D56">
        <f t="shared" si="7"/>
        <v>0.8890144665461118</v>
      </c>
      <c r="E56">
        <f t="shared" si="8"/>
        <v>4.519646499980236E-08</v>
      </c>
      <c r="F56">
        <f t="shared" si="10"/>
        <v>2.4210847708939137E-06</v>
      </c>
    </row>
    <row r="57" spans="1:6" ht="12.75">
      <c r="A57">
        <f t="shared" si="9"/>
        <v>4.037499999999998</v>
      </c>
      <c r="B57">
        <f t="shared" si="4"/>
        <v>7</v>
      </c>
      <c r="C57">
        <f t="shared" si="6"/>
        <v>14</v>
      </c>
      <c r="D57">
        <f t="shared" si="7"/>
        <v>0.9124095840867988</v>
      </c>
      <c r="E57">
        <f t="shared" si="8"/>
        <v>4.5196759583247025E-08</v>
      </c>
      <c r="F57">
        <f t="shared" si="10"/>
        <v>2.4865744486786272E-06</v>
      </c>
    </row>
    <row r="58" spans="1:6" ht="12.75">
      <c r="A58">
        <f t="shared" si="9"/>
        <v>4.140999999999998</v>
      </c>
      <c r="B58">
        <f t="shared" si="4"/>
        <v>7</v>
      </c>
      <c r="C58">
        <f t="shared" si="6"/>
        <v>14</v>
      </c>
      <c r="D58">
        <f t="shared" si="7"/>
        <v>0.9358047016274861</v>
      </c>
      <c r="E58">
        <f t="shared" si="8"/>
        <v>4.519703944107638E-08</v>
      </c>
      <c r="F58">
        <f t="shared" si="10"/>
        <v>2.552064553314752E-06</v>
      </c>
    </row>
    <row r="59" spans="1:6" ht="12.75">
      <c r="A59">
        <f t="shared" si="9"/>
        <v>4.244499999999999</v>
      </c>
      <c r="B59">
        <f t="shared" si="4"/>
        <v>7</v>
      </c>
      <c r="C59">
        <f t="shared" si="6"/>
        <v>14</v>
      </c>
      <c r="D59">
        <f t="shared" si="7"/>
        <v>0.9591998191681733</v>
      </c>
      <c r="E59">
        <f t="shared" si="8"/>
        <v>4.519730565052061E-08</v>
      </c>
      <c r="F59">
        <f t="shared" si="10"/>
        <v>2.617555063464872E-06</v>
      </c>
    </row>
    <row r="60" spans="1:6" ht="12.75">
      <c r="A60">
        <f t="shared" si="9"/>
        <v>4.347999999999999</v>
      </c>
      <c r="B60">
        <f t="shared" si="4"/>
        <v>7</v>
      </c>
      <c r="C60">
        <f t="shared" si="6"/>
        <v>14</v>
      </c>
      <c r="D60">
        <f t="shared" si="7"/>
        <v>0.9825949367088606</v>
      </c>
      <c r="E60">
        <f t="shared" si="8"/>
        <v>4.519755918624015E-08</v>
      </c>
      <c r="F60">
        <f t="shared" si="10"/>
        <v>2.683045959352476E-06</v>
      </c>
    </row>
    <row r="61" spans="1:6" ht="12.75">
      <c r="A61">
        <f t="shared" si="9"/>
        <v>4.451499999999999</v>
      </c>
      <c r="B61">
        <f t="shared" si="4"/>
        <v>7</v>
      </c>
      <c r="C61">
        <f t="shared" si="6"/>
        <v>14</v>
      </c>
      <c r="D61">
        <f t="shared" si="7"/>
        <v>0.9646666666666673</v>
      </c>
      <c r="E61">
        <f t="shared" si="8"/>
        <v>4.334119585158565E-08</v>
      </c>
      <c r="F61">
        <f t="shared" si="10"/>
        <v>2.748537222613338E-06</v>
      </c>
    </row>
    <row r="62" spans="1:6" ht="12.75">
      <c r="A62">
        <f t="shared" si="9"/>
        <v>4.555</v>
      </c>
      <c r="B62">
        <f t="shared" si="4"/>
        <v>7</v>
      </c>
      <c r="C62">
        <f t="shared" si="6"/>
        <v>14</v>
      </c>
      <c r="D62">
        <f t="shared" si="7"/>
        <v>0.8266666666666668</v>
      </c>
      <c r="E62">
        <f t="shared" si="8"/>
        <v>3.62971094035858E-08</v>
      </c>
      <c r="F62">
        <f t="shared" si="10"/>
        <v>2.8113386154022857E-06</v>
      </c>
    </row>
    <row r="63" spans="1:6" ht="12.75">
      <c r="A63">
        <f t="shared" si="9"/>
        <v>4.6585</v>
      </c>
      <c r="B63">
        <f t="shared" si="4"/>
        <v>6.999999999999999</v>
      </c>
      <c r="C63">
        <f t="shared" si="6"/>
        <v>13.999999999999998</v>
      </c>
      <c r="D63">
        <f t="shared" si="7"/>
        <v>0.6886666666666663</v>
      </c>
      <c r="E63">
        <f t="shared" si="8"/>
        <v>2.9566026260241122E-08</v>
      </c>
      <c r="F63">
        <f t="shared" si="10"/>
        <v>2.8639331269280816E-06</v>
      </c>
    </row>
    <row r="64" spans="1:6" ht="12.75">
      <c r="A64">
        <f t="shared" si="9"/>
        <v>4.7620000000000005</v>
      </c>
      <c r="B64">
        <f t="shared" si="4"/>
        <v>6.999999999999999</v>
      </c>
      <c r="C64">
        <f t="shared" si="6"/>
        <v>13.999999999999998</v>
      </c>
      <c r="D64">
        <f t="shared" si="7"/>
        <v>0.5506666666666657</v>
      </c>
      <c r="E64">
        <f t="shared" si="8"/>
        <v>2.3127537449250974E-08</v>
      </c>
      <c r="F64">
        <f t="shared" si="10"/>
        <v>2.906774298979171E-06</v>
      </c>
    </row>
    <row r="65" spans="1:6" ht="12.75">
      <c r="A65">
        <f t="shared" si="9"/>
        <v>4.865500000000001</v>
      </c>
      <c r="B65">
        <f t="shared" si="4"/>
        <v>6.999999999999999</v>
      </c>
      <c r="C65">
        <f t="shared" si="6"/>
        <v>13.999999999999998</v>
      </c>
      <c r="D65">
        <f t="shared" si="7"/>
        <v>0.4126666666666653</v>
      </c>
      <c r="E65">
        <f t="shared" si="8"/>
        <v>1.6962970575137818E-08</v>
      </c>
      <c r="F65">
        <f t="shared" si="10"/>
        <v>2.9402861007431355E-06</v>
      </c>
    </row>
    <row r="66" spans="1:6" ht="12.75">
      <c r="A66">
        <f t="shared" si="9"/>
        <v>4.969000000000001</v>
      </c>
      <c r="B66">
        <f t="shared" si="4"/>
        <v>6.999999999999999</v>
      </c>
      <c r="C66">
        <f t="shared" si="6"/>
        <v>13.999999999999998</v>
      </c>
      <c r="D66">
        <f t="shared" si="7"/>
        <v>0.27466666666666484</v>
      </c>
      <c r="E66">
        <f t="shared" si="8"/>
        <v>1.1055208962232433E-08</v>
      </c>
      <c r="F66">
        <f t="shared" si="10"/>
        <v>2.9648654451065103E-06</v>
      </c>
    </row>
    <row r="67" spans="1:6" ht="12.75">
      <c r="A67">
        <f t="shared" si="9"/>
        <v>5.072500000000002</v>
      </c>
      <c r="B67">
        <f t="shared" si="4"/>
        <v>6.999999999999998</v>
      </c>
      <c r="C67">
        <f t="shared" si="6"/>
        <v>13.999999999999996</v>
      </c>
      <c r="D67">
        <f t="shared" si="7"/>
        <v>0.13666666666666438</v>
      </c>
      <c r="E67">
        <f t="shared" si="8"/>
        <v>5.388532939050343E-09</v>
      </c>
      <c r="F67">
        <f t="shared" si="10"/>
        <v>2.9808844428927852E-06</v>
      </c>
    </row>
    <row r="68" spans="1:6" ht="12.75">
      <c r="A68">
        <f t="shared" si="9"/>
        <v>5.176000000000002</v>
      </c>
      <c r="B68">
        <f t="shared" si="4"/>
        <v>6.999999999999998</v>
      </c>
      <c r="C68">
        <f t="shared" si="6"/>
        <v>13.999999999999996</v>
      </c>
      <c r="D68">
        <f t="shared" si="7"/>
        <v>-0.001333333333336073</v>
      </c>
      <c r="E68">
        <f t="shared" si="8"/>
        <v>-5.15198351366334E-11</v>
      </c>
      <c r="F68">
        <f t="shared" si="10"/>
        <v>2.988692427121469E-06</v>
      </c>
    </row>
    <row r="69" spans="1:6" ht="12.75">
      <c r="A69">
        <f>router2</f>
        <v>5.175</v>
      </c>
      <c r="B69">
        <f t="shared" si="4"/>
        <v>0</v>
      </c>
      <c r="C69">
        <v>0</v>
      </c>
      <c r="D69">
        <v>0</v>
      </c>
      <c r="E69">
        <v>0</v>
      </c>
      <c r="F69">
        <f>F68</f>
        <v>2.988692427121469E-06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B4" sqref="B4"/>
    </sheetView>
  </sheetViews>
  <sheetFormatPr defaultColWidth="11.00390625" defaultRowHeight="12"/>
  <cols>
    <col min="2" max="2" width="12.00390625" style="0" bestFit="1" customWidth="1"/>
    <col min="10" max="11" width="12.00390625" style="0" bestFit="1" customWidth="1"/>
    <col min="13" max="13" width="12.00390625" style="0" bestFit="1" customWidth="1"/>
  </cols>
  <sheetData>
    <row r="1" spans="1:2" ht="12.75">
      <c r="A1" t="s">
        <v>334</v>
      </c>
      <c r="B1" s="16">
        <f>Itf</f>
        <v>19990358.29658592</v>
      </c>
    </row>
    <row r="2" spans="1:4" ht="12.75">
      <c r="A2" t="s">
        <v>433</v>
      </c>
      <c r="B2" s="8">
        <f>drtf</f>
        <v>0.4</v>
      </c>
      <c r="D2">
        <f>2*B2</f>
        <v>0.8</v>
      </c>
    </row>
    <row r="3" spans="1:2" ht="12.75">
      <c r="A3" t="s">
        <v>434</v>
      </c>
      <c r="B3" s="8">
        <f>Base!B35</f>
        <v>5.400000000000001</v>
      </c>
    </row>
    <row r="4" spans="1:4" ht="12.75">
      <c r="A4" t="s">
        <v>435</v>
      </c>
      <c r="B4" s="8">
        <f>Base!B37*TF_Heating!B2</f>
        <v>0.8</v>
      </c>
      <c r="D4">
        <f>2*B4</f>
        <v>1.6</v>
      </c>
    </row>
    <row r="5" spans="1:4" ht="12.75">
      <c r="A5" t="s">
        <v>436</v>
      </c>
      <c r="B5" s="8">
        <f>Base!B36</f>
        <v>4.299999999999999</v>
      </c>
      <c r="D5" t="s">
        <v>234</v>
      </c>
    </row>
    <row r="6" spans="1:2" ht="12.75">
      <c r="A6" t="s">
        <v>149</v>
      </c>
      <c r="B6" s="8">
        <f>Base!B28</f>
        <v>0.25</v>
      </c>
    </row>
    <row r="7" spans="1:2" ht="12.75">
      <c r="A7" t="s">
        <v>44</v>
      </c>
      <c r="B7" s="8">
        <v>35</v>
      </c>
    </row>
    <row r="8" spans="1:2" ht="12.75">
      <c r="A8" t="s">
        <v>45</v>
      </c>
      <c r="B8" s="8">
        <v>100</v>
      </c>
    </row>
    <row r="9" spans="1:2" ht="12.75">
      <c r="A9" t="s">
        <v>46</v>
      </c>
      <c r="B9" s="8">
        <f>B7+(B8-B7)/2</f>
        <v>67.5</v>
      </c>
    </row>
    <row r="10" spans="1:2" ht="12.75">
      <c r="A10" t="s">
        <v>437</v>
      </c>
      <c r="B10" s="8">
        <v>10</v>
      </c>
    </row>
    <row r="11" spans="1:6" ht="12.75">
      <c r="A11" t="s">
        <v>438</v>
      </c>
      <c r="B11" s="8">
        <f>PI()*B2^2</f>
        <v>0.5026548245743669</v>
      </c>
      <c r="F11" t="s">
        <v>475</v>
      </c>
    </row>
    <row r="12" spans="1:7" ht="12.75">
      <c r="A12" t="s">
        <v>439</v>
      </c>
      <c r="B12" s="8">
        <f>PI()*B4^2</f>
        <v>2.0106192982974678</v>
      </c>
      <c r="F12" t="s">
        <v>476</v>
      </c>
      <c r="G12" s="47">
        <f>400/PI()*1.6^2</f>
        <v>325.9493234522017</v>
      </c>
    </row>
    <row r="13" spans="1:7" ht="12.75">
      <c r="A13" t="s">
        <v>207</v>
      </c>
      <c r="B13" s="8">
        <f>B11*B6</f>
        <v>0.12566370614359174</v>
      </c>
      <c r="F13" t="s">
        <v>477</v>
      </c>
      <c r="G13" s="47">
        <f>265/(6800000/10800/(1-0.33)*0.0001)</f>
        <v>2819.911764705882</v>
      </c>
    </row>
    <row r="14" spans="1:7" ht="12.75">
      <c r="A14" t="s">
        <v>474</v>
      </c>
      <c r="B14" s="8">
        <v>500</v>
      </c>
      <c r="F14" t="s">
        <v>478</v>
      </c>
      <c r="G14" s="47">
        <f>432/PI()/0.275^2</f>
        <v>1818.3123415721989</v>
      </c>
    </row>
    <row r="15" spans="1:7" ht="12.75">
      <c r="A15" t="s">
        <v>362</v>
      </c>
      <c r="B15" s="8">
        <f>B14*CSAcenter</f>
        <v>251.32741228718348</v>
      </c>
      <c r="G15" s="47"/>
    </row>
    <row r="16" spans="1:7" ht="12.75">
      <c r="A16" t="s">
        <v>361</v>
      </c>
      <c r="B16" s="7">
        <f>SQRT(4*CSAH20/B15/PI())</f>
        <v>0.025231325220201602</v>
      </c>
      <c r="G16" s="47"/>
    </row>
    <row r="17" spans="1:7" ht="12.75">
      <c r="A17" t="s">
        <v>364</v>
      </c>
      <c r="B17" s="8">
        <f>PI()*B16</f>
        <v>0.07926654595212022</v>
      </c>
      <c r="G17" s="47"/>
    </row>
    <row r="18" spans="1:2" ht="12.75">
      <c r="A18" t="s">
        <v>363</v>
      </c>
      <c r="B18" s="8">
        <f>B17*B15</f>
        <v>19.921855875089495</v>
      </c>
    </row>
    <row r="19" spans="1:2" ht="12.75">
      <c r="A19" t="s">
        <v>47</v>
      </c>
      <c r="B19" s="8">
        <f>B6*B11*B10</f>
        <v>1.2566370614359172</v>
      </c>
    </row>
    <row r="20" spans="1:2" ht="12.75">
      <c r="A20" t="s">
        <v>453</v>
      </c>
      <c r="B20" s="8">
        <f>Xnwall</f>
        <v>5.370435867231856</v>
      </c>
    </row>
    <row r="21" spans="1:2" ht="12.75">
      <c r="A21" t="s">
        <v>48</v>
      </c>
      <c r="B21" s="8">
        <f>4229.2-3.857*B9+0.06786*B9^2-0.0003745*B9^3+0.000000819*B9^4</f>
        <v>4179.865280429687</v>
      </c>
    </row>
    <row r="22" spans="1:2" ht="12.75">
      <c r="A22" t="s">
        <v>202</v>
      </c>
      <c r="B22" s="16">
        <v>0.000524</v>
      </c>
    </row>
    <row r="23" spans="1:2" ht="12.75">
      <c r="A23" t="s">
        <v>203</v>
      </c>
      <c r="B23" s="8">
        <f>1005.4-0.539*B9+0.0026713*B9^2</f>
        <v>981.1886106249999</v>
      </c>
    </row>
    <row r="24" spans="1:2" ht="12.75">
      <c r="A24" t="s">
        <v>204</v>
      </c>
      <c r="B24" s="8">
        <f>0.55183+0.0025297*B9-0.0000172*B9^2+0.0000000531*B9^3-0.0000000000813*B9^4</f>
        <v>0.6588602486992188</v>
      </c>
    </row>
    <row r="25" spans="1:2" ht="12.75">
      <c r="A25" t="s">
        <v>205</v>
      </c>
      <c r="B25" s="8">
        <f>13.527-0.43243*B9+0.00704*B9^2-0.0000618*B9^3+0.000000294*B9^4-0.000000000711*B9^5+0.000000000000682*B9^6</f>
        <v>2.579056704760255</v>
      </c>
    </row>
    <row r="26" spans="1:2" ht="12.75">
      <c r="A26" t="s">
        <v>440</v>
      </c>
      <c r="B26" s="8">
        <f>B23*B10*B16/B22</f>
        <v>472455.8957449834</v>
      </c>
    </row>
    <row r="27" spans="1:2" ht="12.75">
      <c r="A27" t="s">
        <v>471</v>
      </c>
      <c r="B27">
        <f>FlowH20*DensH20</f>
        <v>1232.9979723701904</v>
      </c>
    </row>
    <row r="28" spans="1:7" ht="12.75">
      <c r="A28" t="s">
        <v>366</v>
      </c>
      <c r="B28">
        <f>1/B27/SHH20</f>
        <v>1.9403289039557725E-07</v>
      </c>
      <c r="G28" s="8">
        <f>D45-D35</f>
        <v>3.392820323027551</v>
      </c>
    </row>
    <row r="29" spans="1:7" ht="12.75">
      <c r="A29" t="s">
        <v>423</v>
      </c>
      <c r="B29" s="8">
        <v>8940</v>
      </c>
      <c r="G29">
        <f>B3/2</f>
        <v>2.7000000000000006</v>
      </c>
    </row>
    <row r="30" spans="1:2" ht="12.75">
      <c r="A30" t="s">
        <v>424</v>
      </c>
      <c r="B30" s="8">
        <v>386</v>
      </c>
    </row>
    <row r="31" spans="1:2" ht="12.75">
      <c r="A31" t="s">
        <v>358</v>
      </c>
      <c r="B31" s="45">
        <v>0.0041</v>
      </c>
    </row>
    <row r="32" spans="1:2" ht="12.75">
      <c r="A32" t="s">
        <v>359</v>
      </c>
      <c r="B32" s="16">
        <f>0.0000000172/0.87</f>
        <v>1.9770114942528733E-08</v>
      </c>
    </row>
    <row r="33" ht="12.75">
      <c r="B33" s="8"/>
    </row>
    <row r="34" spans="1:18" ht="12.75">
      <c r="A34" t="s">
        <v>262</v>
      </c>
      <c r="B34" t="s">
        <v>263</v>
      </c>
      <c r="C34" t="s">
        <v>380</v>
      </c>
      <c r="D34" t="s">
        <v>264</v>
      </c>
      <c r="E34" t="s">
        <v>43</v>
      </c>
      <c r="F34" t="s">
        <v>206</v>
      </c>
      <c r="G34" t="s">
        <v>208</v>
      </c>
      <c r="H34" t="s">
        <v>360</v>
      </c>
      <c r="I34" t="s">
        <v>365</v>
      </c>
      <c r="J34" t="s">
        <v>441</v>
      </c>
      <c r="K34" t="s">
        <v>442</v>
      </c>
      <c r="L34" t="s">
        <v>468</v>
      </c>
      <c r="M34" t="s">
        <v>443</v>
      </c>
      <c r="N34" t="s">
        <v>444</v>
      </c>
      <c r="O34" t="s">
        <v>466</v>
      </c>
      <c r="P34" t="s">
        <v>467</v>
      </c>
      <c r="Q34" t="s">
        <v>469</v>
      </c>
      <c r="R34" t="s">
        <v>470</v>
      </c>
    </row>
    <row r="35" spans="1:18" ht="12.75">
      <c r="A35">
        <v>1</v>
      </c>
      <c r="B35" t="str">
        <f>IF(OR(A35=1,A35=8),"End","Center")</f>
        <v>End</v>
      </c>
      <c r="C35" s="8">
        <f>B4</f>
        <v>0.8</v>
      </c>
      <c r="D35" s="8">
        <f>B5-D36</f>
        <v>3.6071796769724482</v>
      </c>
      <c r="E35" s="16">
        <v>0</v>
      </c>
      <c r="F35" s="8">
        <f>PI()*C35^2-CSAH20</f>
        <v>1.884955592153876</v>
      </c>
      <c r="G35" s="16">
        <f>F35*D35*DensCu</f>
        <v>60786.39912587648</v>
      </c>
      <c r="H35" s="16">
        <f>G35*SHCu</f>
        <v>23463550.062588323</v>
      </c>
      <c r="I35" s="16">
        <f>WP*D35</f>
        <v>71.861713640197</v>
      </c>
      <c r="J35" s="16">
        <f>1/(0.023*Reynolds^0.8*PrandtLH20^0.4*TconH20*PI()*D35)/Npassage</f>
        <v>4.5798154261128114E-07</v>
      </c>
      <c r="K35" s="16">
        <f>Rmassflow+J35</f>
        <v>6.520144330068584E-07</v>
      </c>
      <c r="L35" s="8">
        <f>B7</f>
        <v>35</v>
      </c>
      <c r="M35" s="16">
        <f aca="true" t="shared" si="0" ref="M35:M42">ResCu*D35/F35*(1+CoeffCu*(L35-20))</f>
        <v>4.016019798682524E-08</v>
      </c>
      <c r="N35" s="16">
        <f>Itf^2*M35</f>
        <v>16048594.419398693</v>
      </c>
      <c r="O35" s="16">
        <f aca="true" t="shared" si="1" ref="O35:O42">E35+N35</f>
        <v>16048594.419398693</v>
      </c>
      <c r="P35" s="8">
        <f>Rmassflow*O35</f>
        <v>3.1139551619822594</v>
      </c>
      <c r="Q35" s="8">
        <f>J35*O35</f>
        <v>7.3499600289390115</v>
      </c>
      <c r="R35" s="8">
        <f>L35+(P35/2)+Q35</f>
        <v>43.90693760993014</v>
      </c>
    </row>
    <row r="36" spans="1:18" ht="12.75">
      <c r="A36">
        <v>2</v>
      </c>
      <c r="B36" t="s">
        <v>293</v>
      </c>
      <c r="C36" s="8">
        <f>(B2+B4)/2</f>
        <v>0.6000000000000001</v>
      </c>
      <c r="D36" s="8">
        <f>(B4-B2)*TAN(60*PI()/180)</f>
        <v>0.6928203230275507</v>
      </c>
      <c r="E36" s="16">
        <f aca="true" t="shared" si="2" ref="E36:E41">Xnwall*2*PI()*C36*D36*1000000</f>
        <v>14026886.152769921</v>
      </c>
      <c r="F36" s="8">
        <f aca="true" t="shared" si="3" ref="F36:F42">PI()*C36^2-CSAH20</f>
        <v>1.005309649148734</v>
      </c>
      <c r="G36" s="16">
        <f aca="true" t="shared" si="4" ref="G36:G42">F36*D36*DensCu</f>
        <v>6226.7006654415</v>
      </c>
      <c r="H36" s="16">
        <f aca="true" t="shared" si="5" ref="H36:H42">G36*SHCu</f>
        <v>2403506.456860419</v>
      </c>
      <c r="I36" s="16">
        <f aca="true" t="shared" si="6" ref="I36:I42">WP*D36</f>
        <v>13.802266622687812</v>
      </c>
      <c r="J36" s="16">
        <f aca="true" t="shared" si="7" ref="J36:J42">1/(0.023*Reynolds^0.8*PrandtLH20^0.4*TconH20*PI()*D36)/Npassage</f>
        <v>2.3844879516766288E-06</v>
      </c>
      <c r="K36" s="16">
        <f aca="true" t="shared" si="8" ref="K36:K42">Rmassflow+J36</f>
        <v>2.578520842072206E-06</v>
      </c>
      <c r="L36" s="8">
        <f>L35+P35</f>
        <v>38.11395516198226</v>
      </c>
      <c r="M36" s="16">
        <f t="shared" si="0"/>
        <v>1.4636670103477753E-08</v>
      </c>
      <c r="N36" s="16">
        <f>Itf^2*M36</f>
        <v>5849024.504767438</v>
      </c>
      <c r="O36" s="16">
        <f t="shared" si="1"/>
        <v>19875910.65753736</v>
      </c>
      <c r="P36" s="8">
        <f aca="true" t="shared" si="9" ref="P36:P42">Rmassflow*O36</f>
        <v>3.856580394126232</v>
      </c>
      <c r="Q36" s="8">
        <f>J36*O36</f>
        <v>47.39386949149893</v>
      </c>
      <c r="R36" s="8">
        <f>L36+(P36/2)+Q36</f>
        <v>87.4361148505443</v>
      </c>
    </row>
    <row r="37" spans="1:18" ht="12.75">
      <c r="A37">
        <v>3</v>
      </c>
      <c r="B37" t="str">
        <f aca="true" t="shared" si="10" ref="B37:B42">IF(OR(A37=1,A37=8),"End","Center")</f>
        <v>Center</v>
      </c>
      <c r="C37" s="8">
        <f>B2</f>
        <v>0.4</v>
      </c>
      <c r="D37" s="8">
        <f>B3/4</f>
        <v>1.3500000000000003</v>
      </c>
      <c r="E37" s="16">
        <f t="shared" si="2"/>
        <v>18221459.616436396</v>
      </c>
      <c r="F37" s="8">
        <f t="shared" si="3"/>
        <v>0.3769911184307752</v>
      </c>
      <c r="G37" s="16">
        <f t="shared" si="4"/>
        <v>4549.905808341027</v>
      </c>
      <c r="H37" s="16">
        <f t="shared" si="5"/>
        <v>1756263.6420196365</v>
      </c>
      <c r="I37" s="16">
        <f t="shared" si="6"/>
        <v>26.894505431370824</v>
      </c>
      <c r="J37" s="16">
        <f t="shared" si="7"/>
        <v>1.2237197873599292E-06</v>
      </c>
      <c r="K37" s="16">
        <f t="shared" si="8"/>
        <v>1.4177526777555063E-06</v>
      </c>
      <c r="L37" s="8">
        <f aca="true" t="shared" si="11" ref="L37:L42">L36+P36</f>
        <v>41.970535556108494</v>
      </c>
      <c r="M37" s="16">
        <f t="shared" si="0"/>
        <v>7.717380177839359E-08</v>
      </c>
      <c r="N37" s="16">
        <f aca="true" t="shared" si="12" ref="N37:N42">Itf^2*M37</f>
        <v>30839764.409299348</v>
      </c>
      <c r="O37" s="16">
        <f t="shared" si="1"/>
        <v>49061224.02573574</v>
      </c>
      <c r="P37" s="8">
        <f t="shared" si="9"/>
        <v>9.519491104058444</v>
      </c>
      <c r="Q37" s="8">
        <f aca="true" t="shared" si="13" ref="Q37:Q42">J37*O37</f>
        <v>60.037190632391194</v>
      </c>
      <c r="R37" s="8">
        <f aca="true" t="shared" si="14" ref="R37:R42">L37+(P37/2)+Q37</f>
        <v>106.76747174052892</v>
      </c>
    </row>
    <row r="38" spans="1:18" ht="12.75">
      <c r="A38">
        <v>4</v>
      </c>
      <c r="B38" t="str">
        <f t="shared" si="10"/>
        <v>Center</v>
      </c>
      <c r="C38" s="8">
        <f aca="true" t="shared" si="15" ref="C38:D40">C37</f>
        <v>0.4</v>
      </c>
      <c r="D38" s="8">
        <f t="shared" si="15"/>
        <v>1.3500000000000003</v>
      </c>
      <c r="E38" s="16">
        <f t="shared" si="2"/>
        <v>18221459.616436396</v>
      </c>
      <c r="F38" s="8">
        <f t="shared" si="3"/>
        <v>0.3769911184307752</v>
      </c>
      <c r="G38" s="16">
        <f t="shared" si="4"/>
        <v>4549.905808341027</v>
      </c>
      <c r="H38" s="16">
        <f t="shared" si="5"/>
        <v>1756263.6420196365</v>
      </c>
      <c r="I38" s="16">
        <f t="shared" si="6"/>
        <v>26.894505431370824</v>
      </c>
      <c r="J38" s="16">
        <f t="shared" si="7"/>
        <v>1.2237197873599292E-06</v>
      </c>
      <c r="K38" s="16">
        <f t="shared" si="8"/>
        <v>1.4177526777555063E-06</v>
      </c>
      <c r="L38" s="8">
        <f t="shared" si="11"/>
        <v>51.49002666016694</v>
      </c>
      <c r="M38" s="16">
        <f t="shared" si="0"/>
        <v>7.993698340922667E-08</v>
      </c>
      <c r="N38" s="16">
        <f t="shared" si="12"/>
        <v>31943971.647394154</v>
      </c>
      <c r="O38" s="16">
        <f t="shared" si="1"/>
        <v>50165431.26383055</v>
      </c>
      <c r="P38" s="8">
        <f t="shared" si="9"/>
        <v>9.733743626061697</v>
      </c>
      <c r="Q38" s="8">
        <f t="shared" si="13"/>
        <v>61.388430878993866</v>
      </c>
      <c r="R38" s="8">
        <f t="shared" si="14"/>
        <v>117.74532935219165</v>
      </c>
    </row>
    <row r="39" spans="1:18" ht="12.75">
      <c r="A39">
        <v>5</v>
      </c>
      <c r="B39" t="str">
        <f t="shared" si="10"/>
        <v>Center</v>
      </c>
      <c r="C39" s="8">
        <f t="shared" si="15"/>
        <v>0.4</v>
      </c>
      <c r="D39" s="8">
        <f t="shared" si="15"/>
        <v>1.3500000000000003</v>
      </c>
      <c r="E39" s="16">
        <f t="shared" si="2"/>
        <v>18221459.616436396</v>
      </c>
      <c r="F39" s="8">
        <f t="shared" si="3"/>
        <v>0.3769911184307752</v>
      </c>
      <c r="G39" s="16">
        <f t="shared" si="4"/>
        <v>4549.905808341027</v>
      </c>
      <c r="H39" s="16">
        <f t="shared" si="5"/>
        <v>1756263.6420196365</v>
      </c>
      <c r="I39" s="16">
        <f t="shared" si="6"/>
        <v>26.894505431370824</v>
      </c>
      <c r="J39" s="16">
        <f t="shared" si="7"/>
        <v>1.2237197873599292E-06</v>
      </c>
      <c r="K39" s="16">
        <f t="shared" si="8"/>
        <v>1.4177526777555063E-06</v>
      </c>
      <c r="L39" s="8">
        <f t="shared" si="11"/>
        <v>61.223770286228635</v>
      </c>
      <c r="M39" s="16">
        <f t="shared" si="0"/>
        <v>8.276235519567708E-08</v>
      </c>
      <c r="N39" s="16">
        <f t="shared" si="12"/>
        <v>33073030.968755808</v>
      </c>
      <c r="O39" s="16">
        <f t="shared" si="1"/>
        <v>51294490.5851922</v>
      </c>
      <c r="P39" s="8">
        <f t="shared" si="9"/>
        <v>9.952818269613568</v>
      </c>
      <c r="Q39" s="8">
        <f t="shared" si="13"/>
        <v>62.770083111647295</v>
      </c>
      <c r="R39" s="8">
        <f t="shared" si="14"/>
        <v>128.9702625326827</v>
      </c>
    </row>
    <row r="40" spans="1:18" ht="12.75">
      <c r="A40">
        <v>6</v>
      </c>
      <c r="B40" t="str">
        <f t="shared" si="10"/>
        <v>Center</v>
      </c>
      <c r="C40" s="8">
        <f t="shared" si="15"/>
        <v>0.4</v>
      </c>
      <c r="D40" s="8">
        <f t="shared" si="15"/>
        <v>1.3500000000000003</v>
      </c>
      <c r="E40" s="16">
        <f t="shared" si="2"/>
        <v>18221459.616436396</v>
      </c>
      <c r="F40" s="8">
        <f t="shared" si="3"/>
        <v>0.3769911184307752</v>
      </c>
      <c r="G40" s="16">
        <f t="shared" si="4"/>
        <v>4549.905808341027</v>
      </c>
      <c r="H40" s="16">
        <f t="shared" si="5"/>
        <v>1756263.6420196365</v>
      </c>
      <c r="I40" s="16">
        <f t="shared" si="6"/>
        <v>26.894505431370824</v>
      </c>
      <c r="J40" s="16">
        <f t="shared" si="7"/>
        <v>1.2237197873599292E-06</v>
      </c>
      <c r="K40" s="16">
        <f t="shared" si="8"/>
        <v>1.4177526777555063E-06</v>
      </c>
      <c r="L40" s="8">
        <f t="shared" si="11"/>
        <v>71.1765885558422</v>
      </c>
      <c r="M40" s="16">
        <f t="shared" si="0"/>
        <v>8.565131683417176E-08</v>
      </c>
      <c r="N40" s="16">
        <f t="shared" si="12"/>
        <v>34227501.71226689</v>
      </c>
      <c r="O40" s="16">
        <f t="shared" si="1"/>
        <v>52448961.328703284</v>
      </c>
      <c r="P40" s="8">
        <f t="shared" si="9"/>
        <v>10.176823564854153</v>
      </c>
      <c r="Q40" s="8">
        <f t="shared" si="13"/>
        <v>64.18283180440993</v>
      </c>
      <c r="R40" s="8">
        <f t="shared" si="14"/>
        <v>140.4478321426792</v>
      </c>
    </row>
    <row r="41" spans="1:18" ht="12.75">
      <c r="A41">
        <v>7</v>
      </c>
      <c r="B41" t="s">
        <v>293</v>
      </c>
      <c r="C41" s="8">
        <f>C36</f>
        <v>0.6000000000000001</v>
      </c>
      <c r="D41" s="8">
        <f>D36</f>
        <v>0.6928203230275507</v>
      </c>
      <c r="E41" s="16">
        <f t="shared" si="2"/>
        <v>14026886.152769921</v>
      </c>
      <c r="F41" s="8">
        <f t="shared" si="3"/>
        <v>1.005309649148734</v>
      </c>
      <c r="G41" s="16">
        <f t="shared" si="4"/>
        <v>6226.7006654415</v>
      </c>
      <c r="H41" s="16">
        <f t="shared" si="5"/>
        <v>2403506.456860419</v>
      </c>
      <c r="I41" s="16">
        <f t="shared" si="6"/>
        <v>13.802266622687812</v>
      </c>
      <c r="J41" s="16">
        <f t="shared" si="7"/>
        <v>2.3844879516766288E-06</v>
      </c>
      <c r="K41" s="16">
        <f t="shared" si="8"/>
        <v>2.578520842072206E-06</v>
      </c>
      <c r="L41" s="8">
        <f t="shared" si="11"/>
        <v>81.35341212069636</v>
      </c>
      <c r="M41" s="16">
        <f t="shared" si="0"/>
        <v>1.7052097843881105E-08</v>
      </c>
      <c r="N41" s="16">
        <f t="shared" si="12"/>
        <v>6814264.271957203</v>
      </c>
      <c r="O41" s="16">
        <f t="shared" si="1"/>
        <v>20841150.424727123</v>
      </c>
      <c r="P41" s="8">
        <f t="shared" si="9"/>
        <v>4.043868656078816</v>
      </c>
      <c r="Q41" s="8">
        <f t="shared" si="13"/>
        <v>49.69547208684208</v>
      </c>
      <c r="R41" s="8">
        <f t="shared" si="14"/>
        <v>133.07081853557784</v>
      </c>
    </row>
    <row r="42" spans="1:18" ht="12.75">
      <c r="A42">
        <v>8</v>
      </c>
      <c r="B42" t="str">
        <f t="shared" si="10"/>
        <v>End</v>
      </c>
      <c r="C42" s="8">
        <f>C35</f>
        <v>0.8</v>
      </c>
      <c r="D42" s="8">
        <f>D35</f>
        <v>3.6071796769724482</v>
      </c>
      <c r="E42" s="16">
        <v>0</v>
      </c>
      <c r="F42" s="8">
        <f t="shared" si="3"/>
        <v>1.884955592153876</v>
      </c>
      <c r="G42" s="16">
        <f t="shared" si="4"/>
        <v>60786.39912587648</v>
      </c>
      <c r="H42" s="16">
        <f t="shared" si="5"/>
        <v>23463550.062588323</v>
      </c>
      <c r="I42" s="16">
        <f t="shared" si="6"/>
        <v>71.861713640197</v>
      </c>
      <c r="J42" s="16">
        <f t="shared" si="7"/>
        <v>4.5798154261128114E-07</v>
      </c>
      <c r="K42" s="16">
        <f t="shared" si="8"/>
        <v>6.520144330068584E-07</v>
      </c>
      <c r="L42" s="8">
        <f t="shared" si="11"/>
        <v>85.39728077677518</v>
      </c>
      <c r="M42" s="16">
        <f t="shared" si="0"/>
        <v>4.7977678508135586E-08</v>
      </c>
      <c r="N42" s="16">
        <f t="shared" si="12"/>
        <v>19172572.40150966</v>
      </c>
      <c r="O42" s="16">
        <f t="shared" si="1"/>
        <v>19172572.40150966</v>
      </c>
      <c r="P42" s="8">
        <f t="shared" si="9"/>
        <v>3.7201096393833932</v>
      </c>
      <c r="Q42" s="8">
        <f t="shared" si="13"/>
        <v>8.780684284269869</v>
      </c>
      <c r="R42" s="8">
        <f t="shared" si="14"/>
        <v>96.03801988073674</v>
      </c>
    </row>
    <row r="43" spans="4:7" ht="12.75">
      <c r="D43" s="8">
        <f>SUM(D35:D42)</f>
        <v>13.999999999999998</v>
      </c>
      <c r="F43" s="46" t="s">
        <v>472</v>
      </c>
      <c r="G43" s="16">
        <f>SUM(G35:G42)</f>
        <v>152225.82281600003</v>
      </c>
    </row>
    <row r="44" spans="11:18" ht="12.75">
      <c r="K44" s="46" t="s">
        <v>473</v>
      </c>
      <c r="L44" s="8">
        <f>L42+P42</f>
        <v>89.11739041615857</v>
      </c>
      <c r="M44" s="46" t="s">
        <v>472</v>
      </c>
      <c r="N44" s="16">
        <f>SUM(N35:N43)</f>
        <v>177968724.3353492</v>
      </c>
      <c r="Q44" s="46" t="s">
        <v>473</v>
      </c>
      <c r="R44" s="8">
        <f>MAX(R35:R42)</f>
        <v>140.4478321426792</v>
      </c>
    </row>
    <row r="45" spans="4:5" ht="12.75">
      <c r="D45">
        <f>D43/2</f>
        <v>6.999999999999999</v>
      </c>
      <c r="E45" s="8">
        <f>D45-D35</f>
        <v>3.392820323027551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6" sqref="B6"/>
    </sheetView>
  </sheetViews>
  <sheetFormatPr defaultColWidth="11.00390625" defaultRowHeight="12"/>
  <sheetData>
    <row r="1" spans="1:3" ht="12.75">
      <c r="A1" t="s">
        <v>355</v>
      </c>
      <c r="B1">
        <f>mu0*Itf/2/PI()/drtf</f>
        <v>9.99517914829296</v>
      </c>
      <c r="C1" t="s">
        <v>317</v>
      </c>
    </row>
    <row r="2" spans="1:2" ht="12.75">
      <c r="A2" t="s">
        <v>356</v>
      </c>
      <c r="B2">
        <v>0.34</v>
      </c>
    </row>
    <row r="3" spans="1:2" ht="12.75">
      <c r="A3" t="s">
        <v>357</v>
      </c>
      <c r="B3">
        <f>-1*Bmax^2/2/mu0*(3-2*Nu)/2/(1-Nu)</f>
        <v>-69864307.58386539</v>
      </c>
    </row>
    <row r="4" spans="1:2" ht="12.75">
      <c r="A4" t="s">
        <v>311</v>
      </c>
      <c r="B4">
        <f>-1*Bmax^2/2/mu0*((3-2*Nu)/2/(1-Nu)-(1+2*Nu)/2/(1-Nu))</f>
        <v>-19272912.436928377</v>
      </c>
    </row>
    <row r="5" spans="1:2" ht="12.75">
      <c r="A5" t="s">
        <v>312</v>
      </c>
      <c r="B5">
        <f>-1*Bmax^2/2/mu0*Nu/(1-Nu)</f>
        <v>-20477469.464236412</v>
      </c>
    </row>
    <row r="6" spans="1:2" ht="12.75">
      <c r="A6" t="s">
        <v>313</v>
      </c>
      <c r="B6">
        <f>SQRT(((B3-B4)^2+(B4-B5)^2+(B5-B3)^2)/2)</f>
        <v>49999999.999999985</v>
      </c>
    </row>
    <row r="7" spans="1:2" ht="12.75">
      <c r="A7" t="s">
        <v>314</v>
      </c>
      <c r="B7">
        <v>2</v>
      </c>
    </row>
    <row r="8" spans="1:3" ht="12.75">
      <c r="A8" t="s">
        <v>315</v>
      </c>
      <c r="B8">
        <f>B7*B6/1000000</f>
        <v>99.99999999999997</v>
      </c>
      <c r="C8" t="s">
        <v>316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E11" sqref="E11"/>
    </sheetView>
  </sheetViews>
  <sheetFormatPr defaultColWidth="11.00390625" defaultRowHeight="12"/>
  <cols>
    <col min="1" max="1" width="35.875" style="0" bestFit="1" customWidth="1"/>
    <col min="2" max="2" width="12.125" style="0" bestFit="1" customWidth="1"/>
  </cols>
  <sheetData>
    <row r="1" spans="1:3" ht="12.75">
      <c r="A1" t="s">
        <v>373</v>
      </c>
      <c r="B1" s="7">
        <f>MAX(MIN(2*(kappa*R0/A-1.5),2*kappa*R0/A*0.333333),1)</f>
        <v>1.999998</v>
      </c>
      <c r="C1" t="s">
        <v>482</v>
      </c>
    </row>
    <row r="2" spans="1:16" ht="12.75">
      <c r="A2" t="s">
        <v>421</v>
      </c>
      <c r="B2" s="8">
        <f>B1/2/(kappa*R0/A)</f>
        <v>0.333333</v>
      </c>
      <c r="K2" t="s">
        <v>220</v>
      </c>
      <c r="L2">
        <v>1.448213937989068</v>
      </c>
      <c r="M2" t="s">
        <v>234</v>
      </c>
      <c r="O2" t="s">
        <v>377</v>
      </c>
      <c r="P2">
        <v>0.9886649730891136</v>
      </c>
    </row>
    <row r="3" spans="1:16" ht="12.75">
      <c r="A3" t="s">
        <v>82</v>
      </c>
      <c r="B3" s="8">
        <f>P_aux</f>
        <v>28.113812224306002</v>
      </c>
      <c r="C3" t="s">
        <v>39</v>
      </c>
      <c r="K3" t="s">
        <v>221</v>
      </c>
      <c r="L3">
        <f>B32*B33/B27</f>
        <v>0.871212121212121</v>
      </c>
      <c r="M3" t="s">
        <v>234</v>
      </c>
      <c r="O3" t="s">
        <v>228</v>
      </c>
      <c r="P3">
        <v>1.0161463447243062</v>
      </c>
    </row>
    <row r="4" spans="1:18" ht="13.5">
      <c r="A4" t="s">
        <v>416</v>
      </c>
      <c r="B4" s="8">
        <f>E_nbi</f>
        <v>400</v>
      </c>
      <c r="C4" t="s">
        <v>83</v>
      </c>
      <c r="J4" s="56" t="s">
        <v>274</v>
      </c>
      <c r="K4" s="56" t="s">
        <v>275</v>
      </c>
      <c r="L4" t="s">
        <v>276</v>
      </c>
      <c r="M4" t="s">
        <v>278</v>
      </c>
      <c r="N4" t="s">
        <v>230</v>
      </c>
      <c r="O4" t="s">
        <v>277</v>
      </c>
      <c r="P4" t="s">
        <v>229</v>
      </c>
      <c r="Q4" t="s">
        <v>231</v>
      </c>
      <c r="R4" t="s">
        <v>0</v>
      </c>
    </row>
    <row r="5" spans="1:18" ht="13.5">
      <c r="A5" t="s">
        <v>156</v>
      </c>
      <c r="B5" s="8">
        <f>B3*1000000/B4/1000</f>
        <v>70.284530560765</v>
      </c>
      <c r="C5" t="s">
        <v>157</v>
      </c>
      <c r="J5" s="56">
        <v>0</v>
      </c>
      <c r="K5" s="56">
        <v>1</v>
      </c>
      <c r="L5" s="7">
        <f>xk1*xk2*K5</f>
        <v>1.2617015368844149</v>
      </c>
      <c r="M5">
        <v>0</v>
      </c>
      <c r="N5" s="7">
        <f>L5</f>
        <v>1.2617015368844149</v>
      </c>
      <c r="O5">
        <f>xk1*xk2*xa*(1-J5^2/xb^2)</f>
        <v>1.2474001160103234</v>
      </c>
      <c r="P5" s="56">
        <f aca="true" t="shared" si="0" ref="P5:P19">xk1*xk2*(J5-J5^3/3/xa^2)</f>
        <v>0</v>
      </c>
      <c r="Q5">
        <f>O5</f>
        <v>1.2474001160103234</v>
      </c>
      <c r="R5">
        <f>(Q5-N5)^2</f>
        <v>0.00020453063901789938</v>
      </c>
    </row>
    <row r="6" spans="1:18" ht="13.5">
      <c r="A6" t="s">
        <v>84</v>
      </c>
      <c r="B6" s="8">
        <v>20</v>
      </c>
      <c r="C6" t="s">
        <v>27</v>
      </c>
      <c r="J6" s="56">
        <v>0.056391</v>
      </c>
      <c r="K6" s="56">
        <v>1</v>
      </c>
      <c r="L6" s="7">
        <f aca="true" t="shared" si="1" ref="L6:L19">xk1*xk2*K6</f>
        <v>1.2617015368844149</v>
      </c>
      <c r="M6">
        <f>M5+L5*(J6-J5)</f>
        <v>0.07114861136644904</v>
      </c>
      <c r="N6">
        <f>M6/J6</f>
        <v>1.2617015368844149</v>
      </c>
      <c r="O6">
        <f aca="true" t="shared" si="2" ref="O6:O19">xk1*xk2*xa*(1-J6^2/xb^2)</f>
        <v>1.243558509719634</v>
      </c>
      <c r="P6" s="56">
        <f t="shared" si="0"/>
        <v>0.0710714559411169</v>
      </c>
      <c r="Q6">
        <f>xk1*xk2*xa*(J6-J6^3/3/xb^2)/J6</f>
        <v>1.2461195805800938</v>
      </c>
      <c r="R6">
        <f aca="true" t="shared" si="3" ref="R6:R19">(Q6-N6)^2</f>
        <v>0.00024279736226977307</v>
      </c>
    </row>
    <row r="7" spans="1:18" ht="13.5">
      <c r="A7" t="s">
        <v>158</v>
      </c>
      <c r="B7" s="8">
        <f>B5/B6</f>
        <v>3.5142265280382503</v>
      </c>
      <c r="C7" t="s">
        <v>28</v>
      </c>
      <c r="J7" s="56">
        <v>0.11278</v>
      </c>
      <c r="K7" s="56">
        <v>0.97054</v>
      </c>
      <c r="L7" s="7">
        <f t="shared" si="1"/>
        <v>1.2245318096078</v>
      </c>
      <c r="M7">
        <f aca="true" t="shared" si="4" ref="M7:M19">M6+L6*(J7-J6)</f>
        <v>0.1422946993298243</v>
      </c>
      <c r="N7">
        <f aca="true" t="shared" si="5" ref="N7:N19">M7/J7</f>
        <v>1.2617015368844147</v>
      </c>
      <c r="O7">
        <f t="shared" si="2"/>
        <v>1.2320342358383942</v>
      </c>
      <c r="P7" s="56">
        <f t="shared" si="0"/>
        <v>0.14167748876392083</v>
      </c>
      <c r="Q7">
        <f aca="true" t="shared" si="6" ref="Q7:Q19">xk1*xk2*xa*(J7-J7^3/3/xb^2)/J7</f>
        <v>1.2422781559530138</v>
      </c>
      <c r="R7">
        <f t="shared" si="3"/>
        <v>0.0003772677268063056</v>
      </c>
    </row>
    <row r="8" spans="1:18" ht="13.5">
      <c r="A8" t="s">
        <v>391</v>
      </c>
      <c r="B8" s="8">
        <v>1.25</v>
      </c>
      <c r="J8" s="56">
        <v>0.18797</v>
      </c>
      <c r="K8" s="56">
        <v>0.93023</v>
      </c>
      <c r="L8" s="7">
        <f t="shared" si="1"/>
        <v>1.1736726206559893</v>
      </c>
      <c r="M8">
        <f t="shared" si="4"/>
        <v>0.23436724609423476</v>
      </c>
      <c r="N8">
        <f t="shared" si="5"/>
        <v>1.2468332504880288</v>
      </c>
      <c r="O8">
        <f t="shared" si="2"/>
        <v>1.2047156016693292</v>
      </c>
      <c r="P8" s="56">
        <f t="shared" si="0"/>
        <v>0.23430442954252892</v>
      </c>
      <c r="Q8">
        <f t="shared" si="6"/>
        <v>1.2331719445633254</v>
      </c>
      <c r="R8">
        <f t="shared" si="3"/>
        <v>0.00018663127956833876</v>
      </c>
    </row>
    <row r="9" spans="1:18" ht="13.5">
      <c r="A9" t="s">
        <v>85</v>
      </c>
      <c r="B9" s="8">
        <f>INT(1+B7/B1/B8)</f>
        <v>2</v>
      </c>
      <c r="J9" s="56">
        <v>0.26316</v>
      </c>
      <c r="K9" s="56">
        <v>0.86357</v>
      </c>
      <c r="L9" s="7">
        <f t="shared" si="1"/>
        <v>1.0895675962072742</v>
      </c>
      <c r="M9">
        <f t="shared" si="4"/>
        <v>0.3226156904413586</v>
      </c>
      <c r="N9">
        <f t="shared" si="5"/>
        <v>1.225929816238633</v>
      </c>
      <c r="O9">
        <f t="shared" si="2"/>
        <v>1.1637371962405998</v>
      </c>
      <c r="P9" s="56">
        <f t="shared" si="0"/>
        <v>0.3241879203636717</v>
      </c>
      <c r="Q9">
        <f t="shared" si="6"/>
        <v>1.219512476087082</v>
      </c>
      <c r="R9">
        <f t="shared" si="3"/>
        <v>4.118225462070917E-05</v>
      </c>
    </row>
    <row r="10" spans="1:18" ht="13.5">
      <c r="A10" t="s">
        <v>159</v>
      </c>
      <c r="B10" s="8">
        <f>B7/B1/B9</f>
        <v>0.8785575105670732</v>
      </c>
      <c r="C10" t="s">
        <v>482</v>
      </c>
      <c r="J10" s="56">
        <v>0.33835</v>
      </c>
      <c r="K10" s="56">
        <v>0.82636</v>
      </c>
      <c r="L10" s="7">
        <f t="shared" si="1"/>
        <v>1.042619682019805</v>
      </c>
      <c r="M10">
        <f t="shared" si="4"/>
        <v>0.40454027800018355</v>
      </c>
      <c r="N10">
        <f t="shared" si="5"/>
        <v>1.1956266528747852</v>
      </c>
      <c r="O10">
        <f t="shared" si="2"/>
        <v>1.1090990195522061</v>
      </c>
      <c r="P10" s="56">
        <f t="shared" si="0"/>
        <v>0.4102305520540673</v>
      </c>
      <c r="Q10">
        <f t="shared" si="6"/>
        <v>1.2012997505242844</v>
      </c>
      <c r="R10">
        <f t="shared" si="3"/>
        <v>3.218403694075326E-05</v>
      </c>
    </row>
    <row r="11" spans="1:18" ht="13.5">
      <c r="A11" s="24" t="s">
        <v>153</v>
      </c>
      <c r="B11" s="29">
        <f>R0+R0/A+OSOL</f>
        <v>2.6</v>
      </c>
      <c r="C11" t="s">
        <v>482</v>
      </c>
      <c r="J11" s="56">
        <v>0.41353</v>
      </c>
      <c r="K11" s="56">
        <v>0.74264</v>
      </c>
      <c r="L11" s="7">
        <f t="shared" si="1"/>
        <v>0.9369900293518418</v>
      </c>
      <c r="M11">
        <f t="shared" si="4"/>
        <v>0.4829244256944325</v>
      </c>
      <c r="N11">
        <f t="shared" si="5"/>
        <v>1.1678098945528317</v>
      </c>
      <c r="O11">
        <f t="shared" si="2"/>
        <v>1.0408110632154302</v>
      </c>
      <c r="P11" s="56">
        <f t="shared" si="0"/>
        <v>0.49132450583443094</v>
      </c>
      <c r="Q11">
        <f t="shared" si="6"/>
        <v>1.1785370984120256</v>
      </c>
      <c r="R11">
        <f t="shared" si="3"/>
        <v>0.00011507290263670453</v>
      </c>
    </row>
    <row r="12" spans="1:18" ht="13.5">
      <c r="A12" s="24" t="s">
        <v>154</v>
      </c>
      <c r="B12" s="29">
        <f>R0</f>
        <v>1.5</v>
      </c>
      <c r="C12" t="s">
        <v>482</v>
      </c>
      <c r="J12" s="56">
        <v>0.48872</v>
      </c>
      <c r="K12" s="56">
        <v>0.69302</v>
      </c>
      <c r="L12" s="7">
        <f t="shared" si="1"/>
        <v>0.8743843990916371</v>
      </c>
      <c r="M12">
        <f t="shared" si="4"/>
        <v>0.5533767060013974</v>
      </c>
      <c r="N12">
        <f t="shared" si="5"/>
        <v>1.1322980561495282</v>
      </c>
      <c r="O12">
        <f t="shared" si="2"/>
        <v>0.9588551607082346</v>
      </c>
      <c r="P12" s="56">
        <f t="shared" si="0"/>
        <v>0.5663940674329511</v>
      </c>
      <c r="Q12">
        <f t="shared" si="6"/>
        <v>1.1512184642429606</v>
      </c>
      <c r="R12">
        <f t="shared" si="3"/>
        <v>0.0003579818424220233</v>
      </c>
    </row>
    <row r="13" spans="1:18" ht="13.5">
      <c r="A13" s="24" t="s">
        <v>155</v>
      </c>
      <c r="B13" s="29">
        <f>ACOS(B12/B11)*180/PI()</f>
        <v>54.76558201541882</v>
      </c>
      <c r="C13" t="s">
        <v>164</v>
      </c>
      <c r="J13" s="56">
        <v>0.56391</v>
      </c>
      <c r="K13" s="56">
        <v>0.61085</v>
      </c>
      <c r="L13" s="7">
        <f t="shared" si="1"/>
        <v>0.7707103838058449</v>
      </c>
      <c r="M13">
        <f t="shared" si="4"/>
        <v>0.6191216689690977</v>
      </c>
      <c r="N13">
        <f t="shared" si="5"/>
        <v>1.097908653808405</v>
      </c>
      <c r="O13">
        <f t="shared" si="2"/>
        <v>0.8632394869413751</v>
      </c>
      <c r="P13" s="56">
        <f t="shared" si="0"/>
        <v>0.6343306883323576</v>
      </c>
      <c r="Q13">
        <f t="shared" si="6"/>
        <v>1.1193465729873404</v>
      </c>
      <c r="R13">
        <f t="shared" si="3"/>
        <v>0.00045958437872256364</v>
      </c>
    </row>
    <row r="14" spans="1:18" ht="13.5">
      <c r="A14" s="24" t="s">
        <v>161</v>
      </c>
      <c r="B14" s="29">
        <f>B10/COS(PI()/2-B13*PI()/180)</f>
        <v>1.0756110936495749</v>
      </c>
      <c r="C14" t="s">
        <v>482</v>
      </c>
      <c r="J14" s="56">
        <v>0.6391</v>
      </c>
      <c r="K14" s="56">
        <v>0.57674</v>
      </c>
      <c r="L14" s="7">
        <f t="shared" si="1"/>
        <v>0.7276737443827175</v>
      </c>
      <c r="M14">
        <f t="shared" si="4"/>
        <v>0.6770713827274591</v>
      </c>
      <c r="N14">
        <f t="shared" si="5"/>
        <v>1.0594138362188377</v>
      </c>
      <c r="O14">
        <f t="shared" si="2"/>
        <v>0.7539640419148512</v>
      </c>
      <c r="P14" s="56">
        <f t="shared" si="0"/>
        <v>0.6940369593593682</v>
      </c>
      <c r="Q14">
        <f t="shared" si="6"/>
        <v>1.082921424645166</v>
      </c>
      <c r="R14">
        <f t="shared" si="3"/>
        <v>0.000552606713621643</v>
      </c>
    </row>
    <row r="15" spans="1:18" ht="13.5">
      <c r="A15" s="24" t="s">
        <v>162</v>
      </c>
      <c r="B15" s="29">
        <f>2*180/PI()*ASIN(B14/2/B11)</f>
        <v>23.875434932917372</v>
      </c>
      <c r="C15" t="s">
        <v>164</v>
      </c>
      <c r="J15" s="56">
        <v>0.71429</v>
      </c>
      <c r="K15" s="56">
        <v>0.48372</v>
      </c>
      <c r="L15" s="7">
        <f t="shared" si="1"/>
        <v>0.6103102674217291</v>
      </c>
      <c r="M15">
        <f t="shared" si="4"/>
        <v>0.7317851715675957</v>
      </c>
      <c r="N15">
        <f t="shared" si="5"/>
        <v>1.0244930932360745</v>
      </c>
      <c r="O15">
        <f t="shared" si="2"/>
        <v>0.631028825628663</v>
      </c>
      <c r="P15" s="56">
        <f t="shared" si="0"/>
        <v>0.7444154713407011</v>
      </c>
      <c r="Q15">
        <f t="shared" si="6"/>
        <v>1.0419430192164367</v>
      </c>
      <c r="R15">
        <f t="shared" si="3"/>
        <v>0.00030449991672012013</v>
      </c>
    </row>
    <row r="16" spans="1:18" ht="13.5">
      <c r="A16" s="24" t="s">
        <v>163</v>
      </c>
      <c r="B16" s="29">
        <f>B9*B15/360*2*PI()*B11*B1</f>
        <v>4.333727145489349</v>
      </c>
      <c r="C16" t="s">
        <v>28</v>
      </c>
      <c r="J16" s="56">
        <v>0.78947</v>
      </c>
      <c r="K16" s="56">
        <v>0.42636</v>
      </c>
      <c r="L16" s="7">
        <f t="shared" si="1"/>
        <v>0.5379390672660391</v>
      </c>
      <c r="M16">
        <f t="shared" si="4"/>
        <v>0.7776682974723613</v>
      </c>
      <c r="N16">
        <f t="shared" si="5"/>
        <v>0.9850511070368239</v>
      </c>
      <c r="O16">
        <f t="shared" si="2"/>
        <v>0.4944529129551109</v>
      </c>
      <c r="P16" s="56">
        <f t="shared" si="0"/>
        <v>0.7843642432553786</v>
      </c>
      <c r="Q16">
        <f t="shared" si="6"/>
        <v>0.9964177149919192</v>
      </c>
      <c r="R16">
        <f t="shared" si="3"/>
        <v>0.00012919977640483724</v>
      </c>
    </row>
    <row r="17" spans="1:18" ht="13.5">
      <c r="A17" s="52" t="s">
        <v>392</v>
      </c>
      <c r="B17" s="8">
        <v>1</v>
      </c>
      <c r="C17" t="s">
        <v>482</v>
      </c>
      <c r="J17" s="56">
        <v>0.86466</v>
      </c>
      <c r="K17" s="56">
        <v>0.34264</v>
      </c>
      <c r="L17" s="7">
        <f t="shared" si="1"/>
        <v>0.4323094145980759</v>
      </c>
      <c r="M17">
        <f t="shared" si="4"/>
        <v>0.8181159359400948</v>
      </c>
      <c r="N17">
        <f t="shared" si="5"/>
        <v>0.9461706751094011</v>
      </c>
      <c r="O17">
        <f t="shared" si="2"/>
        <v>0.34419997085012094</v>
      </c>
      <c r="P17" s="56">
        <f t="shared" si="0"/>
        <v>0.8127966150529609</v>
      </c>
      <c r="Q17">
        <f t="shared" si="6"/>
        <v>0.9463334009569225</v>
      </c>
      <c r="R17">
        <f t="shared" si="3"/>
        <v>2.647970145156333E-08</v>
      </c>
    </row>
    <row r="18" spans="1:18" ht="13.5">
      <c r="A18" s="52" t="s">
        <v>396</v>
      </c>
      <c r="B18" s="29">
        <f>2*180/PI()*ASIN(B17/2/B11)</f>
        <v>22.174978421941237</v>
      </c>
      <c r="C18" t="s">
        <v>164</v>
      </c>
      <c r="J18" s="56">
        <v>0.93985</v>
      </c>
      <c r="K18" s="56">
        <v>0.27132</v>
      </c>
      <c r="L18" s="7">
        <f t="shared" si="1"/>
        <v>0.34232486098747944</v>
      </c>
      <c r="M18">
        <f t="shared" si="4"/>
        <v>0.8506212808237241</v>
      </c>
      <c r="N18">
        <f t="shared" si="5"/>
        <v>0.9050606807721702</v>
      </c>
      <c r="O18">
        <f t="shared" si="2"/>
        <v>0.18028725748546698</v>
      </c>
      <c r="P18" s="56">
        <f t="shared" si="0"/>
        <v>0.8286091462364987</v>
      </c>
      <c r="Q18">
        <f t="shared" si="6"/>
        <v>0.8916958298353713</v>
      </c>
      <c r="R18">
        <f t="shared" si="3"/>
        <v>0.00017861924056285295</v>
      </c>
    </row>
    <row r="19" spans="1:18" ht="13.5">
      <c r="A19" s="52" t="s">
        <v>165</v>
      </c>
      <c r="B19" s="47">
        <v>2</v>
      </c>
      <c r="J19" s="56">
        <v>1</v>
      </c>
      <c r="K19" s="56">
        <v>0.15504</v>
      </c>
      <c r="L19" s="7">
        <f t="shared" si="1"/>
        <v>0.1956142062785597</v>
      </c>
      <c r="M19">
        <f t="shared" si="4"/>
        <v>0.871212121212121</v>
      </c>
      <c r="N19">
        <f t="shared" si="5"/>
        <v>0.871212121212121</v>
      </c>
      <c r="O19">
        <f t="shared" si="2"/>
        <v>0.0393268837845464</v>
      </c>
      <c r="P19" s="56">
        <f t="shared" si="0"/>
        <v>0.8314354851751713</v>
      </c>
      <c r="Q19">
        <f t="shared" si="6"/>
        <v>0.8447090386017311</v>
      </c>
      <c r="R19">
        <f t="shared" si="3"/>
        <v>0.0007024133878531524</v>
      </c>
    </row>
    <row r="20" spans="1:18" ht="12.75">
      <c r="A20" t="s">
        <v>397</v>
      </c>
      <c r="B20">
        <f>INT((360-B9*B15-B19*B18)/B18)</f>
        <v>12</v>
      </c>
      <c r="L20" s="7"/>
      <c r="R20">
        <f>SUM(R5:R19)</f>
        <v>0.003884597937869128</v>
      </c>
    </row>
    <row r="21" spans="1:12" ht="12.75">
      <c r="A21" t="s">
        <v>395</v>
      </c>
      <c r="B21" s="8">
        <f>B20*B1*B17</f>
        <v>23.999976</v>
      </c>
      <c r="L21" s="7"/>
    </row>
    <row r="22" ht="12.75">
      <c r="L22" s="7"/>
    </row>
    <row r="23" spans="1:12" ht="12.75">
      <c r="A23" t="s">
        <v>349</v>
      </c>
      <c r="B23" s="7">
        <f>2*ASIN((drtf+drfw)/(R0+R0/A/3))</f>
        <v>0.5524532615271832</v>
      </c>
      <c r="L23" s="7"/>
    </row>
    <row r="24" spans="1:2" ht="12.75">
      <c r="A24" t="s">
        <v>350</v>
      </c>
      <c r="B24" s="7">
        <f>ATAN(dztfmiddle/2/((R0+R0/A/3)-(drtf+drfw)))</f>
        <v>1.112099172402934</v>
      </c>
    </row>
    <row r="25" spans="1:2" ht="12.75">
      <c r="A25" t="s">
        <v>110</v>
      </c>
      <c r="B25" s="4">
        <f>B23*SIN(B24)/2/PI()</f>
        <v>0.07883680282977468</v>
      </c>
    </row>
    <row r="27" spans="1:2" ht="12.75">
      <c r="A27" t="s">
        <v>223</v>
      </c>
      <c r="B27" s="8">
        <f>B32+B30+B28</f>
        <v>150.79644737231004</v>
      </c>
    </row>
    <row r="28" spans="1:2" ht="12.75">
      <c r="A28" t="s">
        <v>222</v>
      </c>
      <c r="B28" s="8">
        <f>2*PI()*(drtf+drfw)*2*kappa*R0/A</f>
        <v>18.84955592153876</v>
      </c>
    </row>
    <row r="29" spans="1:2" ht="12.75">
      <c r="A29" t="s">
        <v>225</v>
      </c>
      <c r="B29" s="8">
        <f>f_CS/(B28/B27)</f>
        <v>0.6306944226381973</v>
      </c>
    </row>
    <row r="30" spans="1:2" ht="12.75">
      <c r="A30" t="s">
        <v>219</v>
      </c>
      <c r="B30" s="8">
        <f>2*PI()*((R0+R0/A)^2-(drtf+drfw)^2)</f>
        <v>37.69911184307752</v>
      </c>
    </row>
    <row r="31" spans="1:2" ht="12.75">
      <c r="A31" t="s">
        <v>226</v>
      </c>
      <c r="B31" s="8">
        <f>(B27-B29*B28-B33*B32)/B30</f>
        <v>0.19980430383241704</v>
      </c>
    </row>
    <row r="32" spans="1:2" ht="12.75">
      <c r="A32" t="s">
        <v>224</v>
      </c>
      <c r="B32" s="19">
        <f>2*PI()*(R0+R0/A)*2*kappa*R0/A</f>
        <v>94.24777960769377</v>
      </c>
    </row>
    <row r="33" spans="1:2" ht="12.75">
      <c r="A33" t="s">
        <v>227</v>
      </c>
      <c r="B33" s="8">
        <f>4.6/3.3</f>
        <v>1.3939393939393938</v>
      </c>
    </row>
    <row r="34" spans="1:3" ht="12.75">
      <c r="A34" t="s">
        <v>112</v>
      </c>
      <c r="B34" s="8">
        <f>B33*xk1*xk2*xa*(B2-B2^3/3/xb^2)/B2</f>
        <v>1.6764306246297613</v>
      </c>
      <c r="C34" s="8"/>
    </row>
    <row r="35" spans="1:2" ht="12.75">
      <c r="A35" t="s">
        <v>1</v>
      </c>
      <c r="B35" s="8">
        <f>MIN(B21,10)</f>
        <v>10</v>
      </c>
    </row>
    <row r="36" spans="1:2" ht="12.75">
      <c r="A36" t="s">
        <v>372</v>
      </c>
      <c r="B36" s="8">
        <f>INT(1+B35/(B1*B17))</f>
        <v>6</v>
      </c>
    </row>
    <row r="37" spans="1:8" ht="12.75">
      <c r="A37" t="s">
        <v>111</v>
      </c>
      <c r="B37">
        <f>B36*B1*B17</f>
        <v>11.999988</v>
      </c>
      <c r="F37" t="s">
        <v>234</v>
      </c>
      <c r="G37" t="s">
        <v>234</v>
      </c>
      <c r="H37" t="s">
        <v>234</v>
      </c>
    </row>
    <row r="38" spans="1:2" ht="12.75">
      <c r="A38" t="s">
        <v>2</v>
      </c>
      <c r="B38" s="8">
        <f>B36*B1*B17*B34</f>
        <v>20.117147378389642</v>
      </c>
    </row>
    <row r="39" spans="1:2" ht="12.75">
      <c r="A39" s="52" t="s">
        <v>107</v>
      </c>
      <c r="B39" s="8">
        <f>B1*B17*B19*B34</f>
        <v>6.705715792796546</v>
      </c>
    </row>
    <row r="40" spans="1:2" ht="12.75">
      <c r="A40" s="52" t="s">
        <v>108</v>
      </c>
      <c r="B40" s="8">
        <f>B30*B31</f>
        <v>7.532444796906532</v>
      </c>
    </row>
    <row r="41" spans="1:2" ht="12.75">
      <c r="A41" s="58" t="s">
        <v>109</v>
      </c>
      <c r="B41" s="8">
        <f>B28*B29</f>
        <v>11.888309788921301</v>
      </c>
    </row>
    <row r="42" spans="1:2" ht="12.75">
      <c r="A42" t="s">
        <v>393</v>
      </c>
      <c r="B42" s="8">
        <f>B39+B40+B41</f>
        <v>26.12647037862438</v>
      </c>
    </row>
    <row r="43" spans="1:2" ht="12.75">
      <c r="A43" t="s">
        <v>394</v>
      </c>
      <c r="B43" s="8">
        <f>B27</f>
        <v>150.79644737231004</v>
      </c>
    </row>
    <row r="44" spans="1:2" ht="12.75">
      <c r="A44" t="s">
        <v>348</v>
      </c>
      <c r="B44" s="8">
        <f>(B43-B42)/B43</f>
        <v>0.8267434622374145</v>
      </c>
    </row>
    <row r="46" spans="3:7" ht="12.75">
      <c r="C46" s="13"/>
      <c r="F46" s="7"/>
      <c r="G46" s="7"/>
    </row>
    <row r="47" spans="3:7" ht="12.75">
      <c r="C47" s="13"/>
      <c r="F47" s="7"/>
      <c r="G47" s="7"/>
    </row>
    <row r="48" spans="3:7" ht="12.75">
      <c r="C48" s="13"/>
      <c r="F48" s="7"/>
      <c r="G48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" sqref="B2"/>
    </sheetView>
  </sheetViews>
  <sheetFormatPr defaultColWidth="11.00390625" defaultRowHeight="12"/>
  <sheetData>
    <row r="1" spans="1:4" ht="12.75">
      <c r="A1" t="s">
        <v>234</v>
      </c>
      <c r="B1">
        <v>200</v>
      </c>
      <c r="C1" t="s">
        <v>209</v>
      </c>
      <c r="D1" t="s">
        <v>210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">
      <c r="A5">
        <v>5</v>
      </c>
    </row>
    <row r="6" ht="12">
      <c r="A6">
        <v>6</v>
      </c>
    </row>
    <row r="7" ht="12">
      <c r="A7">
        <v>10</v>
      </c>
    </row>
    <row r="8" ht="12">
      <c r="A8">
        <v>12</v>
      </c>
    </row>
    <row r="9" ht="12">
      <c r="A9">
        <v>15</v>
      </c>
    </row>
    <row r="10" ht="12">
      <c r="A10">
        <v>20</v>
      </c>
    </row>
    <row r="11" ht="12">
      <c r="A11">
        <v>25</v>
      </c>
    </row>
    <row r="12" ht="12">
      <c r="A12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3">
      <selection activeCell="D5" sqref="D5"/>
    </sheetView>
  </sheetViews>
  <sheetFormatPr defaultColWidth="11.00390625" defaultRowHeight="12"/>
  <cols>
    <col min="1" max="1" width="14.875" style="0" bestFit="1" customWidth="1"/>
    <col min="2" max="2" width="16.00390625" style="0" customWidth="1"/>
    <col min="3" max="3" width="10.375" style="0" customWidth="1"/>
    <col min="4" max="4" width="10.375" style="0" bestFit="1" customWidth="1"/>
    <col min="5" max="5" width="7.375" style="0" customWidth="1"/>
    <col min="6" max="6" width="6.875" style="0" customWidth="1"/>
    <col min="7" max="8" width="8.125" style="0" customWidth="1"/>
    <col min="9" max="9" width="8.50390625" style="0" customWidth="1"/>
    <col min="10" max="10" width="5.625" style="0" customWidth="1"/>
  </cols>
  <sheetData>
    <row r="1" spans="1:4" ht="12.75">
      <c r="A1" t="s">
        <v>50</v>
      </c>
      <c r="C1" s="8">
        <v>12.3</v>
      </c>
      <c r="D1" t="s">
        <v>51</v>
      </c>
    </row>
    <row r="2" spans="1:4" ht="12.75">
      <c r="A2" t="s">
        <v>52</v>
      </c>
      <c r="C2" s="8">
        <f>-C1/LN(1/2)</f>
        <v>17.74514900293425</v>
      </c>
      <c r="D2" t="s">
        <v>51</v>
      </c>
    </row>
    <row r="3" ht="12.75">
      <c r="C3" s="8"/>
    </row>
    <row r="4" spans="1:7" ht="12.75">
      <c r="A4" s="24"/>
      <c r="B4" s="24" t="s">
        <v>58</v>
      </c>
      <c r="C4" s="29" t="s">
        <v>59</v>
      </c>
      <c r="D4" s="29" t="s">
        <v>65</v>
      </c>
      <c r="E4" s="24" t="s">
        <v>234</v>
      </c>
      <c r="F4" s="24" t="s">
        <v>472</v>
      </c>
      <c r="G4" s="24"/>
    </row>
    <row r="5" spans="1:7" ht="12.75">
      <c r="A5" s="24" t="s">
        <v>232</v>
      </c>
      <c r="B5" s="29">
        <f>Base!J52</f>
        <v>60.26779678182991</v>
      </c>
      <c r="C5" s="29">
        <f>B5</f>
        <v>60.26779678182991</v>
      </c>
      <c r="D5" s="29">
        <f>Base!$T$52</f>
        <v>525.3382528953778</v>
      </c>
      <c r="E5" s="24" t="s">
        <v>39</v>
      </c>
      <c r="F5" s="24"/>
      <c r="G5" s="24"/>
    </row>
    <row r="6" spans="1:7" ht="12.75">
      <c r="A6" s="24" t="s">
        <v>63</v>
      </c>
      <c r="B6" s="29">
        <f>Base!$J$63</f>
        <v>1.070548770708089</v>
      </c>
      <c r="C6" s="29">
        <f>B6</f>
        <v>1.070548770708089</v>
      </c>
      <c r="D6" s="29">
        <f>Base!$T$63</f>
        <v>5.370435830729819</v>
      </c>
      <c r="E6" s="24" t="s">
        <v>67</v>
      </c>
      <c r="F6" s="24"/>
      <c r="G6" s="24"/>
    </row>
    <row r="7" spans="1:7" ht="12.75">
      <c r="A7" s="24" t="s">
        <v>60</v>
      </c>
      <c r="B7" s="29">
        <f>0</f>
        <v>0</v>
      </c>
      <c r="C7" s="29">
        <f>B7</f>
        <v>0</v>
      </c>
      <c r="D7" s="29">
        <f>Base!$T$72</f>
        <v>0.9902520722445645</v>
      </c>
      <c r="E7" s="24"/>
      <c r="F7" s="24"/>
      <c r="G7" s="24"/>
    </row>
    <row r="8" spans="1:7" ht="12.75">
      <c r="A8" s="24" t="s">
        <v>61</v>
      </c>
      <c r="B8" s="29">
        <f>Base!$J$70</f>
        <v>9.219184570197049</v>
      </c>
      <c r="C8" s="29">
        <f>B8</f>
        <v>9.219184570197049</v>
      </c>
      <c r="D8" s="29">
        <f>Base!$T$73</f>
        <v>0.7833548232991774</v>
      </c>
      <c r="E8" s="24" t="s">
        <v>68</v>
      </c>
      <c r="F8" s="24"/>
      <c r="G8" s="24"/>
    </row>
    <row r="9" spans="1:7" ht="12.75">
      <c r="A9" s="24" t="s">
        <v>304</v>
      </c>
      <c r="B9" s="29">
        <v>0.3</v>
      </c>
      <c r="C9" s="29">
        <v>0.3</v>
      </c>
      <c r="D9" s="29">
        <v>0.3</v>
      </c>
      <c r="E9" s="24"/>
      <c r="F9" s="24"/>
      <c r="G9" s="24"/>
    </row>
    <row r="10" spans="1:7" ht="12.75">
      <c r="A10" s="24" t="s">
        <v>62</v>
      </c>
      <c r="B10" s="29">
        <v>0.3</v>
      </c>
      <c r="C10" s="29">
        <v>2</v>
      </c>
      <c r="D10" s="29">
        <v>5</v>
      </c>
      <c r="E10" s="24" t="s">
        <v>69</v>
      </c>
      <c r="F10" s="24"/>
      <c r="G10" s="24"/>
    </row>
    <row r="11" spans="1:7" ht="12.75">
      <c r="A11" s="24" t="s">
        <v>70</v>
      </c>
      <c r="B11" s="29">
        <f>B10/B6*365</f>
        <v>102.28399022640868</v>
      </c>
      <c r="C11" s="29">
        <f>C10/C6*365</f>
        <v>681.8932681760579</v>
      </c>
      <c r="D11" s="29">
        <f>D10/D6*365</f>
        <v>339.823444041038</v>
      </c>
      <c r="E11" s="24" t="s">
        <v>66</v>
      </c>
      <c r="F11" s="24"/>
      <c r="G11" s="24"/>
    </row>
    <row r="12" spans="1:7" ht="12.75">
      <c r="A12" s="24" t="s">
        <v>71</v>
      </c>
      <c r="B12" s="29">
        <f>B11/B9/365</f>
        <v>0.9341003673644628</v>
      </c>
      <c r="C12" s="29">
        <f>C11/C9/365</f>
        <v>6.227335782429752</v>
      </c>
      <c r="D12" s="29">
        <f>D11/D9/365</f>
        <v>3.103410447863361</v>
      </c>
      <c r="E12" s="24" t="s">
        <v>64</v>
      </c>
      <c r="F12" s="29">
        <f>SUM(B12:D12)</f>
        <v>10.264846597657575</v>
      </c>
      <c r="G12" s="24" t="s">
        <v>64</v>
      </c>
    </row>
    <row r="13" spans="1:7" ht="12.75">
      <c r="A13" s="24" t="s">
        <v>61</v>
      </c>
      <c r="B13" s="29">
        <f>B8*B11/B12/1000</f>
        <v>1.009500710436577</v>
      </c>
      <c r="C13" s="29">
        <f>C8*C11/C12/1000</f>
        <v>1.009500710436577</v>
      </c>
      <c r="D13" s="29">
        <f>D8*D11/D12/1000</f>
        <v>0.08577735315125994</v>
      </c>
      <c r="E13" s="24" t="s">
        <v>72</v>
      </c>
      <c r="F13" s="24"/>
      <c r="G13" s="24"/>
    </row>
    <row r="14" spans="1:7" ht="12.75">
      <c r="A14" s="24" t="s">
        <v>61</v>
      </c>
      <c r="B14" s="57">
        <f>B12*B13</f>
        <v>0.9429749844734927</v>
      </c>
      <c r="C14" s="57">
        <f>C12*C13</f>
        <v>6.286499896489952</v>
      </c>
      <c r="D14" s="57">
        <f>D12*D13</f>
        <v>0.2662023339596853</v>
      </c>
      <c r="E14" s="24" t="s">
        <v>74</v>
      </c>
      <c r="F14" s="29">
        <f>SUM(B14:D14)</f>
        <v>7.49567721492313</v>
      </c>
      <c r="G14" s="24" t="s">
        <v>74</v>
      </c>
    </row>
    <row r="15" ht="12.75">
      <c r="C15" s="8"/>
    </row>
    <row r="16" spans="1:9" ht="12.75">
      <c r="A16" s="24" t="s">
        <v>279</v>
      </c>
      <c r="B16" s="24"/>
      <c r="C16" s="24" t="s">
        <v>280</v>
      </c>
      <c r="D16" s="24" t="s">
        <v>282</v>
      </c>
      <c r="E16" s="24" t="s">
        <v>283</v>
      </c>
      <c r="F16" s="24" t="s">
        <v>281</v>
      </c>
      <c r="G16" s="24" t="s">
        <v>49</v>
      </c>
      <c r="H16" s="24" t="s">
        <v>53</v>
      </c>
      <c r="I16" s="24" t="s">
        <v>284</v>
      </c>
    </row>
    <row r="17" spans="1:9" ht="12.75">
      <c r="A17" s="24"/>
      <c r="B17" s="24"/>
      <c r="C17" s="24"/>
      <c r="D17" s="24" t="s">
        <v>75</v>
      </c>
      <c r="E17" s="24" t="s">
        <v>75</v>
      </c>
      <c r="F17" s="24" t="s">
        <v>75</v>
      </c>
      <c r="G17" s="24" t="s">
        <v>75</v>
      </c>
      <c r="H17" s="24" t="s">
        <v>75</v>
      </c>
      <c r="I17" s="24" t="s">
        <v>76</v>
      </c>
    </row>
    <row r="18" spans="1:9" ht="12.75">
      <c r="A18" s="24">
        <v>2002</v>
      </c>
      <c r="B18" s="24"/>
      <c r="C18" s="24">
        <v>1</v>
      </c>
      <c r="D18" s="29">
        <v>2.1</v>
      </c>
      <c r="E18" s="29">
        <v>0</v>
      </c>
      <c r="F18" s="29">
        <v>0</v>
      </c>
      <c r="G18" s="29">
        <v>0.1</v>
      </c>
      <c r="H18" s="29">
        <f>MAX(15*(1-EXP(-1/Tau)),0)</f>
        <v>0.8219247946473041</v>
      </c>
      <c r="I18" s="29">
        <v>15</v>
      </c>
    </row>
    <row r="19" spans="1:9" ht="12.75">
      <c r="A19" s="24">
        <f>A18+1</f>
        <v>2003</v>
      </c>
      <c r="B19" s="24"/>
      <c r="C19" s="24">
        <f>C18+1</f>
        <v>2</v>
      </c>
      <c r="D19" s="29">
        <v>2.1</v>
      </c>
      <c r="E19" s="29">
        <v>0</v>
      </c>
      <c r="F19" s="29">
        <v>0</v>
      </c>
      <c r="G19" s="29">
        <v>0.1</v>
      </c>
      <c r="H19" s="29">
        <f>MAX(I18*(1-EXP(-1/Tau)),0)</f>
        <v>0.8219247946473041</v>
      </c>
      <c r="I19" s="29">
        <f aca="true" t="shared" si="0" ref="I19:I52">I18+D19-E18-F18-G18-H19</f>
        <v>16.178075205352695</v>
      </c>
    </row>
    <row r="20" spans="1:9" ht="12.75">
      <c r="A20" s="24">
        <f aca="true" t="shared" si="1" ref="A20:A52">A19+1</f>
        <v>2004</v>
      </c>
      <c r="B20" s="24"/>
      <c r="C20" s="24">
        <f aca="true" t="shared" si="2" ref="C20:C52">C19+1</f>
        <v>3</v>
      </c>
      <c r="D20" s="29">
        <v>2.1</v>
      </c>
      <c r="E20" s="29">
        <v>0</v>
      </c>
      <c r="F20" s="29">
        <v>0</v>
      </c>
      <c r="G20" s="29">
        <v>0.1</v>
      </c>
      <c r="H20" s="29">
        <f aca="true" t="shared" si="3" ref="H20:H52">MAX(I19*(1-EXP(-1/Tau)),0)</f>
        <v>0.8864774093965436</v>
      </c>
      <c r="I20" s="29">
        <f t="shared" si="0"/>
        <v>17.29159779595615</v>
      </c>
    </row>
    <row r="21" spans="1:9" ht="12.75">
      <c r="A21" s="24">
        <f t="shared" si="1"/>
        <v>2005</v>
      </c>
      <c r="B21" s="24"/>
      <c r="C21" s="24">
        <f t="shared" si="2"/>
        <v>4</v>
      </c>
      <c r="D21" s="29">
        <v>2.1</v>
      </c>
      <c r="E21" s="29">
        <v>0</v>
      </c>
      <c r="F21" s="29">
        <v>0</v>
      </c>
      <c r="G21" s="29">
        <v>0.1</v>
      </c>
      <c r="H21" s="29">
        <f t="shared" si="3"/>
        <v>0.9474928645043356</v>
      </c>
      <c r="I21" s="29">
        <f t="shared" si="0"/>
        <v>18.344104931451813</v>
      </c>
    </row>
    <row r="22" spans="1:9" ht="12.75">
      <c r="A22" s="24">
        <f t="shared" si="1"/>
        <v>2006</v>
      </c>
      <c r="B22" s="24"/>
      <c r="C22" s="24">
        <f t="shared" si="2"/>
        <v>5</v>
      </c>
      <c r="D22" s="29">
        <v>1.7</v>
      </c>
      <c r="E22" s="29">
        <v>0</v>
      </c>
      <c r="F22" s="29">
        <v>0</v>
      </c>
      <c r="G22" s="29">
        <v>0.1</v>
      </c>
      <c r="H22" s="29">
        <f t="shared" si="3"/>
        <v>1.0051649785848087</v>
      </c>
      <c r="I22" s="29">
        <f t="shared" si="0"/>
        <v>18.938939952867003</v>
      </c>
    </row>
    <row r="23" spans="1:9" ht="12.75">
      <c r="A23" s="24">
        <f t="shared" si="1"/>
        <v>2007</v>
      </c>
      <c r="B23" s="24"/>
      <c r="C23" s="24">
        <f t="shared" si="2"/>
        <v>6</v>
      </c>
      <c r="D23" s="29">
        <v>1.7</v>
      </c>
      <c r="E23" s="29">
        <v>0</v>
      </c>
      <c r="F23" s="29">
        <v>0</v>
      </c>
      <c r="G23" s="29">
        <v>0.1</v>
      </c>
      <c r="H23" s="29">
        <f t="shared" si="3"/>
        <v>1.0377589554398556</v>
      </c>
      <c r="I23" s="29">
        <f t="shared" si="0"/>
        <v>19.501180997427145</v>
      </c>
    </row>
    <row r="24" spans="1:9" ht="12.75">
      <c r="A24" s="24">
        <f t="shared" si="1"/>
        <v>2008</v>
      </c>
      <c r="B24" s="24"/>
      <c r="C24" s="24">
        <f t="shared" si="2"/>
        <v>7</v>
      </c>
      <c r="D24" s="29">
        <v>1.7</v>
      </c>
      <c r="E24" s="29">
        <v>0</v>
      </c>
      <c r="F24" s="29">
        <v>0</v>
      </c>
      <c r="G24" s="29">
        <v>0.1</v>
      </c>
      <c r="H24" s="29">
        <f t="shared" si="3"/>
        <v>1.0685669457793476</v>
      </c>
      <c r="I24" s="29">
        <f t="shared" si="0"/>
        <v>20.032614051647794</v>
      </c>
    </row>
    <row r="25" spans="1:9" ht="12.75">
      <c r="A25" s="24">
        <f t="shared" si="1"/>
        <v>2009</v>
      </c>
      <c r="B25" s="24"/>
      <c r="C25" s="24">
        <f t="shared" si="2"/>
        <v>8</v>
      </c>
      <c r="D25" s="29">
        <v>1.7</v>
      </c>
      <c r="E25" s="29">
        <v>0</v>
      </c>
      <c r="F25" s="29">
        <v>0</v>
      </c>
      <c r="G25" s="29">
        <v>0.1</v>
      </c>
      <c r="H25" s="29">
        <f t="shared" si="3"/>
        <v>1.0976868127099542</v>
      </c>
      <c r="I25" s="29">
        <f t="shared" si="0"/>
        <v>20.534927238937836</v>
      </c>
    </row>
    <row r="26" spans="1:9" ht="12.75">
      <c r="A26" s="24">
        <f t="shared" si="1"/>
        <v>2010</v>
      </c>
      <c r="B26" s="24"/>
      <c r="C26" s="24">
        <f t="shared" si="2"/>
        <v>9</v>
      </c>
      <c r="D26" s="29">
        <v>1.7</v>
      </c>
      <c r="E26" s="29">
        <v>0</v>
      </c>
      <c r="F26" s="29">
        <v>0</v>
      </c>
      <c r="G26" s="29">
        <v>0.1</v>
      </c>
      <c r="H26" s="29">
        <f t="shared" si="3"/>
        <v>1.125211056930754</v>
      </c>
      <c r="I26" s="29">
        <f t="shared" si="0"/>
        <v>21.00971618200708</v>
      </c>
    </row>
    <row r="27" spans="1:9" ht="12.75">
      <c r="A27" s="24">
        <f t="shared" si="1"/>
        <v>2011</v>
      </c>
      <c r="B27" s="24"/>
      <c r="C27" s="24">
        <f t="shared" si="2"/>
        <v>10</v>
      </c>
      <c r="D27" s="29">
        <v>1.7</v>
      </c>
      <c r="E27" s="29">
        <v>0</v>
      </c>
      <c r="F27" s="29">
        <v>0</v>
      </c>
      <c r="G27" s="29">
        <v>0.1</v>
      </c>
      <c r="H27" s="29">
        <f t="shared" si="3"/>
        <v>1.1512271105662872</v>
      </c>
      <c r="I27" s="29">
        <f t="shared" si="0"/>
        <v>21.458489071440788</v>
      </c>
    </row>
    <row r="28" spans="1:9" ht="12.75">
      <c r="A28" s="24">
        <f t="shared" si="1"/>
        <v>2012</v>
      </c>
      <c r="B28" s="24"/>
      <c r="C28" s="24">
        <f t="shared" si="2"/>
        <v>11</v>
      </c>
      <c r="D28" s="29">
        <v>1.7</v>
      </c>
      <c r="E28" s="29">
        <v>0</v>
      </c>
      <c r="F28" s="29">
        <v>0</v>
      </c>
      <c r="G28" s="29">
        <v>0.1</v>
      </c>
      <c r="H28" s="29">
        <f t="shared" si="3"/>
        <v>1.1758176148990258</v>
      </c>
      <c r="I28" s="29">
        <f t="shared" si="0"/>
        <v>21.88267145654176</v>
      </c>
    </row>
    <row r="29" spans="1:9" ht="12.75">
      <c r="A29" s="24">
        <f t="shared" si="1"/>
        <v>2013</v>
      </c>
      <c r="B29" s="24" t="s">
        <v>55</v>
      </c>
      <c r="C29" s="24">
        <f t="shared" si="2"/>
        <v>12</v>
      </c>
      <c r="D29" s="29">
        <v>1.7</v>
      </c>
      <c r="E29" s="29">
        <v>0</v>
      </c>
      <c r="F29" s="29">
        <v>0</v>
      </c>
      <c r="G29" s="29">
        <v>0.1</v>
      </c>
      <c r="H29" s="29">
        <f t="shared" si="3"/>
        <v>1.1990606828835007</v>
      </c>
      <c r="I29" s="29">
        <f t="shared" si="0"/>
        <v>22.283610773658257</v>
      </c>
    </row>
    <row r="30" spans="1:9" ht="12.75">
      <c r="A30" s="24">
        <f t="shared" si="1"/>
        <v>2014</v>
      </c>
      <c r="B30" s="24"/>
      <c r="C30" s="24">
        <f t="shared" si="2"/>
        <v>13</v>
      </c>
      <c r="D30" s="29">
        <v>1.7</v>
      </c>
      <c r="E30" s="29">
        <v>0</v>
      </c>
      <c r="F30" s="29">
        <v>0</v>
      </c>
      <c r="G30" s="29">
        <v>0.1</v>
      </c>
      <c r="H30" s="29">
        <f t="shared" si="3"/>
        <v>1.2210301472759677</v>
      </c>
      <c r="I30" s="29">
        <f t="shared" si="0"/>
        <v>22.662580626382287</v>
      </c>
    </row>
    <row r="31" spans="1:9" ht="12.75">
      <c r="A31" s="24">
        <f t="shared" si="1"/>
        <v>2015</v>
      </c>
      <c r="B31" s="24"/>
      <c r="C31" s="24">
        <f t="shared" si="2"/>
        <v>14</v>
      </c>
      <c r="D31" s="29">
        <v>1.7</v>
      </c>
      <c r="E31" s="29">
        <v>0</v>
      </c>
      <c r="F31" s="29">
        <v>0</v>
      </c>
      <c r="G31" s="29">
        <v>0.1</v>
      </c>
      <c r="H31" s="29">
        <f t="shared" si="3"/>
        <v>1.2417957951678156</v>
      </c>
      <c r="I31" s="29">
        <f t="shared" si="0"/>
        <v>23.02078483121447</v>
      </c>
    </row>
    <row r="32" spans="1:9" ht="12.75">
      <c r="A32" s="24">
        <f t="shared" si="1"/>
        <v>2016</v>
      </c>
      <c r="B32" s="24"/>
      <c r="C32" s="24">
        <f t="shared" si="2"/>
        <v>15</v>
      </c>
      <c r="D32" s="29">
        <v>1.7</v>
      </c>
      <c r="E32" s="29">
        <v>0</v>
      </c>
      <c r="F32" s="29">
        <v>0</v>
      </c>
      <c r="G32" s="29">
        <v>0.1</v>
      </c>
      <c r="H32" s="29">
        <f t="shared" si="3"/>
        <v>1.261423589667715</v>
      </c>
      <c r="I32" s="29">
        <f t="shared" si="0"/>
        <v>23.359361241546754</v>
      </c>
    </row>
    <row r="33" spans="1:9" ht="12">
      <c r="A33" s="24">
        <f t="shared" si="1"/>
        <v>2017</v>
      </c>
      <c r="B33" s="24"/>
      <c r="C33" s="24">
        <f t="shared" si="2"/>
        <v>16</v>
      </c>
      <c r="D33" s="29">
        <v>1.7</v>
      </c>
      <c r="E33" s="29">
        <v>0</v>
      </c>
      <c r="F33" s="29">
        <v>0</v>
      </c>
      <c r="G33" s="29">
        <v>0.1</v>
      </c>
      <c r="H33" s="29">
        <f t="shared" si="3"/>
        <v>1.2799758794367007</v>
      </c>
      <c r="I33" s="29">
        <f t="shared" si="0"/>
        <v>23.67938536211005</v>
      </c>
    </row>
    <row r="34" spans="1:9" ht="12">
      <c r="A34" s="24">
        <f t="shared" si="1"/>
        <v>2018</v>
      </c>
      <c r="B34" s="24" t="s">
        <v>54</v>
      </c>
      <c r="C34" s="24">
        <f t="shared" si="2"/>
        <v>17</v>
      </c>
      <c r="D34" s="29">
        <v>1.7</v>
      </c>
      <c r="E34" s="29">
        <v>1</v>
      </c>
      <c r="F34" s="29">
        <v>0</v>
      </c>
      <c r="G34" s="29">
        <v>0.1</v>
      </c>
      <c r="H34" s="29">
        <f t="shared" si="3"/>
        <v>1.2975115967417787</v>
      </c>
      <c r="I34" s="29">
        <f t="shared" si="0"/>
        <v>23.98187376536827</v>
      </c>
    </row>
    <row r="35" spans="1:9" ht="12">
      <c r="A35" s="24">
        <f t="shared" si="1"/>
        <v>2019</v>
      </c>
      <c r="B35" s="24"/>
      <c r="C35" s="24">
        <f t="shared" si="2"/>
        <v>18</v>
      </c>
      <c r="D35" s="29">
        <v>1.7</v>
      </c>
      <c r="E35" s="29">
        <v>1</v>
      </c>
      <c r="F35" s="29">
        <v>0</v>
      </c>
      <c r="G35" s="29">
        <v>0.1</v>
      </c>
      <c r="H35" s="29">
        <f t="shared" si="3"/>
        <v>1.3140864446571923</v>
      </c>
      <c r="I35" s="29">
        <f t="shared" si="0"/>
        <v>23.267787320711076</v>
      </c>
    </row>
    <row r="36" spans="1:9" ht="12">
      <c r="A36" s="24">
        <f t="shared" si="1"/>
        <v>2020</v>
      </c>
      <c r="B36" s="24"/>
      <c r="C36" s="24">
        <f t="shared" si="2"/>
        <v>19</v>
      </c>
      <c r="D36" s="29">
        <v>1.7</v>
      </c>
      <c r="E36" s="29">
        <v>1</v>
      </c>
      <c r="F36" s="29">
        <v>0</v>
      </c>
      <c r="G36" s="29">
        <v>0.1</v>
      </c>
      <c r="H36" s="29">
        <f t="shared" si="3"/>
        <v>1.274958087698173</v>
      </c>
      <c r="I36" s="29">
        <f t="shared" si="0"/>
        <v>22.5928292330129</v>
      </c>
    </row>
    <row r="37" spans="1:9" ht="12">
      <c r="A37" s="24">
        <f t="shared" si="1"/>
        <v>2021</v>
      </c>
      <c r="B37" s="24"/>
      <c r="C37" s="24">
        <f t="shared" si="2"/>
        <v>20</v>
      </c>
      <c r="D37" s="29">
        <v>1.7</v>
      </c>
      <c r="E37" s="29">
        <v>1</v>
      </c>
      <c r="F37" s="29">
        <v>0</v>
      </c>
      <c r="G37" s="29">
        <v>0.1</v>
      </c>
      <c r="H37" s="29">
        <f t="shared" si="3"/>
        <v>1.237973768523049</v>
      </c>
      <c r="I37" s="29">
        <f t="shared" si="0"/>
        <v>21.95485546448985</v>
      </c>
    </row>
    <row r="38" spans="1:9" ht="12">
      <c r="A38" s="24">
        <f t="shared" si="1"/>
        <v>2022</v>
      </c>
      <c r="B38" s="24" t="s">
        <v>56</v>
      </c>
      <c r="C38" s="24">
        <f t="shared" si="2"/>
        <v>21</v>
      </c>
      <c r="D38" s="29">
        <v>1.7</v>
      </c>
      <c r="E38" s="29">
        <v>1</v>
      </c>
      <c r="F38" s="29">
        <v>0</v>
      </c>
      <c r="G38" s="29">
        <v>0.1</v>
      </c>
      <c r="H38" s="29">
        <f t="shared" si="3"/>
        <v>1.203016004610804</v>
      </c>
      <c r="I38" s="29">
        <f t="shared" si="0"/>
        <v>21.351839459879045</v>
      </c>
    </row>
    <row r="39" spans="1:9" ht="12">
      <c r="A39" s="24">
        <f t="shared" si="1"/>
        <v>2023</v>
      </c>
      <c r="B39" s="24" t="s">
        <v>58</v>
      </c>
      <c r="C39" s="24">
        <f t="shared" si="2"/>
        <v>22</v>
      </c>
      <c r="D39" s="29">
        <v>1.7</v>
      </c>
      <c r="E39" s="29">
        <v>1</v>
      </c>
      <c r="F39" s="29">
        <f>B13</f>
        <v>1.009500710436577</v>
      </c>
      <c r="G39" s="29">
        <v>0.1</v>
      </c>
      <c r="H39" s="29">
        <f t="shared" si="3"/>
        <v>1.1699737508935526</v>
      </c>
      <c r="I39" s="29">
        <f t="shared" si="0"/>
        <v>20.78186570898549</v>
      </c>
    </row>
    <row r="40" spans="1:9" ht="12">
      <c r="A40" s="24">
        <f t="shared" si="1"/>
        <v>2024</v>
      </c>
      <c r="B40" s="24" t="s">
        <v>59</v>
      </c>
      <c r="C40" s="24">
        <f t="shared" si="2"/>
        <v>23</v>
      </c>
      <c r="D40" s="29">
        <v>1.7</v>
      </c>
      <c r="E40" s="29">
        <v>1.6</v>
      </c>
      <c r="F40" s="29">
        <f>F39</f>
        <v>1.009500710436577</v>
      </c>
      <c r="G40" s="29">
        <v>0.1</v>
      </c>
      <c r="H40" s="29">
        <f t="shared" si="3"/>
        <v>1.1387420470163832</v>
      </c>
      <c r="I40" s="29">
        <f t="shared" si="0"/>
        <v>19.233622951532528</v>
      </c>
    </row>
    <row r="41" spans="1:9" ht="12">
      <c r="A41" s="24">
        <f t="shared" si="1"/>
        <v>2025</v>
      </c>
      <c r="B41" s="24" t="s">
        <v>77</v>
      </c>
      <c r="C41" s="24">
        <f t="shared" si="2"/>
        <v>24</v>
      </c>
      <c r="D41" s="29">
        <v>1.7</v>
      </c>
      <c r="E41" s="29">
        <v>1.6</v>
      </c>
      <c r="F41" s="29">
        <f aca="true" t="shared" si="4" ref="F41:F46">F40</f>
        <v>1.009500710436577</v>
      </c>
      <c r="G41" s="29">
        <v>0.1</v>
      </c>
      <c r="H41" s="29">
        <f t="shared" si="3"/>
        <v>1.0539061063174697</v>
      </c>
      <c r="I41" s="29">
        <f t="shared" si="0"/>
        <v>17.170216134778478</v>
      </c>
    </row>
    <row r="42" spans="1:9" ht="12">
      <c r="A42" s="24">
        <f t="shared" si="1"/>
        <v>2026</v>
      </c>
      <c r="B42" s="24"/>
      <c r="C42" s="24">
        <f t="shared" si="2"/>
        <v>25</v>
      </c>
      <c r="D42" s="29">
        <v>1.7</v>
      </c>
      <c r="E42" s="29">
        <v>1.6</v>
      </c>
      <c r="F42" s="29">
        <f t="shared" si="4"/>
        <v>1.009500710436577</v>
      </c>
      <c r="G42" s="29">
        <v>0.1</v>
      </c>
      <c r="H42" s="29">
        <f t="shared" si="3"/>
        <v>0.9408417580418418</v>
      </c>
      <c r="I42" s="29">
        <f t="shared" si="0"/>
        <v>15.219873666300057</v>
      </c>
    </row>
    <row r="43" spans="1:9" ht="12">
      <c r="A43" s="24">
        <f t="shared" si="1"/>
        <v>2027</v>
      </c>
      <c r="B43" s="24"/>
      <c r="C43" s="24">
        <f t="shared" si="2"/>
        <v>26</v>
      </c>
      <c r="D43" s="29">
        <v>1.7</v>
      </c>
      <c r="E43" s="29">
        <v>1.6</v>
      </c>
      <c r="F43" s="29">
        <f t="shared" si="4"/>
        <v>1.009500710436577</v>
      </c>
      <c r="G43" s="29">
        <v>0.1</v>
      </c>
      <c r="H43" s="29">
        <f t="shared" si="3"/>
        <v>0.8339727691821056</v>
      </c>
      <c r="I43" s="29">
        <f t="shared" si="0"/>
        <v>13.376400186681375</v>
      </c>
    </row>
    <row r="44" spans="1:9" ht="12">
      <c r="A44" s="24">
        <f t="shared" si="1"/>
        <v>2028</v>
      </c>
      <c r="B44" s="24"/>
      <c r="C44" s="24">
        <f t="shared" si="2"/>
        <v>27</v>
      </c>
      <c r="D44" s="29">
        <v>1.7</v>
      </c>
      <c r="E44" s="29">
        <v>1.6</v>
      </c>
      <c r="F44" s="29">
        <f t="shared" si="4"/>
        <v>1.009500710436577</v>
      </c>
      <c r="G44" s="29">
        <v>0.1</v>
      </c>
      <c r="H44" s="29">
        <f t="shared" si="3"/>
        <v>0.7329596651038832</v>
      </c>
      <c r="I44" s="29">
        <f t="shared" si="0"/>
        <v>11.633939811140916</v>
      </c>
    </row>
    <row r="45" spans="1:9" ht="12">
      <c r="A45" s="24">
        <f t="shared" si="1"/>
        <v>2029</v>
      </c>
      <c r="B45" s="24"/>
      <c r="C45" s="24">
        <f t="shared" si="2"/>
        <v>28</v>
      </c>
      <c r="D45" s="29">
        <v>1.7</v>
      </c>
      <c r="E45" s="29">
        <v>1.6</v>
      </c>
      <c r="F45" s="29">
        <f t="shared" si="4"/>
        <v>1.009500710436577</v>
      </c>
      <c r="G45" s="29">
        <v>0.1</v>
      </c>
      <c r="H45" s="29">
        <f t="shared" si="3"/>
        <v>0.6374815726807396</v>
      </c>
      <c r="I45" s="29">
        <f t="shared" si="0"/>
        <v>9.9869575280236</v>
      </c>
    </row>
    <row r="46" spans="1:9" ht="12">
      <c r="A46" s="24">
        <f t="shared" si="1"/>
        <v>2030</v>
      </c>
      <c r="B46" s="24"/>
      <c r="C46" s="24">
        <f t="shared" si="2"/>
        <v>29</v>
      </c>
      <c r="D46" s="29">
        <v>1.7</v>
      </c>
      <c r="E46" s="29">
        <v>1.6</v>
      </c>
      <c r="F46" s="29">
        <f t="shared" si="4"/>
        <v>1.009500710436577</v>
      </c>
      <c r="G46" s="29">
        <v>0.1</v>
      </c>
      <c r="H46" s="29">
        <f t="shared" si="3"/>
        <v>0.5472352010248097</v>
      </c>
      <c r="I46" s="29">
        <f t="shared" si="0"/>
        <v>8.430221616562214</v>
      </c>
    </row>
    <row r="47" spans="1:9" ht="12">
      <c r="A47" s="24">
        <f t="shared" si="1"/>
        <v>2031</v>
      </c>
      <c r="B47" s="24" t="s">
        <v>65</v>
      </c>
      <c r="C47" s="24">
        <f t="shared" si="2"/>
        <v>30</v>
      </c>
      <c r="D47" s="29">
        <v>1.7</v>
      </c>
      <c r="E47" s="29">
        <v>1.6</v>
      </c>
      <c r="F47" s="29">
        <f>D13</f>
        <v>0.08577735315125994</v>
      </c>
      <c r="G47" s="29">
        <v>0.1</v>
      </c>
      <c r="H47" s="29">
        <f t="shared" si="3"/>
        <v>0.46193387806827746</v>
      </c>
      <c r="I47" s="29">
        <f t="shared" si="0"/>
        <v>6.958787028057359</v>
      </c>
    </row>
    <row r="48" spans="1:9" ht="12">
      <c r="A48" s="24">
        <f t="shared" si="1"/>
        <v>2032</v>
      </c>
      <c r="B48" s="24"/>
      <c r="C48" s="24">
        <f t="shared" si="2"/>
        <v>31</v>
      </c>
      <c r="D48" s="29">
        <v>1.7</v>
      </c>
      <c r="E48" s="29">
        <v>1.6</v>
      </c>
      <c r="F48" s="29">
        <f>F47</f>
        <v>0.08577735315125994</v>
      </c>
      <c r="G48" s="29">
        <v>0.1</v>
      </c>
      <c r="H48" s="29">
        <f t="shared" si="3"/>
        <v>0.3813066399353579</v>
      </c>
      <c r="I48" s="29">
        <f t="shared" si="0"/>
        <v>6.491703034970743</v>
      </c>
    </row>
    <row r="49" spans="1:9" ht="12">
      <c r="A49" s="24">
        <f t="shared" si="1"/>
        <v>2033</v>
      </c>
      <c r="B49" s="24"/>
      <c r="C49" s="24">
        <f t="shared" si="2"/>
        <v>32</v>
      </c>
      <c r="D49" s="29">
        <v>1.7</v>
      </c>
      <c r="E49" s="29">
        <v>1.6</v>
      </c>
      <c r="F49" s="29">
        <f>F48</f>
        <v>0.08577735315125994</v>
      </c>
      <c r="G49" s="29">
        <v>0.1</v>
      </c>
      <c r="H49" s="29">
        <f t="shared" si="3"/>
        <v>0.35571277892864056</v>
      </c>
      <c r="I49" s="29">
        <f t="shared" si="0"/>
        <v>6.050212902890844</v>
      </c>
    </row>
    <row r="50" spans="1:9" ht="12">
      <c r="A50" s="24">
        <f t="shared" si="1"/>
        <v>2034</v>
      </c>
      <c r="B50" s="24" t="s">
        <v>73</v>
      </c>
      <c r="C50" s="24">
        <f t="shared" si="2"/>
        <v>33</v>
      </c>
      <c r="D50" s="29">
        <v>1.7</v>
      </c>
      <c r="E50" s="29">
        <v>0</v>
      </c>
      <c r="F50" s="29">
        <v>0</v>
      </c>
      <c r="G50" s="29">
        <v>0.1</v>
      </c>
      <c r="H50" s="29">
        <f t="shared" si="3"/>
        <v>0.3315213331854018</v>
      </c>
      <c r="I50" s="29">
        <f t="shared" si="0"/>
        <v>5.632914216554184</v>
      </c>
    </row>
    <row r="51" spans="1:9" ht="12">
      <c r="A51" s="24">
        <f t="shared" si="1"/>
        <v>2035</v>
      </c>
      <c r="B51" s="24"/>
      <c r="C51" s="24">
        <f t="shared" si="2"/>
        <v>34</v>
      </c>
      <c r="D51" s="29">
        <v>1.7</v>
      </c>
      <c r="E51" s="29">
        <v>0</v>
      </c>
      <c r="F51" s="29">
        <v>0</v>
      </c>
      <c r="G51" s="29">
        <v>0.1</v>
      </c>
      <c r="H51" s="29">
        <f t="shared" si="3"/>
        <v>0.3086554573804785</v>
      </c>
      <c r="I51" s="29">
        <f t="shared" si="0"/>
        <v>6.924258759173706</v>
      </c>
    </row>
    <row r="52" spans="1:9" ht="12">
      <c r="A52" s="24">
        <f t="shared" si="1"/>
        <v>2036</v>
      </c>
      <c r="B52" s="24" t="s">
        <v>57</v>
      </c>
      <c r="C52" s="24">
        <f t="shared" si="2"/>
        <v>35</v>
      </c>
      <c r="D52" s="29">
        <v>1.7</v>
      </c>
      <c r="E52" s="29">
        <v>0</v>
      </c>
      <c r="F52" s="29">
        <v>0</v>
      </c>
      <c r="G52" s="29">
        <v>0.1</v>
      </c>
      <c r="H52" s="29">
        <f t="shared" si="3"/>
        <v>0.37941466391457634</v>
      </c>
      <c r="I52" s="29">
        <f t="shared" si="0"/>
        <v>8.144844095259131</v>
      </c>
    </row>
    <row r="54" spans="1:9" ht="12">
      <c r="A54" t="s">
        <v>472</v>
      </c>
      <c r="D54" s="8">
        <f>SUM(D18:D52)</f>
        <v>61.100000000000044</v>
      </c>
      <c r="E54" s="8">
        <f>SUM(E18:E52)</f>
        <v>22.000000000000004</v>
      </c>
      <c r="F54" s="8">
        <f>SUM(F18:F52)</f>
        <v>8.333337742946394</v>
      </c>
      <c r="G54" s="8">
        <f>SUM(G18:G52)</f>
        <v>3.5000000000000018</v>
      </c>
      <c r="H54" s="8">
        <f>SUM(H18:H52)</f>
        <v>32.94374295644173</v>
      </c>
      <c r="I54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User</cp:lastModifiedBy>
  <cp:lastPrinted>2002-11-14T15:45:22Z</cp:lastPrinted>
  <dcterms:created xsi:type="dcterms:W3CDTF">2002-04-18T20:45:09Z</dcterms:created>
  <cp:category/>
  <cp:version/>
  <cp:contentType/>
  <cp:contentStatus/>
</cp:coreProperties>
</file>