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65" yWindow="1215" windowWidth="12120" windowHeight="3960" activeTab="0"/>
  </bookViews>
  <sheets>
    <sheet name="Data Input" sheetId="1" r:id="rId1"/>
    <sheet name="Pond" sheetId="2" r:id="rId2"/>
    <sheet name="Farm N Balance (EWS2-1)" sheetId="3" r:id="rId3"/>
    <sheet name="Criteria" sheetId="4" r:id="rId4"/>
    <sheet name="Wet vs Dry manure partition" sheetId="5" r:id="rId5"/>
    <sheet name=" " sheetId="6" r:id="rId6"/>
  </sheets>
  <externalReferences>
    <externalReference r:id="rId9"/>
  </externalReferences>
  <definedNames>
    <definedName name="_Fill" hidden="1">'Farm N Balance (EWS2-1)'!$Q$8:$Q$34</definedName>
    <definedName name="_Key1" hidden="1">'Farm N Balance (EWS2-1)'!$R$8</definedName>
    <definedName name="_Order1" hidden="1">255</definedName>
    <definedName name="_Sort" hidden="1">'Farm N Balance (EWS2-1)'!$R$8:$U$34</definedName>
    <definedName name="NUT" localSheetId="0">'[1]Lagoon Sizing:Farm N Balance'!$A$2:$CB$36</definedName>
    <definedName name="_xlnm.Print_Area" localSheetId="5">' '!$A$1:$H$49</definedName>
    <definedName name="_xlnm.Print_Area" localSheetId="3">'Criteria'!$A$1:$Q$51</definedName>
    <definedName name="_xlnm.Print_Area" localSheetId="0">'Data Input'!$A$1:$AN$62</definedName>
    <definedName name="_xlnm.Print_Area" localSheetId="2">'Farm N Balance (EWS2-1)'!$A$1:$O$48</definedName>
    <definedName name="_xlnm.Print_Area" localSheetId="1">'Pond'!$A$1:$X$49</definedName>
    <definedName name="_xlnm.Print_Area" localSheetId="4">'Wet vs Dry manure partition'!$A$1:$O$17</definedName>
  </definedNames>
  <calcPr fullCalcOnLoad="1"/>
</workbook>
</file>

<file path=xl/comments1.xml><?xml version="1.0" encoding="utf-8"?>
<comments xmlns="http://schemas.openxmlformats.org/spreadsheetml/2006/main">
  <authors>
    <author>John White</author>
    <author>Bob Fry</author>
    <author>Dave.Krietemeyer</author>
    <author>robert.fry</author>
    <author>Robert Fry</author>
    <author>richard.cernansky</author>
  </authors>
  <commentList>
    <comment ref="L14" authorId="0">
      <text>
        <r>
          <rPr>
            <sz val="12"/>
            <rFont val="Tahoma"/>
            <family val="2"/>
          </rPr>
          <t>If there is no embankment, enter 0 for height.</t>
        </r>
      </text>
    </comment>
    <comment ref="L15" authorId="0">
      <text>
        <r>
          <rPr>
            <sz val="12"/>
            <rFont val="Tahoma"/>
            <family val="2"/>
          </rPr>
          <t>If there is no embankment, enter 0 for width.</t>
        </r>
      </text>
    </comment>
    <comment ref="E7" authorId="1">
      <text>
        <r>
          <rPr>
            <sz val="12"/>
            <rFont val="Tahoma"/>
            <family val="2"/>
          </rPr>
          <t>Suggested Values:
Holstein: 1400
Guernsey:1200
Jersey: 1000</t>
        </r>
      </text>
    </comment>
    <comment ref="E8" authorId="1">
      <text>
        <r>
          <rPr>
            <sz val="12"/>
            <rFont val="Tahoma"/>
            <family val="2"/>
          </rPr>
          <t xml:space="preserve">Suggested Values:
Holstein: 1500
Guernsey: 1250
Jersey: 1050
</t>
        </r>
      </text>
    </comment>
    <comment ref="E9" authorId="1">
      <text>
        <r>
          <rPr>
            <sz val="12"/>
            <color indexed="8"/>
            <rFont val="Tahoma"/>
            <family val="2"/>
          </rPr>
          <t xml:space="preserve">Suggested Values:
Holstein: 1100
Guernsey: 875
Jersey: 725
</t>
        </r>
      </text>
    </comment>
    <comment ref="E10" authorId="1">
      <text>
        <r>
          <rPr>
            <sz val="12"/>
            <rFont val="Tahoma"/>
            <family val="2"/>
          </rPr>
          <t>Suggested values:
Holstein: 775
Guernsey: 665
Jersey: 550</t>
        </r>
      </text>
    </comment>
    <comment ref="E11" authorId="1">
      <text>
        <r>
          <rPr>
            <sz val="12"/>
            <rFont val="Tahoma"/>
            <family val="2"/>
          </rPr>
          <t>Suggested values:
Holstein: 500
Guernsey: 400
Jersey: 350</t>
        </r>
      </text>
    </comment>
    <comment ref="E12" authorId="1">
      <text>
        <r>
          <rPr>
            <sz val="12"/>
            <rFont val="Tahoma"/>
            <family val="2"/>
          </rPr>
          <t>Suggested values:
Holstein: 150
Guernsey: 120
Jersey: 100</t>
        </r>
      </text>
    </comment>
    <comment ref="F26" authorId="1">
      <text>
        <r>
          <rPr>
            <sz val="11"/>
            <rFont val="Tahoma"/>
            <family val="2"/>
          </rPr>
          <t>These are the double cropped acres that will receive the waste left after the offsite disposal described above.</t>
        </r>
      </text>
    </comment>
    <comment ref="F27" authorId="1">
      <text>
        <r>
          <rPr>
            <sz val="11"/>
            <rFont val="Tahoma"/>
            <family val="2"/>
          </rPr>
          <t>These are the single cropped acres that will receive the waste left after the offsite disposal described above.</t>
        </r>
      </text>
    </comment>
    <comment ref="F28" authorId="1">
      <text>
        <r>
          <rPr>
            <sz val="11"/>
            <rFont val="Tahoma"/>
            <family val="2"/>
          </rPr>
          <t>This is used to estimate the value of the manure in terms of commercial fertilizer.  Use the producer's cost per lb. of actual N.</t>
        </r>
      </text>
    </comment>
    <comment ref="N6" authorId="1">
      <text>
        <r>
          <rPr>
            <sz val="12"/>
            <rFont val="Tahoma"/>
            <family val="2"/>
          </rPr>
          <t>This is the maximum period of time, identified in the nutrient management plan, during which manure liquids should not be applied to croplands.</t>
        </r>
      </text>
    </comment>
    <comment ref="N7" authorId="1">
      <text>
        <r>
          <rPr>
            <sz val="12"/>
            <rFont val="Tahoma"/>
            <family val="2"/>
          </rPr>
          <t>Some dairies estimate total fresh water use in terms of Gallons per Milking Cow per Day.  If that is how it is available to you then put that value in here.  Do not include drinking water</t>
        </r>
        <r>
          <rPr>
            <b/>
            <sz val="10"/>
            <rFont val="Tahoma"/>
            <family val="2"/>
          </rPr>
          <t xml:space="preserve">. </t>
        </r>
        <r>
          <rPr>
            <i/>
            <sz val="10"/>
            <rFont val="Tahoma"/>
            <family val="2"/>
          </rPr>
          <t xml:space="preserve"> </t>
        </r>
        <r>
          <rPr>
            <b/>
            <i/>
            <sz val="12"/>
            <rFont val="Tahoma"/>
            <family val="2"/>
          </rPr>
          <t>Any water accounted for here must not be included below in "Other Daily Fresh Water added to the pond."</t>
        </r>
        <r>
          <rPr>
            <i/>
            <sz val="12"/>
            <rFont val="Tahoma"/>
            <family val="2"/>
          </rPr>
          <t xml:space="preserve"> </t>
        </r>
        <r>
          <rPr>
            <b/>
            <sz val="8"/>
            <rFont val="Tahoma"/>
            <family val="0"/>
          </rPr>
          <t xml:space="preserve"> </t>
        </r>
      </text>
    </comment>
    <comment ref="N8" authorId="1">
      <text>
        <r>
          <rPr>
            <sz val="12"/>
            <rFont val="Tahoma"/>
            <family val="2"/>
          </rPr>
          <t xml:space="preserve">Include water used to wash cows, to wash the milk barn, to clean the milking equipment, and in all other activities utilizing fresh water that will be stored in the pond. </t>
        </r>
        <r>
          <rPr>
            <b/>
            <sz val="8"/>
            <rFont val="Tahoma"/>
            <family val="2"/>
          </rPr>
          <t xml:space="preserve"> </t>
        </r>
        <r>
          <rPr>
            <b/>
            <i/>
            <sz val="12"/>
            <rFont val="Tahoma"/>
            <family val="2"/>
          </rPr>
          <t>Do not include water accounted for in "Net Daily Water Use per Milking Cow" above.</t>
        </r>
        <r>
          <rPr>
            <b/>
            <sz val="8"/>
            <rFont val="Tahoma"/>
            <family val="0"/>
          </rPr>
          <t xml:space="preserve"> </t>
        </r>
        <r>
          <rPr>
            <sz val="12"/>
            <rFont val="Tahoma"/>
            <family val="2"/>
          </rPr>
          <t xml:space="preserve"> If the gross volume of fresh water used on the dairy and drained to the pond per day can be estimated using storage tank volumes, enter it here, and leave "Net Daily Water Use per Milking Cow" blank.</t>
        </r>
      </text>
    </comment>
    <comment ref="N10" authorId="1">
      <text>
        <r>
          <rPr>
            <sz val="12"/>
            <rFont val="Tahoma"/>
            <family val="2"/>
          </rPr>
          <t>Include all of the manured or bare soil areas that drain into the existing or planned storage ponds.  Do not include any areas that are under roofs.  Do not include concrete areas.  Enter the data into the spreadsheet two pages to the right.</t>
        </r>
      </text>
    </comment>
    <comment ref="N11" authorId="1">
      <text>
        <r>
          <rPr>
            <sz val="12"/>
            <rFont val="Tahoma"/>
            <family val="2"/>
          </rPr>
          <t>Include all concrete surfaces draining into the existing or planned storage ponds unless they are under roof surfaces.  Enter the data into the spreadsheet two pages to the right.</t>
        </r>
      </text>
    </comment>
    <comment ref="N12" authorId="1">
      <text>
        <r>
          <rPr>
            <sz val="12"/>
            <rFont val="Tahoma"/>
            <family val="2"/>
          </rPr>
          <t>Include all roof surfaces draining into the existing or planned storage ponds.  Do not include roof surfaces diverted away from the pond and away from manured surfaces.  Enter the data into the spreadsheet two pages to the right.</t>
        </r>
      </text>
    </comment>
    <comment ref="L19" authorId="0">
      <text>
        <r>
          <rPr>
            <sz val="12"/>
            <rFont val="Tahoma"/>
            <family val="2"/>
          </rPr>
          <t>If there is no embankment, enter 0 for side slope.</t>
        </r>
      </text>
    </comment>
    <comment ref="L28" authorId="0">
      <text>
        <r>
          <rPr>
            <sz val="12"/>
            <rFont val="Tahoma"/>
            <family val="2"/>
          </rPr>
          <t>If there is no embankment, enter 0 for height.</t>
        </r>
      </text>
    </comment>
    <comment ref="L29" authorId="0">
      <text>
        <r>
          <rPr>
            <sz val="12"/>
            <rFont val="Tahoma"/>
            <family val="2"/>
          </rPr>
          <t>If there is no embankment, enter 0 for width.</t>
        </r>
      </text>
    </comment>
    <comment ref="L33" authorId="0">
      <text>
        <r>
          <rPr>
            <sz val="12"/>
            <rFont val="Tahoma"/>
            <family val="2"/>
          </rPr>
          <t>If there is no embankment, enter 0 for side slope.</t>
        </r>
      </text>
    </comment>
    <comment ref="X44" authorId="1">
      <text>
        <r>
          <rPr>
            <sz val="12"/>
            <rFont val="Tahoma"/>
            <family val="2"/>
          </rPr>
          <t>This is the number of milk cows.  It is transferred automatically from the "Animal Description" information.</t>
        </r>
      </text>
    </comment>
    <comment ref="X38" authorId="1">
      <text>
        <r>
          <rPr>
            <sz val="12"/>
            <rFont val="Tahoma"/>
            <family val="2"/>
          </rPr>
          <t>This will almost always be done once per milking.</t>
        </r>
      </text>
    </comment>
    <comment ref="X39" authorId="1">
      <text>
        <r>
          <rPr>
            <sz val="12"/>
            <rFont val="Tahoma"/>
            <family val="2"/>
          </rPr>
          <t>This will almost always be done once per milking.</t>
        </r>
      </text>
    </comment>
    <comment ref="V47" authorId="1">
      <text>
        <r>
          <rPr>
            <sz val="12"/>
            <rFont val="Tahoma"/>
            <family val="2"/>
          </rPr>
          <t>Measure flows or measure pressure and consult design charts to obtain an estimate.</t>
        </r>
      </text>
    </comment>
    <comment ref="W51" authorId="1">
      <text>
        <r>
          <rPr>
            <sz val="12"/>
            <rFont val="Tahoma"/>
            <family val="2"/>
          </rPr>
          <t>This is the number of times the Wash Pen wash cycle is run per String.</t>
        </r>
      </text>
    </comment>
    <comment ref="W50" authorId="1">
      <text>
        <r>
          <rPr>
            <sz val="12"/>
            <rFont val="Tahoma"/>
            <family val="2"/>
          </rPr>
          <t>This is the run time per Wash Pen wash cycle.</t>
        </r>
      </text>
    </comment>
    <comment ref="T7" authorId="1">
      <text>
        <r>
          <rPr>
            <sz val="12"/>
            <rFont val="Tahoma"/>
            <family val="2"/>
          </rPr>
          <t>This is Boot Stage harvest for forage.</t>
        </r>
      </text>
    </comment>
    <comment ref="T8" authorId="1">
      <text>
        <r>
          <rPr>
            <sz val="12"/>
            <rFont val="Tahoma"/>
            <family val="2"/>
          </rPr>
          <t>This is typical Soft Dough harvest for forage.</t>
        </r>
      </text>
    </comment>
    <comment ref="T20" authorId="1">
      <text>
        <r>
          <rPr>
            <sz val="12"/>
            <rFont val="Tahoma"/>
            <family val="2"/>
          </rPr>
          <t>When sudan is planted after corn as a triple crop, often it is cut only once for silage.  In this case, one cutting of about 8 tons/ac is average.  If the Sudan is planted earlier and multiple cuttings are taken, the average yield would be 8 tons/ac/cutting with an average of 3 cuttings/year.</t>
        </r>
      </text>
    </comment>
    <comment ref="T23" authorId="1">
      <text>
        <r>
          <rPr>
            <sz val="12"/>
            <rFont val="Tahoma"/>
            <family val="2"/>
          </rPr>
          <t>This is Boot Stage harvest for forage.</t>
        </r>
      </text>
    </comment>
    <comment ref="T24" authorId="1">
      <text>
        <r>
          <rPr>
            <sz val="12"/>
            <rFont val="Tahoma"/>
            <family val="2"/>
          </rPr>
          <t>This is typical Soft Dough harvest for forage.</t>
        </r>
      </text>
    </comment>
    <comment ref="L16" authorId="2">
      <text>
        <r>
          <rPr>
            <sz val="12"/>
            <color indexed="8"/>
            <rFont val="Tahoma"/>
            <family val="2"/>
          </rPr>
          <t>Freeboard is the vertical distance between the top of the embankment and the maximum water level in the pond.  NRCS specifications state a minimum freeboard of two feet is required.</t>
        </r>
      </text>
    </comment>
    <comment ref="L30" authorId="2">
      <text>
        <r>
          <rPr>
            <sz val="12"/>
            <color indexed="8"/>
            <rFont val="Tahoma"/>
            <family val="2"/>
          </rPr>
          <t>Freeboard is the vertical distance between the top of the embankment and the maximum water level in the pond.  NRCS specifications state a minimum freeboard of two feet is required</t>
        </r>
        <r>
          <rPr>
            <sz val="10"/>
            <color indexed="8"/>
            <rFont val="Tahoma"/>
            <family val="2"/>
          </rPr>
          <t>.</t>
        </r>
      </text>
    </comment>
    <comment ref="X45" authorId="1">
      <text>
        <r>
          <rPr>
            <sz val="12"/>
            <rFont val="Tahoma"/>
            <family val="2"/>
          </rPr>
          <t>This is the number of milk cows.  It is transferred automatically from the "Animal Description" information.</t>
        </r>
      </text>
    </comment>
    <comment ref="T26" authorId="1">
      <text>
        <r>
          <rPr>
            <sz val="12"/>
            <rFont val="Tahoma"/>
            <family val="2"/>
          </rPr>
          <t>This is Boot Stage harvest for forage</t>
        </r>
        <r>
          <rPr>
            <sz val="10"/>
            <rFont val="Tahoma"/>
            <family val="2"/>
          </rPr>
          <t>.</t>
        </r>
      </text>
    </comment>
    <comment ref="L25" authorId="2">
      <text>
        <r>
          <rPr>
            <sz val="12"/>
            <rFont val="Tahoma"/>
            <family val="2"/>
          </rPr>
          <t>The cut:fill ratio is a ratio of the number of cut cubic yards required to obtain one cubic yard of compacted fill.  This ratio is largely dependent on the soil type and the compaction method used.  
Example:  If 1.3 cubic yards of a soil are required to obtain one cubic yard of compacted fill, enter “1.3” for this value.</t>
        </r>
      </text>
    </comment>
    <comment ref="L39" authorId="2">
      <text>
        <r>
          <rPr>
            <sz val="12"/>
            <rFont val="Tahoma"/>
            <family val="2"/>
          </rPr>
          <t>The cut:fill ratio is a ratio of the number of cut cubic yards required to obtain one cubic yard of compacted fill.  This ratio is largely dependent on the soil type and the compaction method used.  
Example:  If 1.3 cubic yards of a soil are required to obtain one cubic yard of compacted fill, enter “1.3” for this value.</t>
        </r>
      </text>
    </comment>
    <comment ref="D31" authorId="1">
      <text>
        <r>
          <rPr>
            <sz val="12"/>
            <rFont val="Tahoma"/>
            <family val="2"/>
          </rPr>
          <t>Enter yield as tons/ac for all crops except cotton.  For cotton enter yield as bales/ac.</t>
        </r>
      </text>
    </comment>
    <comment ref="H30" authorId="3">
      <text>
        <r>
          <rPr>
            <b/>
            <sz val="12"/>
            <rFont val="Tahoma"/>
            <family val="2"/>
          </rPr>
          <t>Ac.in./Ac. X NO3-N (ppm) x .227 = Lbs N /Ac.
Not required in initial evaluation.</t>
        </r>
      </text>
    </comment>
    <comment ref="I30" authorId="4">
      <text>
        <r>
          <rPr>
            <b/>
            <sz val="10"/>
            <rFont val="Tahoma"/>
            <family val="0"/>
          </rPr>
          <t>N supplied by a legume, usually alfalfa, taken out the previous season.  Use 50 to 80 lbs/ac depending on the quality of the stand removed.  Not required in initial evaluation.</t>
        </r>
      </text>
    </comment>
    <comment ref="T27" authorId="3">
      <text>
        <r>
          <rPr>
            <b/>
            <sz val="8"/>
            <rFont val="Tahoma"/>
            <family val="0"/>
          </rPr>
          <t>This is typical soft dough harvest for wheat.</t>
        </r>
      </text>
    </comment>
    <comment ref="L18" authorId="5">
      <text>
        <r>
          <rPr>
            <sz val="12"/>
            <rFont val="Arial"/>
            <family val="2"/>
          </rPr>
          <t>Residual Solids Accumulation is the maximum depth of Residual Solids, after liquid has been removed, allowed to settle in the pond.  This value may be "0" if thorough agitation is provided.  Dairy facility operation &amp; maintenance plan should specify pond solids removal when this depth is reached.</t>
        </r>
      </text>
    </comment>
    <comment ref="L32" authorId="5">
      <text>
        <r>
          <rPr>
            <sz val="12"/>
            <rFont val="Arial"/>
            <family val="2"/>
          </rPr>
          <t>Residual Solids Accumulation is the maximum depth of Residual Solids, after liquid has been removed, allowed to settle in the pond.  This value may be "0" if thorough agitation is provided.  Dairy facility operation &amp; maintenance plan should specify pond solids removal when this depth is reached.</t>
        </r>
      </text>
    </comment>
    <comment ref="N9" authorId="5">
      <text>
        <r>
          <rPr>
            <sz val="12"/>
            <rFont val="Tahoma"/>
            <family val="2"/>
          </rPr>
          <t>If Tailwater or Dilution Water will be added to the pond during the critical design storage period, then enter the total volume added during the storage period here.</t>
        </r>
      </text>
    </comment>
  </commentList>
</comments>
</file>

<file path=xl/comments2.xml><?xml version="1.0" encoding="utf-8"?>
<comments xmlns="http://schemas.openxmlformats.org/spreadsheetml/2006/main">
  <authors>
    <author>Bob Fry</author>
    <author>John White</author>
    <author>Dave.Krietemeyer</author>
    <author>richard.cernansky</author>
  </authors>
  <commentList>
    <comment ref="G28" authorId="0">
      <text>
        <r>
          <rPr>
            <sz val="12"/>
            <rFont val="Tahoma"/>
            <family val="2"/>
          </rPr>
          <t>This portion of the waste will not be stored in the pond.</t>
        </r>
      </text>
    </comment>
    <comment ref="J19" authorId="1">
      <text>
        <r>
          <rPr>
            <sz val="12"/>
            <rFont val="Tahoma"/>
            <family val="2"/>
          </rPr>
          <t>If there is no embankment, enter 0 for height.</t>
        </r>
      </text>
    </comment>
    <comment ref="J20" authorId="1">
      <text>
        <r>
          <rPr>
            <sz val="12"/>
            <rFont val="Tahoma"/>
            <family val="2"/>
          </rPr>
          <t>If there is no embankment, enter 0 for width.</t>
        </r>
      </text>
    </comment>
    <comment ref="J24" authorId="1">
      <text>
        <r>
          <rPr>
            <sz val="12"/>
            <rFont val="Tahoma"/>
            <family val="2"/>
          </rPr>
          <t>If there is no embankment, enter 0 for side slope.</t>
        </r>
      </text>
    </comment>
    <comment ref="S11" authorId="0">
      <text>
        <r>
          <rPr>
            <sz val="12"/>
            <rFont val="Tahoma"/>
            <family val="2"/>
          </rPr>
          <t xml:space="preserve">This is the outside length of the entire structure, including the embankment.
</t>
        </r>
      </text>
    </comment>
    <comment ref="S15" authorId="0">
      <text>
        <r>
          <rPr>
            <sz val="12"/>
            <rFont val="Tahoma"/>
            <family val="2"/>
          </rPr>
          <t>This is the surface area of the pond measured at the top inside edge of the embankment, or at ground level if there is no embankment.  It is used to estimate water volume entering the pond directly as rainfall.</t>
        </r>
      </text>
    </comment>
    <comment ref="S16" authorId="0">
      <text>
        <r>
          <rPr>
            <sz val="12"/>
            <rFont val="Tahoma"/>
            <family val="2"/>
          </rPr>
          <t>This is the surface area of the pond when it is filled to the maximum level as limited by the freeboard requirement.  This is used to estimate evaporation volume.</t>
        </r>
      </text>
    </comment>
    <comment ref="S12" authorId="0">
      <text>
        <r>
          <rPr>
            <sz val="12"/>
            <rFont val="Tahoma"/>
            <family val="2"/>
          </rPr>
          <t>This is the outside width of the entire structure, including the embankment.</t>
        </r>
      </text>
    </comment>
    <comment ref="S29" authorId="0">
      <text>
        <r>
          <rPr>
            <sz val="12"/>
            <rFont val="Tahoma"/>
            <family val="2"/>
          </rPr>
          <t xml:space="preserve">This is the outside length of the entire structure, including the embankment.
</t>
        </r>
      </text>
    </comment>
    <comment ref="S33" authorId="0">
      <text>
        <r>
          <rPr>
            <sz val="12"/>
            <rFont val="Tahoma"/>
            <family val="2"/>
          </rPr>
          <t>This is the surface area of the pond measured at the top inside edge of the embankment, or at ground level if there is no embankment.  It is used to estimate water volume entering the pond directly as rainfall.</t>
        </r>
      </text>
    </comment>
    <comment ref="S34" authorId="0">
      <text>
        <r>
          <rPr>
            <sz val="12"/>
            <rFont val="Tahoma"/>
            <family val="2"/>
          </rPr>
          <t>This is the surface area of the pond when it is filled to the maximum level as limited by the freeboard requirement.  This is used to estimate evaporation volume.</t>
        </r>
      </text>
    </comment>
    <comment ref="S30" authorId="0">
      <text>
        <r>
          <rPr>
            <sz val="12"/>
            <rFont val="Tahoma"/>
            <family val="2"/>
          </rPr>
          <t>This is the outside width of the entire structure, including the embankment.</t>
        </r>
      </text>
    </comment>
    <comment ref="J30" authorId="2">
      <text>
        <r>
          <rPr>
            <sz val="12"/>
            <rFont val="Tahoma"/>
            <family val="2"/>
          </rPr>
          <t>The cut:fill ratio is a ratio of the number of cut cubic yards required to obtain one cubic yard of compacted fill.  This ratio is largely dependent on the soil type and the compaction method used.  
Example:  If 1.3 cubic yards of a soil are required to obtain one cubic yard of compacted fill, enter “1.3” for this value.</t>
        </r>
      </text>
    </comment>
    <comment ref="J23" authorId="3">
      <text>
        <r>
          <rPr>
            <sz val="12"/>
            <rFont val="Arial"/>
            <family val="2"/>
          </rPr>
          <t>Residual Solids Accumulation is the maximum depth of Residual Solids, after liquid has been removed, allowed to settle in the pond.  This value may be "0" if thorough agitation is provided.  Dairy facility operation &amp; maintenance plan should specify pond solids removal when this depth is reached.</t>
        </r>
      </text>
    </comment>
    <comment ref="J33" authorId="1">
      <text>
        <r>
          <rPr>
            <sz val="12"/>
            <rFont val="Tahoma"/>
            <family val="2"/>
          </rPr>
          <t>If there is no embankment, enter 0 for height.</t>
        </r>
      </text>
    </comment>
    <comment ref="J34" authorId="1">
      <text>
        <r>
          <rPr>
            <sz val="12"/>
            <rFont val="Tahoma"/>
            <family val="2"/>
          </rPr>
          <t>If there is no embankment, enter 0 for width.</t>
        </r>
      </text>
    </comment>
    <comment ref="J37" authorId="3">
      <text>
        <r>
          <rPr>
            <sz val="12"/>
            <rFont val="Arial"/>
            <family val="2"/>
          </rPr>
          <t>Residual Solids Accumulation is the maximum depth of Residual Solids, after liquid has been removed, allowed to settle in the pond.  This value may be "0" if thorough agitation is provided.  Dairy facility operation &amp; maintenance plan should specify pond solids removal when this depth is reached.</t>
        </r>
      </text>
    </comment>
    <comment ref="J38" authorId="1">
      <text>
        <r>
          <rPr>
            <sz val="12"/>
            <rFont val="Tahoma"/>
            <family val="2"/>
          </rPr>
          <t>If there is no embankment, enter 0 for side slope.</t>
        </r>
      </text>
    </comment>
    <comment ref="J44" authorId="2">
      <text>
        <r>
          <rPr>
            <sz val="12"/>
            <rFont val="Tahoma"/>
            <family val="2"/>
          </rPr>
          <t>The cut:fill ratio is a ratio of the number of cut cubic yards required to obtain one cubic yard of compacted fill.  This ratio is largely dependent on the soil type and the compaction method used.  
Example:  If 1.3 cubic yards of a soil are required to obtain one cubic yard of compacted fill, enter “1.3” for this value.</t>
        </r>
      </text>
    </comment>
  </commentList>
</comments>
</file>

<file path=xl/comments3.xml><?xml version="1.0" encoding="utf-8"?>
<comments xmlns="http://schemas.openxmlformats.org/spreadsheetml/2006/main">
  <authors>
    <author>robert.fry</author>
  </authors>
  <commentList>
    <comment ref="I47" authorId="0">
      <text>
        <r>
          <rPr>
            <b/>
            <sz val="10"/>
            <rFont val="Arial"/>
            <family val="2"/>
          </rPr>
          <t>This assumes 50% of the N is lost to volatilization or other pathways before it is applied to land.  There is probably less loss than that from liquid manure.</t>
        </r>
      </text>
    </comment>
    <comment ref="I48" authorId="0">
      <text>
        <r>
          <rPr>
            <b/>
            <sz val="10"/>
            <rFont val="Arial"/>
            <family val="2"/>
          </rPr>
          <t>This assumes 50% of the N is lost to volatilization or other pathways before it is applied to land</t>
        </r>
      </text>
    </comment>
  </commentList>
</comments>
</file>

<file path=xl/comments4.xml><?xml version="1.0" encoding="utf-8"?>
<comments xmlns="http://schemas.openxmlformats.org/spreadsheetml/2006/main">
  <authors>
    <author>Bob Fry</author>
    <author>robert.fry</author>
    <author>richard.cernansky</author>
  </authors>
  <commentList>
    <comment ref="O7" authorId="0">
      <text>
        <r>
          <rPr>
            <sz val="12"/>
            <rFont val="Tahoma"/>
            <family val="2"/>
          </rPr>
          <t xml:space="preserve">Any value other than 87.5% must be documented.
</t>
        </r>
        <r>
          <rPr>
            <sz val="8"/>
            <rFont val="Tahoma"/>
            <family val="0"/>
          </rPr>
          <t xml:space="preserve">
</t>
        </r>
      </text>
    </comment>
    <comment ref="O14" authorId="0">
      <text>
        <r>
          <rPr>
            <sz val="12"/>
            <rFont val="Tahoma"/>
            <family val="2"/>
          </rPr>
          <t>Obtain this from NOAA isopluvial rainfall maps.</t>
        </r>
      </text>
    </comment>
    <comment ref="E18" authorId="0">
      <text>
        <r>
          <rPr>
            <sz val="11"/>
            <rFont val="Tahoma"/>
            <family val="2"/>
          </rPr>
          <t>This is the portion of the waste from the herd housed in this facility type to go to the pond.  The remainder of the waste will go to dry storage.</t>
        </r>
      </text>
    </comment>
    <comment ref="O9" authorId="0">
      <text>
        <r>
          <rPr>
            <sz val="12"/>
            <rFont val="Tahoma"/>
            <family val="2"/>
          </rPr>
          <t>Use best available data.  Current values range 85 - 110.</t>
        </r>
      </text>
    </comment>
    <comment ref="F17" authorId="0">
      <text>
        <r>
          <rPr>
            <sz val="9"/>
            <rFont val="Tahoma"/>
            <family val="2"/>
          </rPr>
          <t>This category may include pasture deposition.</t>
        </r>
      </text>
    </comment>
    <comment ref="B18" authorId="0">
      <text>
        <r>
          <rPr>
            <sz val="10"/>
            <rFont val="Tahoma"/>
            <family val="2"/>
          </rPr>
          <t>Do not change the name of the facility without considering a change in the waste distribution from that facility.</t>
        </r>
      </text>
    </comment>
    <comment ref="B19" authorId="0">
      <text>
        <r>
          <rPr>
            <sz val="10"/>
            <rFont val="Tahoma"/>
            <family val="2"/>
          </rPr>
          <t>Do not change the name of the facility without considering a change in the waste distribution from that facility.</t>
        </r>
      </text>
    </comment>
    <comment ref="B20" authorId="0">
      <text>
        <r>
          <rPr>
            <sz val="10"/>
            <rFont val="Tahoma"/>
            <family val="2"/>
          </rPr>
          <t>Do not change the name of the facility without considering a change in the waste distribution from that facility.</t>
        </r>
      </text>
    </comment>
    <comment ref="B21" authorId="0">
      <text>
        <r>
          <rPr>
            <sz val="10"/>
            <rFont val="Tahoma"/>
            <family val="2"/>
          </rPr>
          <t>Do not change the name of the facility without considering a change in the waste distribution from that facility.</t>
        </r>
      </text>
    </comment>
    <comment ref="E19" authorId="0">
      <text>
        <r>
          <rPr>
            <sz val="11"/>
            <rFont val="Tahoma"/>
            <family val="2"/>
          </rPr>
          <t>This is the portion of the waste from the herd housed in this facility type to go to the pond.  The remainder of the waste will go to dry storage.</t>
        </r>
      </text>
    </comment>
    <comment ref="E20" authorId="0">
      <text>
        <r>
          <rPr>
            <sz val="11"/>
            <rFont val="Tahoma"/>
            <family val="2"/>
          </rPr>
          <t>This is the portion of the waste from the herd housed in this facility type to go to the pond.  The remainder of the waste will go to dry storage.</t>
        </r>
      </text>
    </comment>
    <comment ref="E21" authorId="0">
      <text>
        <r>
          <rPr>
            <sz val="11"/>
            <rFont val="Tahoma"/>
            <family val="2"/>
          </rPr>
          <t>This is the portion of the waste from the herd housed in this facility type to go to the pond.  The remainder of the waste will go to dry storage.</t>
        </r>
      </text>
    </comment>
    <comment ref="G7" authorId="1">
      <text>
        <r>
          <rPr>
            <b/>
            <sz val="8"/>
            <rFont val="Tahoma"/>
            <family val="0"/>
          </rPr>
          <t>robert.fry:</t>
        </r>
        <r>
          <rPr>
            <sz val="8"/>
            <rFont val="Tahoma"/>
            <family val="0"/>
          </rPr>
          <t xml:space="preserve">
The four values below are no longer used for calculations and will be removed in future versions.</t>
        </r>
      </text>
    </comment>
    <comment ref="O15" authorId="2">
      <text>
        <r>
          <rPr>
            <sz val="12"/>
            <rFont val="Tahoma"/>
            <family val="2"/>
          </rPr>
          <t>This factor multiplies the normal precipitation values entered below for volume calculations.  A minimum factor of 1 is required.  A factor greater than 1.0 can be used if it meets regulations. The Central Valley Regional Water Quality Control Board (RB5) waves the Contingency Plan requirement if 1.5 is used.</t>
        </r>
      </text>
    </comment>
  </commentList>
</comments>
</file>

<file path=xl/comments6.xml><?xml version="1.0" encoding="utf-8"?>
<comments xmlns="http://schemas.openxmlformats.org/spreadsheetml/2006/main">
  <authors>
    <author>Bob Fry</author>
  </authors>
  <commentList>
    <comment ref="E14" authorId="0">
      <text>
        <r>
          <rPr>
            <sz val="12"/>
            <rFont val="Tahoma"/>
            <family val="2"/>
          </rPr>
          <t>Suggested values:
Holstein: 160
Guernsey: 120
Jersey: 80</t>
        </r>
      </text>
    </comment>
    <comment ref="E9" authorId="0">
      <text>
        <r>
          <rPr>
            <sz val="12"/>
            <rFont val="Tahoma"/>
            <family val="2"/>
          </rPr>
          <t>Suggested Values:
Holstein: 1400
Guernsey:1200
Jersey: 980</t>
        </r>
      </text>
    </comment>
    <comment ref="E10" authorId="0">
      <text>
        <r>
          <rPr>
            <sz val="12"/>
            <rFont val="Tahoma"/>
            <family val="2"/>
          </rPr>
          <t xml:space="preserve">Suggested Values:
Holstein: 1500
Guernsey: 1250
Jersey: 1050
</t>
        </r>
      </text>
    </comment>
    <comment ref="E11" authorId="0">
      <text>
        <r>
          <rPr>
            <sz val="12"/>
            <color indexed="8"/>
            <rFont val="Tahoma"/>
            <family val="2"/>
          </rPr>
          <t xml:space="preserve">Suggested Values:
Holstein: 1100
Guernsey: 940
Jersey: 770
</t>
        </r>
      </text>
    </comment>
    <comment ref="E12" authorId="0">
      <text>
        <r>
          <rPr>
            <sz val="12"/>
            <rFont val="Tahoma"/>
            <family val="2"/>
          </rPr>
          <t>Suggested values:
Holstein: 775
Guernsey: 665
Jersey: 550</t>
        </r>
      </text>
    </comment>
    <comment ref="E13" authorId="0">
      <text>
        <r>
          <rPr>
            <sz val="12"/>
            <rFont val="Tahoma"/>
            <family val="2"/>
          </rPr>
          <t>Suggested values:
Holstein: 460
Guernsey: 380
Jersey: 300</t>
        </r>
      </text>
    </comment>
  </commentList>
</comments>
</file>

<file path=xl/sharedStrings.xml><?xml version="1.0" encoding="utf-8"?>
<sst xmlns="http://schemas.openxmlformats.org/spreadsheetml/2006/main" count="950" uniqueCount="513">
  <si>
    <t>Producer:</t>
  </si>
  <si>
    <t>Date:</t>
  </si>
  <si>
    <t>HERD</t>
  </si>
  <si>
    <t>Number of</t>
  </si>
  <si>
    <t>Nitrogen</t>
  </si>
  <si>
    <t>Salt</t>
  </si>
  <si>
    <t>DESCRIPTION</t>
  </si>
  <si>
    <t>Animals</t>
  </si>
  <si>
    <t>in pounds</t>
  </si>
  <si>
    <t>NITROGEN LOADING TO:</t>
  </si>
  <si>
    <t>SALT LOADING TO:</t>
  </si>
  <si>
    <t>lb/day</t>
  </si>
  <si>
    <t>FROM:</t>
  </si>
  <si>
    <t>Drylot</t>
  </si>
  <si>
    <t>=</t>
  </si>
  <si>
    <t>Milking Cows</t>
  </si>
  <si>
    <t>Dry Cows</t>
  </si>
  <si>
    <t>Bred Heifers</t>
  </si>
  <si>
    <t>Heifers, 1 year to breeding</t>
  </si>
  <si>
    <t xml:space="preserve"> Enter the percent of animals in each facility type</t>
  </si>
  <si>
    <t>ANIMAL HOUSING</t>
  </si>
  <si>
    <t>The sum of each row should be 100%.</t>
  </si>
  <si>
    <t>Flushed</t>
  </si>
  <si>
    <t>Scraped</t>
  </si>
  <si>
    <t>tons/year</t>
  </si>
  <si>
    <t>Freestall</t>
  </si>
  <si>
    <t>Lanes</t>
  </si>
  <si>
    <t>Excreted nitrogen from dry lot disposed on site</t>
  </si>
  <si>
    <t xml:space="preserve"> WASTE USE AND TREATMENT</t>
  </si>
  <si>
    <t>days</t>
  </si>
  <si>
    <t xml:space="preserve"> Percent of waste water used off site</t>
  </si>
  <si>
    <t xml:space="preserve"> Double cropped acres used to dispose of waste onsite</t>
  </si>
  <si>
    <t>Acres</t>
  </si>
  <si>
    <t xml:space="preserve"> Single cropped acres used to dispose of waste onsite</t>
  </si>
  <si>
    <t xml:space="preserve"> Cost per unit of commercial Nitrogen</t>
  </si>
  <si>
    <t>$/lb - N</t>
  </si>
  <si>
    <t>/year</t>
  </si>
  <si>
    <t xml:space="preserve">   Value of nitrogen in solid manure as commercial N</t>
  </si>
  <si>
    <t>Limits for land application as set by regulatory agency</t>
  </si>
  <si>
    <t>lbs. N/day</t>
  </si>
  <si>
    <t>Non-Nitrogen salt</t>
  </si>
  <si>
    <t>lbs. /day</t>
  </si>
  <si>
    <t xml:space="preserve">Total waste, cu.ft./day per 1000 lb. animal </t>
  </si>
  <si>
    <t>cu.ft./day</t>
  </si>
  <si>
    <t xml:space="preserve">Total waste (wet), lb./day per 1000 lb. animal   </t>
  </si>
  <si>
    <t>lb./day</t>
  </si>
  <si>
    <t>Density of fresh waste, feces and urine</t>
  </si>
  <si>
    <t>lb./cu.ft.</t>
  </si>
  <si>
    <t>Runoff Curve Number for manured areas</t>
  </si>
  <si>
    <t xml:space="preserve">Runoff Curve Number for concrete areas </t>
  </si>
  <si>
    <t>Runoff Curve Number for roof areas</t>
  </si>
  <si>
    <t>% Runoff**</t>
  </si>
  <si>
    <t>Runoff</t>
  </si>
  <si>
    <t>Precip.</t>
  </si>
  <si>
    <t>Evap.</t>
  </si>
  <si>
    <t>Corral</t>
  </si>
  <si>
    <t>Concrete</t>
  </si>
  <si>
    <t xml:space="preserve">Roofed </t>
  </si>
  <si>
    <t>Roofed</t>
  </si>
  <si>
    <t>Surfaces</t>
  </si>
  <si>
    <t>in.</t>
  </si>
  <si>
    <t>%</t>
  </si>
  <si>
    <t>January</t>
  </si>
  <si>
    <t>February</t>
  </si>
  <si>
    <t>March</t>
  </si>
  <si>
    <t>April</t>
  </si>
  <si>
    <t>May</t>
  </si>
  <si>
    <t>June</t>
  </si>
  <si>
    <t>July</t>
  </si>
  <si>
    <t>August</t>
  </si>
  <si>
    <t>September</t>
  </si>
  <si>
    <t>October</t>
  </si>
  <si>
    <t>November</t>
  </si>
  <si>
    <t>December</t>
  </si>
  <si>
    <t>Total (in.)</t>
  </si>
  <si>
    <t xml:space="preserve">**Use runoff percentage values from the NRCS </t>
  </si>
  <si>
    <t>Agricultural Waste Handbook, 10C, (5-31).</t>
  </si>
  <si>
    <t xml:space="preserve"> Animal</t>
  </si>
  <si>
    <t>Daily</t>
  </si>
  <si>
    <t>Weight</t>
  </si>
  <si>
    <t>Waste</t>
  </si>
  <si>
    <t>days  =</t>
  </si>
  <si>
    <t>gal/cow/day</t>
  </si>
  <si>
    <t>gal/day</t>
  </si>
  <si>
    <t>inches</t>
  </si>
  <si>
    <t>acres</t>
  </si>
  <si>
    <t>Bottom Width</t>
  </si>
  <si>
    <t>Bottom Length</t>
  </si>
  <si>
    <t>Top Width</t>
  </si>
  <si>
    <t>Top Length</t>
  </si>
  <si>
    <t>Units</t>
  </si>
  <si>
    <t>Crop</t>
  </si>
  <si>
    <t>Yield</t>
  </si>
  <si>
    <t>tons</t>
  </si>
  <si>
    <t>Code</t>
  </si>
  <si>
    <t>Crop Name</t>
  </si>
  <si>
    <t>t/ac</t>
  </si>
  <si>
    <t>Moisture</t>
  </si>
  <si>
    <t>Protein</t>
  </si>
  <si>
    <t>Barley (grain)</t>
  </si>
  <si>
    <t>Corn (grain)</t>
  </si>
  <si>
    <t>Corn (silage)</t>
  </si>
  <si>
    <t>Cotton</t>
  </si>
  <si>
    <t>bale</t>
  </si>
  <si>
    <t>Oats (grain)</t>
  </si>
  <si>
    <t>Safflower</t>
  </si>
  <si>
    <t>Sorghum</t>
  </si>
  <si>
    <t>Sudan silage</t>
  </si>
  <si>
    <t>Sugar Beets</t>
  </si>
  <si>
    <t>Wheat (grain)</t>
  </si>
  <si>
    <t>Estimated</t>
  </si>
  <si>
    <t>Location:</t>
  </si>
  <si>
    <t>lb./ac./yr.</t>
  </si>
  <si>
    <t>per animal</t>
  </si>
  <si>
    <t>Total Loading :</t>
  </si>
  <si>
    <t>Excreted non-N salts from drylot disposed on site</t>
  </si>
  <si>
    <t>The values below show total production from the herd, ignoring losses:</t>
  </si>
  <si>
    <t>lb. N per day</t>
  </si>
  <si>
    <t>lb. Salt  per day</t>
  </si>
  <si>
    <t>For example, a 40 acre field used to grow corn silage and small grain silage in the same</t>
  </si>
  <si>
    <t>Harvested N</t>
  </si>
  <si>
    <t>lbs/ton</t>
  </si>
  <si>
    <t>LB/Unit</t>
  </si>
  <si>
    <t>N</t>
  </si>
  <si>
    <t>Ave.</t>
  </si>
  <si>
    <t>/Acre</t>
  </si>
  <si>
    <t>Name</t>
  </si>
  <si>
    <t xml:space="preserve"> Crop</t>
  </si>
  <si>
    <t>Waste Use and Treatment</t>
  </si>
  <si>
    <t>Current Cropping data</t>
  </si>
  <si>
    <t>Automatic, 3 cycle wash</t>
  </si>
  <si>
    <t>Manual Wash</t>
  </si>
  <si>
    <t>Bulk Tank:</t>
  </si>
  <si>
    <t>Pipeline in Parlor:</t>
  </si>
  <si>
    <t>75-150</t>
  </si>
  <si>
    <t>gal/wash</t>
  </si>
  <si>
    <t>60-110</t>
  </si>
  <si>
    <t>30-50</t>
  </si>
  <si>
    <t>Milkhouse and Parlor floors</t>
  </si>
  <si>
    <t>300-700</t>
  </si>
  <si>
    <t>Miscellaneous</t>
  </si>
  <si>
    <t>Cow Preparation Wash:</t>
  </si>
  <si>
    <t>Automatic</t>
  </si>
  <si>
    <t>Manual</t>
  </si>
  <si>
    <t>Volume</t>
  </si>
  <si>
    <t>Typical</t>
  </si>
  <si>
    <t>Flow rate</t>
  </si>
  <si>
    <t>gal/wash/cow</t>
  </si>
  <si>
    <t xml:space="preserve">Total </t>
  </si>
  <si>
    <t>gallons/day</t>
  </si>
  <si>
    <t>Do not double count water used for more than one purpose.</t>
  </si>
  <si>
    <t>per milking</t>
  </si>
  <si>
    <t>year would appear in this table as 40 acres of corn silage and 40 acres of small grain silage.</t>
  </si>
  <si>
    <t xml:space="preserve">  According to the criteria used in this calculation this dairy is</t>
  </si>
  <si>
    <t xml:space="preserve">  Maximum salt loading for this cropping pattern and acreage</t>
  </si>
  <si>
    <t xml:space="preserve">  Maximum nitrogen usable with this cropping and acreage</t>
  </si>
  <si>
    <t>Normal Runoff Determination Chart - Enter values ONLY for months waste water must be stored.</t>
  </si>
  <si>
    <t>This page displays intermediate calculations and is not intended for inclusion in the plan.</t>
  </si>
  <si>
    <t>Freeboard</t>
  </si>
  <si>
    <t>Side Slope (Ground Side)</t>
  </si>
  <si>
    <t>Hb</t>
  </si>
  <si>
    <t>Wb</t>
  </si>
  <si>
    <t>Fb</t>
  </si>
  <si>
    <t>SSg</t>
  </si>
  <si>
    <t>W</t>
  </si>
  <si>
    <t>L</t>
  </si>
  <si>
    <t>Total Cut</t>
  </si>
  <si>
    <t>Design Storage (W/ Freeboard)</t>
  </si>
  <si>
    <t>Embankment Top Width</t>
  </si>
  <si>
    <t>Footprint Length</t>
  </si>
  <si>
    <t>Footprint Width</t>
  </si>
  <si>
    <t>ft</t>
  </si>
  <si>
    <t>Item</t>
  </si>
  <si>
    <t>Height</t>
  </si>
  <si>
    <t>Embankment Height</t>
  </si>
  <si>
    <t>Volumes</t>
  </si>
  <si>
    <t>Dimensions</t>
  </si>
  <si>
    <t>Earthwork</t>
  </si>
  <si>
    <t>CALCULATIONS FOR VOLUMES (USING PRISMOIDAL METHOD)</t>
  </si>
  <si>
    <t>*</t>
  </si>
  <si>
    <t>Volume = height / 6 x ( area of top + area of bottom + 4 x area of middle)</t>
  </si>
  <si>
    <t>Maximum allowable non-N salts to apply per double cropped acre per year</t>
  </si>
  <si>
    <t>Maximum allowable non-N salts to apply per single cropped acre per year</t>
  </si>
  <si>
    <t>Maximum Nitrogen allowed per double cropped acre per year</t>
  </si>
  <si>
    <t>Maximum Nitrogen allowed per single cropped acre per year</t>
  </si>
  <si>
    <t>gal/min/sprinkler</t>
  </si>
  <si>
    <r>
      <t>ft</t>
    </r>
    <r>
      <rPr>
        <vertAlign val="superscript"/>
        <sz val="8"/>
        <rFont val="Arial"/>
        <family val="2"/>
      </rPr>
      <t>3</t>
    </r>
  </si>
  <si>
    <t xml:space="preserve">This worksheet uses the prismoidal method* to calculate storage volumes and </t>
  </si>
  <si>
    <t>Additional Required Storage</t>
  </si>
  <si>
    <t>Bank Full Storage (W/O Freeboard)</t>
  </si>
  <si>
    <t>Bank Full Surface Area</t>
  </si>
  <si>
    <t>Total Fill+Bank Full Storage-Cut</t>
  </si>
  <si>
    <t>lbs</t>
  </si>
  <si>
    <t>Percent moisture in fresh manure</t>
  </si>
  <si>
    <t xml:space="preserve">  Actual nitrogen from manure applied to available cropland</t>
  </si>
  <si>
    <t>Total Fill Needed</t>
  </si>
  <si>
    <t>Potential Fill Available</t>
  </si>
  <si>
    <t>Potential Available Fill</t>
  </si>
  <si>
    <t>cy</t>
  </si>
  <si>
    <t>Excess Material*</t>
  </si>
  <si>
    <t>25 Year 24 Hour Storm Rainfall</t>
  </si>
  <si>
    <r>
      <t>ft</t>
    </r>
    <r>
      <rPr>
        <vertAlign val="superscript"/>
        <sz val="12"/>
        <rFont val="Arial"/>
        <family val="2"/>
      </rPr>
      <t>2</t>
    </r>
  </si>
  <si>
    <t>Summary Conclusion:</t>
  </si>
  <si>
    <t>% Protein</t>
  </si>
  <si>
    <t>% Moisture</t>
  </si>
  <si>
    <t>inside edge of embankment)</t>
  </si>
  <si>
    <r>
      <t>ft</t>
    </r>
    <r>
      <rPr>
        <vertAlign val="superscript"/>
        <sz val="12"/>
        <rFont val="Arial"/>
        <family val="2"/>
      </rPr>
      <t>3</t>
    </r>
  </si>
  <si>
    <r>
      <t>ft</t>
    </r>
    <r>
      <rPr>
        <vertAlign val="superscript"/>
        <sz val="12"/>
        <rFont val="Arial"/>
        <family val="2"/>
      </rPr>
      <t>3</t>
    </r>
    <r>
      <rPr>
        <sz val="12"/>
        <rFont val="Arial"/>
        <family val="2"/>
      </rPr>
      <t>/day</t>
    </r>
  </si>
  <si>
    <r>
      <t>ft</t>
    </r>
    <r>
      <rPr>
        <vertAlign val="superscript"/>
        <sz val="12"/>
        <rFont val="Arial"/>
        <family val="2"/>
      </rPr>
      <t>3</t>
    </r>
  </si>
  <si>
    <t xml:space="preserve">Net Daily Water Use per Milking Cow </t>
  </si>
  <si>
    <t xml:space="preserve">25 year 24 hour Storm Rainfall </t>
  </si>
  <si>
    <t>Surface Area at Max Capacity</t>
  </si>
  <si>
    <r>
      <t>ft</t>
    </r>
    <r>
      <rPr>
        <vertAlign val="superscript"/>
        <sz val="12"/>
        <rFont val="Arial"/>
        <family val="2"/>
      </rPr>
      <t>3/</t>
    </r>
    <r>
      <rPr>
        <sz val="12"/>
        <rFont val="Arial"/>
        <family val="2"/>
      </rPr>
      <t>day</t>
    </r>
  </si>
  <si>
    <t>Checked by:</t>
  </si>
  <si>
    <t>Entered by:</t>
  </si>
  <si>
    <t>C:F</t>
  </si>
  <si>
    <t>Dairy Waste Management Summary</t>
  </si>
  <si>
    <t>Milkings per Day =</t>
  </si>
  <si>
    <t>Strings/Milking =</t>
  </si>
  <si>
    <t>Number</t>
  </si>
  <si>
    <t>Sprinklers/pen =</t>
  </si>
  <si>
    <t>Minutes/Wash =</t>
  </si>
  <si>
    <t>Total gallons per day =</t>
  </si>
  <si>
    <t>Total gallons less sprinklers =</t>
  </si>
  <si>
    <t>Data Used in Dairy Waste Management Calculations</t>
  </si>
  <si>
    <t>Cumulative Storage is:</t>
  </si>
  <si>
    <t>gallons/milking</t>
  </si>
  <si>
    <t>once/day</t>
  </si>
  <si>
    <t>(typical)</t>
  </si>
  <si>
    <t>Excreted nitrogen delivered to drylot</t>
  </si>
  <si>
    <t>Excreted non-nitrogen salts delivered to drylot</t>
  </si>
  <si>
    <t>Nitrogen behavior after excretion of manure</t>
  </si>
  <si>
    <t>Calves, 3 months to 1 year</t>
  </si>
  <si>
    <t>Average</t>
  </si>
  <si>
    <t>Storage Volume Calculations</t>
  </si>
  <si>
    <t xml:space="preserve">      Runoff Volume from Manured Surfaces</t>
  </si>
  <si>
    <t xml:space="preserve">      Runoff Volume from Concrete Surfaces</t>
  </si>
  <si>
    <t xml:space="preserve">      Runoff Volume from Roof Surfaces</t>
  </si>
  <si>
    <t xml:space="preserve">2) Barn Water Volume </t>
  </si>
  <si>
    <t>1)  Animal Waste Volume</t>
  </si>
  <si>
    <t>Dry Storage</t>
  </si>
  <si>
    <t>Waste calculations showing the volume and form of waste from each housing type:</t>
  </si>
  <si>
    <t>0-4.5</t>
  </si>
  <si>
    <t>0 -.5</t>
  </si>
  <si>
    <t>Bucket milkers</t>
  </si>
  <si>
    <t>2 - 7</t>
  </si>
  <si>
    <t>0 - 50</t>
  </si>
  <si>
    <t>0 - 40</t>
  </si>
  <si>
    <r>
      <t xml:space="preserve">- </t>
    </r>
    <r>
      <rPr>
        <sz val="11"/>
        <rFont val="Arial"/>
        <family val="2"/>
      </rPr>
      <t>Sprinkler flow rates vary with nozzle size and operating pressure.  To estimate, consult design tables or measure flow rates.</t>
    </r>
  </si>
  <si>
    <t xml:space="preserve">Calves, 3 months to 1 year </t>
  </si>
  <si>
    <r>
      <t>Monthly</t>
    </r>
    <r>
      <rPr>
        <sz val="10"/>
        <color indexed="10"/>
        <rFont val="Arial"/>
        <family val="2"/>
      </rPr>
      <t>*</t>
    </r>
    <r>
      <rPr>
        <sz val="10"/>
        <rFont val="Arial"/>
        <family val="2"/>
      </rPr>
      <t xml:space="preserve"> </t>
    </r>
  </si>
  <si>
    <r>
      <t>Month</t>
    </r>
    <r>
      <rPr>
        <sz val="10"/>
        <color indexed="10"/>
        <rFont val="Arial"/>
        <family val="2"/>
      </rPr>
      <t>*</t>
    </r>
  </si>
  <si>
    <t>Criteria used to evaluate Manure Management System</t>
  </si>
  <si>
    <t>lbs/ac</t>
  </si>
  <si>
    <t>15%-19% (17%)</t>
  </si>
  <si>
    <t>8%-12% (10%)</t>
  </si>
  <si>
    <t>14%-18% (16%)</t>
  </si>
  <si>
    <t>9%-13% (11%)</t>
  </si>
  <si>
    <t>Other values are from Western Fertilizer Handbook where available.</t>
  </si>
  <si>
    <t>Washes/String =</t>
  </si>
  <si>
    <t>Flow from Drop Hoses at each cow</t>
  </si>
  <si>
    <t>Oats (hay)</t>
  </si>
  <si>
    <t>Alfalfa hay</t>
  </si>
  <si>
    <t>8/cutting</t>
  </si>
  <si>
    <t>Sudan hay</t>
  </si>
  <si>
    <t>Barley, Wheat, Oats, Sudan, and Triticale values are from UCCE.</t>
  </si>
  <si>
    <t>8%-15% (12%)</t>
  </si>
  <si>
    <t>8%-11% (9%)</t>
  </si>
  <si>
    <t>Estimate of daily winter</t>
  </si>
  <si>
    <t>Dry</t>
  </si>
  <si>
    <t>Breed of Cows</t>
  </si>
  <si>
    <r>
      <t>-</t>
    </r>
    <r>
      <rPr>
        <b/>
        <sz val="11"/>
        <rFont val="Arial"/>
        <family val="2"/>
      </rPr>
      <t xml:space="preserve"> </t>
    </r>
    <r>
      <rPr>
        <sz val="11"/>
        <rFont val="Arial"/>
        <family val="2"/>
      </rPr>
      <t>Separating sprinkler pen water from other water can be useful when planning for storage needs.  Sprinkler pen water</t>
    </r>
  </si>
  <si>
    <t xml:space="preserve"> Percent of solid, dry scraped manure used off site</t>
  </si>
  <si>
    <t>Other</t>
  </si>
  <si>
    <r>
      <t xml:space="preserve">- </t>
    </r>
    <r>
      <rPr>
        <sz val="11"/>
        <rFont val="Arial"/>
        <family val="2"/>
      </rPr>
      <t>If all water is cycled through storage tanks, you may use the tank volumes along with fill/drain cycles to estimate water</t>
    </r>
  </si>
  <si>
    <t>Calves, birth to 3 months</t>
  </si>
  <si>
    <t>Pond 2</t>
  </si>
  <si>
    <t>Pond 3</t>
  </si>
  <si>
    <t>Pond Design Data</t>
  </si>
  <si>
    <t>Pond 1</t>
  </si>
  <si>
    <t>Side Slope (Pond Side)</t>
  </si>
  <si>
    <t xml:space="preserve">Pond Length (measured at top </t>
  </si>
  <si>
    <t>Pond 4</t>
  </si>
  <si>
    <t>Pond 5</t>
  </si>
  <si>
    <t>Pond 6</t>
  </si>
  <si>
    <t xml:space="preserve">Other Daily Fresh Water added to the pond </t>
  </si>
  <si>
    <t>Manured surfaces draining to the pond</t>
  </si>
  <si>
    <t>Concrete surfaces draining to the pond</t>
  </si>
  <si>
    <t>Roof surfaces draining to the pond</t>
  </si>
  <si>
    <t>Pond</t>
  </si>
  <si>
    <t>Excreted non-nitrogen salts delivered to pond</t>
  </si>
  <si>
    <t>Excreted nitrogen from pond disposed on site</t>
  </si>
  <si>
    <t>Excreted non-N salts from pond disposed on site</t>
  </si>
  <si>
    <t xml:space="preserve">   Value of nitrogen in the pond as commercial N</t>
  </si>
  <si>
    <t>Excreted nitrogen delivered to pond</t>
  </si>
  <si>
    <t>Pond:</t>
  </si>
  <si>
    <t xml:space="preserve">Pond Storage Capacity </t>
  </si>
  <si>
    <t>Pond Storage</t>
  </si>
  <si>
    <t>Pond Length (measured at top</t>
  </si>
  <si>
    <t>Pond Width (measured at top</t>
  </si>
  <si>
    <t xml:space="preserve">      Rainfall on Pond Surface</t>
  </si>
  <si>
    <t>Combined Pond Capacity</t>
  </si>
  <si>
    <t>Required Pond Capacity</t>
  </si>
  <si>
    <t>Pond Design Factors</t>
  </si>
  <si>
    <t>earthwork of a rectangular pond on a level surface.</t>
  </si>
  <si>
    <t>Other Daily Fresh Water added to the pond</t>
  </si>
  <si>
    <t>Manure storage site as determined by housing type</t>
  </si>
  <si>
    <t xml:space="preserve">  Actual salt applied to available cropland with manure</t>
  </si>
  <si>
    <t xml:space="preserve">  Farm Wide Nitrogen and Salt Balance Estimates using Regulatory Guidelines</t>
  </si>
  <si>
    <t xml:space="preserve">   Estimated Value of N in Manure used onsite:</t>
  </si>
  <si>
    <t>Reference Table for Crop N Use</t>
  </si>
  <si>
    <t>18%-24% (21%)</t>
  </si>
  <si>
    <t>SSp</t>
  </si>
  <si>
    <t>Hp</t>
  </si>
  <si>
    <t xml:space="preserve">Cut:Fill Ratio </t>
  </si>
  <si>
    <t xml:space="preserve">Cut : Fill Ratio </t>
  </si>
  <si>
    <t>$/lb. - N</t>
  </si>
  <si>
    <t>Total 1000 lb. AUs</t>
  </si>
  <si>
    <t>per 1000 lb.</t>
  </si>
  <si>
    <t xml:space="preserve"> per 1400 lb.</t>
  </si>
  <si>
    <t>Avg weight</t>
  </si>
  <si>
    <t>'X' Horiz:1  Vert</t>
  </si>
  <si>
    <t>'X' Cut:1 Fill</t>
  </si>
  <si>
    <t xml:space="preserve">Animal </t>
  </si>
  <si>
    <t>Description</t>
  </si>
  <si>
    <t>Animal Housing</t>
  </si>
  <si>
    <t>Barn Water Usage</t>
  </si>
  <si>
    <t>Wash Pen Sprinklers:</t>
  </si>
  <si>
    <t>(Higher for long Flat Barns)</t>
  </si>
  <si>
    <t>Wash Pen use, gallons/cow =</t>
  </si>
  <si>
    <t xml:space="preserve">      Rainfall Subtotals</t>
  </si>
  <si>
    <t xml:space="preserve">      Evaporation Credit</t>
  </si>
  <si>
    <t xml:space="preserve">      Wash Water used during the Storage Period of  </t>
  </si>
  <si>
    <t xml:space="preserve">      Other Fresh Water used during the Storage Period of  </t>
  </si>
  <si>
    <t xml:space="preserve">      Manure Waste to be stored in the Pond</t>
  </si>
  <si>
    <t xml:space="preserve">      Manure Waste handled dry and not stored in the Pond</t>
  </si>
  <si>
    <t xml:space="preserve">   * Negative numbers indicate imported material is required.</t>
  </si>
  <si>
    <t>Total Animals</t>
  </si>
  <si>
    <t>% of animals in each facility type</t>
  </si>
  <si>
    <t>The sum of each row should equal 100%.</t>
  </si>
  <si>
    <t>(tons/ac)</t>
  </si>
  <si>
    <t>Include acres for each crop of double or triple cropped fields on separate rows of the table.</t>
  </si>
  <si>
    <t xml:space="preserve">   and neither this chart or the storage tank volume method of estimation are practical to use.</t>
  </si>
  <si>
    <t>Dairy Waste Storage Pond Design</t>
  </si>
  <si>
    <t>Holstein</t>
  </si>
  <si>
    <t>test</t>
  </si>
  <si>
    <t>Label</t>
  </si>
  <si>
    <t>Area</t>
  </si>
  <si>
    <t>Diverted</t>
  </si>
  <si>
    <t>A</t>
  </si>
  <si>
    <t>B</t>
  </si>
  <si>
    <t>C</t>
  </si>
  <si>
    <t>D</t>
  </si>
  <si>
    <t>E</t>
  </si>
  <si>
    <t>F</t>
  </si>
  <si>
    <t>SqFt</t>
  </si>
  <si>
    <t xml:space="preserve"> SqFt</t>
  </si>
  <si>
    <t>Concrete Areas =</t>
  </si>
  <si>
    <t xml:space="preserve"> Acres</t>
  </si>
  <si>
    <t>Ft</t>
  </si>
  <si>
    <t>Width</t>
  </si>
  <si>
    <t>Length</t>
  </si>
  <si>
    <r>
      <t>Ft</t>
    </r>
    <r>
      <rPr>
        <vertAlign val="superscript"/>
        <sz val="12"/>
        <rFont val="Arial"/>
        <family val="2"/>
      </rPr>
      <t>2</t>
    </r>
  </si>
  <si>
    <t>G</t>
  </si>
  <si>
    <t>H</t>
  </si>
  <si>
    <t>J</t>
  </si>
  <si>
    <t>K</t>
  </si>
  <si>
    <t>M</t>
  </si>
  <si>
    <t>O</t>
  </si>
  <si>
    <t>P</t>
  </si>
  <si>
    <t>Q</t>
  </si>
  <si>
    <t>R</t>
  </si>
  <si>
    <t>Total Area (SqFt) =</t>
  </si>
  <si>
    <t>Total Area drained to the pond =</t>
  </si>
  <si>
    <t>Undiverted Roof Area =</t>
  </si>
  <si>
    <t>Diverted Roof Area =</t>
  </si>
  <si>
    <t>Total Roof Area =</t>
  </si>
  <si>
    <t>Manured and bare areas draining to the pond:</t>
  </si>
  <si>
    <t>S</t>
  </si>
  <si>
    <t>Roof areas that may drain to pond</t>
  </si>
  <si>
    <t>(y or n)</t>
  </si>
  <si>
    <t>Concrete areas NOT under a roof</t>
  </si>
  <si>
    <t>T</t>
  </si>
  <si>
    <t>U</t>
  </si>
  <si>
    <t>V</t>
  </si>
  <si>
    <t>X</t>
  </si>
  <si>
    <t>Y</t>
  </si>
  <si>
    <t>Z</t>
  </si>
  <si>
    <t>Total manured and bare areas =</t>
  </si>
  <si>
    <t>determine the manured and bare areas.</t>
  </si>
  <si>
    <t>spreadsheet will subtract the concrete and roof areas to</t>
  </si>
  <si>
    <t>Measure the total potential area drained to the pond.  The</t>
  </si>
  <si>
    <t>Estimated partition of manure between the liquid and solid form based on animal residence time on flushed concrete</t>
  </si>
  <si>
    <t>Category</t>
  </si>
  <si>
    <t>Hours per day that manure is collected in a liquid system</t>
  </si>
  <si>
    <t>Annual % stored in pond</t>
  </si>
  <si>
    <t>Annual % stored dry</t>
  </si>
  <si>
    <t>Jan</t>
  </si>
  <si>
    <t>Feb</t>
  </si>
  <si>
    <t>Aug</t>
  </si>
  <si>
    <t>Sept</t>
  </si>
  <si>
    <t>Oct</t>
  </si>
  <si>
    <t>Nov</t>
  </si>
  <si>
    <t>Dec</t>
  </si>
  <si>
    <t>Instructions:</t>
  </si>
  <si>
    <t>Change the housing type name to correspond with the housing being used, if necessary.</t>
  </si>
  <si>
    <t>Total % Nitrogen lost from dilute liquid manure</t>
  </si>
  <si>
    <t>Total % Nitrogen lost from solid manure</t>
  </si>
  <si>
    <t>% Nitrogen lost from land application of dilute liquid manure</t>
  </si>
  <si>
    <t>% Nitrogen lost during storage of dilute liquid manure</t>
  </si>
  <si>
    <t>% Nitrogen lost from land application of solid manure</t>
  </si>
  <si>
    <t>% Nitrogen lost during storage of solid manure</t>
  </si>
  <si>
    <t>To utilize this information in the spreadsheet:</t>
  </si>
  <si>
    <t>Go to the Criteria worksheet section "Manure storage site as determined by housing type"</t>
  </si>
  <si>
    <t>Enter "Annual % stored in pond" from this sheet under "Pond" for the correct housing type in the Criteria worksheet.</t>
  </si>
  <si>
    <t xml:space="preserve">In most cases only the Milk Cows will need to be evaluated.  Use the default values for the other animals.  </t>
  </si>
  <si>
    <t>Milk cows in freestalls</t>
  </si>
  <si>
    <t>Enter the average hours per day that each animal category spends on flushed concrete for each month of the year.</t>
  </si>
  <si>
    <t>Data Used in Storage Pond Calculations</t>
  </si>
  <si>
    <t xml:space="preserve">Concrete, Roof, Manured, and Bare Areas Drained to the Pond </t>
  </si>
  <si>
    <t>Barley Silage, boot stage</t>
  </si>
  <si>
    <t>Barley Silage, soft dough</t>
  </si>
  <si>
    <t>Triticale, boot stage</t>
  </si>
  <si>
    <t>Triticale, soft dough</t>
  </si>
  <si>
    <t>Wheat Silage, boot stage</t>
  </si>
  <si>
    <t>Wheat Silage, soft dough</t>
  </si>
  <si>
    <t>(10%)</t>
  </si>
  <si>
    <t>(70%)</t>
  </si>
  <si>
    <t>Bermudagrass, hay</t>
  </si>
  <si>
    <t>9% - 13% (11%)</t>
  </si>
  <si>
    <t>Clover-grass, hay</t>
  </si>
  <si>
    <t>10%- 14% (12%)</t>
  </si>
  <si>
    <t>Oats silage, soft dough</t>
  </si>
  <si>
    <t>Tall Fescue, hay</t>
  </si>
  <si>
    <t>8%-12%(10%)</t>
  </si>
  <si>
    <t>Orchardgrass, hay</t>
  </si>
  <si>
    <t>9%-14% (11%)</t>
  </si>
  <si>
    <t>Ryegrass, hay</t>
  </si>
  <si>
    <t>Timothy, hay</t>
  </si>
  <si>
    <t>Fertilizer N lbs/ac.</t>
  </si>
  <si>
    <r>
      <t xml:space="preserve">Irrigation </t>
    </r>
    <r>
      <rPr>
        <sz val="12"/>
        <rFont val="Arial"/>
        <family val="2"/>
      </rPr>
      <t>N</t>
    </r>
    <r>
      <rPr>
        <sz val="9"/>
        <rFont val="Arial"/>
        <family val="2"/>
      </rPr>
      <t xml:space="preserve"> </t>
    </r>
    <r>
      <rPr>
        <sz val="12"/>
        <rFont val="Arial"/>
        <family val="2"/>
      </rPr>
      <t>lbs/ac.</t>
    </r>
  </si>
  <si>
    <t xml:space="preserve">Total N applied as fertilizer </t>
  </si>
  <si>
    <t xml:space="preserve">Total N applied from irrigation water source </t>
  </si>
  <si>
    <t>Fertilizer N - Tons</t>
  </si>
  <si>
    <r>
      <t xml:space="preserve">Irrigation </t>
    </r>
    <r>
      <rPr>
        <sz val="12"/>
        <rFont val="Arial"/>
        <family val="2"/>
      </rPr>
      <t>N - Tons</t>
    </r>
  </si>
  <si>
    <t>Total N</t>
  </si>
  <si>
    <t>Legume N lbs/ac</t>
  </si>
  <si>
    <t>Legume N - Tons</t>
  </si>
  <si>
    <t>Legume N  lbs/ac</t>
  </si>
  <si>
    <t>Total N applied from previous legume crops</t>
  </si>
  <si>
    <r>
      <t xml:space="preserve">- </t>
    </r>
    <r>
      <rPr>
        <sz val="11"/>
        <rFont val="Arial"/>
        <family val="2"/>
      </rPr>
      <t xml:space="preserve">When using this table, enter "Total Gallons per day" (pink) into "Other Daily Fresh Water added to the pond" </t>
    </r>
    <r>
      <rPr>
        <sz val="8"/>
        <rFont val="Arial"/>
        <family val="2"/>
      </rPr>
      <t>(N8)</t>
    </r>
    <r>
      <rPr>
        <sz val="11"/>
        <rFont val="Arial"/>
        <family val="2"/>
      </rPr>
      <t xml:space="preserve"> and leave</t>
    </r>
  </si>
  <si>
    <r>
      <t xml:space="preserve">   "Net Daily Water Use per Milking Cow" </t>
    </r>
    <r>
      <rPr>
        <sz val="8"/>
        <rFont val="Arial"/>
        <family val="2"/>
      </rPr>
      <t>(N7)</t>
    </r>
    <r>
      <rPr>
        <sz val="11"/>
        <rFont val="Arial"/>
        <family val="2"/>
      </rPr>
      <t xml:space="preserve"> blank.  </t>
    </r>
  </si>
  <si>
    <r>
      <t xml:space="preserve">   usage per day, rather than this table.  Enter the result as "Other Daily Fresh Water added to the pond" </t>
    </r>
    <r>
      <rPr>
        <sz val="8"/>
        <rFont val="Arial"/>
        <family val="2"/>
      </rPr>
      <t>(N8)</t>
    </r>
    <r>
      <rPr>
        <sz val="11"/>
        <rFont val="Arial"/>
        <family val="2"/>
      </rPr>
      <t>, and leave</t>
    </r>
  </si>
  <si>
    <r>
      <t xml:space="preserve">   </t>
    </r>
    <r>
      <rPr>
        <sz val="11"/>
        <rFont val="Arial"/>
        <family val="2"/>
      </rPr>
      <t xml:space="preserve">"Net Daily Water Use per Milking Cow" </t>
    </r>
    <r>
      <rPr>
        <sz val="8"/>
        <rFont val="Arial"/>
        <family val="2"/>
      </rPr>
      <t>(N7)</t>
    </r>
    <r>
      <rPr>
        <sz val="11"/>
        <rFont val="Arial"/>
        <family val="2"/>
      </rPr>
      <t xml:space="preserve"> blank.  </t>
    </r>
    <r>
      <rPr>
        <b/>
        <i/>
        <sz val="11"/>
        <rFont val="Arial"/>
        <family val="2"/>
      </rPr>
      <t>Be certain to add extra water that is pumped for washing in the winter.</t>
    </r>
  </si>
  <si>
    <r>
      <t xml:space="preserve">- </t>
    </r>
    <r>
      <rPr>
        <sz val="11"/>
        <rFont val="Arial"/>
        <family val="2"/>
      </rPr>
      <t xml:space="preserve">"Net Daily Water Use per Milking Cow" </t>
    </r>
    <r>
      <rPr>
        <sz val="8"/>
        <rFont val="Arial"/>
        <family val="2"/>
      </rPr>
      <t>(N7)</t>
    </r>
    <r>
      <rPr>
        <sz val="11"/>
        <rFont val="Arial"/>
        <family val="2"/>
      </rPr>
      <t xml:space="preserve"> is used when the best water use estimate available is in terms of Gallons per Milk Cow</t>
    </r>
  </si>
  <si>
    <r>
      <t xml:space="preserve">   and entering "Total gallons less sprinklers (green) into "Other Daily Fresh Water added to the pond" </t>
    </r>
    <r>
      <rPr>
        <sz val="8"/>
        <rFont val="Arial"/>
        <family val="2"/>
      </rPr>
      <t>(N8)</t>
    </r>
    <r>
      <rPr>
        <sz val="11"/>
        <rFont val="Arial"/>
        <family val="2"/>
      </rPr>
      <t xml:space="preserve">. </t>
    </r>
  </si>
  <si>
    <r>
      <t xml:space="preserve">   is separated from other water by entering "Wash pen use, gallons/cow" (yellow) into "Net Daily Water Use per Milking Cow" </t>
    </r>
    <r>
      <rPr>
        <sz val="8"/>
        <rFont val="Arial"/>
        <family val="2"/>
      </rPr>
      <t>(N7)</t>
    </r>
    <r>
      <rPr>
        <sz val="11"/>
        <rFont val="Arial"/>
        <family val="2"/>
      </rPr>
      <t>,</t>
    </r>
  </si>
  <si>
    <t>Estimated N removedby harvest with this cropping pattern</t>
  </si>
  <si>
    <t>The values below consider off-site disposal and losses during storage and land application:</t>
  </si>
  <si>
    <t>Total N applied with liquid manure, accounting for any exported manure</t>
  </si>
  <si>
    <t>Total N applied with solid manure, accounting for any exported manure</t>
  </si>
  <si>
    <t xml:space="preserve">Total N applied with manure, accounting for any exported manure </t>
  </si>
  <si>
    <t>Total N applied/Crop Removal</t>
  </si>
  <si>
    <t>Less than or equal to 2</t>
  </si>
  <si>
    <t>Then:</t>
  </si>
  <si>
    <t>Excellent</t>
  </si>
  <si>
    <t>Greater than 2 but less than 5</t>
  </si>
  <si>
    <t>Minor to Major modifications will be needed</t>
  </si>
  <si>
    <t>Greater than 5</t>
  </si>
  <si>
    <t>Major modifications will be needed</t>
  </si>
  <si>
    <t>Farm Wide Initial Nitrogen Balance Assessment</t>
  </si>
  <si>
    <t>Value of nitrogen in solid manure as commercial N/year</t>
  </si>
  <si>
    <t>Value of nitrogen in liquid manure as commercial N/year</t>
  </si>
  <si>
    <r>
      <t>If "</t>
    </r>
    <r>
      <rPr>
        <b/>
        <sz val="12"/>
        <rFont val="Arial"/>
        <family val="2"/>
      </rPr>
      <t>Total N applied/Crop Removal</t>
    </r>
    <r>
      <rPr>
        <sz val="12"/>
        <rFont val="Arial"/>
        <family val="2"/>
      </rPr>
      <t>" is:</t>
    </r>
  </si>
  <si>
    <t>Tons of N imported with bedding per year</t>
  </si>
  <si>
    <t>N, Tons/yr</t>
  </si>
  <si>
    <t>Total N imported with bedding</t>
  </si>
  <si>
    <t>(Note: This section is no longer used by the program)</t>
  </si>
  <si>
    <t>EWS2-1</t>
  </si>
  <si>
    <t>Data Used in Farm Wide Initial Nitrogen Balance Assessment</t>
  </si>
  <si>
    <t>Pumpable Capacity*</t>
  </si>
  <si>
    <t>gal</t>
  </si>
  <si>
    <t>Normal Rainfall Multiplication Factor</t>
  </si>
  <si>
    <r>
      <t xml:space="preserve">*Input </t>
    </r>
    <r>
      <rPr>
        <u val="single"/>
        <sz val="10"/>
        <color indexed="10"/>
        <rFont val="Arial"/>
        <family val="2"/>
      </rPr>
      <t>Normal Rainfall</t>
    </r>
    <r>
      <rPr>
        <sz val="10"/>
        <color indexed="10"/>
        <rFont val="Arial"/>
        <family val="2"/>
      </rPr>
      <t xml:space="preserve"> data for design storage period months only.</t>
    </r>
  </si>
  <si>
    <t>Nitrogen and Salt Excreted per Day per unit of Body Weight</t>
  </si>
  <si>
    <t xml:space="preserve">      Total Barn Water Volume for the storage period of</t>
  </si>
  <si>
    <t xml:space="preserve">      Total Animal Waste Volume for the storage period of</t>
  </si>
  <si>
    <r>
      <t>ft</t>
    </r>
    <r>
      <rPr>
        <b/>
        <vertAlign val="superscript"/>
        <sz val="12"/>
        <rFont val="Arial"/>
        <family val="2"/>
      </rPr>
      <t>3</t>
    </r>
  </si>
  <si>
    <t>Percent of waste water used off dairy</t>
  </si>
  <si>
    <t>Percent of dry manure used off dairy</t>
  </si>
  <si>
    <t>Double cropped acres used to dispose of waste onsite</t>
  </si>
  <si>
    <t>Single cropped acres used to dispose of waste onsite</t>
  </si>
  <si>
    <t>Cost per unit of commercial Nitrogen</t>
  </si>
  <si>
    <t>% of waste entering liquid waste stream or handled dry for each housing system*:</t>
  </si>
  <si>
    <t>25 YR.STORM</t>
  </si>
  <si>
    <t xml:space="preserve">      Total Rainfall Influence (25 Yr.+</t>
  </si>
  <si>
    <t>Residual Solids Accumulation</t>
  </si>
  <si>
    <t>Residual Solids</t>
  </si>
  <si>
    <t>Depth of Pond (freeboard + design depth)</t>
  </si>
  <si>
    <t>RSp</t>
  </si>
  <si>
    <r>
      <t xml:space="preserve">Depth of Pond </t>
    </r>
    <r>
      <rPr>
        <sz val="10"/>
        <rFont val="Arial"/>
        <family val="2"/>
      </rPr>
      <t>(freeboard + design depth)</t>
    </r>
  </si>
  <si>
    <t xml:space="preserve">      Total Residual Solids Volume for pond depths specified on pg. 2</t>
  </si>
  <si>
    <t>Plate Coolers</t>
  </si>
  <si>
    <t xml:space="preserve">    * For entry into MMP Storage Tab (Combined Pond Capacity - 25yr storm subtotals - Residual Solids Volume)</t>
  </si>
  <si>
    <t>Tailwater or Dilution Water added to the pond</t>
  </si>
  <si>
    <t>3) Tailwater or Dilution Water Volume</t>
  </si>
  <si>
    <t xml:space="preserve">      Total Tailwater/Dilution Water for the storage period of</t>
  </si>
  <si>
    <t>4) Rainfall and Runoff Volume</t>
  </si>
  <si>
    <t>5) Accumulated Residual Solids Volume</t>
  </si>
  <si>
    <t xml:space="preserve">6) Total Required Volume </t>
  </si>
  <si>
    <t>Design Storage Period</t>
  </si>
  <si>
    <t>gallons during Design Storage Period</t>
  </si>
  <si>
    <r>
      <t>-</t>
    </r>
    <r>
      <rPr>
        <sz val="14"/>
        <rFont val="Arial"/>
        <family val="2"/>
      </rPr>
      <t xml:space="preserve"> </t>
    </r>
    <r>
      <rPr>
        <sz val="11"/>
        <rFont val="Arial"/>
        <family val="2"/>
      </rPr>
      <t xml:space="preserve">Do not include plate cooler water if it is reused and accounted for elsewhere in the milk barn water volumes. </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</si>
</sst>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_)"/>
    <numFmt numFmtId="166" formatCode="0.0_)"/>
    <numFmt numFmtId="167" formatCode="0_)"/>
    <numFmt numFmtId="168" formatCode="dd\-mmm\-yy_)"/>
    <numFmt numFmtId="169" formatCode="0.0%"/>
    <numFmt numFmtId="170" formatCode="0.0E+00_)"/>
    <numFmt numFmtId="171" formatCode="0.0"/>
    <numFmt numFmtId="172" formatCode="0.000"/>
    <numFmt numFmtId="173" formatCode="0.0000"/>
    <numFmt numFmtId="174" formatCode="0.00000"/>
    <numFmt numFmtId="175" formatCode="#,##0.0"/>
    <numFmt numFmtId="176" formatCode="0.000000"/>
    <numFmt numFmtId="177" formatCode="0.0000000"/>
    <numFmt numFmtId="178" formatCode="#,##0.000"/>
    <numFmt numFmtId="179" formatCode="#,##0.0000"/>
    <numFmt numFmtId="180" formatCode="#,##0.000_);\(#,##0.000\)"/>
    <numFmt numFmtId="181" formatCode="&quot;$&quot;#,##0.00"/>
    <numFmt numFmtId="182" formatCode="#,##0.0000000000000000"/>
    <numFmt numFmtId="183" formatCode="#,##0.00000000000"/>
    <numFmt numFmtId="184" formatCode="0_);\(0\)"/>
    <numFmt numFmtId="185" formatCode="0_);[Red]\(0\)"/>
    <numFmt numFmtId="186" formatCode="&quot;$&quot;#,##0"/>
    <numFmt numFmtId="187" formatCode="00000"/>
    <numFmt numFmtId="188" formatCode="0.0\ &quot;x Normal&quot;"/>
    <numFmt numFmtId="189" formatCode="0.0\ &quot;x No&quot;"/>
    <numFmt numFmtId="190" formatCode="0.0&quot;xNormal&quot;"/>
    <numFmt numFmtId="191" formatCode="0.0&quot;xNORMALl&quot;"/>
    <numFmt numFmtId="192" formatCode="0.0&quot;xNORMAL&quot;"/>
    <numFmt numFmtId="193" formatCode="0.0\ &quot;x Normal)&quot;"/>
    <numFmt numFmtId="194" formatCode="0.0\ &quot;x NORMAL&quot;"/>
    <numFmt numFmtId="195" formatCode="&quot;total gallons for &quot;0&quot; Days of Storagel&quot;"/>
    <numFmt numFmtId="196" formatCode="&quot;total gallons for &quot;0&quot; Days of Storage&quot;"/>
    <numFmt numFmtId="197" formatCode="&quot;gallons per &quot;0&quot; Days of Storage&quot;"/>
    <numFmt numFmtId="198" formatCode="&quot;gallons per &quot;0&quot; Day Storage Period&quot;"/>
    <numFmt numFmtId="199" formatCode="&quot;Yes&quot;;&quot;Yes&quot;;&quot;No&quot;"/>
    <numFmt numFmtId="200" formatCode="&quot;True&quot;;&quot;True&quot;;&quot;False&quot;"/>
    <numFmt numFmtId="201" formatCode="&quot;On&quot;;&quot;On&quot;;&quot;Off&quot;"/>
    <numFmt numFmtId="202" formatCode="[$€-2]\ #,##0.00_);[Red]\([$€-2]\ #,##0.00\)"/>
  </numFmts>
  <fonts count="60">
    <font>
      <sz val="12"/>
      <name val="Arial"/>
      <family val="0"/>
    </font>
    <font>
      <sz val="10"/>
      <name val="Arial"/>
      <family val="0"/>
    </font>
    <font>
      <b/>
      <sz val="12"/>
      <name val="Arial"/>
      <family val="2"/>
    </font>
    <font>
      <sz val="10"/>
      <color indexed="12"/>
      <name val="Courier"/>
      <family val="0"/>
    </font>
    <font>
      <sz val="8"/>
      <name val="Arial"/>
      <family val="2"/>
    </font>
    <font>
      <sz val="6"/>
      <name val="Arial"/>
      <family val="2"/>
    </font>
    <font>
      <b/>
      <sz val="12"/>
      <color indexed="12"/>
      <name val="Arial"/>
      <family val="2"/>
    </font>
    <font>
      <sz val="12"/>
      <color indexed="12"/>
      <name val="Arial"/>
      <family val="2"/>
    </font>
    <font>
      <b/>
      <sz val="10"/>
      <name val="Arial"/>
      <family val="2"/>
    </font>
    <font>
      <b/>
      <sz val="11"/>
      <name val="Arial"/>
      <family val="2"/>
    </font>
    <font>
      <sz val="11"/>
      <name val="Arial"/>
      <family val="2"/>
    </font>
    <font>
      <b/>
      <sz val="14"/>
      <name val="Arial"/>
      <family val="2"/>
    </font>
    <font>
      <sz val="9"/>
      <name val="Arial"/>
      <family val="2"/>
    </font>
    <font>
      <sz val="8"/>
      <name val="Tahoma"/>
      <family val="0"/>
    </font>
    <font>
      <b/>
      <sz val="8"/>
      <name val="Tahoma"/>
      <family val="0"/>
    </font>
    <font>
      <b/>
      <sz val="8"/>
      <name val="Arial"/>
      <family val="2"/>
    </font>
    <font>
      <vertAlign val="superscript"/>
      <sz val="8"/>
      <name val="Arial"/>
      <family val="2"/>
    </font>
    <font>
      <b/>
      <u val="single"/>
      <sz val="8"/>
      <name val="Arial"/>
      <family val="2"/>
    </font>
    <font>
      <sz val="8"/>
      <color indexed="8"/>
      <name val="Arial"/>
      <family val="2"/>
    </font>
    <font>
      <sz val="8"/>
      <color indexed="53"/>
      <name val="Arial"/>
      <family val="2"/>
    </font>
    <font>
      <b/>
      <sz val="10"/>
      <name val="Tahoma"/>
      <family val="2"/>
    </font>
    <font>
      <i/>
      <sz val="10"/>
      <name val="Tahoma"/>
      <family val="2"/>
    </font>
    <font>
      <sz val="11"/>
      <name val="Tahoma"/>
      <family val="2"/>
    </font>
    <font>
      <sz val="12"/>
      <name val="Tahoma"/>
      <family val="2"/>
    </font>
    <font>
      <sz val="12"/>
      <color indexed="8"/>
      <name val="Arial"/>
      <family val="2"/>
    </font>
    <font>
      <i/>
      <sz val="12"/>
      <name val="Tahoma"/>
      <family val="2"/>
    </font>
    <font>
      <b/>
      <i/>
      <sz val="12"/>
      <name val="Tahoma"/>
      <family val="2"/>
    </font>
    <font>
      <vertAlign val="superscript"/>
      <sz val="12"/>
      <name val="Arial"/>
      <family val="2"/>
    </font>
    <font>
      <sz val="12"/>
      <color indexed="53"/>
      <name val="Arial"/>
      <family val="2"/>
    </font>
    <font>
      <b/>
      <u val="single"/>
      <sz val="12"/>
      <name val="Arial"/>
      <family val="2"/>
    </font>
    <font>
      <b/>
      <sz val="12"/>
      <color indexed="8"/>
      <name val="Arial"/>
      <family val="2"/>
    </font>
    <font>
      <sz val="9"/>
      <color indexed="10"/>
      <name val="Arial"/>
      <family val="2"/>
    </font>
    <font>
      <sz val="12"/>
      <color indexed="12"/>
      <name val="Courier"/>
      <family val="0"/>
    </font>
    <font>
      <sz val="10"/>
      <name val="Tahoma"/>
      <family val="2"/>
    </font>
    <font>
      <sz val="12"/>
      <color indexed="8"/>
      <name val="Tahoma"/>
      <family val="2"/>
    </font>
    <font>
      <b/>
      <u val="single"/>
      <sz val="14"/>
      <name val="Arial"/>
      <family val="2"/>
    </font>
    <font>
      <b/>
      <sz val="13"/>
      <name val="Arial"/>
      <family val="2"/>
    </font>
    <font>
      <sz val="10"/>
      <color indexed="10"/>
      <name val="Arial"/>
      <family val="2"/>
    </font>
    <font>
      <sz val="11"/>
      <color indexed="10"/>
      <name val="Arial"/>
      <family val="2"/>
    </font>
    <font>
      <sz val="11"/>
      <color indexed="8"/>
      <name val="Arial"/>
      <family val="2"/>
    </font>
    <font>
      <sz val="11"/>
      <color indexed="60"/>
      <name val="Arial"/>
      <family val="2"/>
    </font>
    <font>
      <sz val="11"/>
      <color indexed="56"/>
      <name val="Arial"/>
      <family val="2"/>
    </font>
    <font>
      <sz val="11"/>
      <color indexed="62"/>
      <name val="Arial"/>
      <family val="2"/>
    </font>
    <font>
      <sz val="12"/>
      <color indexed="62"/>
      <name val="Arial"/>
      <family val="2"/>
    </font>
    <font>
      <sz val="9"/>
      <name val="Tahoma"/>
      <family val="2"/>
    </font>
    <font>
      <sz val="10"/>
      <color indexed="62"/>
      <name val="Arial"/>
      <family val="2"/>
    </font>
    <font>
      <sz val="10"/>
      <color indexed="8"/>
      <name val="Tahoma"/>
      <family val="2"/>
    </font>
    <font>
      <b/>
      <i/>
      <sz val="11"/>
      <name val="Arial"/>
      <family val="2"/>
    </font>
    <font>
      <u val="single"/>
      <sz val="12"/>
      <name val="Arial"/>
      <family val="2"/>
    </font>
    <font>
      <sz val="10"/>
      <color indexed="12"/>
      <name val="Arial"/>
      <family val="2"/>
    </font>
    <font>
      <b/>
      <sz val="12"/>
      <name val="Tahoma"/>
      <family val="2"/>
    </font>
    <font>
      <u val="single"/>
      <sz val="11"/>
      <name val="Arial"/>
      <family val="2"/>
    </font>
    <font>
      <u val="single"/>
      <sz val="9"/>
      <name val="Arial"/>
      <family val="2"/>
    </font>
    <font>
      <vertAlign val="subscript"/>
      <sz val="1"/>
      <name val="Arial"/>
      <family val="0"/>
    </font>
    <font>
      <u val="single"/>
      <sz val="10"/>
      <color indexed="10"/>
      <name val="Arial"/>
      <family val="2"/>
    </font>
    <font>
      <b/>
      <vertAlign val="superscript"/>
      <sz val="12"/>
      <name val="Arial"/>
      <family val="2"/>
    </font>
    <font>
      <u val="single"/>
      <sz val="12"/>
      <color indexed="12"/>
      <name val="Arial"/>
      <family val="0"/>
    </font>
    <font>
      <u val="single"/>
      <sz val="12"/>
      <color indexed="36"/>
      <name val="Arial"/>
      <family val="0"/>
    </font>
    <font>
      <sz val="11.25"/>
      <name val="Arial"/>
      <family val="2"/>
    </font>
    <font>
      <sz val="14"/>
      <name val="Arial"/>
      <family val="2"/>
    </font>
  </fonts>
  <fills count="22">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1"/>
        <bgColor indexed="64"/>
      </patternFill>
    </fill>
    <fill>
      <patternFill patternType="darkGray"/>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gray0625">
        <fgColor indexed="9"/>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7"/>
        <bgColor indexed="64"/>
      </patternFill>
    </fill>
    <fill>
      <patternFill patternType="solid">
        <fgColor indexed="9"/>
        <bgColor indexed="64"/>
      </patternFill>
    </fill>
    <fill>
      <patternFill patternType="mediumGray">
        <fgColor indexed="9"/>
        <bgColor indexed="9"/>
      </patternFill>
    </fill>
  </fills>
  <borders count="117">
    <border>
      <left/>
      <right/>
      <top/>
      <bottom/>
      <diagonal/>
    </border>
    <border>
      <left style="medium"/>
      <right style="medium"/>
      <top style="medium"/>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color indexed="63"/>
      </top>
      <bottom>
        <color indexed="63"/>
      </bottom>
    </border>
    <border>
      <left>
        <color indexed="63"/>
      </left>
      <right>
        <color indexed="63"/>
      </right>
      <top>
        <color indexed="63"/>
      </top>
      <bottom style="thin">
        <color indexed="8"/>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color indexed="63"/>
      </top>
      <bottom style="thin"/>
    </border>
    <border>
      <left style="medium">
        <color indexed="8"/>
      </left>
      <right style="thin"/>
      <top>
        <color indexed="63"/>
      </top>
      <bottom>
        <color indexed="63"/>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thin"/>
      <bottom style="thin"/>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medium"/>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color indexed="63"/>
      </top>
      <bottom>
        <color indexed="63"/>
      </bottom>
    </border>
    <border>
      <left style="medium"/>
      <right style="medium"/>
      <top style="thin"/>
      <bottom style="mediu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thick">
        <color indexed="8"/>
      </top>
      <bottom>
        <color indexed="63"/>
      </bottom>
    </border>
    <border>
      <left style="thin">
        <color indexed="8"/>
      </left>
      <right>
        <color indexed="63"/>
      </right>
      <top style="thin">
        <color indexed="8"/>
      </top>
      <bottom style="medium">
        <color indexed="8"/>
      </bottom>
    </border>
    <border>
      <left style="thick">
        <color indexed="8"/>
      </left>
      <right style="thick">
        <color indexed="8"/>
      </right>
      <top style="thick">
        <color indexed="8"/>
      </top>
      <bottom style="thick">
        <color indexed="8"/>
      </bottom>
    </border>
    <border>
      <left>
        <color indexed="63"/>
      </left>
      <right>
        <color indexed="63"/>
      </right>
      <top style="thin">
        <color indexed="8"/>
      </top>
      <bottom style="thick">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double"/>
      <right>
        <color indexed="63"/>
      </right>
      <top>
        <color indexed="63"/>
      </top>
      <bottom>
        <color indexed="63"/>
      </bottom>
    </border>
    <border>
      <left>
        <color indexed="63"/>
      </left>
      <right style="thin"/>
      <top>
        <color indexed="63"/>
      </top>
      <bottom style="thin"/>
    </border>
    <border>
      <left style="thin">
        <color indexed="8"/>
      </left>
      <right>
        <color indexed="63"/>
      </right>
      <top style="medium">
        <color indexed="8"/>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color indexed="63"/>
      </right>
      <top style="thick">
        <color indexed="8"/>
      </top>
      <bottom>
        <color indexed="63"/>
      </bottom>
    </border>
    <border>
      <left>
        <color indexed="63"/>
      </left>
      <right style="medium">
        <color indexed="8"/>
      </right>
      <top style="thick">
        <color indexed="8"/>
      </top>
      <bottom>
        <color indexed="63"/>
      </bottom>
    </border>
    <border>
      <left>
        <color indexed="63"/>
      </left>
      <right>
        <color indexed="63"/>
      </right>
      <top style="thin">
        <color indexed="8"/>
      </top>
      <bottom style="thin"/>
    </border>
    <border>
      <left>
        <color indexed="63"/>
      </left>
      <right>
        <color indexed="63"/>
      </right>
      <top style="thin"/>
      <bottom style="thin">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medium"/>
      <bottom style="thin"/>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2" borderId="1" applyNumberFormat="0" applyAlignment="0">
      <protection locked="0"/>
    </xf>
    <xf numFmtId="0" fontId="57" fillId="0" borderId="0" applyNumberFormat="0" applyFill="0" applyBorder="0" applyAlignment="0" applyProtection="0"/>
    <xf numFmtId="0" fontId="56" fillId="0" borderId="0" applyNumberFormat="0" applyFill="0" applyBorder="0" applyAlignment="0" applyProtection="0"/>
    <xf numFmtId="9" fontId="1" fillId="0" borderId="0" applyFont="0" applyFill="0" applyBorder="0" applyAlignment="0" applyProtection="0"/>
    <xf numFmtId="0" fontId="0" fillId="0" borderId="0">
      <alignment/>
      <protection/>
    </xf>
  </cellStyleXfs>
  <cellXfs count="723">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166" fontId="0" fillId="0" borderId="0" xfId="0" applyNumberFormat="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167" fontId="0" fillId="0" borderId="0" xfId="0" applyNumberFormat="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2" fillId="0" borderId="0" xfId="0" applyFont="1" applyAlignment="1">
      <alignment/>
    </xf>
    <xf numFmtId="164" fontId="2" fillId="0" borderId="0" xfId="0" applyNumberFormat="1" applyFont="1" applyAlignment="1" applyProtection="1">
      <alignment/>
      <protection/>
    </xf>
    <xf numFmtId="0" fontId="0" fillId="0" borderId="0" xfId="0" applyAlignment="1">
      <alignment horizontal="center"/>
    </xf>
    <xf numFmtId="169" fontId="0" fillId="0" borderId="0" xfId="0" applyNumberFormat="1" applyAlignment="1" applyProtection="1">
      <alignment/>
      <protection/>
    </xf>
    <xf numFmtId="170" fontId="0" fillId="0" borderId="0" xfId="0" applyNumberFormat="1" applyAlignment="1" applyProtection="1">
      <alignment/>
      <protection/>
    </xf>
    <xf numFmtId="0" fontId="0" fillId="0" borderId="2" xfId="0" applyBorder="1" applyAlignment="1" applyProtection="1">
      <alignment horizontal="center"/>
      <protection/>
    </xf>
    <xf numFmtId="0" fontId="0" fillId="0" borderId="9" xfId="0" applyBorder="1" applyAlignment="1" applyProtection="1">
      <alignment horizontal="center"/>
      <protection/>
    </xf>
    <xf numFmtId="0" fontId="0" fillId="0" borderId="7" xfId="0" applyBorder="1" applyAlignment="1" applyProtection="1">
      <alignment horizontal="center"/>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0" xfId="0" applyBorder="1" applyAlignment="1">
      <alignment/>
    </xf>
    <xf numFmtId="0" fontId="2" fillId="0" borderId="0" xfId="0" applyFont="1" applyBorder="1" applyAlignment="1" applyProtection="1">
      <alignment/>
      <protection/>
    </xf>
    <xf numFmtId="164" fontId="2" fillId="0" borderId="0" xfId="0" applyNumberFormat="1" applyFont="1" applyBorder="1" applyAlignment="1" applyProtection="1">
      <alignment/>
      <protection/>
    </xf>
    <xf numFmtId="0" fontId="0" fillId="0" borderId="0" xfId="0" applyFill="1" applyAlignment="1">
      <alignment/>
    </xf>
    <xf numFmtId="0" fontId="1" fillId="0" borderId="0" xfId="0" applyFont="1" applyBorder="1" applyAlignment="1">
      <alignment/>
    </xf>
    <xf numFmtId="0" fontId="8" fillId="0" borderId="0" xfId="0" applyFont="1" applyBorder="1" applyAlignment="1" applyProtection="1">
      <alignment/>
      <protection/>
    </xf>
    <xf numFmtId="0" fontId="1" fillId="0" borderId="0" xfId="0" applyFont="1" applyAlignment="1">
      <alignment/>
    </xf>
    <xf numFmtId="0" fontId="1" fillId="0" borderId="0" xfId="0" applyFont="1" applyBorder="1" applyAlignment="1" applyProtection="1">
      <alignment/>
      <protection/>
    </xf>
    <xf numFmtId="0" fontId="1" fillId="0" borderId="0" xfId="0" applyFont="1" applyAlignment="1">
      <alignment/>
    </xf>
    <xf numFmtId="0" fontId="1" fillId="0" borderId="8" xfId="0" applyFont="1" applyBorder="1" applyAlignment="1">
      <alignment/>
    </xf>
    <xf numFmtId="0" fontId="1" fillId="0" borderId="6" xfId="0" applyFont="1" applyBorder="1" applyAlignment="1">
      <alignment/>
    </xf>
    <xf numFmtId="0" fontId="1" fillId="0" borderId="11" xfId="0" applyFont="1" applyBorder="1" applyAlignment="1">
      <alignment/>
    </xf>
    <xf numFmtId="0" fontId="1" fillId="0" borderId="4" xfId="0" applyFont="1" applyBorder="1" applyAlignment="1">
      <alignment/>
    </xf>
    <xf numFmtId="0" fontId="1" fillId="0" borderId="3" xfId="0" applyFont="1" applyBorder="1" applyAlignment="1">
      <alignment/>
    </xf>
    <xf numFmtId="0" fontId="8" fillId="0" borderId="2" xfId="0" applyFont="1" applyBorder="1" applyAlignment="1">
      <alignment/>
    </xf>
    <xf numFmtId="0" fontId="8" fillId="0" borderId="3" xfId="0" applyFont="1" applyBorder="1" applyAlignment="1">
      <alignment/>
    </xf>
    <xf numFmtId="0" fontId="1" fillId="0" borderId="7" xfId="0" applyFont="1" applyBorder="1" applyAlignment="1">
      <alignment/>
    </xf>
    <xf numFmtId="0" fontId="1" fillId="0" borderId="5" xfId="0" applyFont="1" applyBorder="1" applyAlignment="1">
      <alignment/>
    </xf>
    <xf numFmtId="0" fontId="1" fillId="0" borderId="0" xfId="0" applyFont="1" applyBorder="1" applyAlignment="1">
      <alignment/>
    </xf>
    <xf numFmtId="0" fontId="10" fillId="0" borderId="0" xfId="0" applyFont="1" applyBorder="1" applyAlignment="1" applyProtection="1">
      <alignment/>
      <protection/>
    </xf>
    <xf numFmtId="0" fontId="10" fillId="0" borderId="0" xfId="0" applyFont="1" applyBorder="1" applyAlignment="1">
      <alignment/>
    </xf>
    <xf numFmtId="0" fontId="10" fillId="0" borderId="2" xfId="0" applyFont="1" applyBorder="1" applyAlignment="1" applyProtection="1">
      <alignment/>
      <protection/>
    </xf>
    <xf numFmtId="0" fontId="10" fillId="0" borderId="3" xfId="0" applyFont="1" applyBorder="1" applyAlignment="1" applyProtection="1">
      <alignment/>
      <protection/>
    </xf>
    <xf numFmtId="0" fontId="10" fillId="0" borderId="4" xfId="0" applyFont="1" applyBorder="1" applyAlignment="1" applyProtection="1">
      <alignment/>
      <protection/>
    </xf>
    <xf numFmtId="0" fontId="10" fillId="0" borderId="5" xfId="0" applyFont="1" applyBorder="1" applyAlignment="1" applyProtection="1">
      <alignment/>
      <protection/>
    </xf>
    <xf numFmtId="0" fontId="10" fillId="0" borderId="6" xfId="0" applyFont="1" applyBorder="1" applyAlignment="1" applyProtection="1">
      <alignment/>
      <protection/>
    </xf>
    <xf numFmtId="0" fontId="10" fillId="0" borderId="12" xfId="0" applyFont="1" applyBorder="1" applyAlignment="1" applyProtection="1">
      <alignment/>
      <protection/>
    </xf>
    <xf numFmtId="0" fontId="10" fillId="0" borderId="7" xfId="0" applyFont="1" applyBorder="1" applyAlignment="1" applyProtection="1">
      <alignment/>
      <protection/>
    </xf>
    <xf numFmtId="0" fontId="10" fillId="0" borderId="8" xfId="0" applyFont="1" applyBorder="1" applyAlignment="1" applyProtection="1">
      <alignment/>
      <protection/>
    </xf>
    <xf numFmtId="0" fontId="10" fillId="0" borderId="11" xfId="0" applyFont="1" applyBorder="1" applyAlignment="1" applyProtection="1">
      <alignment/>
      <protection/>
    </xf>
    <xf numFmtId="0" fontId="10" fillId="0" borderId="0" xfId="0" applyFont="1" applyBorder="1" applyAlignment="1" applyProtection="1">
      <alignment horizontal="center"/>
      <protection/>
    </xf>
    <xf numFmtId="0" fontId="9" fillId="0" borderId="5" xfId="0" applyFont="1" applyBorder="1" applyAlignment="1" applyProtection="1">
      <alignment/>
      <protection/>
    </xf>
    <xf numFmtId="0" fontId="1" fillId="0" borderId="13" xfId="0" applyFont="1" applyBorder="1" applyAlignment="1">
      <alignment horizontal="center"/>
    </xf>
    <xf numFmtId="0" fontId="1" fillId="0" borderId="6"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0" fillId="0" borderId="5" xfId="0" applyBorder="1" applyAlignment="1">
      <alignment/>
    </xf>
    <xf numFmtId="0" fontId="8" fillId="0" borderId="5" xfId="0" applyFont="1" applyBorder="1" applyAlignment="1">
      <alignment/>
    </xf>
    <xf numFmtId="0" fontId="8" fillId="0" borderId="3" xfId="0" applyFont="1" applyBorder="1" applyAlignment="1" applyProtection="1">
      <alignment/>
      <protection/>
    </xf>
    <xf numFmtId="0" fontId="3" fillId="0" borderId="0" xfId="0" applyFont="1" applyAlignment="1" applyProtection="1">
      <alignment/>
      <protection/>
    </xf>
    <xf numFmtId="0" fontId="0" fillId="0" borderId="12" xfId="0" applyBorder="1" applyAlignment="1">
      <alignment/>
    </xf>
    <xf numFmtId="0" fontId="0" fillId="0" borderId="14" xfId="0" applyBorder="1" applyAlignment="1" applyProtection="1">
      <alignment/>
      <protection/>
    </xf>
    <xf numFmtId="0" fontId="0" fillId="0" borderId="15" xfId="0" applyBorder="1" applyAlignment="1">
      <alignment horizontal="center"/>
    </xf>
    <xf numFmtId="169" fontId="0" fillId="0" borderId="15" xfId="0" applyNumberFormat="1" applyBorder="1" applyAlignment="1" applyProtection="1">
      <alignment horizontal="center"/>
      <protection/>
    </xf>
    <xf numFmtId="0" fontId="0" fillId="0" borderId="16" xfId="0" applyBorder="1" applyAlignment="1">
      <alignment horizontal="center"/>
    </xf>
    <xf numFmtId="0" fontId="0" fillId="0" borderId="0" xfId="0" applyFont="1" applyAlignment="1">
      <alignment/>
    </xf>
    <xf numFmtId="0" fontId="0" fillId="0" borderId="17" xfId="0" applyFont="1" applyBorder="1" applyAlignment="1">
      <alignment horizontal="center"/>
    </xf>
    <xf numFmtId="169" fontId="0" fillId="0" borderId="17" xfId="0" applyNumberFormat="1" applyFont="1" applyBorder="1" applyAlignment="1" applyProtection="1">
      <alignment horizontal="center"/>
      <protection/>
    </xf>
    <xf numFmtId="170" fontId="0" fillId="0" borderId="17" xfId="0" applyNumberFormat="1" applyFont="1" applyBorder="1" applyAlignment="1" applyProtection="1">
      <alignment horizontal="center"/>
      <protection/>
    </xf>
    <xf numFmtId="0" fontId="0" fillId="0" borderId="18" xfId="0" applyFont="1" applyBorder="1" applyAlignment="1">
      <alignment horizontal="center"/>
    </xf>
    <xf numFmtId="170" fontId="0" fillId="0" borderId="0" xfId="0" applyNumberFormat="1" applyFont="1" applyAlignment="1" applyProtection="1">
      <alignment/>
      <protection/>
    </xf>
    <xf numFmtId="169" fontId="0" fillId="0" borderId="0" xfId="0" applyNumberFormat="1" applyFont="1" applyAlignment="1" applyProtection="1">
      <alignment/>
      <protection/>
    </xf>
    <xf numFmtId="0" fontId="0" fillId="0" borderId="11" xfId="0" applyBorder="1" applyAlignment="1" applyProtection="1">
      <alignment/>
      <protection/>
    </xf>
    <xf numFmtId="0" fontId="9" fillId="0" borderId="6" xfId="0" applyFont="1" applyBorder="1" applyAlignment="1" applyProtection="1">
      <alignment horizontal="center"/>
      <protection/>
    </xf>
    <xf numFmtId="0" fontId="0" fillId="0" borderId="3" xfId="0" applyBorder="1" applyAlignment="1">
      <alignment/>
    </xf>
    <xf numFmtId="0" fontId="9" fillId="0" borderId="0" xfId="0" applyFont="1" applyBorder="1" applyAlignment="1" applyProtection="1">
      <alignment horizontal="center"/>
      <protection/>
    </xf>
    <xf numFmtId="0" fontId="9" fillId="0" borderId="5" xfId="0" applyFont="1" applyBorder="1" applyAlignment="1" applyProtection="1">
      <alignment horizontal="center"/>
      <protection/>
    </xf>
    <xf numFmtId="1" fontId="0" fillId="0" borderId="5" xfId="0" applyNumberFormat="1" applyBorder="1" applyAlignment="1" applyProtection="1">
      <alignment/>
      <protection/>
    </xf>
    <xf numFmtId="1" fontId="0" fillId="0" borderId="0" xfId="0" applyNumberFormat="1" applyBorder="1" applyAlignment="1" applyProtection="1">
      <alignment/>
      <protection/>
    </xf>
    <xf numFmtId="1" fontId="0" fillId="0" borderId="6" xfId="0" applyNumberFormat="1" applyBorder="1" applyAlignment="1" applyProtection="1">
      <alignment/>
      <protection/>
    </xf>
    <xf numFmtId="1" fontId="0" fillId="0" borderId="7" xfId="0" applyNumberFormat="1" applyBorder="1" applyAlignment="1" applyProtection="1">
      <alignment/>
      <protection/>
    </xf>
    <xf numFmtId="1" fontId="0" fillId="0" borderId="8" xfId="0" applyNumberFormat="1" applyBorder="1" applyAlignment="1" applyProtection="1">
      <alignment/>
      <protection/>
    </xf>
    <xf numFmtId="1" fontId="0" fillId="0" borderId="11" xfId="0" applyNumberFormat="1" applyBorder="1" applyAlignment="1" applyProtection="1">
      <alignment/>
      <protection/>
    </xf>
    <xf numFmtId="0" fontId="0" fillId="0" borderId="0" xfId="0" applyFont="1" applyBorder="1" applyAlignment="1">
      <alignment horizontal="center"/>
    </xf>
    <xf numFmtId="0" fontId="0" fillId="0" borderId="15" xfId="0" applyFont="1" applyBorder="1" applyAlignment="1">
      <alignment horizontal="center"/>
    </xf>
    <xf numFmtId="0" fontId="0" fillId="0" borderId="19" xfId="0" applyFont="1" applyBorder="1" applyAlignment="1">
      <alignment horizontal="center"/>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4" fillId="0" borderId="0" xfId="0" applyFont="1"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2" fillId="0" borderId="3" xfId="0" applyFont="1" applyBorder="1" applyAlignment="1" applyProtection="1">
      <alignment/>
      <protection/>
    </xf>
    <xf numFmtId="0" fontId="2" fillId="0" borderId="8" xfId="0" applyFont="1" applyBorder="1" applyAlignment="1" applyProtection="1">
      <alignment/>
      <protection/>
    </xf>
    <xf numFmtId="0" fontId="0" fillId="0" borderId="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5" xfId="0" applyFont="1" applyBorder="1" applyAlignment="1">
      <alignment/>
    </xf>
    <xf numFmtId="0" fontId="0" fillId="0" borderId="29" xfId="0" applyFont="1" applyBorder="1" applyAlignment="1">
      <alignment horizontal="center"/>
    </xf>
    <xf numFmtId="0" fontId="0" fillId="0" borderId="30" xfId="0" applyFont="1" applyBorder="1" applyAlignment="1">
      <alignment horizontal="center"/>
    </xf>
    <xf numFmtId="0" fontId="0" fillId="0" borderId="4"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11" xfId="0" applyFont="1" applyBorder="1" applyAlignment="1">
      <alignment/>
    </xf>
    <xf numFmtId="0" fontId="0" fillId="0" borderId="31" xfId="0" applyFont="1" applyBorder="1" applyAlignment="1">
      <alignment horizontal="center"/>
    </xf>
    <xf numFmtId="0" fontId="0" fillId="0" borderId="32" xfId="0" applyFont="1" applyBorder="1" applyAlignment="1">
      <alignment horizontal="center"/>
    </xf>
    <xf numFmtId="166" fontId="0" fillId="0" borderId="0" xfId="0" applyNumberFormat="1" applyBorder="1" applyAlignment="1" applyProtection="1">
      <alignment/>
      <protection/>
    </xf>
    <xf numFmtId="5" fontId="0" fillId="0" borderId="3" xfId="0" applyNumberFormat="1" applyBorder="1" applyAlignment="1" applyProtection="1">
      <alignment/>
      <protection/>
    </xf>
    <xf numFmtId="164" fontId="5" fillId="0" borderId="0" xfId="0" applyNumberFormat="1" applyFont="1" applyBorder="1" applyAlignment="1" applyProtection="1">
      <alignment/>
      <protection/>
    </xf>
    <xf numFmtId="5" fontId="0" fillId="0" borderId="8" xfId="0" applyNumberFormat="1" applyBorder="1" applyAlignment="1" applyProtection="1">
      <alignment/>
      <protection/>
    </xf>
    <xf numFmtId="170" fontId="0" fillId="0" borderId="15" xfId="0" applyNumberFormat="1" applyBorder="1" applyAlignment="1" applyProtection="1">
      <alignment horizontal="center"/>
      <protection/>
    </xf>
    <xf numFmtId="0" fontId="0" fillId="0" borderId="33" xfId="0" applyBorder="1" applyAlignment="1">
      <alignment horizontal="center"/>
    </xf>
    <xf numFmtId="0" fontId="0" fillId="0" borderId="26" xfId="0" applyBorder="1" applyAlignment="1">
      <alignment horizontal="center"/>
    </xf>
    <xf numFmtId="169" fontId="0" fillId="0" borderId="26" xfId="0" applyNumberFormat="1" applyBorder="1" applyAlignment="1" applyProtection="1">
      <alignment horizontal="center"/>
      <protection/>
    </xf>
    <xf numFmtId="170" fontId="0" fillId="0" borderId="26" xfId="0" applyNumberFormat="1" applyBorder="1" applyAlignment="1" applyProtection="1">
      <alignment horizontal="center"/>
      <protection/>
    </xf>
    <xf numFmtId="0" fontId="0" fillId="0" borderId="0" xfId="0" applyFont="1" applyAlignment="1" applyProtection="1">
      <alignment/>
      <protection/>
    </xf>
    <xf numFmtId="166" fontId="0" fillId="0" borderId="0" xfId="0" applyNumberFormat="1" applyFont="1" applyAlignment="1" applyProtection="1">
      <alignment/>
      <protection/>
    </xf>
    <xf numFmtId="0" fontId="2" fillId="0" borderId="5" xfId="0" applyFont="1" applyBorder="1" applyAlignment="1" applyProtection="1">
      <alignment/>
      <protection/>
    </xf>
    <xf numFmtId="0" fontId="0" fillId="0" borderId="0" xfId="0" applyFont="1" applyBorder="1" applyAlignment="1">
      <alignment/>
    </xf>
    <xf numFmtId="0" fontId="1" fillId="0" borderId="3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0" fontId="17" fillId="0" borderId="0" xfId="0" applyFont="1" applyBorder="1" applyAlignment="1">
      <alignment/>
    </xf>
    <xf numFmtId="0" fontId="4" fillId="0" borderId="0" xfId="0" applyFont="1" applyBorder="1" applyAlignment="1">
      <alignment wrapText="1"/>
    </xf>
    <xf numFmtId="0" fontId="15" fillId="0" borderId="0" xfId="0" applyFont="1" applyBorder="1" applyAlignment="1">
      <alignment horizontal="center"/>
    </xf>
    <xf numFmtId="37" fontId="18" fillId="0" borderId="0" xfId="0" applyNumberFormat="1" applyFont="1" applyBorder="1" applyAlignment="1" applyProtection="1">
      <alignment horizontal="center"/>
      <protection/>
    </xf>
    <xf numFmtId="0" fontId="4"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18" fontId="10" fillId="0" borderId="0" xfId="0" applyNumberFormat="1" applyFont="1" applyBorder="1" applyAlignment="1">
      <alignment/>
    </xf>
    <xf numFmtId="0" fontId="0" fillId="0" borderId="0" xfId="0" applyFont="1" applyAlignment="1" applyProtection="1">
      <alignment horizontal="left"/>
      <protection/>
    </xf>
    <xf numFmtId="0" fontId="0" fillId="0" borderId="0" xfId="0" applyFont="1" applyBorder="1" applyAlignment="1">
      <alignment horizontal="left"/>
    </xf>
    <xf numFmtId="0" fontId="0" fillId="0" borderId="16" xfId="0" applyFont="1" applyBorder="1" applyAlignment="1">
      <alignment horizontal="center"/>
    </xf>
    <xf numFmtId="0" fontId="0" fillId="0" borderId="0" xfId="0" applyFont="1" applyFill="1" applyBorder="1" applyAlignment="1" applyProtection="1">
      <alignment horizontal="center"/>
      <protection/>
    </xf>
    <xf numFmtId="0" fontId="0" fillId="3" borderId="0" xfId="0" applyFont="1" applyFill="1" applyBorder="1" applyAlignment="1" applyProtection="1">
      <alignment horizontal="center"/>
      <protection/>
    </xf>
    <xf numFmtId="0" fontId="0" fillId="0" borderId="0" xfId="0" applyFont="1" applyBorder="1" applyAlignment="1" applyProtection="1">
      <alignment/>
      <protection/>
    </xf>
    <xf numFmtId="166" fontId="0" fillId="0" borderId="0" xfId="0" applyNumberFormat="1" applyFont="1" applyBorder="1" applyAlignment="1" applyProtection="1">
      <alignment horizontal="center"/>
      <protection/>
    </xf>
    <xf numFmtId="167" fontId="0" fillId="0" borderId="0" xfId="0" applyNumberFormat="1" applyFont="1" applyBorder="1" applyAlignment="1" applyProtection="1">
      <alignment horizontal="center"/>
      <protection/>
    </xf>
    <xf numFmtId="0" fontId="2" fillId="0" borderId="0" xfId="0" applyFont="1" applyAlignment="1" applyProtection="1">
      <alignment horizontal="center"/>
      <protection/>
    </xf>
    <xf numFmtId="0" fontId="0" fillId="0" borderId="0" xfId="0" applyFont="1" applyBorder="1" applyAlignment="1" applyProtection="1">
      <alignment horizontal="center"/>
      <protection/>
    </xf>
    <xf numFmtId="167" fontId="2" fillId="0" borderId="0" xfId="0" applyNumberFormat="1" applyFont="1" applyAlignment="1" applyProtection="1">
      <alignment horizontal="center"/>
      <protection/>
    </xf>
    <xf numFmtId="0" fontId="0" fillId="0" borderId="0" xfId="0" applyFont="1" applyAlignment="1" applyProtection="1">
      <alignment horizontal="center"/>
      <protection/>
    </xf>
    <xf numFmtId="167" fontId="0" fillId="0" borderId="0" xfId="0" applyNumberFormat="1" applyFont="1" applyAlignment="1" applyProtection="1">
      <alignment/>
      <protection/>
    </xf>
    <xf numFmtId="37" fontId="0" fillId="0" borderId="21" xfId="0" applyNumberFormat="1" applyFont="1" applyBorder="1" applyAlignment="1" applyProtection="1">
      <alignment horizontal="center"/>
      <protection/>
    </xf>
    <xf numFmtId="37" fontId="0" fillId="0" borderId="0" xfId="0" applyNumberFormat="1" applyFont="1" applyBorder="1" applyAlignment="1" applyProtection="1">
      <alignment horizontal="center"/>
      <protection/>
    </xf>
    <xf numFmtId="5" fontId="0" fillId="0" borderId="0" xfId="0" applyNumberFormat="1" applyFont="1" applyAlignment="1" applyProtection="1">
      <alignment/>
      <protection/>
    </xf>
    <xf numFmtId="37" fontId="0" fillId="0" borderId="13" xfId="0" applyNumberFormat="1" applyFont="1" applyBorder="1" applyAlignment="1" applyProtection="1">
      <alignment horizontal="center"/>
      <protection/>
    </xf>
    <xf numFmtId="37" fontId="0" fillId="0" borderId="0" xfId="0" applyNumberFormat="1" applyFont="1" applyAlignment="1" applyProtection="1">
      <alignment horizontal="center"/>
      <protection/>
    </xf>
    <xf numFmtId="37" fontId="0" fillId="0" borderId="13" xfId="0" applyNumberFormat="1" applyFont="1" applyFill="1" applyBorder="1" applyAlignment="1" applyProtection="1">
      <alignment horizontal="center"/>
      <protection/>
    </xf>
    <xf numFmtId="37" fontId="0" fillId="0" borderId="21" xfId="0" applyNumberFormat="1" applyFont="1" applyFill="1" applyBorder="1" applyAlignment="1" applyProtection="1">
      <alignment horizontal="center"/>
      <protection/>
    </xf>
    <xf numFmtId="37" fontId="0" fillId="0" borderId="0" xfId="0" applyNumberFormat="1" applyFont="1" applyFill="1" applyBorder="1" applyAlignment="1" applyProtection="1">
      <alignment horizontal="center"/>
      <protection/>
    </xf>
    <xf numFmtId="37" fontId="0" fillId="0" borderId="34" xfId="0" applyNumberFormat="1" applyFont="1" applyBorder="1" applyAlignment="1" applyProtection="1">
      <alignment horizontal="center"/>
      <protection/>
    </xf>
    <xf numFmtId="37" fontId="24" fillId="0" borderId="0" xfId="0" applyNumberFormat="1" applyFont="1" applyFill="1" applyBorder="1" applyAlignment="1" applyProtection="1">
      <alignment horizontal="center"/>
      <protection/>
    </xf>
    <xf numFmtId="0" fontId="0" fillId="0" borderId="0" xfId="0" applyFont="1" applyAlignment="1" applyProtection="1">
      <alignment horizontal="right"/>
      <protection/>
    </xf>
    <xf numFmtId="37" fontId="0" fillId="0" borderId="0" xfId="0" applyNumberFormat="1" applyFont="1" applyAlignment="1" applyProtection="1">
      <alignment horizontal="left"/>
      <protection/>
    </xf>
    <xf numFmtId="0" fontId="29" fillId="0" borderId="0" xfId="0" applyFont="1" applyAlignment="1">
      <alignment horizontal="center"/>
    </xf>
    <xf numFmtId="0" fontId="31" fillId="0" borderId="0" xfId="0" applyFont="1" applyAlignment="1">
      <alignment horizontal="right" vertical="center"/>
    </xf>
    <xf numFmtId="0" fontId="29" fillId="0" borderId="0" xfId="0" applyFont="1" applyAlignment="1" applyProtection="1">
      <alignment horizontal="center"/>
      <protection/>
    </xf>
    <xf numFmtId="37" fontId="18" fillId="0" borderId="0" xfId="0" applyNumberFormat="1" applyFont="1" applyBorder="1" applyAlignment="1" applyProtection="1">
      <alignment horizontal="right"/>
      <protection/>
    </xf>
    <xf numFmtId="14" fontId="0" fillId="0" borderId="0" xfId="0" applyNumberFormat="1" applyFont="1" applyBorder="1" applyAlignment="1" applyProtection="1">
      <alignment horizontal="left"/>
      <protection/>
    </xf>
    <xf numFmtId="0" fontId="0" fillId="0" borderId="0" xfId="0" applyFont="1" applyAlignment="1">
      <alignment/>
    </xf>
    <xf numFmtId="0" fontId="0" fillId="0" borderId="0" xfId="0" applyFont="1" applyBorder="1" applyAlignment="1" applyProtection="1">
      <alignment/>
      <protection/>
    </xf>
    <xf numFmtId="0" fontId="32" fillId="0" borderId="0" xfId="0" applyFont="1" applyBorder="1" applyAlignment="1" applyProtection="1">
      <alignment/>
      <protection/>
    </xf>
    <xf numFmtId="0" fontId="0" fillId="0" borderId="35" xfId="0" applyFont="1" applyBorder="1" applyAlignment="1">
      <alignment horizontal="center"/>
    </xf>
    <xf numFmtId="0" fontId="0" fillId="0" borderId="0" xfId="0" applyAlignment="1">
      <alignment horizontal="right"/>
    </xf>
    <xf numFmtId="0" fontId="10" fillId="0" borderId="0" xfId="0" applyFont="1" applyAlignment="1">
      <alignment/>
    </xf>
    <xf numFmtId="0" fontId="1" fillId="0" borderId="0" xfId="0" applyFont="1" applyAlignment="1">
      <alignment horizontal="right"/>
    </xf>
    <xf numFmtId="0" fontId="7" fillId="4" borderId="32" xfId="0" applyFont="1" applyFill="1" applyBorder="1" applyAlignment="1">
      <alignment/>
    </xf>
    <xf numFmtId="0" fontId="7" fillId="4" borderId="30" xfId="0" applyFont="1" applyFill="1" applyBorder="1" applyAlignment="1">
      <alignment/>
    </xf>
    <xf numFmtId="167" fontId="7" fillId="5" borderId="18" xfId="0" applyNumberFormat="1" applyFont="1" applyFill="1" applyBorder="1" applyAlignment="1" applyProtection="1">
      <alignment horizontal="center"/>
      <protection locked="0"/>
    </xf>
    <xf numFmtId="0" fontId="7" fillId="6" borderId="18" xfId="0" applyFont="1" applyFill="1" applyBorder="1" applyAlignment="1" applyProtection="1">
      <alignment horizontal="center"/>
      <protection locked="0"/>
    </xf>
    <xf numFmtId="171" fontId="7" fillId="5" borderId="18" xfId="0" applyNumberFormat="1" applyFont="1" applyFill="1" applyBorder="1" applyAlignment="1" applyProtection="1">
      <alignment horizontal="center"/>
      <protection locked="0"/>
    </xf>
    <xf numFmtId="0" fontId="0" fillId="7" borderId="36" xfId="0" applyFill="1" applyBorder="1" applyAlignment="1">
      <alignment/>
    </xf>
    <xf numFmtId="0" fontId="0" fillId="7" borderId="37" xfId="0" applyFont="1" applyFill="1" applyBorder="1" applyAlignment="1">
      <alignment/>
    </xf>
    <xf numFmtId="0" fontId="10" fillId="0" borderId="32" xfId="0" applyFont="1" applyBorder="1" applyAlignment="1">
      <alignment horizontal="center"/>
    </xf>
    <xf numFmtId="0" fontId="24" fillId="8" borderId="29" xfId="0" applyFont="1" applyFill="1" applyBorder="1" applyAlignment="1" applyProtection="1">
      <alignment horizontal="center"/>
      <protection/>
    </xf>
    <xf numFmtId="0" fontId="0" fillId="7" borderId="38" xfId="0" applyFont="1" applyFill="1" applyBorder="1" applyAlignment="1">
      <alignment/>
    </xf>
    <xf numFmtId="0" fontId="0" fillId="7" borderId="36" xfId="0" applyFont="1" applyFill="1" applyBorder="1" applyAlignment="1">
      <alignment/>
    </xf>
    <xf numFmtId="3" fontId="0" fillId="0" borderId="21" xfId="0" applyNumberFormat="1" applyFont="1" applyFill="1" applyBorder="1" applyAlignment="1" applyProtection="1">
      <alignment horizontal="center"/>
      <protection/>
    </xf>
    <xf numFmtId="37" fontId="0" fillId="0" borderId="39" xfId="0" applyNumberFormat="1" applyFont="1" applyBorder="1" applyAlignment="1" applyProtection="1">
      <alignment horizontal="center"/>
      <protection/>
    </xf>
    <xf numFmtId="0" fontId="11" fillId="0" borderId="0" xfId="0" applyFont="1" applyAlignment="1" quotePrefix="1">
      <alignment/>
    </xf>
    <xf numFmtId="0" fontId="0" fillId="0" borderId="30" xfId="0" applyNumberFormat="1" applyFont="1" applyBorder="1" applyAlignment="1" quotePrefix="1">
      <alignment horizontal="center"/>
    </xf>
    <xf numFmtId="0" fontId="37" fillId="0" borderId="40" xfId="0" applyFont="1" applyBorder="1" applyAlignment="1">
      <alignment/>
    </xf>
    <xf numFmtId="9" fontId="7" fillId="6" borderId="18" xfId="0" applyNumberFormat="1" applyFont="1" applyFill="1" applyBorder="1" applyAlignment="1" applyProtection="1">
      <alignment horizontal="center"/>
      <protection locked="0"/>
    </xf>
    <xf numFmtId="181" fontId="7" fillId="6" borderId="41" xfId="0" applyNumberFormat="1" applyFont="1" applyFill="1" applyBorder="1" applyAlignment="1" applyProtection="1">
      <alignment horizontal="center"/>
      <protection locked="0"/>
    </xf>
    <xf numFmtId="9" fontId="7" fillId="6" borderId="42" xfId="0" applyNumberFormat="1" applyFont="1" applyFill="1" applyBorder="1" applyAlignment="1" applyProtection="1">
      <alignment horizontal="center"/>
      <protection locked="0"/>
    </xf>
    <xf numFmtId="9" fontId="7" fillId="6" borderId="43" xfId="0" applyNumberFormat="1" applyFont="1" applyFill="1" applyBorder="1" applyAlignment="1" applyProtection="1">
      <alignment horizontal="center"/>
      <protection locked="0"/>
    </xf>
    <xf numFmtId="9" fontId="7" fillId="6" borderId="44" xfId="0" applyNumberFormat="1" applyFont="1" applyFill="1" applyBorder="1" applyAlignment="1" applyProtection="1">
      <alignment horizontal="center"/>
      <protection locked="0"/>
    </xf>
    <xf numFmtId="9" fontId="7" fillId="6" borderId="45" xfId="0" applyNumberFormat="1" applyFont="1" applyFill="1" applyBorder="1" applyAlignment="1" applyProtection="1">
      <alignment horizontal="center"/>
      <protection locked="0"/>
    </xf>
    <xf numFmtId="9" fontId="7" fillId="6" borderId="46" xfId="0" applyNumberFormat="1" applyFont="1" applyFill="1" applyBorder="1" applyAlignment="1" applyProtection="1">
      <alignment horizontal="center"/>
      <protection locked="0"/>
    </xf>
    <xf numFmtId="9" fontId="7" fillId="6" borderId="47" xfId="0" applyNumberFormat="1" applyFont="1" applyFill="1" applyBorder="1" applyAlignment="1" applyProtection="1">
      <alignment horizontal="center"/>
      <protection locked="0"/>
    </xf>
    <xf numFmtId="9" fontId="7" fillId="6" borderId="41" xfId="0" applyNumberFormat="1" applyFont="1" applyFill="1" applyBorder="1" applyAlignment="1" applyProtection="1">
      <alignment horizontal="center"/>
      <protection locked="0"/>
    </xf>
    <xf numFmtId="9" fontId="7" fillId="6" borderId="48" xfId="0" applyNumberFormat="1" applyFont="1" applyFill="1" applyBorder="1" applyAlignment="1" applyProtection="1">
      <alignment horizontal="center"/>
      <protection locked="0"/>
    </xf>
    <xf numFmtId="0" fontId="7" fillId="6" borderId="42" xfId="0" applyFont="1" applyFill="1" applyBorder="1" applyAlignment="1" applyProtection="1">
      <alignment horizontal="center"/>
      <protection locked="0"/>
    </xf>
    <xf numFmtId="0" fontId="7" fillId="6" borderId="45" xfId="0" applyFont="1" applyFill="1" applyBorder="1" applyAlignment="1" applyProtection="1">
      <alignment horizontal="center"/>
      <protection locked="0"/>
    </xf>
    <xf numFmtId="171" fontId="7" fillId="5" borderId="41" xfId="0" applyNumberFormat="1" applyFont="1" applyFill="1" applyBorder="1" applyAlignment="1" applyProtection="1">
      <alignment horizontal="center"/>
      <protection locked="0"/>
    </xf>
    <xf numFmtId="1" fontId="7" fillId="5" borderId="46" xfId="0" applyNumberFormat="1" applyFont="1" applyFill="1" applyBorder="1" applyAlignment="1" applyProtection="1">
      <alignment horizontal="center"/>
      <protection locked="0"/>
    </xf>
    <xf numFmtId="1" fontId="7" fillId="5" borderId="48" xfId="0" applyNumberFormat="1" applyFont="1" applyFill="1" applyBorder="1" applyAlignment="1" applyProtection="1">
      <alignment horizontal="center"/>
      <protection locked="0"/>
    </xf>
    <xf numFmtId="1" fontId="7" fillId="5" borderId="45" xfId="0" applyNumberFormat="1" applyFont="1" applyFill="1" applyBorder="1" applyAlignment="1" applyProtection="1">
      <alignment horizontal="center"/>
      <protection locked="0"/>
    </xf>
    <xf numFmtId="3" fontId="7" fillId="5" borderId="18" xfId="0" applyNumberFormat="1" applyFont="1" applyFill="1" applyBorder="1" applyAlignment="1" applyProtection="1">
      <alignment horizontal="center"/>
      <protection locked="0"/>
    </xf>
    <xf numFmtId="0" fontId="7" fillId="6" borderId="29" xfId="0" applyFont="1" applyFill="1" applyBorder="1" applyAlignment="1" applyProtection="1">
      <alignment horizontal="center"/>
      <protection locked="0"/>
    </xf>
    <xf numFmtId="0" fontId="7" fillId="6" borderId="30" xfId="0" applyFont="1" applyFill="1" applyBorder="1" applyAlignment="1" applyProtection="1">
      <alignment horizontal="center"/>
      <protection locked="0"/>
    </xf>
    <xf numFmtId="0" fontId="7" fillId="6" borderId="31" xfId="0" applyFont="1" applyFill="1" applyBorder="1" applyAlignment="1" applyProtection="1">
      <alignment horizontal="center"/>
      <protection locked="0"/>
    </xf>
    <xf numFmtId="0" fontId="7" fillId="6" borderId="32" xfId="0" applyFont="1" applyFill="1" applyBorder="1" applyAlignment="1" applyProtection="1">
      <alignment horizontal="center"/>
      <protection locked="0"/>
    </xf>
    <xf numFmtId="0" fontId="24" fillId="2" borderId="29" xfId="0" applyFont="1" applyFill="1" applyBorder="1" applyAlignment="1" applyProtection="1">
      <alignment horizontal="center"/>
      <protection/>
    </xf>
    <xf numFmtId="0" fontId="24" fillId="2" borderId="30" xfId="0" applyFont="1" applyFill="1" applyBorder="1" applyAlignment="1" applyProtection="1">
      <alignment horizontal="center"/>
      <protection/>
    </xf>
    <xf numFmtId="0" fontId="7" fillId="6" borderId="49" xfId="0" applyFont="1" applyFill="1" applyBorder="1" applyAlignment="1" applyProtection="1">
      <alignment horizontal="center"/>
      <protection locked="0"/>
    </xf>
    <xf numFmtId="166" fontId="0" fillId="0" borderId="0" xfId="0" applyNumberFormat="1" applyBorder="1" applyAlignment="1" applyProtection="1">
      <alignment horizontal="center"/>
      <protection/>
    </xf>
    <xf numFmtId="1" fontId="0" fillId="0" borderId="0" xfId="0" applyNumberFormat="1" applyBorder="1" applyAlignment="1" applyProtection="1">
      <alignment horizontal="center"/>
      <protection/>
    </xf>
    <xf numFmtId="166" fontId="0" fillId="0" borderId="8" xfId="0" applyNumberFormat="1" applyBorder="1" applyAlignment="1" applyProtection="1">
      <alignment horizontal="center"/>
      <protection/>
    </xf>
    <xf numFmtId="0" fontId="24" fillId="9" borderId="18" xfId="0" applyFont="1" applyFill="1" applyBorder="1" applyAlignment="1" applyProtection="1">
      <alignment horizontal="center"/>
      <protection/>
    </xf>
    <xf numFmtId="166" fontId="0" fillId="0" borderId="18" xfId="0" applyNumberFormat="1" applyFont="1" applyBorder="1" applyAlignment="1" applyProtection="1">
      <alignment horizontal="center"/>
      <protection/>
    </xf>
    <xf numFmtId="1" fontId="0" fillId="0" borderId="18" xfId="0" applyNumberFormat="1" applyFont="1" applyBorder="1" applyAlignment="1">
      <alignment horizontal="center"/>
    </xf>
    <xf numFmtId="169" fontId="24" fillId="9" borderId="18" xfId="0" applyNumberFormat="1" applyFont="1" applyFill="1" applyBorder="1" applyAlignment="1" applyProtection="1">
      <alignment horizontal="center"/>
      <protection/>
    </xf>
    <xf numFmtId="165" fontId="0" fillId="0" borderId="18" xfId="0" applyNumberFormat="1" applyFont="1" applyBorder="1" applyAlignment="1" applyProtection="1">
      <alignment horizontal="center"/>
      <protection/>
    </xf>
    <xf numFmtId="9" fontId="10" fillId="0" borderId="18" xfId="0" applyNumberFormat="1" applyFont="1" applyBorder="1" applyAlignment="1" applyProtection="1">
      <alignment horizontal="center"/>
      <protection/>
    </xf>
    <xf numFmtId="165" fontId="10" fillId="0" borderId="18" xfId="0" applyNumberFormat="1" applyFont="1" applyBorder="1" applyAlignment="1" applyProtection="1">
      <alignment horizontal="center"/>
      <protection/>
    </xf>
    <xf numFmtId="2" fontId="10" fillId="0" borderId="18" xfId="0" applyNumberFormat="1" applyFont="1" applyBorder="1" applyAlignment="1" applyProtection="1">
      <alignment horizontal="center"/>
      <protection/>
    </xf>
    <xf numFmtId="0" fontId="10" fillId="0" borderId="20" xfId="0" applyFont="1" applyBorder="1" applyAlignment="1" applyProtection="1">
      <alignment horizontal="center"/>
      <protection/>
    </xf>
    <xf numFmtId="2" fontId="0" fillId="0" borderId="18" xfId="0" applyNumberFormat="1" applyFont="1" applyBorder="1" applyAlignment="1">
      <alignment horizontal="center"/>
    </xf>
    <xf numFmtId="2" fontId="0" fillId="0" borderId="46" xfId="0" applyNumberFormat="1" applyFont="1" applyBorder="1" applyAlignment="1">
      <alignment horizontal="center"/>
    </xf>
    <xf numFmtId="0" fontId="39" fillId="0" borderId="4" xfId="0" applyFont="1" applyBorder="1" applyAlignment="1" applyProtection="1">
      <alignment/>
      <protection/>
    </xf>
    <xf numFmtId="172" fontId="41" fillId="10" borderId="18" xfId="0" applyNumberFormat="1" applyFont="1" applyFill="1" applyBorder="1" applyAlignment="1" applyProtection="1">
      <alignment horizontal="center"/>
      <protection locked="0"/>
    </xf>
    <xf numFmtId="0" fontId="38" fillId="0" borderId="6" xfId="0" applyFont="1" applyBorder="1" applyAlignment="1" applyProtection="1">
      <alignment/>
      <protection/>
    </xf>
    <xf numFmtId="0" fontId="40" fillId="0" borderId="0" xfId="0" applyFont="1" applyBorder="1" applyAlignment="1" applyProtection="1">
      <alignment/>
      <protection/>
    </xf>
    <xf numFmtId="0" fontId="42" fillId="0" borderId="6" xfId="0" applyFont="1" applyBorder="1" applyAlignment="1" applyProtection="1">
      <alignment/>
      <protection/>
    </xf>
    <xf numFmtId="9" fontId="42" fillId="10" borderId="18" xfId="0" applyNumberFormat="1" applyFont="1" applyFill="1" applyBorder="1" applyAlignment="1" applyProtection="1">
      <alignment horizontal="center"/>
      <protection locked="0"/>
    </xf>
    <xf numFmtId="1" fontId="43" fillId="10" borderId="18" xfId="0" applyNumberFormat="1" applyFont="1" applyFill="1" applyBorder="1" applyAlignment="1" applyProtection="1">
      <alignment horizontal="center"/>
      <protection locked="0"/>
    </xf>
    <xf numFmtId="171" fontId="43" fillId="10" borderId="18" xfId="0" applyNumberFormat="1" applyFont="1" applyFill="1" applyBorder="1" applyAlignment="1" applyProtection="1">
      <alignment horizontal="center"/>
      <protection locked="0"/>
    </xf>
    <xf numFmtId="2" fontId="43" fillId="10" borderId="18" xfId="0" applyNumberFormat="1" applyFont="1" applyFill="1" applyBorder="1" applyAlignment="1" applyProtection="1">
      <alignment horizontal="center"/>
      <protection locked="0"/>
    </xf>
    <xf numFmtId="0" fontId="7" fillId="6" borderId="44" xfId="0" applyFont="1" applyFill="1" applyBorder="1" applyAlignment="1" applyProtection="1">
      <alignment horizontal="center"/>
      <protection locked="0"/>
    </xf>
    <xf numFmtId="0" fontId="7" fillId="6" borderId="46" xfId="0" applyFont="1" applyFill="1" applyBorder="1" applyAlignment="1" applyProtection="1">
      <alignment horizontal="center"/>
      <protection locked="0"/>
    </xf>
    <xf numFmtId="0" fontId="7" fillId="6" borderId="47" xfId="0" applyFont="1" applyFill="1" applyBorder="1" applyAlignment="1" applyProtection="1">
      <alignment horizontal="center"/>
      <protection locked="0"/>
    </xf>
    <xf numFmtId="0" fontId="7" fillId="6" borderId="48" xfId="0" applyFont="1" applyFill="1" applyBorder="1" applyAlignment="1" applyProtection="1">
      <alignment horizontal="center"/>
      <protection locked="0"/>
    </xf>
    <xf numFmtId="0" fontId="24" fillId="0" borderId="0" xfId="0" applyFont="1" applyAlignment="1">
      <alignment/>
    </xf>
    <xf numFmtId="3" fontId="0" fillId="0" borderId="5" xfId="0" applyNumberFormat="1" applyBorder="1" applyAlignment="1">
      <alignment/>
    </xf>
    <xf numFmtId="0" fontId="35" fillId="0" borderId="0" xfId="0" applyFont="1" applyAlignment="1">
      <alignment horizontal="center"/>
    </xf>
    <xf numFmtId="0" fontId="11" fillId="0" borderId="0" xfId="0" applyFont="1" applyAlignment="1" quotePrefix="1">
      <alignment/>
    </xf>
    <xf numFmtId="0" fontId="2" fillId="0" borderId="2" xfId="0" applyFont="1" applyBorder="1" applyAlignment="1">
      <alignment horizontal="center" vertical="center"/>
    </xf>
    <xf numFmtId="0" fontId="0" fillId="0" borderId="3" xfId="0" applyFont="1" applyBorder="1" applyAlignment="1">
      <alignment horizontal="left"/>
    </xf>
    <xf numFmtId="0" fontId="0" fillId="0" borderId="3" xfId="0" applyFont="1" applyBorder="1" applyAlignment="1">
      <alignment horizontal="center"/>
    </xf>
    <xf numFmtId="171" fontId="7" fillId="5" borderId="43" xfId="0" applyNumberFormat="1" applyFont="1" applyFill="1" applyBorder="1" applyAlignment="1" applyProtection="1">
      <alignment horizontal="center"/>
      <protection locked="0"/>
    </xf>
    <xf numFmtId="171" fontId="7" fillId="5" borderId="44" xfId="0" applyNumberFormat="1" applyFont="1" applyFill="1" applyBorder="1" applyAlignment="1" applyProtection="1">
      <alignment horizontal="center"/>
      <protection locked="0"/>
    </xf>
    <xf numFmtId="0" fontId="2" fillId="0" borderId="5" xfId="0" applyFont="1" applyBorder="1" applyAlignment="1">
      <alignment horizontal="center" vertical="center"/>
    </xf>
    <xf numFmtId="171" fontId="7" fillId="5" borderId="46" xfId="0" applyNumberFormat="1" applyFont="1" applyFill="1" applyBorder="1" applyAlignment="1" applyProtection="1">
      <alignment horizontal="center"/>
      <protection locked="0"/>
    </xf>
    <xf numFmtId="0" fontId="4" fillId="0" borderId="6" xfId="0" applyFont="1" applyFill="1" applyBorder="1" applyAlignment="1" applyProtection="1">
      <alignment horizontal="center"/>
      <protection/>
    </xf>
    <xf numFmtId="0" fontId="2" fillId="0" borderId="7" xfId="0" applyFont="1" applyBorder="1" applyAlignment="1">
      <alignment horizontal="center"/>
    </xf>
    <xf numFmtId="0" fontId="0" fillId="0" borderId="8" xfId="0" applyFont="1" applyBorder="1" applyAlignment="1">
      <alignment horizontal="left"/>
    </xf>
    <xf numFmtId="0" fontId="0" fillId="0" borderId="8" xfId="0" applyBorder="1" applyAlignment="1">
      <alignment/>
    </xf>
    <xf numFmtId="171" fontId="7" fillId="5" borderId="48" xfId="0" applyNumberFormat="1" applyFont="1" applyFill="1" applyBorder="1" applyAlignment="1" applyProtection="1">
      <alignment horizontal="center"/>
      <protection locked="0"/>
    </xf>
    <xf numFmtId="0" fontId="0" fillId="3" borderId="49" xfId="0" applyFont="1" applyFill="1" applyBorder="1" applyAlignment="1" applyProtection="1">
      <alignment horizontal="center"/>
      <protection/>
    </xf>
    <xf numFmtId="1" fontId="0" fillId="0" borderId="18" xfId="0" applyNumberFormat="1" applyFont="1" applyBorder="1" applyAlignment="1" applyProtection="1">
      <alignment horizontal="center"/>
      <protection/>
    </xf>
    <xf numFmtId="37" fontId="0" fillId="0" borderId="18" xfId="0" applyNumberFormat="1" applyFont="1" applyBorder="1" applyAlignment="1" applyProtection="1">
      <alignment horizontal="center"/>
      <protection/>
    </xf>
    <xf numFmtId="0" fontId="7" fillId="0" borderId="18" xfId="0" applyFont="1" applyBorder="1" applyAlignment="1" applyProtection="1">
      <alignment horizontal="center"/>
      <protection locked="0"/>
    </xf>
    <xf numFmtId="0" fontId="0" fillId="0" borderId="33" xfId="0" applyFont="1" applyBorder="1" applyAlignment="1">
      <alignment horizontal="center"/>
    </xf>
    <xf numFmtId="0" fontId="0" fillId="0" borderId="26" xfId="0" applyFont="1" applyBorder="1" applyAlignment="1">
      <alignment horizontal="center"/>
    </xf>
    <xf numFmtId="0" fontId="0" fillId="0" borderId="26" xfId="0" applyFont="1" applyBorder="1" applyAlignment="1">
      <alignment/>
    </xf>
    <xf numFmtId="1" fontId="24" fillId="9" borderId="18" xfId="0" applyNumberFormat="1" applyFont="1" applyFill="1" applyBorder="1" applyAlignment="1" applyProtection="1">
      <alignment horizontal="center"/>
      <protection/>
    </xf>
    <xf numFmtId="49" fontId="0" fillId="0" borderId="5" xfId="0" applyNumberFormat="1" applyBorder="1" applyAlignment="1" applyProtection="1">
      <alignment horizontal="center"/>
      <protection/>
    </xf>
    <xf numFmtId="49" fontId="0" fillId="0" borderId="9" xfId="0" applyNumberFormat="1" applyBorder="1" applyAlignment="1" applyProtection="1">
      <alignment horizontal="center"/>
      <protection/>
    </xf>
    <xf numFmtId="49" fontId="0" fillId="0" borderId="50" xfId="0" applyNumberFormat="1" applyBorder="1" applyAlignment="1" applyProtection="1">
      <alignment horizontal="center"/>
      <protection/>
    </xf>
    <xf numFmtId="49" fontId="0" fillId="0" borderId="51" xfId="0" applyNumberFormat="1" applyBorder="1" applyAlignment="1" applyProtection="1">
      <alignment horizontal="center"/>
      <protection/>
    </xf>
    <xf numFmtId="49" fontId="0" fillId="0" borderId="52" xfId="0" applyNumberFormat="1" applyBorder="1" applyAlignment="1" applyProtection="1">
      <alignment horizontal="center"/>
      <protection/>
    </xf>
    <xf numFmtId="49" fontId="0" fillId="0" borderId="26" xfId="0" applyNumberFormat="1" applyBorder="1" applyAlignment="1" applyProtection="1">
      <alignment horizontal="center"/>
      <protection/>
    </xf>
    <xf numFmtId="49" fontId="0" fillId="0" borderId="0" xfId="0" applyNumberFormat="1" applyFont="1" applyBorder="1" applyAlignment="1" applyProtection="1">
      <alignment horizontal="center"/>
      <protection/>
    </xf>
    <xf numFmtId="0" fontId="42" fillId="11" borderId="45" xfId="0" applyFont="1" applyFill="1" applyBorder="1" applyAlignment="1" applyProtection="1">
      <alignment horizontal="right"/>
      <protection locked="0"/>
    </xf>
    <xf numFmtId="0" fontId="42" fillId="11" borderId="18" xfId="0" applyFont="1" applyFill="1" applyBorder="1" applyAlignment="1" applyProtection="1">
      <alignment/>
      <protection locked="0"/>
    </xf>
    <xf numFmtId="0" fontId="0" fillId="0" borderId="0" xfId="0" applyFont="1" applyAlignment="1">
      <alignment horizontal="right"/>
    </xf>
    <xf numFmtId="0" fontId="1" fillId="2" borderId="36" xfId="0" applyFont="1" applyFill="1" applyBorder="1" applyAlignment="1">
      <alignment horizontal="center"/>
    </xf>
    <xf numFmtId="0" fontId="1" fillId="2" borderId="38" xfId="0" applyFont="1" applyFill="1" applyBorder="1" applyAlignment="1">
      <alignment horizontal="center"/>
    </xf>
    <xf numFmtId="0" fontId="1" fillId="2" borderId="37" xfId="0" applyFont="1" applyFill="1" applyBorder="1" applyAlignment="1">
      <alignment horizontal="center"/>
    </xf>
    <xf numFmtId="0" fontId="10" fillId="0" borderId="11" xfId="0" applyFont="1" applyBorder="1" applyAlignment="1" applyProtection="1">
      <alignment horizontal="center"/>
      <protection/>
    </xf>
    <xf numFmtId="0" fontId="10" fillId="0" borderId="0" xfId="0" applyFont="1" applyAlignment="1">
      <alignment horizontal="right"/>
    </xf>
    <xf numFmtId="0" fontId="0" fillId="12" borderId="13" xfId="0" applyFont="1" applyFill="1" applyBorder="1" applyAlignment="1">
      <alignment/>
    </xf>
    <xf numFmtId="0" fontId="7" fillId="6" borderId="13" xfId="0" applyFont="1" applyFill="1" applyBorder="1" applyAlignment="1" applyProtection="1">
      <alignment horizontal="center"/>
      <protection locked="0"/>
    </xf>
    <xf numFmtId="0" fontId="0" fillId="0" borderId="34" xfId="0" applyBorder="1" applyAlignment="1">
      <alignment/>
    </xf>
    <xf numFmtId="0" fontId="0" fillId="0" borderId="13" xfId="0" applyFont="1" applyBorder="1" applyAlignment="1" applyProtection="1">
      <alignment/>
      <protection/>
    </xf>
    <xf numFmtId="0" fontId="7" fillId="6" borderId="0" xfId="0" applyFont="1" applyFill="1" applyAlignment="1" applyProtection="1">
      <alignment horizontal="center"/>
      <protection locked="0"/>
    </xf>
    <xf numFmtId="0" fontId="2" fillId="0" borderId="10" xfId="0" applyFont="1" applyBorder="1" applyAlignment="1" applyProtection="1">
      <alignment/>
      <protection/>
    </xf>
    <xf numFmtId="9" fontId="42" fillId="13" borderId="34" xfId="0" applyNumberFormat="1" applyFont="1" applyFill="1" applyBorder="1" applyAlignment="1" applyProtection="1">
      <alignment horizontal="center"/>
      <protection locked="0"/>
    </xf>
    <xf numFmtId="166" fontId="0" fillId="0" borderId="0" xfId="0" applyNumberFormat="1" applyBorder="1" applyAlignment="1" applyProtection="1">
      <alignment horizontal="left"/>
      <protection/>
    </xf>
    <xf numFmtId="0" fontId="0" fillId="0" borderId="39" xfId="0" applyBorder="1" applyAlignment="1">
      <alignment/>
    </xf>
    <xf numFmtId="0" fontId="0" fillId="0" borderId="53" xfId="0" applyBorder="1" applyAlignment="1">
      <alignment/>
    </xf>
    <xf numFmtId="0" fontId="0" fillId="0" borderId="39" xfId="0" applyFont="1" applyBorder="1" applyAlignment="1" applyProtection="1">
      <alignment horizontal="left"/>
      <protection/>
    </xf>
    <xf numFmtId="164" fontId="48" fillId="0" borderId="0" xfId="0" applyNumberFormat="1" applyFont="1" applyBorder="1" applyAlignment="1" applyProtection="1">
      <alignment horizontal="left"/>
      <protection/>
    </xf>
    <xf numFmtId="14" fontId="0" fillId="0" borderId="0" xfId="0" applyNumberFormat="1" applyFont="1" applyAlignment="1" applyProtection="1">
      <alignment horizontal="right"/>
      <protection/>
    </xf>
    <xf numFmtId="0" fontId="0" fillId="0" borderId="53" xfId="0" applyFont="1" applyBorder="1" applyAlignment="1" applyProtection="1">
      <alignment/>
      <protection/>
    </xf>
    <xf numFmtId="164" fontId="0" fillId="0" borderId="53" xfId="0" applyNumberFormat="1" applyFont="1" applyBorder="1" applyAlignment="1" applyProtection="1">
      <alignment/>
      <protection/>
    </xf>
    <xf numFmtId="14" fontId="48" fillId="0" borderId="0" xfId="0" applyNumberFormat="1" applyFont="1" applyAlignment="1" applyProtection="1">
      <alignment horizontal="left"/>
      <protection/>
    </xf>
    <xf numFmtId="0" fontId="0" fillId="0" borderId="39" xfId="0" applyBorder="1" applyAlignment="1">
      <alignment horizontal="left"/>
    </xf>
    <xf numFmtId="0" fontId="0" fillId="0" borderId="13" xfId="0" applyFont="1" applyBorder="1" applyAlignment="1" applyProtection="1">
      <alignment horizontal="left"/>
      <protection/>
    </xf>
    <xf numFmtId="0" fontId="10" fillId="0" borderId="39" xfId="0" applyFont="1" applyBorder="1" applyAlignment="1">
      <alignment/>
    </xf>
    <xf numFmtId="0" fontId="10" fillId="0" borderId="39" xfId="0" applyFont="1" applyBorder="1" applyAlignment="1">
      <alignment horizontal="left"/>
    </xf>
    <xf numFmtId="18" fontId="10" fillId="0" borderId="39" xfId="0" applyNumberFormat="1" applyFont="1" applyBorder="1" applyAlignment="1">
      <alignment/>
    </xf>
    <xf numFmtId="0" fontId="1" fillId="0" borderId="39" xfId="0" applyFont="1" applyBorder="1" applyAlignment="1">
      <alignment/>
    </xf>
    <xf numFmtId="0" fontId="1" fillId="0" borderId="39" xfId="0" applyFont="1" applyBorder="1" applyAlignment="1">
      <alignment horizontal="left"/>
    </xf>
    <xf numFmtId="0" fontId="1" fillId="0" borderId="53" xfId="0" applyFont="1" applyBorder="1" applyAlignment="1">
      <alignment/>
    </xf>
    <xf numFmtId="0" fontId="0" fillId="0" borderId="54" xfId="0" applyBorder="1" applyAlignment="1" applyProtection="1">
      <alignment/>
      <protection/>
    </xf>
    <xf numFmtId="1" fontId="45" fillId="10" borderId="43" xfId="0" applyNumberFormat="1" applyFont="1" applyFill="1" applyBorder="1" applyAlignment="1" applyProtection="1">
      <alignment/>
      <protection locked="0"/>
    </xf>
    <xf numFmtId="0" fontId="0" fillId="0" borderId="55" xfId="0" applyFont="1" applyBorder="1" applyAlignment="1">
      <alignment horizontal="center"/>
    </xf>
    <xf numFmtId="0" fontId="0" fillId="0" borderId="56" xfId="0" applyBorder="1" applyAlignment="1">
      <alignment horizontal="center"/>
    </xf>
    <xf numFmtId="167" fontId="7" fillId="0" borderId="46" xfId="0" applyNumberFormat="1" applyFont="1" applyBorder="1" applyAlignment="1" applyProtection="1">
      <alignment horizontal="center"/>
      <protection locked="0"/>
    </xf>
    <xf numFmtId="0" fontId="0" fillId="0" borderId="57" xfId="0" applyFont="1" applyBorder="1" applyAlignment="1">
      <alignment horizontal="center"/>
    </xf>
    <xf numFmtId="0" fontId="0" fillId="0" borderId="0" xfId="0" applyFont="1" applyBorder="1" applyAlignment="1" applyProtection="1">
      <alignment horizontal="left"/>
      <protection/>
    </xf>
    <xf numFmtId="0" fontId="0" fillId="0" borderId="16" xfId="0" applyFont="1" applyBorder="1" applyAlignment="1" applyProtection="1">
      <alignment/>
      <protection/>
    </xf>
    <xf numFmtId="0" fontId="0" fillId="0" borderId="15" xfId="0" applyFont="1" applyBorder="1" applyAlignment="1" applyProtection="1">
      <alignment horizontal="center"/>
      <protection/>
    </xf>
    <xf numFmtId="0" fontId="0" fillId="0" borderId="19" xfId="0" applyFont="1" applyBorder="1" applyAlignment="1" applyProtection="1">
      <alignment horizontal="center"/>
      <protection/>
    </xf>
    <xf numFmtId="0" fontId="0" fillId="0" borderId="58" xfId="0" applyFont="1" applyBorder="1" applyAlignment="1" applyProtection="1">
      <alignment/>
      <protection/>
    </xf>
    <xf numFmtId="0" fontId="0" fillId="0" borderId="17" xfId="0" applyFont="1" applyBorder="1" applyAlignment="1" applyProtection="1">
      <alignment horizontal="center"/>
      <protection/>
    </xf>
    <xf numFmtId="0" fontId="0" fillId="0" borderId="17" xfId="0" applyFont="1" applyBorder="1" applyAlignment="1" applyProtection="1">
      <alignment/>
      <protection/>
    </xf>
    <xf numFmtId="0" fontId="0" fillId="0" borderId="12" xfId="0" applyFont="1" applyBorder="1" applyAlignment="1" applyProtection="1">
      <alignment horizontal="center"/>
      <protection/>
    </xf>
    <xf numFmtId="0" fontId="0" fillId="0" borderId="58" xfId="0" applyFont="1" applyBorder="1" applyAlignment="1" applyProtection="1">
      <alignment horizontal="center"/>
      <protection/>
    </xf>
    <xf numFmtId="0" fontId="0" fillId="0" borderId="45" xfId="0" applyFont="1" applyBorder="1" applyAlignment="1" applyProtection="1">
      <alignment horizontal="center"/>
      <protection/>
    </xf>
    <xf numFmtId="0" fontId="0" fillId="0" borderId="18" xfId="0" applyFont="1" applyBorder="1" applyAlignment="1" applyProtection="1">
      <alignment/>
      <protection/>
    </xf>
    <xf numFmtId="0" fontId="0" fillId="0" borderId="18" xfId="0" applyFont="1" applyBorder="1" applyAlignment="1" applyProtection="1">
      <alignment horizontal="center"/>
      <protection/>
    </xf>
    <xf numFmtId="0" fontId="24" fillId="0" borderId="46" xfId="0" applyFont="1" applyBorder="1" applyAlignment="1" applyProtection="1">
      <alignment horizontal="center"/>
      <protection/>
    </xf>
    <xf numFmtId="0" fontId="0" fillId="0" borderId="47" xfId="0" applyFont="1" applyBorder="1" applyAlignment="1" applyProtection="1">
      <alignment horizontal="center"/>
      <protection/>
    </xf>
    <xf numFmtId="0" fontId="0" fillId="0" borderId="41" xfId="0" applyFont="1" applyBorder="1" applyAlignment="1" applyProtection="1">
      <alignment/>
      <protection/>
    </xf>
    <xf numFmtId="0" fontId="0" fillId="0" borderId="41" xfId="0" applyFont="1" applyBorder="1" applyAlignment="1" applyProtection="1">
      <alignment horizontal="center"/>
      <protection/>
    </xf>
    <xf numFmtId="169" fontId="7" fillId="5" borderId="18" xfId="0" applyNumberFormat="1" applyFont="1" applyFill="1" applyBorder="1" applyAlignment="1" applyProtection="1">
      <alignment horizontal="center"/>
      <protection locked="0"/>
    </xf>
    <xf numFmtId="169" fontId="7" fillId="5" borderId="52" xfId="0" applyNumberFormat="1" applyFont="1" applyFill="1" applyBorder="1" applyAlignment="1" applyProtection="1">
      <alignment horizontal="center"/>
      <protection locked="0"/>
    </xf>
    <xf numFmtId="169" fontId="7" fillId="5" borderId="41" xfId="0" applyNumberFormat="1" applyFont="1" applyFill="1" applyBorder="1" applyAlignment="1" applyProtection="1">
      <alignment horizontal="center"/>
      <protection locked="0"/>
    </xf>
    <xf numFmtId="0" fontId="0" fillId="0" borderId="39" xfId="0" applyBorder="1" applyAlignment="1" applyProtection="1">
      <alignment/>
      <protection/>
    </xf>
    <xf numFmtId="167" fontId="7" fillId="0" borderId="0" xfId="0" applyNumberFormat="1" applyFont="1" applyBorder="1" applyAlignment="1" applyProtection="1">
      <alignment horizontal="center"/>
      <protection/>
    </xf>
    <xf numFmtId="0" fontId="7" fillId="0" borderId="35" xfId="0" applyFont="1" applyBorder="1" applyAlignment="1" applyProtection="1">
      <alignment/>
      <protection locked="0"/>
    </xf>
    <xf numFmtId="0" fontId="7" fillId="0" borderId="35" xfId="0" applyFont="1" applyBorder="1" applyAlignment="1" applyProtection="1">
      <alignment horizontal="center"/>
      <protection locked="0"/>
    </xf>
    <xf numFmtId="0" fontId="7" fillId="0" borderId="35" xfId="0" applyFont="1" applyBorder="1" applyAlignment="1" applyProtection="1" quotePrefix="1">
      <alignment horizontal="center"/>
      <protection locked="0"/>
    </xf>
    <xf numFmtId="0" fontId="7" fillId="0" borderId="56" xfId="0" applyFont="1" applyBorder="1" applyAlignment="1" applyProtection="1">
      <alignment horizontal="center"/>
      <protection locked="0"/>
    </xf>
    <xf numFmtId="0" fontId="7" fillId="0" borderId="45" xfId="0" applyFont="1" applyBorder="1" applyAlignment="1" applyProtection="1">
      <alignment horizontal="center"/>
      <protection locked="0"/>
    </xf>
    <xf numFmtId="0" fontId="7" fillId="0" borderId="18" xfId="0" applyFont="1" applyBorder="1" applyAlignment="1" applyProtection="1">
      <alignment/>
      <protection locked="0"/>
    </xf>
    <xf numFmtId="0" fontId="10" fillId="0" borderId="0" xfId="0" applyFont="1" applyBorder="1" applyAlignment="1" quotePrefix="1">
      <alignment horizontal="center"/>
    </xf>
    <xf numFmtId="0" fontId="10" fillId="0" borderId="8" xfId="0" applyFont="1" applyBorder="1" applyAlignment="1" quotePrefix="1">
      <alignment horizontal="center"/>
    </xf>
    <xf numFmtId="167" fontId="7" fillId="5" borderId="46" xfId="0" applyNumberFormat="1" applyFont="1" applyFill="1" applyBorder="1" applyAlignment="1" applyProtection="1">
      <alignment horizontal="center"/>
      <protection locked="0"/>
    </xf>
    <xf numFmtId="0" fontId="35" fillId="0" borderId="0" xfId="0" applyFont="1" applyAlignment="1">
      <alignment horizontal="left"/>
    </xf>
    <xf numFmtId="14" fontId="48" fillId="0" borderId="0" xfId="0" applyNumberFormat="1" applyFont="1" applyBorder="1" applyAlignment="1">
      <alignment horizontal="left"/>
    </xf>
    <xf numFmtId="14" fontId="0" fillId="0" borderId="13" xfId="0" applyNumberFormat="1" applyFont="1" applyBorder="1" applyAlignment="1">
      <alignment horizontal="left"/>
    </xf>
    <xf numFmtId="0" fontId="0" fillId="0" borderId="50" xfId="0" applyBorder="1" applyAlignment="1" applyProtection="1">
      <alignment horizontal="center"/>
      <protection/>
    </xf>
    <xf numFmtId="164" fontId="0" fillId="0" borderId="53" xfId="0" applyNumberFormat="1" applyFont="1" applyBorder="1" applyAlignment="1" applyProtection="1">
      <alignment horizontal="left"/>
      <protection/>
    </xf>
    <xf numFmtId="0" fontId="35" fillId="0" borderId="0" xfId="0" applyFont="1" applyAlignment="1" applyProtection="1">
      <alignment horizontal="center"/>
      <protection/>
    </xf>
    <xf numFmtId="0" fontId="0" fillId="0" borderId="39" xfId="0" applyBorder="1" applyAlignment="1" applyProtection="1">
      <alignment horizontal="left"/>
      <protection/>
    </xf>
    <xf numFmtId="0" fontId="0" fillId="0" borderId="39" xfId="0" applyFont="1" applyBorder="1" applyAlignment="1" applyProtection="1">
      <alignment/>
      <protection/>
    </xf>
    <xf numFmtId="0" fontId="29" fillId="0" borderId="0" xfId="0" applyFont="1" applyAlignment="1" applyProtection="1">
      <alignment/>
      <protection/>
    </xf>
    <xf numFmtId="0" fontId="0" fillId="0" borderId="53" xfId="0" applyBorder="1" applyAlignment="1" applyProtection="1">
      <alignment/>
      <protection/>
    </xf>
    <xf numFmtId="0" fontId="0" fillId="0" borderId="52" xfId="0" applyBorder="1" applyAlignment="1" applyProtection="1">
      <alignment horizontal="center"/>
      <protection/>
    </xf>
    <xf numFmtId="0" fontId="0" fillId="0" borderId="22" xfId="0" applyBorder="1" applyAlignment="1" applyProtection="1">
      <alignment horizontal="center"/>
      <protection/>
    </xf>
    <xf numFmtId="0" fontId="2" fillId="0" borderId="2" xfId="0" applyFont="1" applyBorder="1" applyAlignment="1" applyProtection="1">
      <alignment/>
      <protection/>
    </xf>
    <xf numFmtId="0" fontId="2" fillId="0" borderId="4" xfId="0" applyFont="1" applyBorder="1" applyAlignment="1" applyProtection="1">
      <alignment/>
      <protection/>
    </xf>
    <xf numFmtId="0" fontId="11" fillId="0" borderId="3" xfId="0" applyFont="1" applyBorder="1" applyAlignment="1" applyProtection="1">
      <alignment/>
      <protection/>
    </xf>
    <xf numFmtId="0" fontId="0" fillId="0" borderId="17" xfId="0" applyBorder="1" applyAlignment="1" applyProtection="1">
      <alignment horizontal="center"/>
      <protection/>
    </xf>
    <xf numFmtId="0" fontId="0" fillId="0" borderId="24" xfId="0" applyBorder="1" applyAlignment="1" applyProtection="1">
      <alignment horizontal="center"/>
      <protection/>
    </xf>
    <xf numFmtId="0" fontId="1"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6" xfId="0" applyFont="1" applyBorder="1" applyAlignment="1" applyProtection="1">
      <alignment horizontal="center"/>
      <protection/>
    </xf>
    <xf numFmtId="0" fontId="1" fillId="0" borderId="0" xfId="0" applyFont="1" applyBorder="1" applyAlignment="1" applyProtection="1">
      <alignment horizontal="center"/>
      <protection/>
    </xf>
    <xf numFmtId="0" fontId="24" fillId="14" borderId="18" xfId="0" applyFont="1" applyFill="1" applyBorder="1" applyAlignment="1" applyProtection="1">
      <alignment horizontal="center"/>
      <protection/>
    </xf>
    <xf numFmtId="9" fontId="24" fillId="14" borderId="18" xfId="22" applyFont="1" applyFill="1" applyBorder="1" applyAlignment="1" applyProtection="1">
      <alignment horizontal="center"/>
      <protection/>
    </xf>
    <xf numFmtId="9" fontId="24" fillId="14" borderId="18" xfId="0" applyNumberFormat="1" applyFont="1" applyFill="1" applyBorder="1" applyAlignment="1" applyProtection="1">
      <alignment horizontal="center"/>
      <protection/>
    </xf>
    <xf numFmtId="181" fontId="24" fillId="14" borderId="18" xfId="0" applyNumberFormat="1" applyFont="1" applyFill="1" applyBorder="1" applyAlignment="1" applyProtection="1">
      <alignment horizontal="center"/>
      <protection/>
    </xf>
    <xf numFmtId="0" fontId="0" fillId="12" borderId="13" xfId="0" applyFont="1" applyFill="1" applyBorder="1" applyAlignment="1" applyProtection="1">
      <alignment horizontal="left"/>
      <protection locked="0"/>
    </xf>
    <xf numFmtId="0" fontId="0" fillId="6" borderId="13" xfId="0" applyFont="1" applyFill="1" applyBorder="1" applyAlignment="1" applyProtection="1">
      <alignment horizontal="left"/>
      <protection locked="0"/>
    </xf>
    <xf numFmtId="0" fontId="0" fillId="0" borderId="13" xfId="0" applyBorder="1" applyAlignment="1" applyProtection="1">
      <alignment horizontal="left"/>
      <protection/>
    </xf>
    <xf numFmtId="0" fontId="0" fillId="0" borderId="0" xfId="0" applyAlignment="1" applyProtection="1">
      <alignment horizontal="right"/>
      <protection/>
    </xf>
    <xf numFmtId="0" fontId="7" fillId="0" borderId="0" xfId="0" applyFont="1" applyBorder="1" applyAlignment="1" applyProtection="1">
      <alignment/>
      <protection/>
    </xf>
    <xf numFmtId="167" fontId="7" fillId="0" borderId="0" xfId="0" applyNumberFormat="1" applyFont="1" applyBorder="1" applyAlignment="1" applyProtection="1">
      <alignment/>
      <protection/>
    </xf>
    <xf numFmtId="0" fontId="5" fillId="0" borderId="0" xfId="0" applyFont="1" applyAlignment="1" applyProtection="1">
      <alignment/>
      <protection/>
    </xf>
    <xf numFmtId="3" fontId="0" fillId="15" borderId="49" xfId="0" applyNumberFormat="1" applyFill="1" applyBorder="1" applyAlignment="1" applyProtection="1">
      <alignment horizontal="center"/>
      <protection/>
    </xf>
    <xf numFmtId="3" fontId="0" fillId="16" borderId="49" xfId="0" applyNumberFormat="1" applyFill="1" applyBorder="1" applyAlignment="1" applyProtection="1">
      <alignment horizontal="center"/>
      <protection/>
    </xf>
    <xf numFmtId="171" fontId="0" fillId="17" borderId="49" xfId="0" applyNumberFormat="1" applyFill="1" applyBorder="1" applyAlignment="1" applyProtection="1">
      <alignment horizontal="center"/>
      <protection/>
    </xf>
    <xf numFmtId="0" fontId="7" fillId="18" borderId="51" xfId="0" applyFont="1" applyFill="1" applyBorder="1" applyAlignment="1" applyProtection="1">
      <alignment/>
      <protection/>
    </xf>
    <xf numFmtId="0" fontId="0" fillId="0" borderId="59" xfId="0" applyBorder="1" applyAlignment="1">
      <alignment/>
    </xf>
    <xf numFmtId="0" fontId="0" fillId="0" borderId="60" xfId="0" applyBorder="1" applyAlignment="1">
      <alignment/>
    </xf>
    <xf numFmtId="0" fontId="0" fillId="0" borderId="0" xfId="0" applyBorder="1" applyAlignment="1">
      <alignment horizontal="right"/>
    </xf>
    <xf numFmtId="0" fontId="0" fillId="0" borderId="61" xfId="0" applyBorder="1" applyAlignment="1">
      <alignment/>
    </xf>
    <xf numFmtId="0" fontId="0" fillId="0" borderId="62" xfId="0" applyBorder="1" applyAlignment="1">
      <alignment/>
    </xf>
    <xf numFmtId="0" fontId="0" fillId="0" borderId="62" xfId="0" applyBorder="1" applyAlignment="1">
      <alignment horizontal="left"/>
    </xf>
    <xf numFmtId="0" fontId="0" fillId="0" borderId="63" xfId="0" applyBorder="1" applyAlignment="1">
      <alignment/>
    </xf>
    <xf numFmtId="0" fontId="0" fillId="0" borderId="64" xfId="0" applyBorder="1" applyAlignment="1">
      <alignment/>
    </xf>
    <xf numFmtId="0" fontId="0" fillId="0" borderId="64" xfId="0" applyBorder="1" applyAlignment="1">
      <alignment horizontal="right"/>
    </xf>
    <xf numFmtId="2" fontId="0" fillId="0" borderId="64" xfId="0" applyNumberFormat="1" applyBorder="1" applyAlignment="1">
      <alignment/>
    </xf>
    <xf numFmtId="0" fontId="0" fillId="0" borderId="65" xfId="0" applyBorder="1" applyAlignment="1">
      <alignment horizontal="left"/>
    </xf>
    <xf numFmtId="0" fontId="0" fillId="0" borderId="45" xfId="0" applyBorder="1" applyAlignment="1">
      <alignment horizontal="center"/>
    </xf>
    <xf numFmtId="0" fontId="0" fillId="0" borderId="18" xfId="0" applyBorder="1" applyAlignment="1">
      <alignment horizontal="center"/>
    </xf>
    <xf numFmtId="0" fontId="0" fillId="0" borderId="46" xfId="0" applyBorder="1" applyAlignment="1">
      <alignment horizontal="center"/>
    </xf>
    <xf numFmtId="0" fontId="0" fillId="0" borderId="45" xfId="0" applyBorder="1" applyAlignment="1">
      <alignment/>
    </xf>
    <xf numFmtId="0" fontId="0" fillId="0" borderId="18" xfId="0" applyBorder="1" applyAlignment="1">
      <alignment/>
    </xf>
    <xf numFmtId="0" fontId="0" fillId="0" borderId="46" xfId="0" applyBorder="1" applyAlignment="1">
      <alignment/>
    </xf>
    <xf numFmtId="0" fontId="0" fillId="0" borderId="45" xfId="0" applyBorder="1" applyAlignment="1" applyProtection="1">
      <alignment horizontal="center"/>
      <protection/>
    </xf>
    <xf numFmtId="0" fontId="0" fillId="0" borderId="66" xfId="0" applyBorder="1" applyAlignment="1">
      <alignment/>
    </xf>
    <xf numFmtId="0" fontId="0" fillId="0" borderId="67" xfId="0" applyBorder="1" applyAlignment="1">
      <alignment/>
    </xf>
    <xf numFmtId="0" fontId="0" fillId="0" borderId="67" xfId="0" applyBorder="1" applyAlignment="1">
      <alignment horizontal="right"/>
    </xf>
    <xf numFmtId="0" fontId="0" fillId="0" borderId="68" xfId="0" applyBorder="1" applyAlignment="1">
      <alignment/>
    </xf>
    <xf numFmtId="0" fontId="0" fillId="0" borderId="69" xfId="0" applyBorder="1" applyAlignment="1">
      <alignment/>
    </xf>
    <xf numFmtId="0" fontId="0" fillId="0" borderId="21" xfId="0" applyBorder="1" applyAlignment="1">
      <alignment/>
    </xf>
    <xf numFmtId="0" fontId="0" fillId="0" borderId="21" xfId="0" applyBorder="1" applyAlignment="1">
      <alignment horizontal="right"/>
    </xf>
    <xf numFmtId="0" fontId="0" fillId="0" borderId="7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horizontal="right"/>
    </xf>
    <xf numFmtId="0" fontId="0" fillId="0" borderId="11" xfId="0" applyBorder="1" applyAlignment="1">
      <alignment/>
    </xf>
    <xf numFmtId="0" fontId="0" fillId="19" borderId="0" xfId="0" applyFill="1" applyBorder="1" applyAlignment="1" applyProtection="1">
      <alignment/>
      <protection locked="0"/>
    </xf>
    <xf numFmtId="0" fontId="0" fillId="0" borderId="64" xfId="0" applyBorder="1" applyAlignment="1" applyProtection="1">
      <alignment/>
      <protection/>
    </xf>
    <xf numFmtId="0" fontId="0" fillId="0" borderId="18" xfId="0" applyBorder="1" applyAlignment="1">
      <alignment horizontal="center" vertical="center"/>
    </xf>
    <xf numFmtId="0" fontId="0" fillId="0" borderId="18" xfId="0" applyFont="1" applyBorder="1" applyAlignment="1">
      <alignment horizontal="center" vertical="center"/>
    </xf>
    <xf numFmtId="0" fontId="0" fillId="0" borderId="46" xfId="0" applyBorder="1" applyAlignment="1">
      <alignment horizontal="center" vertical="center"/>
    </xf>
    <xf numFmtId="0" fontId="0" fillId="0" borderId="0" xfId="0" applyBorder="1" applyAlignment="1" applyProtection="1">
      <alignment horizontal="left"/>
      <protection/>
    </xf>
    <xf numFmtId="171" fontId="24" fillId="13" borderId="18" xfId="0" applyNumberFormat="1" applyFont="1" applyFill="1" applyBorder="1" applyAlignment="1" applyProtection="1">
      <alignment horizontal="center"/>
      <protection/>
    </xf>
    <xf numFmtId="3" fontId="24" fillId="13" borderId="18" xfId="0" applyNumberFormat="1" applyFont="1" applyFill="1" applyBorder="1" applyAlignment="1" applyProtection="1">
      <alignment horizontal="center"/>
      <protection/>
    </xf>
    <xf numFmtId="0" fontId="7" fillId="19" borderId="18" xfId="0" applyFont="1" applyFill="1" applyBorder="1" applyAlignment="1" applyProtection="1">
      <alignment/>
      <protection locked="0"/>
    </xf>
    <xf numFmtId="0" fontId="7" fillId="19" borderId="18" xfId="0" applyFont="1" applyFill="1" applyBorder="1" applyAlignment="1" applyProtection="1">
      <alignment horizontal="center"/>
      <protection locked="0"/>
    </xf>
    <xf numFmtId="9" fontId="24" fillId="14" borderId="34" xfId="0" applyNumberFormat="1" applyFont="1" applyFill="1" applyBorder="1" applyAlignment="1" applyProtection="1">
      <alignment horizont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6" borderId="74" xfId="0" applyFont="1" applyFill="1" applyBorder="1" applyAlignment="1" applyProtection="1">
      <alignment horizontal="center" vertical="center"/>
      <protection locked="0"/>
    </xf>
    <xf numFmtId="0" fontId="0" fillId="6" borderId="75" xfId="0" applyFont="1" applyFill="1" applyBorder="1" applyAlignment="1" applyProtection="1">
      <alignment horizontal="center" vertical="center"/>
      <protection locked="0"/>
    </xf>
    <xf numFmtId="9" fontId="0" fillId="0" borderId="75" xfId="0" applyNumberFormat="1" applyFont="1" applyBorder="1" applyAlignment="1">
      <alignment horizontal="center" vertical="center"/>
    </xf>
    <xf numFmtId="9" fontId="0" fillId="0" borderId="76" xfId="0" applyNumberFormat="1" applyBorder="1" applyAlignment="1">
      <alignment horizontal="center"/>
    </xf>
    <xf numFmtId="0" fontId="0" fillId="6" borderId="77" xfId="0" applyFont="1" applyFill="1" applyBorder="1" applyAlignment="1" applyProtection="1">
      <alignment horizontal="center" vertical="center"/>
      <protection locked="0"/>
    </xf>
    <xf numFmtId="0" fontId="0" fillId="6" borderId="49" xfId="0" applyFont="1" applyFill="1" applyBorder="1" applyAlignment="1" applyProtection="1">
      <alignment horizontal="center" vertical="center"/>
      <protection locked="0"/>
    </xf>
    <xf numFmtId="9" fontId="0" fillId="0" borderId="49" xfId="0" applyNumberFormat="1" applyFont="1" applyBorder="1" applyAlignment="1">
      <alignment horizontal="center" vertical="center"/>
    </xf>
    <xf numFmtId="9" fontId="0" fillId="0" borderId="78" xfId="0" applyNumberFormat="1" applyBorder="1" applyAlignment="1">
      <alignment horizontal="center"/>
    </xf>
    <xf numFmtId="0" fontId="0" fillId="6" borderId="71" xfId="0" applyFont="1" applyFill="1" applyBorder="1" applyAlignment="1" applyProtection="1">
      <alignment horizontal="center" vertical="center"/>
      <protection locked="0"/>
    </xf>
    <xf numFmtId="0" fontId="0" fillId="6" borderId="72" xfId="0" applyFont="1" applyFill="1" applyBorder="1" applyAlignment="1" applyProtection="1">
      <alignment horizontal="center" vertical="center"/>
      <protection locked="0"/>
    </xf>
    <xf numFmtId="9" fontId="0" fillId="0" borderId="72" xfId="0" applyNumberFormat="1" applyFont="1" applyBorder="1" applyAlignment="1">
      <alignment horizontal="center" vertical="center"/>
    </xf>
    <xf numFmtId="9" fontId="0" fillId="0" borderId="79" xfId="0" applyNumberFormat="1" applyBorder="1" applyAlignment="1">
      <alignment horizontal="center"/>
    </xf>
    <xf numFmtId="9" fontId="42" fillId="20" borderId="18" xfId="0" applyNumberFormat="1" applyFont="1" applyFill="1" applyBorder="1" applyAlignment="1" applyProtection="1">
      <alignment horizontal="center"/>
      <protection/>
    </xf>
    <xf numFmtId="0" fontId="10" fillId="0" borderId="6" xfId="0" applyFont="1" applyBorder="1" applyAlignment="1" applyProtection="1">
      <alignment horizontal="center"/>
      <protection/>
    </xf>
    <xf numFmtId="0" fontId="0" fillId="6" borderId="80" xfId="0" applyFont="1" applyFill="1" applyBorder="1" applyAlignment="1" applyProtection="1">
      <alignment/>
      <protection locked="0"/>
    </xf>
    <xf numFmtId="0" fontId="0" fillId="6" borderId="81" xfId="0" applyFill="1" applyBorder="1" applyAlignment="1" applyProtection="1">
      <alignment/>
      <protection locked="0"/>
    </xf>
    <xf numFmtId="0" fontId="0" fillId="6" borderId="82" xfId="0" applyFont="1" applyFill="1" applyBorder="1" applyAlignment="1" applyProtection="1">
      <alignment/>
      <protection locked="0"/>
    </xf>
    <xf numFmtId="0" fontId="49" fillId="0" borderId="18" xfId="0" applyFont="1" applyBorder="1" applyAlignment="1" applyProtection="1">
      <alignment/>
      <protection locked="0"/>
    </xf>
    <xf numFmtId="49" fontId="7" fillId="0" borderId="18" xfId="0" applyNumberFormat="1" applyFont="1" applyBorder="1" applyAlignment="1" applyProtection="1">
      <alignment horizontal="center"/>
      <protection locked="0"/>
    </xf>
    <xf numFmtId="0" fontId="1" fillId="0" borderId="18" xfId="0" applyFont="1" applyBorder="1" applyAlignment="1" applyProtection="1">
      <alignment horizontal="left"/>
      <protection/>
    </xf>
    <xf numFmtId="0" fontId="1" fillId="0" borderId="41" xfId="0" applyFont="1" applyBorder="1" applyAlignment="1" applyProtection="1">
      <alignment horizontal="left"/>
      <protection/>
    </xf>
    <xf numFmtId="0" fontId="7" fillId="0" borderId="83" xfId="0" applyFont="1" applyBorder="1" applyAlignment="1" applyProtection="1">
      <alignment horizontal="center"/>
      <protection locked="0"/>
    </xf>
    <xf numFmtId="0" fontId="7" fillId="0" borderId="52" xfId="0" applyFont="1" applyBorder="1" applyAlignment="1" applyProtection="1">
      <alignment/>
      <protection locked="0"/>
    </xf>
    <xf numFmtId="0" fontId="7" fillId="0" borderId="52" xfId="0" applyFont="1" applyBorder="1" applyAlignment="1" applyProtection="1">
      <alignment horizontal="center"/>
      <protection locked="0"/>
    </xf>
    <xf numFmtId="49" fontId="7" fillId="0" borderId="52" xfId="0" applyNumberFormat="1" applyFont="1" applyBorder="1" applyAlignment="1" applyProtection="1" quotePrefix="1">
      <alignment horizontal="center"/>
      <protection locked="0"/>
    </xf>
    <xf numFmtId="0" fontId="7" fillId="0" borderId="20" xfId="0" applyFont="1" applyBorder="1" applyAlignment="1" applyProtection="1" quotePrefix="1">
      <alignment horizontal="center"/>
      <protection locked="0"/>
    </xf>
    <xf numFmtId="167" fontId="7" fillId="0" borderId="84" xfId="0" applyNumberFormat="1" applyFont="1" applyBorder="1" applyAlignment="1" applyProtection="1">
      <alignment horizontal="center"/>
      <protection locked="0"/>
    </xf>
    <xf numFmtId="0" fontId="0" fillId="0" borderId="85" xfId="0" applyFont="1" applyBorder="1" applyAlignment="1">
      <alignment horizontal="center"/>
    </xf>
    <xf numFmtId="0" fontId="0" fillId="0" borderId="50" xfId="0" applyFont="1" applyBorder="1" applyAlignment="1">
      <alignment horizontal="center"/>
    </xf>
    <xf numFmtId="0" fontId="1" fillId="0" borderId="18" xfId="0" applyFont="1" applyBorder="1" applyAlignment="1">
      <alignment horizontal="left"/>
    </xf>
    <xf numFmtId="0" fontId="0" fillId="0" borderId="24" xfId="0" applyFont="1" applyBorder="1" applyAlignment="1">
      <alignment horizontal="center"/>
    </xf>
    <xf numFmtId="1" fontId="7" fillId="5" borderId="35" xfId="0" applyNumberFormat="1" applyFont="1" applyFill="1" applyBorder="1" applyAlignment="1" applyProtection="1">
      <alignment horizontal="center"/>
      <protection locked="0"/>
    </xf>
    <xf numFmtId="1" fontId="7" fillId="5" borderId="20" xfId="0" applyNumberFormat="1" applyFont="1" applyFill="1" applyBorder="1" applyAlignment="1" applyProtection="1">
      <alignment horizontal="center"/>
      <protection locked="0"/>
    </xf>
    <xf numFmtId="1" fontId="7" fillId="5" borderId="86" xfId="0" applyNumberFormat="1" applyFont="1" applyFill="1" applyBorder="1" applyAlignment="1" applyProtection="1">
      <alignment horizontal="center"/>
      <protection locked="0"/>
    </xf>
    <xf numFmtId="1" fontId="7" fillId="5" borderId="47" xfId="0" applyNumberFormat="1" applyFont="1" applyFill="1" applyBorder="1" applyAlignment="1" applyProtection="1">
      <alignment horizontal="center"/>
      <protection locked="0"/>
    </xf>
    <xf numFmtId="167" fontId="24" fillId="0" borderId="0" xfId="0" applyNumberFormat="1" applyFont="1" applyBorder="1" applyAlignment="1" applyProtection="1">
      <alignment horizontal="center"/>
      <protection/>
    </xf>
    <xf numFmtId="0" fontId="24" fillId="0" borderId="0" xfId="0" applyFont="1" applyBorder="1" applyAlignment="1" applyProtection="1">
      <alignment horizontal="center"/>
      <protection/>
    </xf>
    <xf numFmtId="14" fontId="51" fillId="0" borderId="59" xfId="0" applyNumberFormat="1" applyFont="1" applyBorder="1" applyAlignment="1" applyProtection="1">
      <alignment horizontal="left"/>
      <protection/>
    </xf>
    <xf numFmtId="14" fontId="1" fillId="0" borderId="13" xfId="0" applyNumberFormat="1" applyFont="1" applyBorder="1" applyAlignment="1" applyProtection="1">
      <alignment horizontal="left"/>
      <protection/>
    </xf>
    <xf numFmtId="1" fontId="7" fillId="5" borderId="33" xfId="0" applyNumberFormat="1" applyFont="1" applyFill="1" applyBorder="1" applyAlignment="1" applyProtection="1">
      <alignment horizontal="center"/>
      <protection locked="0"/>
    </xf>
    <xf numFmtId="171" fontId="7" fillId="5" borderId="26" xfId="0" applyNumberFormat="1" applyFont="1" applyFill="1" applyBorder="1" applyAlignment="1" applyProtection="1">
      <alignment horizontal="center"/>
      <protection locked="0"/>
    </xf>
    <xf numFmtId="169" fontId="7" fillId="5" borderId="26" xfId="0" applyNumberFormat="1" applyFont="1" applyFill="1" applyBorder="1" applyAlignment="1" applyProtection="1">
      <alignment horizontal="center"/>
      <protection locked="0"/>
    </xf>
    <xf numFmtId="1" fontId="7" fillId="5" borderId="56" xfId="0" applyNumberFormat="1" applyFont="1" applyFill="1" applyBorder="1" applyAlignment="1" applyProtection="1">
      <alignment horizontal="center"/>
      <protection locked="0"/>
    </xf>
    <xf numFmtId="1" fontId="7" fillId="5" borderId="57" xfId="0" applyNumberFormat="1" applyFont="1" applyFill="1" applyBorder="1" applyAlignment="1" applyProtection="1">
      <alignment horizontal="center"/>
      <protection locked="0"/>
    </xf>
    <xf numFmtId="1" fontId="7" fillId="5" borderId="18" xfId="0" applyNumberFormat="1" applyFont="1" applyFill="1" applyBorder="1" applyAlignment="1" applyProtection="1">
      <alignment horizontal="center"/>
      <protection locked="0"/>
    </xf>
    <xf numFmtId="0" fontId="24" fillId="9" borderId="0" xfId="0" applyFont="1" applyFill="1" applyBorder="1" applyAlignment="1" applyProtection="1">
      <alignment horizontal="center"/>
      <protection/>
    </xf>
    <xf numFmtId="14" fontId="52" fillId="0" borderId="0" xfId="0" applyNumberFormat="1" applyFont="1" applyAlignment="1" applyProtection="1">
      <alignment horizontal="left"/>
      <protection/>
    </xf>
    <xf numFmtId="1" fontId="24" fillId="0" borderId="18" xfId="0" applyNumberFormat="1" applyFont="1" applyBorder="1" applyAlignment="1" applyProtection="1">
      <alignment horizontal="center"/>
      <protection/>
    </xf>
    <xf numFmtId="1" fontId="24" fillId="0" borderId="46" xfId="0" applyNumberFormat="1" applyFont="1" applyBorder="1" applyAlignment="1" applyProtection="1">
      <alignment horizontal="center"/>
      <protection/>
    </xf>
    <xf numFmtId="1" fontId="24" fillId="0" borderId="41" xfId="0" applyNumberFormat="1" applyFont="1" applyBorder="1" applyAlignment="1" applyProtection="1">
      <alignment horizontal="center"/>
      <protection/>
    </xf>
    <xf numFmtId="1" fontId="24" fillId="0" borderId="48" xfId="0" applyNumberFormat="1" applyFont="1" applyBorder="1" applyAlignment="1" applyProtection="1">
      <alignment horizontal="center"/>
      <protection/>
    </xf>
    <xf numFmtId="166" fontId="0" fillId="0" borderId="26" xfId="0" applyNumberFormat="1" applyFont="1" applyBorder="1" applyAlignment="1" applyProtection="1">
      <alignment horizontal="center" vertical="center"/>
      <protection/>
    </xf>
    <xf numFmtId="166" fontId="0" fillId="21" borderId="18" xfId="0" applyNumberFormat="1" applyFont="1" applyFill="1" applyBorder="1" applyAlignment="1" applyProtection="1">
      <alignment horizontal="center" vertical="center"/>
      <protection/>
    </xf>
    <xf numFmtId="166" fontId="0" fillId="0" borderId="18" xfId="0" applyNumberFormat="1" applyFont="1" applyBorder="1" applyAlignment="1" applyProtection="1">
      <alignment horizontal="center" vertical="center"/>
      <protection/>
    </xf>
    <xf numFmtId="171" fontId="0" fillId="0" borderId="18" xfId="0" applyNumberFormat="1" applyFont="1" applyBorder="1" applyAlignment="1" applyProtection="1">
      <alignment horizontal="center" vertical="center"/>
      <protection/>
    </xf>
    <xf numFmtId="166" fontId="0" fillId="3" borderId="18" xfId="0" applyNumberFormat="1" applyFont="1" applyFill="1" applyBorder="1" applyAlignment="1" applyProtection="1">
      <alignment horizontal="center" vertical="center"/>
      <protection/>
    </xf>
    <xf numFmtId="0" fontId="0" fillId="3" borderId="0" xfId="0" applyFont="1" applyFill="1" applyBorder="1" applyAlignment="1" applyProtection="1">
      <alignment horizontal="left"/>
      <protection locked="0"/>
    </xf>
    <xf numFmtId="0" fontId="0" fillId="3" borderId="0" xfId="0" applyFill="1" applyBorder="1" applyAlignment="1" applyProtection="1">
      <alignment/>
      <protection/>
    </xf>
    <xf numFmtId="9" fontId="42" fillId="20" borderId="34" xfId="0" applyNumberFormat="1" applyFont="1" applyFill="1" applyBorder="1" applyAlignment="1" applyProtection="1">
      <alignment horizontal="center"/>
      <protection/>
    </xf>
    <xf numFmtId="171" fontId="0" fillId="0" borderId="87" xfId="0" applyNumberFormat="1" applyFont="1" applyBorder="1" applyAlignment="1" applyProtection="1">
      <alignment horizontal="center" vertical="center"/>
      <protection/>
    </xf>
    <xf numFmtId="5" fontId="0" fillId="0" borderId="0" xfId="0" applyNumberFormat="1" applyBorder="1" applyAlignment="1" applyProtection="1">
      <alignment/>
      <protection/>
    </xf>
    <xf numFmtId="186" fontId="0" fillId="0" borderId="0" xfId="0" applyNumberFormat="1" applyBorder="1" applyAlignment="1">
      <alignment/>
    </xf>
    <xf numFmtId="0" fontId="2" fillId="0" borderId="0" xfId="0" applyFont="1" applyBorder="1" applyAlignment="1" applyProtection="1">
      <alignment horizontal="right"/>
      <protection/>
    </xf>
    <xf numFmtId="170" fontId="0" fillId="0" borderId="0" xfId="0" applyNumberFormat="1" applyFont="1" applyAlignment="1" applyProtection="1">
      <alignment horizontal="right"/>
      <protection/>
    </xf>
    <xf numFmtId="169" fontId="0" fillId="0" borderId="0" xfId="0" applyNumberFormat="1" applyFont="1" applyAlignment="1" applyProtection="1">
      <alignment horizontal="right"/>
      <protection/>
    </xf>
    <xf numFmtId="169" fontId="2" fillId="0" borderId="0" xfId="0" applyNumberFormat="1" applyFont="1" applyAlignment="1" applyProtection="1">
      <alignment horizontal="right"/>
      <protection/>
    </xf>
    <xf numFmtId="1" fontId="41" fillId="20" borderId="18" xfId="0" applyNumberFormat="1" applyFont="1" applyFill="1" applyBorder="1" applyAlignment="1" applyProtection="1">
      <alignment horizontal="center"/>
      <protection/>
    </xf>
    <xf numFmtId="0" fontId="0" fillId="0" borderId="0" xfId="0" applyFill="1" applyBorder="1" applyAlignment="1" applyProtection="1">
      <alignment/>
      <protection/>
    </xf>
    <xf numFmtId="171" fontId="0" fillId="3" borderId="52" xfId="0" applyNumberFormat="1" applyFont="1" applyFill="1" applyBorder="1" applyAlignment="1" applyProtection="1">
      <alignment horizontal="center" vertical="center"/>
      <protection/>
    </xf>
    <xf numFmtId="171" fontId="7" fillId="6" borderId="18" xfId="0" applyNumberFormat="1" applyFont="1" applyFill="1" applyBorder="1" applyAlignment="1" applyProtection="1">
      <alignment horizontal="center"/>
      <protection locked="0"/>
    </xf>
    <xf numFmtId="0" fontId="53" fillId="0" borderId="0" xfId="0" applyFont="1" applyBorder="1" applyAlignment="1">
      <alignment/>
    </xf>
    <xf numFmtId="184" fontId="0" fillId="0" borderId="88" xfId="0" applyNumberFormat="1" applyFont="1" applyBorder="1" applyAlignment="1" applyProtection="1">
      <alignment horizontal="center" vertical="center"/>
      <protection/>
    </xf>
    <xf numFmtId="0" fontId="0" fillId="0" borderId="0" xfId="0" applyFill="1" applyAlignment="1" applyProtection="1">
      <alignment/>
      <protection/>
    </xf>
    <xf numFmtId="167" fontId="0" fillId="0" borderId="0" xfId="0" applyNumberFormat="1" applyFont="1" applyAlignment="1" applyProtection="1">
      <alignment horizontal="center"/>
      <protection/>
    </xf>
    <xf numFmtId="0" fontId="2" fillId="0" borderId="0" xfId="0" applyFont="1" applyAlignment="1" applyProtection="1">
      <alignment horizontal="left"/>
      <protection/>
    </xf>
    <xf numFmtId="9" fontId="7" fillId="6" borderId="26" xfId="0" applyNumberFormat="1" applyFont="1" applyFill="1" applyBorder="1" applyAlignment="1" applyProtection="1">
      <alignment horizontal="center"/>
      <protection locked="0"/>
    </xf>
    <xf numFmtId="0" fontId="43" fillId="11" borderId="18"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ill="1" applyBorder="1" applyAlignment="1">
      <alignment/>
    </xf>
    <xf numFmtId="173" fontId="43" fillId="0" borderId="67" xfId="0" applyNumberFormat="1" applyFont="1" applyFill="1" applyBorder="1" applyAlignment="1" applyProtection="1">
      <alignment horizontal="center"/>
      <protection locked="0"/>
    </xf>
    <xf numFmtId="0" fontId="10" fillId="0" borderId="7" xfId="0" applyFont="1" applyFill="1" applyBorder="1" applyAlignment="1" applyProtection="1">
      <alignment/>
      <protection/>
    </xf>
    <xf numFmtId="0" fontId="10" fillId="0" borderId="8" xfId="0" applyFont="1" applyFill="1" applyBorder="1" applyAlignment="1" applyProtection="1">
      <alignment/>
      <protection/>
    </xf>
    <xf numFmtId="0" fontId="31" fillId="0" borderId="8" xfId="0" applyFont="1" applyFill="1" applyBorder="1" applyAlignment="1">
      <alignment/>
    </xf>
    <xf numFmtId="0" fontId="0" fillId="0" borderId="3" xfId="0" applyFill="1" applyBorder="1" applyAlignment="1">
      <alignment/>
    </xf>
    <xf numFmtId="0" fontId="10" fillId="0" borderId="0" xfId="0" applyFont="1" applyFill="1" applyBorder="1" applyAlignment="1" applyProtection="1">
      <alignment/>
      <protection/>
    </xf>
    <xf numFmtId="2" fontId="0" fillId="0" borderId="0" xfId="0" applyNumberFormat="1" applyFill="1" applyBorder="1" applyAlignment="1" applyProtection="1">
      <alignment/>
      <protection locked="0"/>
    </xf>
    <xf numFmtId="0" fontId="2" fillId="0" borderId="0" xfId="0" applyFont="1" applyFill="1" applyBorder="1" applyAlignment="1" applyProtection="1">
      <alignment horizontal="center"/>
      <protection/>
    </xf>
    <xf numFmtId="0" fontId="0" fillId="0" borderId="0" xfId="0" applyFill="1" applyBorder="1" applyAlignment="1">
      <alignment/>
    </xf>
    <xf numFmtId="1" fontId="0" fillId="3" borderId="49" xfId="0" applyNumberFormat="1" applyFont="1" applyFill="1" applyBorder="1" applyAlignment="1" applyProtection="1">
      <alignment horizontal="center"/>
      <protection/>
    </xf>
    <xf numFmtId="0" fontId="29" fillId="0" borderId="0"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Alignment="1" applyProtection="1">
      <alignment/>
      <protection/>
    </xf>
    <xf numFmtId="0" fontId="0" fillId="0" borderId="0" xfId="0" applyFont="1" applyBorder="1" applyAlignment="1" applyProtection="1">
      <alignment horizontal="right"/>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0" fillId="0" borderId="39" xfId="0" applyFont="1" applyFill="1" applyBorder="1" applyAlignment="1" applyProtection="1">
      <alignment horizontal="left" wrapText="1"/>
      <protection/>
    </xf>
    <xf numFmtId="0" fontId="4" fillId="0" borderId="39" xfId="0" applyFont="1" applyBorder="1" applyAlignment="1" applyProtection="1">
      <alignment/>
      <protection/>
    </xf>
    <xf numFmtId="0" fontId="4" fillId="0" borderId="53" xfId="0" applyFont="1" applyBorder="1" applyAlignment="1" applyProtection="1">
      <alignment/>
      <protection/>
    </xf>
    <xf numFmtId="0" fontId="4" fillId="0" borderId="53" xfId="0" applyFont="1" applyFill="1" applyBorder="1" applyAlignment="1" applyProtection="1">
      <alignment/>
      <protection/>
    </xf>
    <xf numFmtId="0" fontId="4" fillId="0" borderId="0" xfId="0" applyFont="1" applyFill="1" applyBorder="1" applyAlignment="1" applyProtection="1">
      <alignment horizontal="right"/>
      <protection/>
    </xf>
    <xf numFmtId="164" fontId="0" fillId="0" borderId="53" xfId="0" applyNumberFormat="1" applyFont="1" applyFill="1" applyBorder="1" applyAlignment="1" applyProtection="1">
      <alignment horizontal="left"/>
      <protection/>
    </xf>
    <xf numFmtId="0" fontId="29" fillId="0" borderId="0" xfId="0" applyFont="1" applyFill="1" applyBorder="1" applyAlignment="1" applyProtection="1">
      <alignment/>
      <protection/>
    </xf>
    <xf numFmtId="0" fontId="4" fillId="0" borderId="89" xfId="0" applyFont="1" applyFill="1" applyBorder="1" applyAlignment="1" applyProtection="1">
      <alignment horizontal="center"/>
      <protection/>
    </xf>
    <xf numFmtId="0" fontId="4" fillId="0" borderId="59" xfId="0" applyFont="1" applyFill="1" applyBorder="1" applyAlignment="1" applyProtection="1">
      <alignment horizontal="center"/>
      <protection/>
    </xf>
    <xf numFmtId="0" fontId="4" fillId="0" borderId="90" xfId="0" applyFont="1" applyFill="1" applyBorder="1" applyAlignment="1" applyProtection="1">
      <alignment horizontal="center"/>
      <protection/>
    </xf>
    <xf numFmtId="164" fontId="0" fillId="0" borderId="0" xfId="0" applyNumberFormat="1" applyFont="1" applyFill="1" applyBorder="1" applyAlignment="1" applyProtection="1">
      <alignment horizontal="left"/>
      <protection/>
    </xf>
    <xf numFmtId="0" fontId="4" fillId="0" borderId="0" xfId="0" applyFont="1" applyFill="1" applyBorder="1" applyAlignment="1" applyProtection="1">
      <alignment horizontal="left"/>
      <protection/>
    </xf>
    <xf numFmtId="1" fontId="4" fillId="0" borderId="89" xfId="0" applyNumberFormat="1" applyFont="1" applyFill="1" applyBorder="1" applyAlignment="1" applyProtection="1">
      <alignment horizontal="center"/>
      <protection/>
    </xf>
    <xf numFmtId="1" fontId="4" fillId="0" borderId="59" xfId="0" applyNumberFormat="1" applyFont="1" applyFill="1" applyBorder="1" applyAlignment="1" applyProtection="1">
      <alignment horizontal="center"/>
      <protection/>
    </xf>
    <xf numFmtId="1" fontId="4" fillId="0" borderId="90" xfId="0" applyNumberFormat="1" applyFont="1" applyFill="1" applyBorder="1" applyAlignment="1" applyProtection="1">
      <alignment horizontal="center"/>
      <protection/>
    </xf>
    <xf numFmtId="0" fontId="2" fillId="0" borderId="59" xfId="0" applyFont="1" applyFill="1" applyBorder="1" applyAlignment="1" applyProtection="1">
      <alignment/>
      <protection/>
    </xf>
    <xf numFmtId="0" fontId="0" fillId="0" borderId="59" xfId="0" applyFont="1" applyFill="1" applyBorder="1" applyAlignment="1" applyProtection="1">
      <alignment wrapText="1"/>
      <protection/>
    </xf>
    <xf numFmtId="0" fontId="2" fillId="0" borderId="59" xfId="0" applyFont="1" applyFill="1" applyBorder="1" applyAlignment="1" applyProtection="1">
      <alignment horizontal="center"/>
      <protection/>
    </xf>
    <xf numFmtId="0" fontId="0" fillId="0" borderId="59" xfId="0" applyFont="1" applyFill="1" applyBorder="1" applyAlignment="1" applyProtection="1">
      <alignment/>
      <protection/>
    </xf>
    <xf numFmtId="1" fontId="4" fillId="0" borderId="91" xfId="0" applyNumberFormat="1" applyFont="1" applyFill="1" applyBorder="1" applyAlignment="1" applyProtection="1">
      <alignment horizontal="center"/>
      <protection/>
    </xf>
    <xf numFmtId="1" fontId="4" fillId="0" borderId="0" xfId="0" applyNumberFormat="1" applyFont="1" applyFill="1" applyBorder="1" applyAlignment="1" applyProtection="1">
      <alignment horizontal="center"/>
      <protection/>
    </xf>
    <xf numFmtId="1" fontId="4" fillId="0" borderId="60" xfId="0" applyNumberFormat="1" applyFont="1" applyFill="1" applyBorder="1" applyAlignment="1" applyProtection="1">
      <alignment horizont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horizontal="left" wrapText="1"/>
      <protection/>
    </xf>
    <xf numFmtId="3"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right" wrapText="1"/>
      <protection/>
    </xf>
    <xf numFmtId="3" fontId="28" fillId="0" borderId="13" xfId="0" applyNumberFormat="1" applyFont="1" applyFill="1" applyBorder="1" applyAlignment="1" applyProtection="1">
      <alignment horizontal="center"/>
      <protection/>
    </xf>
    <xf numFmtId="0" fontId="0" fillId="0" borderId="0" xfId="0" applyFont="1" applyFill="1" applyBorder="1" applyAlignment="1" applyProtection="1">
      <alignment wrapText="1"/>
      <protection/>
    </xf>
    <xf numFmtId="0" fontId="4" fillId="0" borderId="92" xfId="0" applyFont="1" applyFill="1" applyBorder="1" applyAlignment="1" applyProtection="1">
      <alignment horizontal="center"/>
      <protection/>
    </xf>
    <xf numFmtId="0" fontId="4" fillId="0" borderId="53" xfId="0" applyFont="1" applyFill="1" applyBorder="1" applyAlignment="1" applyProtection="1">
      <alignment horizontal="center"/>
      <protection/>
    </xf>
    <xf numFmtId="0" fontId="4" fillId="0" borderId="93" xfId="0" applyFont="1" applyFill="1" applyBorder="1" applyAlignment="1" applyProtection="1">
      <alignment horizontal="center"/>
      <protection/>
    </xf>
    <xf numFmtId="1" fontId="4" fillId="0" borderId="0" xfId="0" applyNumberFormat="1" applyFont="1" applyFill="1" applyBorder="1" applyAlignment="1" applyProtection="1">
      <alignment/>
      <protection/>
    </xf>
    <xf numFmtId="1" fontId="0" fillId="0" borderId="21" xfId="0" applyNumberFormat="1" applyFont="1" applyFill="1" applyBorder="1" applyAlignment="1" applyProtection="1">
      <alignment horizontal="center"/>
      <protection/>
    </xf>
    <xf numFmtId="1" fontId="4" fillId="0" borderId="0" xfId="0" applyNumberFormat="1" applyFont="1" applyBorder="1" applyAlignment="1" applyProtection="1">
      <alignment/>
      <protection/>
    </xf>
    <xf numFmtId="1" fontId="0" fillId="0" borderId="0" xfId="0" applyNumberFormat="1" applyFont="1" applyFill="1" applyBorder="1" applyAlignment="1" applyProtection="1">
      <alignment horizontal="center"/>
      <protection/>
    </xf>
    <xf numFmtId="0" fontId="4" fillId="0" borderId="0" xfId="0" applyFont="1" applyBorder="1" applyAlignment="1" applyProtection="1">
      <alignment horizontal="right"/>
      <protection/>
    </xf>
    <xf numFmtId="1" fontId="4" fillId="0" borderId="94" xfId="0" applyNumberFormat="1" applyFont="1" applyBorder="1" applyAlignment="1" applyProtection="1">
      <alignment horizontal="center"/>
      <protection/>
    </xf>
    <xf numFmtId="3" fontId="0" fillId="0" borderId="0" xfId="0" applyNumberFormat="1" applyFont="1" applyBorder="1" applyAlignment="1" applyProtection="1">
      <alignment horizontal="center"/>
      <protection/>
    </xf>
    <xf numFmtId="3" fontId="0" fillId="0" borderId="13" xfId="0" applyNumberFormat="1" applyFont="1" applyFill="1" applyBorder="1" applyAlignment="1" applyProtection="1">
      <alignment horizontal="center"/>
      <protection/>
    </xf>
    <xf numFmtId="0" fontId="17" fillId="0" borderId="0" xfId="0" applyFont="1" applyBorder="1" applyAlignment="1" applyProtection="1">
      <alignment/>
      <protection/>
    </xf>
    <xf numFmtId="0" fontId="2" fillId="0" borderId="95" xfId="0" applyFont="1" applyBorder="1" applyAlignment="1" applyProtection="1">
      <alignment horizontal="center"/>
      <protection/>
    </xf>
    <xf numFmtId="171" fontId="0" fillId="0" borderId="0" xfId="0" applyNumberFormat="1" applyFont="1" applyBorder="1" applyAlignment="1" applyProtection="1">
      <alignment horizontal="center"/>
      <protection/>
    </xf>
    <xf numFmtId="0" fontId="2" fillId="0" borderId="59" xfId="0" applyFont="1" applyBorder="1" applyAlignment="1" applyProtection="1">
      <alignment horizontal="center" vertical="center"/>
      <protection/>
    </xf>
    <xf numFmtId="0" fontId="4" fillId="0" borderId="59" xfId="0" applyFont="1" applyBorder="1" applyAlignment="1" applyProtection="1">
      <alignment/>
      <protection/>
    </xf>
    <xf numFmtId="0" fontId="0" fillId="0" borderId="59"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0" fillId="0" borderId="0" xfId="0" applyFont="1" applyBorder="1" applyAlignment="1" applyProtection="1">
      <alignment/>
      <protection/>
    </xf>
    <xf numFmtId="0" fontId="2" fillId="0" borderId="39" xfId="0" applyFont="1" applyFill="1" applyBorder="1" applyAlignment="1" applyProtection="1">
      <alignment/>
      <protection/>
    </xf>
    <xf numFmtId="0" fontId="12" fillId="0" borderId="39" xfId="0" applyFont="1" applyFill="1" applyBorder="1" applyAlignment="1" applyProtection="1">
      <alignment horizontal="left"/>
      <protection/>
    </xf>
    <xf numFmtId="3" fontId="0" fillId="0" borderId="39" xfId="0" applyNumberFormat="1" applyFont="1" applyFill="1" applyBorder="1" applyAlignment="1" applyProtection="1">
      <alignment horizontal="center"/>
      <protection/>
    </xf>
    <xf numFmtId="0" fontId="0" fillId="0" borderId="39" xfId="0" applyFont="1" applyFill="1" applyBorder="1" applyAlignment="1" applyProtection="1">
      <alignment horizontal="center"/>
      <protection/>
    </xf>
    <xf numFmtId="0" fontId="2" fillId="0" borderId="39" xfId="0" applyFont="1" applyBorder="1" applyAlignment="1" applyProtection="1">
      <alignment horizontal="center"/>
      <protection/>
    </xf>
    <xf numFmtId="0" fontId="15" fillId="0" borderId="0" xfId="0" applyFont="1" applyBorder="1" applyAlignment="1" applyProtection="1">
      <alignment horizontal="center"/>
      <protection/>
    </xf>
    <xf numFmtId="0" fontId="4" fillId="0" borderId="91" xfId="0" applyFont="1" applyBorder="1" applyAlignment="1" applyProtection="1">
      <alignment/>
      <protection/>
    </xf>
    <xf numFmtId="0" fontId="4" fillId="0" borderId="0" xfId="0" applyFont="1" applyFill="1" applyBorder="1" applyAlignment="1" applyProtection="1">
      <alignment/>
      <protection/>
    </xf>
    <xf numFmtId="0" fontId="10" fillId="0" borderId="0" xfId="0" applyFont="1" applyAlignment="1" applyProtection="1">
      <alignment horizontal="center"/>
      <protection/>
    </xf>
    <xf numFmtId="0" fontId="4" fillId="0" borderId="39" xfId="0" applyFont="1" applyBorder="1" applyAlignment="1" applyProtection="1">
      <alignment/>
      <protection/>
    </xf>
    <xf numFmtId="0" fontId="11" fillId="0" borderId="0" xfId="0" applyFont="1" applyFill="1" applyBorder="1" applyAlignment="1" applyProtection="1">
      <alignment horizontal="left"/>
      <protection/>
    </xf>
    <xf numFmtId="175" fontId="4"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left"/>
      <protection/>
    </xf>
    <xf numFmtId="175" fontId="0" fillId="0" borderId="0" xfId="0" applyNumberFormat="1" applyFont="1" applyFill="1" applyBorder="1" applyAlignment="1" applyProtection="1">
      <alignment horizontal="center"/>
      <protection/>
    </xf>
    <xf numFmtId="3" fontId="4" fillId="0" borderId="0" xfId="0" applyNumberFormat="1" applyFont="1" applyBorder="1" applyAlignment="1" applyProtection="1">
      <alignment horizontal="center"/>
      <protection/>
    </xf>
    <xf numFmtId="0" fontId="7" fillId="0" borderId="0" xfId="0" applyFont="1" applyFill="1" applyBorder="1" applyAlignment="1" applyProtection="1">
      <alignment/>
      <protection/>
    </xf>
    <xf numFmtId="175" fontId="4" fillId="0" borderId="0" xfId="0" applyNumberFormat="1" applyFont="1" applyBorder="1" applyAlignment="1" applyProtection="1">
      <alignment horizontal="center"/>
      <protection/>
    </xf>
    <xf numFmtId="3" fontId="19" fillId="0" borderId="0" xfId="0" applyNumberFormat="1" applyFont="1" applyBorder="1" applyAlignment="1" applyProtection="1">
      <alignment horizontal="center"/>
      <protection/>
    </xf>
    <xf numFmtId="1" fontId="4" fillId="0" borderId="0" xfId="0" applyNumberFormat="1" applyFont="1" applyBorder="1" applyAlignment="1" applyProtection="1">
      <alignment horizontal="center"/>
      <protection/>
    </xf>
    <xf numFmtId="0" fontId="4" fillId="0" borderId="0" xfId="0" applyFont="1" applyBorder="1" applyAlignment="1" applyProtection="1">
      <alignment wrapText="1"/>
      <protection/>
    </xf>
    <xf numFmtId="0" fontId="4" fillId="0" borderId="0" xfId="0" applyFont="1" applyBorder="1" applyAlignment="1" applyProtection="1">
      <alignment horizontal="left" wrapText="1"/>
      <protection/>
    </xf>
    <xf numFmtId="3" fontId="4" fillId="0" borderId="0" xfId="0" applyNumberFormat="1" applyFont="1" applyBorder="1" applyAlignment="1" applyProtection="1">
      <alignment horizontal="right"/>
      <protection/>
    </xf>
    <xf numFmtId="175" fontId="4" fillId="0" borderId="0" xfId="0" applyNumberFormat="1" applyFont="1" applyBorder="1" applyAlignment="1" applyProtection="1">
      <alignment horizontal="right"/>
      <protection/>
    </xf>
    <xf numFmtId="3" fontId="19" fillId="0" borderId="0" xfId="0" applyNumberFormat="1" applyFont="1" applyBorder="1" applyAlignment="1" applyProtection="1">
      <alignment horizontal="right"/>
      <protection/>
    </xf>
    <xf numFmtId="1" fontId="4" fillId="0" borderId="0" xfId="0" applyNumberFormat="1" applyFont="1" applyBorder="1" applyAlignment="1" applyProtection="1">
      <alignment horizontal="right"/>
      <protection/>
    </xf>
    <xf numFmtId="0" fontId="7" fillId="4" borderId="51" xfId="0" applyFont="1" applyFill="1" applyBorder="1" applyAlignment="1" applyProtection="1">
      <alignment horizontal="center"/>
      <protection/>
    </xf>
    <xf numFmtId="0" fontId="2" fillId="0" borderId="5"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29" xfId="0" applyFont="1" applyFill="1" applyBorder="1" applyAlignment="1" applyProtection="1">
      <alignment horizontal="center"/>
      <protection/>
    </xf>
    <xf numFmtId="0" fontId="0" fillId="0" borderId="27" xfId="0" applyFont="1" applyFill="1" applyBorder="1" applyAlignment="1">
      <alignment/>
    </xf>
    <xf numFmtId="0" fontId="0" fillId="0" borderId="28" xfId="0" applyFont="1" applyFill="1" applyBorder="1" applyAlignment="1" applyProtection="1">
      <alignment/>
      <protection/>
    </xf>
    <xf numFmtId="0" fontId="0" fillId="0" borderId="51" xfId="0" applyFont="1" applyFill="1" applyBorder="1" applyAlignment="1" applyProtection="1">
      <alignment horizontal="center"/>
      <protection/>
    </xf>
    <xf numFmtId="0" fontId="10" fillId="0" borderId="32" xfId="0" applyFont="1" applyFill="1" applyBorder="1" applyAlignment="1" applyProtection="1">
      <alignment horizontal="center"/>
      <protection/>
    </xf>
    <xf numFmtId="0" fontId="0" fillId="0" borderId="0" xfId="0" applyFont="1" applyFill="1" applyAlignment="1" applyProtection="1">
      <alignment/>
      <protection/>
    </xf>
    <xf numFmtId="0" fontId="4" fillId="0" borderId="0" xfId="0" applyFont="1" applyFill="1" applyAlignment="1" applyProtection="1">
      <alignment/>
      <protection/>
    </xf>
    <xf numFmtId="171" fontId="0" fillId="0" borderId="0" xfId="0" applyNumberFormat="1" applyFont="1" applyFill="1" applyAlignment="1" applyProtection="1">
      <alignment horizontal="center"/>
      <protection/>
    </xf>
    <xf numFmtId="0" fontId="2" fillId="0" borderId="0" xfId="0" applyFont="1" applyFill="1" applyAlignment="1" applyProtection="1">
      <alignment/>
      <protection/>
    </xf>
    <xf numFmtId="167" fontId="0"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58" fillId="0" borderId="0" xfId="0" applyFont="1" applyFill="1" applyAlignment="1" applyProtection="1">
      <alignment/>
      <protection/>
    </xf>
    <xf numFmtId="0" fontId="0" fillId="0" borderId="0" xfId="0" applyFont="1" applyFill="1" applyAlignment="1" applyProtection="1">
      <alignment horizontal="center"/>
      <protection/>
    </xf>
    <xf numFmtId="0" fontId="4" fillId="0" borderId="21" xfId="0" applyFont="1" applyFill="1" applyBorder="1" applyAlignment="1" applyProtection="1">
      <alignment/>
      <protection/>
    </xf>
    <xf numFmtId="37" fontId="2" fillId="0" borderId="8" xfId="0" applyNumberFormat="1"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171" fontId="0" fillId="0" borderId="49" xfId="0" applyNumberFormat="1" applyFont="1" applyFill="1" applyBorder="1" applyAlignment="1" applyProtection="1">
      <alignment horizontal="center"/>
      <protection/>
    </xf>
    <xf numFmtId="38" fontId="0" fillId="0" borderId="13" xfId="0" applyNumberFormat="1" applyFont="1" applyFill="1" applyBorder="1" applyAlignment="1" applyProtection="1">
      <alignment horizontal="center"/>
      <protection/>
    </xf>
    <xf numFmtId="0" fontId="12" fillId="0" borderId="0" xfId="0" applyFont="1" applyFill="1" applyBorder="1" applyAlignment="1" applyProtection="1">
      <alignment/>
      <protection/>
    </xf>
    <xf numFmtId="0" fontId="4" fillId="0" borderId="96" xfId="0" applyFont="1" applyFill="1" applyBorder="1" applyAlignment="1" applyProtection="1">
      <alignment/>
      <protection/>
    </xf>
    <xf numFmtId="171" fontId="4" fillId="0" borderId="94" xfId="0" applyNumberFormat="1" applyFont="1" applyFill="1" applyBorder="1" applyAlignment="1" applyProtection="1">
      <alignment horizontal="center"/>
      <protection/>
    </xf>
    <xf numFmtId="171" fontId="4" fillId="0" borderId="39" xfId="0" applyNumberFormat="1" applyFont="1" applyFill="1" applyBorder="1" applyAlignment="1" applyProtection="1">
      <alignment horizontal="center"/>
      <protection/>
    </xf>
    <xf numFmtId="171" fontId="4" fillId="0" borderId="97" xfId="0" applyNumberFormat="1" applyFont="1" applyFill="1" applyBorder="1" applyAlignment="1" applyProtection="1">
      <alignment horizontal="center"/>
      <protection/>
    </xf>
    <xf numFmtId="0" fontId="4" fillId="0" borderId="94" xfId="0" applyFont="1" applyFill="1" applyBorder="1" applyAlignment="1" applyProtection="1">
      <alignment horizontal="center"/>
      <protection/>
    </xf>
    <xf numFmtId="0" fontId="4" fillId="0" borderId="39" xfId="0" applyFont="1" applyFill="1" applyBorder="1" applyAlignment="1" applyProtection="1">
      <alignment horizontal="center"/>
      <protection/>
    </xf>
    <xf numFmtId="0" fontId="4" fillId="0" borderId="97" xfId="0" applyFont="1" applyFill="1" applyBorder="1" applyAlignment="1" applyProtection="1">
      <alignment horizontal="center"/>
      <protection/>
    </xf>
    <xf numFmtId="1" fontId="4" fillId="0" borderId="94" xfId="0" applyNumberFormat="1" applyFont="1" applyFill="1" applyBorder="1" applyAlignment="1" applyProtection="1">
      <alignment horizontal="center"/>
      <protection/>
    </xf>
    <xf numFmtId="1" fontId="4" fillId="0" borderId="39" xfId="0" applyNumberFormat="1" applyFont="1" applyFill="1" applyBorder="1" applyAlignment="1" applyProtection="1">
      <alignment horizontal="center"/>
      <protection/>
    </xf>
    <xf numFmtId="1" fontId="4" fillId="0" borderId="97" xfId="0" applyNumberFormat="1" applyFont="1" applyFill="1" applyBorder="1" applyAlignment="1" applyProtection="1">
      <alignment horizontal="center"/>
      <protection/>
    </xf>
    <xf numFmtId="37" fontId="0" fillId="0" borderId="39" xfId="0" applyNumberFormat="1" applyFont="1" applyFill="1" applyBorder="1" applyAlignment="1" applyProtection="1">
      <alignment horizontal="center"/>
      <protection/>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Border="1" applyAlignment="1">
      <alignment horizontal="left"/>
    </xf>
    <xf numFmtId="198" fontId="0" fillId="0" borderId="23" xfId="0" applyNumberFormat="1" applyFill="1" applyBorder="1" applyAlignment="1">
      <alignment horizontal="left"/>
    </xf>
    <xf numFmtId="198" fontId="0" fillId="0" borderId="0" xfId="0" applyNumberFormat="1" applyFill="1" applyAlignment="1">
      <alignment horizontal="left"/>
    </xf>
    <xf numFmtId="0" fontId="0" fillId="0" borderId="0" xfId="0" applyFont="1" applyBorder="1" applyAlignment="1" applyProtection="1">
      <alignment/>
      <protection/>
    </xf>
    <xf numFmtId="0" fontId="0" fillId="0" borderId="0" xfId="0" applyAlignment="1" applyProtection="1">
      <alignment/>
      <protection/>
    </xf>
    <xf numFmtId="0" fontId="0" fillId="0" borderId="39" xfId="0" applyFont="1" applyBorder="1" applyAlignment="1" applyProtection="1">
      <alignment/>
      <protection/>
    </xf>
    <xf numFmtId="0" fontId="0" fillId="0" borderId="39" xfId="0" applyBorder="1" applyAlignment="1" applyProtection="1">
      <alignment/>
      <protection/>
    </xf>
    <xf numFmtId="0" fontId="0" fillId="0" borderId="59" xfId="0" applyFont="1" applyBorder="1" applyAlignment="1" applyProtection="1">
      <alignment/>
      <protection/>
    </xf>
    <xf numFmtId="0" fontId="0" fillId="0" borderId="59" xfId="0" applyBorder="1" applyAlignment="1" applyProtection="1">
      <alignment/>
      <protection/>
    </xf>
    <xf numFmtId="0" fontId="0" fillId="0" borderId="28" xfId="0" applyBorder="1" applyAlignment="1" applyProtection="1">
      <alignment horizontal="center"/>
      <protection/>
    </xf>
    <xf numFmtId="0" fontId="0" fillId="0" borderId="0" xfId="0" applyAlignment="1">
      <alignment/>
    </xf>
    <xf numFmtId="1" fontId="0" fillId="0" borderId="55" xfId="0" applyNumberFormat="1" applyBorder="1" applyAlignment="1">
      <alignment horizontal="center" wrapText="1"/>
    </xf>
    <xf numFmtId="1" fontId="0" fillId="0" borderId="56" xfId="0" applyNumberFormat="1" applyBorder="1" applyAlignment="1">
      <alignment horizontal="center" wrapText="1"/>
    </xf>
    <xf numFmtId="0" fontId="0" fillId="0" borderId="98" xfId="0" applyBorder="1" applyAlignment="1">
      <alignment horizontal="center" wrapText="1"/>
    </xf>
    <xf numFmtId="0" fontId="0" fillId="0" borderId="35" xfId="0" applyBorder="1" applyAlignment="1">
      <alignment horizontal="center" wrapText="1"/>
    </xf>
    <xf numFmtId="0" fontId="0" fillId="0" borderId="44" xfId="0" applyBorder="1" applyAlignment="1">
      <alignment horizontal="center" wrapText="1"/>
    </xf>
    <xf numFmtId="0" fontId="0" fillId="0" borderId="46" xfId="0" applyBorder="1" applyAlignment="1">
      <alignment horizontal="center" wrapText="1"/>
    </xf>
    <xf numFmtId="0" fontId="0" fillId="0" borderId="61" xfId="0" applyBorder="1" applyAlignment="1">
      <alignment horizontal="center"/>
    </xf>
    <xf numFmtId="0" fontId="0" fillId="0" borderId="0" xfId="0" applyBorder="1" applyAlignment="1">
      <alignment horizontal="center"/>
    </xf>
    <xf numFmtId="0" fontId="0" fillId="0" borderId="62" xfId="0" applyBorder="1" applyAlignment="1">
      <alignment horizontal="center"/>
    </xf>
    <xf numFmtId="0" fontId="35" fillId="0" borderId="0" xfId="0" applyFont="1" applyBorder="1" applyAlignment="1" applyProtection="1">
      <alignment horizontal="center"/>
      <protection/>
    </xf>
    <xf numFmtId="0" fontId="35"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61" xfId="0" applyFont="1" applyBorder="1" applyAlignment="1">
      <alignment horizontal="center" vertical="center"/>
    </xf>
    <xf numFmtId="0" fontId="2" fillId="0" borderId="0" xfId="0" applyFont="1" applyBorder="1" applyAlignment="1">
      <alignment horizontal="center" vertical="center"/>
    </xf>
    <xf numFmtId="0" fontId="2" fillId="0" borderId="62"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8" xfId="0" applyFont="1" applyBorder="1" applyAlignment="1">
      <alignment horizontal="center"/>
    </xf>
    <xf numFmtId="0" fontId="2" fillId="0" borderId="11" xfId="0" applyFont="1" applyBorder="1" applyAlignment="1">
      <alignment horizontal="center"/>
    </xf>
    <xf numFmtId="0" fontId="2" fillId="0" borderId="102" xfId="0" applyFont="1" applyBorder="1" applyAlignment="1">
      <alignment horizontal="center"/>
    </xf>
    <xf numFmtId="0" fontId="2" fillId="0" borderId="103" xfId="0" applyFont="1" applyBorder="1" applyAlignment="1">
      <alignment horizontal="center"/>
    </xf>
    <xf numFmtId="0" fontId="0" fillId="0" borderId="27" xfId="0" applyBorder="1" applyAlignment="1" applyProtection="1">
      <alignment horizontal="center"/>
      <protection/>
    </xf>
    <xf numFmtId="0" fontId="0" fillId="0" borderId="10" xfId="0"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10" fillId="0" borderId="0" xfId="0" applyFont="1" applyBorder="1" applyAlignment="1" applyProtection="1" quotePrefix="1">
      <alignment horizontal="center"/>
      <protection/>
    </xf>
    <xf numFmtId="0" fontId="10" fillId="0" borderId="60" xfId="0" applyFont="1" applyBorder="1" applyAlignment="1" applyProtection="1" quotePrefix="1">
      <alignment horizontal="center"/>
      <protection/>
    </xf>
    <xf numFmtId="3" fontId="0" fillId="0" borderId="13" xfId="0" applyNumberFormat="1" applyFont="1" applyFill="1" applyBorder="1" applyAlignment="1" applyProtection="1">
      <alignment horizontal="center"/>
      <protection/>
    </xf>
    <xf numFmtId="3" fontId="0" fillId="0" borderId="104" xfId="0" applyNumberFormat="1" applyFont="1" applyFill="1" applyBorder="1" applyAlignment="1" applyProtection="1">
      <alignment horizontal="center"/>
      <protection/>
    </xf>
    <xf numFmtId="0" fontId="0" fillId="0" borderId="53" xfId="0" applyFont="1" applyFill="1" applyBorder="1" applyAlignment="1" applyProtection="1">
      <alignment horizontal="center"/>
      <protection/>
    </xf>
    <xf numFmtId="0" fontId="2" fillId="0" borderId="105"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60" xfId="0" applyFont="1" applyBorder="1" applyAlignment="1" applyProtection="1">
      <alignment horizontal="center"/>
      <protection/>
    </xf>
    <xf numFmtId="0" fontId="10" fillId="0" borderId="39" xfId="0" applyFont="1" applyBorder="1" applyAlignment="1" applyProtection="1" quotePrefix="1">
      <alignment horizontal="center"/>
      <protection/>
    </xf>
    <xf numFmtId="0" fontId="10" fillId="0" borderId="97" xfId="0" applyFont="1" applyBorder="1" applyAlignment="1" applyProtection="1" quotePrefix="1">
      <alignment horizontal="center"/>
      <protection/>
    </xf>
    <xf numFmtId="3" fontId="0" fillId="0" borderId="21" xfId="0" applyNumberFormat="1" applyFont="1" applyFill="1" applyBorder="1" applyAlignment="1" applyProtection="1">
      <alignment horizontal="center"/>
      <protection/>
    </xf>
    <xf numFmtId="3" fontId="28" fillId="0" borderId="13" xfId="0" applyNumberFormat="1" applyFont="1" applyFill="1" applyBorder="1" applyAlignment="1" applyProtection="1">
      <alignment horizontal="center"/>
      <protection/>
    </xf>
    <xf numFmtId="3" fontId="0" fillId="0" borderId="0" xfId="0" applyNumberFormat="1" applyFont="1" applyFill="1" applyBorder="1" applyAlignment="1" applyProtection="1">
      <alignment horizontal="center"/>
      <protection/>
    </xf>
    <xf numFmtId="0" fontId="2" fillId="0" borderId="34" xfId="0"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37" fontId="24" fillId="0" borderId="0" xfId="0" applyNumberFormat="1" applyFont="1" applyFill="1" applyBorder="1" applyAlignment="1" applyProtection="1">
      <alignment horizontal="center"/>
      <protection/>
    </xf>
    <xf numFmtId="1" fontId="0" fillId="0" borderId="21" xfId="0" applyNumberFormat="1" applyFont="1" applyFill="1" applyBorder="1" applyAlignment="1" applyProtection="1">
      <alignment horizontal="center"/>
      <protection/>
    </xf>
    <xf numFmtId="0" fontId="35" fillId="0" borderId="0" xfId="0" applyFont="1" applyAlignment="1" applyProtection="1">
      <alignment horizontal="center"/>
      <protection/>
    </xf>
    <xf numFmtId="0" fontId="29" fillId="0" borderId="0" xfId="0" applyFont="1" applyBorder="1" applyAlignment="1" applyProtection="1">
      <alignment horizontal="center"/>
      <protection/>
    </xf>
    <xf numFmtId="0" fontId="0" fillId="0" borderId="0" xfId="0" applyAlignment="1" applyProtection="1">
      <alignment horizontal="center"/>
      <protection/>
    </xf>
    <xf numFmtId="0" fontId="30" fillId="0" borderId="106" xfId="0" applyFont="1" applyFill="1" applyBorder="1" applyAlignment="1" applyProtection="1">
      <alignment/>
      <protection/>
    </xf>
    <xf numFmtId="0" fontId="0" fillId="0" borderId="107" xfId="0" applyBorder="1" applyAlignment="1" applyProtection="1">
      <alignment/>
      <protection/>
    </xf>
    <xf numFmtId="0" fontId="0" fillId="0" borderId="108" xfId="0" applyBorder="1" applyAlignment="1" applyProtection="1">
      <alignment/>
      <protection/>
    </xf>
    <xf numFmtId="0" fontId="0" fillId="0" borderId="104" xfId="0" applyFont="1" applyBorder="1" applyAlignment="1" applyProtection="1">
      <alignment horizontal="center"/>
      <protection/>
    </xf>
    <xf numFmtId="198" fontId="0" fillId="0" borderId="0" xfId="0" applyNumberFormat="1" applyFill="1" applyBorder="1" applyAlignment="1" applyProtection="1">
      <alignment horizontal="left"/>
      <protection/>
    </xf>
    <xf numFmtId="194" fontId="10" fillId="0" borderId="0" xfId="0" applyNumberFormat="1" applyFont="1" applyFill="1" applyAlignment="1" applyProtection="1">
      <alignment horizontal="left"/>
      <protection/>
    </xf>
    <xf numFmtId="194" fontId="0" fillId="0" borderId="0" xfId="0" applyNumberFormat="1" applyFill="1" applyAlignment="1" applyProtection="1">
      <alignment horizontal="left"/>
      <protection/>
    </xf>
    <xf numFmtId="193" fontId="0" fillId="0" borderId="0" xfId="0" applyNumberFormat="1" applyFont="1" applyFill="1" applyAlignment="1" applyProtection="1">
      <alignment horizontal="left"/>
      <protection/>
    </xf>
    <xf numFmtId="193" fontId="0" fillId="0" borderId="0" xfId="0" applyNumberFormat="1" applyFill="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left"/>
      <protection/>
    </xf>
    <xf numFmtId="0" fontId="36" fillId="0" borderId="53" xfId="0" applyFont="1" applyBorder="1" applyAlignment="1" applyProtection="1">
      <alignment horizontal="center"/>
      <protection/>
    </xf>
    <xf numFmtId="0" fontId="0" fillId="0" borderId="23" xfId="0" applyFont="1" applyBorder="1" applyAlignment="1">
      <alignment horizontal="center"/>
    </xf>
    <xf numFmtId="0" fontId="0" fillId="0" borderId="24" xfId="0" applyFont="1" applyBorder="1" applyAlignment="1">
      <alignment horizontal="center"/>
    </xf>
    <xf numFmtId="1" fontId="0" fillId="0" borderId="17" xfId="0" applyNumberFormat="1" applyBorder="1" applyAlignment="1">
      <alignment horizontal="center" wrapText="1"/>
    </xf>
    <xf numFmtId="1" fontId="0" fillId="0" borderId="26" xfId="0" applyNumberFormat="1" applyBorder="1" applyAlignment="1">
      <alignment horizontal="center" wrapText="1"/>
    </xf>
    <xf numFmtId="0" fontId="0" fillId="0" borderId="26" xfId="0" applyBorder="1" applyAlignment="1">
      <alignment horizontal="center" wrapText="1"/>
    </xf>
    <xf numFmtId="0" fontId="0" fillId="0" borderId="18" xfId="0" applyBorder="1" applyAlignment="1">
      <alignment horizontal="center" wrapText="1"/>
    </xf>
    <xf numFmtId="0" fontId="0" fillId="0" borderId="17" xfId="0" applyBorder="1" applyAlignment="1">
      <alignment horizontal="center" wrapText="1"/>
    </xf>
    <xf numFmtId="0" fontId="0" fillId="0" borderId="0" xfId="0" applyFont="1" applyAlignment="1">
      <alignment horizontal="right"/>
    </xf>
    <xf numFmtId="14" fontId="48" fillId="0" borderId="0" xfId="0" applyNumberFormat="1" applyFont="1" applyAlignment="1" applyProtection="1">
      <alignment horizontal="left"/>
      <protection/>
    </xf>
    <xf numFmtId="0" fontId="2" fillId="0" borderId="5"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6" xfId="0" applyFont="1" applyBorder="1" applyAlignment="1" applyProtection="1">
      <alignment horizontal="center"/>
      <protection/>
    </xf>
    <xf numFmtId="0" fontId="35" fillId="0" borderId="0" xfId="0" applyFont="1" applyBorder="1" applyAlignment="1">
      <alignment horizontal="center"/>
    </xf>
    <xf numFmtId="0" fontId="0" fillId="0" borderId="109" xfId="0" applyFont="1" applyBorder="1" applyAlignment="1">
      <alignment horizontal="center" vertical="center" wrapText="1"/>
    </xf>
    <xf numFmtId="0" fontId="0"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 fillId="0" borderId="5" xfId="0" applyFont="1" applyBorder="1" applyAlignment="1" applyProtection="1">
      <alignment horizontal="center"/>
      <protection/>
    </xf>
    <xf numFmtId="0" fontId="1" fillId="0" borderId="6" xfId="0" applyFont="1" applyBorder="1" applyAlignment="1" applyProtection="1">
      <alignment horizontal="center"/>
      <protection/>
    </xf>
    <xf numFmtId="0" fontId="2" fillId="0" borderId="10" xfId="0" applyFont="1" applyBorder="1" applyAlignment="1" applyProtection="1">
      <alignment horizontal="left" vertical="center"/>
      <protection/>
    </xf>
    <xf numFmtId="0" fontId="2" fillId="0" borderId="8" xfId="0" applyFont="1" applyBorder="1" applyAlignment="1" applyProtection="1">
      <alignment horizontal="left" vertical="center"/>
      <protection/>
    </xf>
    <xf numFmtId="0" fontId="7" fillId="6" borderId="51" xfId="0" applyFont="1" applyFill="1" applyBorder="1" applyAlignment="1" applyProtection="1">
      <alignment horizontal="center"/>
      <protection locked="0"/>
    </xf>
  </cellXfs>
  <cellStyles count="10">
    <cellStyle name="Normal" xfId="0"/>
    <cellStyle name="Comma" xfId="15"/>
    <cellStyle name="Comma [0]" xfId="16"/>
    <cellStyle name="Currency" xfId="17"/>
    <cellStyle name="Currency [0]" xfId="18"/>
    <cellStyle name="Data" xfId="19"/>
    <cellStyle name="Followed Hyperlink" xfId="20"/>
    <cellStyle name="Hyperlink" xfId="21"/>
    <cellStyle name="Percent" xfId="22"/>
    <cellStyle name="tes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47</xdr:row>
      <xdr:rowOff>0</xdr:rowOff>
    </xdr:from>
    <xdr:to>
      <xdr:col>10</xdr:col>
      <xdr:colOff>400050</xdr:colOff>
      <xdr:row>47</xdr:row>
      <xdr:rowOff>0</xdr:rowOff>
    </xdr:to>
    <xdr:sp>
      <xdr:nvSpPr>
        <xdr:cNvPr id="1" name="Line 90"/>
        <xdr:cNvSpPr>
          <a:spLocks/>
        </xdr:cNvSpPr>
      </xdr:nvSpPr>
      <xdr:spPr>
        <a:xfrm>
          <a:off x="8696325" y="94392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400050</xdr:colOff>
      <xdr:row>44</xdr:row>
      <xdr:rowOff>0</xdr:rowOff>
    </xdr:from>
    <xdr:to>
      <xdr:col>12</xdr:col>
      <xdr:colOff>228600</xdr:colOff>
      <xdr:row>47</xdr:row>
      <xdr:rowOff>0</xdr:rowOff>
    </xdr:to>
    <xdr:sp>
      <xdr:nvSpPr>
        <xdr:cNvPr id="2" name="Line 91"/>
        <xdr:cNvSpPr>
          <a:spLocks/>
        </xdr:cNvSpPr>
      </xdr:nvSpPr>
      <xdr:spPr>
        <a:xfrm flipV="1">
          <a:off x="9029700" y="8867775"/>
          <a:ext cx="26860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228600</xdr:colOff>
      <xdr:row>44</xdr:row>
      <xdr:rowOff>0</xdr:rowOff>
    </xdr:from>
    <xdr:to>
      <xdr:col>13</xdr:col>
      <xdr:colOff>180975</xdr:colOff>
      <xdr:row>44</xdr:row>
      <xdr:rowOff>0</xdr:rowOff>
    </xdr:to>
    <xdr:sp>
      <xdr:nvSpPr>
        <xdr:cNvPr id="3" name="Line 92"/>
        <xdr:cNvSpPr>
          <a:spLocks/>
        </xdr:cNvSpPr>
      </xdr:nvSpPr>
      <xdr:spPr>
        <a:xfrm>
          <a:off x="11715750" y="88677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180975</xdr:colOff>
      <xdr:row>44</xdr:row>
      <xdr:rowOff>0</xdr:rowOff>
    </xdr:from>
    <xdr:to>
      <xdr:col>15</xdr:col>
      <xdr:colOff>209550</xdr:colOff>
      <xdr:row>50</xdr:row>
      <xdr:rowOff>0</xdr:rowOff>
    </xdr:to>
    <xdr:sp>
      <xdr:nvSpPr>
        <xdr:cNvPr id="4" name="Line 93"/>
        <xdr:cNvSpPr>
          <a:spLocks/>
        </xdr:cNvSpPr>
      </xdr:nvSpPr>
      <xdr:spPr>
        <a:xfrm>
          <a:off x="12506325" y="8867775"/>
          <a:ext cx="2085975"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50</xdr:row>
      <xdr:rowOff>0</xdr:rowOff>
    </xdr:from>
    <xdr:to>
      <xdr:col>16</xdr:col>
      <xdr:colOff>104775</xdr:colOff>
      <xdr:row>50</xdr:row>
      <xdr:rowOff>0</xdr:rowOff>
    </xdr:to>
    <xdr:sp>
      <xdr:nvSpPr>
        <xdr:cNvPr id="5" name="Line 94"/>
        <xdr:cNvSpPr>
          <a:spLocks/>
        </xdr:cNvSpPr>
      </xdr:nvSpPr>
      <xdr:spPr>
        <a:xfrm>
          <a:off x="14592300" y="100107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638175</xdr:colOff>
      <xdr:row>45</xdr:row>
      <xdr:rowOff>47625</xdr:rowOff>
    </xdr:from>
    <xdr:to>
      <xdr:col>16</xdr:col>
      <xdr:colOff>95250</xdr:colOff>
      <xdr:row>45</xdr:row>
      <xdr:rowOff>47625</xdr:rowOff>
    </xdr:to>
    <xdr:sp>
      <xdr:nvSpPr>
        <xdr:cNvPr id="6" name="Line 95"/>
        <xdr:cNvSpPr>
          <a:spLocks/>
        </xdr:cNvSpPr>
      </xdr:nvSpPr>
      <xdr:spPr>
        <a:xfrm flipH="1">
          <a:off x="12963525" y="9105900"/>
          <a:ext cx="2466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457200</xdr:colOff>
      <xdr:row>44</xdr:row>
      <xdr:rowOff>0</xdr:rowOff>
    </xdr:from>
    <xdr:to>
      <xdr:col>16</xdr:col>
      <xdr:colOff>504825</xdr:colOff>
      <xdr:row>44</xdr:row>
      <xdr:rowOff>0</xdr:rowOff>
    </xdr:to>
    <xdr:sp>
      <xdr:nvSpPr>
        <xdr:cNvPr id="7" name="Line 96"/>
        <xdr:cNvSpPr>
          <a:spLocks/>
        </xdr:cNvSpPr>
      </xdr:nvSpPr>
      <xdr:spPr>
        <a:xfrm flipV="1">
          <a:off x="12782550" y="8867775"/>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219075</xdr:colOff>
      <xdr:row>50</xdr:row>
      <xdr:rowOff>0</xdr:rowOff>
    </xdr:from>
    <xdr:to>
      <xdr:col>16</xdr:col>
      <xdr:colOff>495300</xdr:colOff>
      <xdr:row>50</xdr:row>
      <xdr:rowOff>0</xdr:rowOff>
    </xdr:to>
    <xdr:sp>
      <xdr:nvSpPr>
        <xdr:cNvPr id="8" name="Line 97"/>
        <xdr:cNvSpPr>
          <a:spLocks/>
        </xdr:cNvSpPr>
      </xdr:nvSpPr>
      <xdr:spPr>
        <a:xfrm>
          <a:off x="15554325" y="100107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809625</xdr:colOff>
      <xdr:row>46</xdr:row>
      <xdr:rowOff>0</xdr:rowOff>
    </xdr:from>
    <xdr:to>
      <xdr:col>12</xdr:col>
      <xdr:colOff>19050</xdr:colOff>
      <xdr:row>46</xdr:row>
      <xdr:rowOff>0</xdr:rowOff>
    </xdr:to>
    <xdr:sp>
      <xdr:nvSpPr>
        <xdr:cNvPr id="9" name="Line 98"/>
        <xdr:cNvSpPr>
          <a:spLocks/>
        </xdr:cNvSpPr>
      </xdr:nvSpPr>
      <xdr:spPr>
        <a:xfrm>
          <a:off x="10277475" y="924877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44</xdr:row>
      <xdr:rowOff>114300</xdr:rowOff>
    </xdr:from>
    <xdr:to>
      <xdr:col>12</xdr:col>
      <xdr:colOff>19050</xdr:colOff>
      <xdr:row>46</xdr:row>
      <xdr:rowOff>0</xdr:rowOff>
    </xdr:to>
    <xdr:sp>
      <xdr:nvSpPr>
        <xdr:cNvPr id="10" name="Line 99"/>
        <xdr:cNvSpPr>
          <a:spLocks/>
        </xdr:cNvSpPr>
      </xdr:nvSpPr>
      <xdr:spPr>
        <a:xfrm flipV="1">
          <a:off x="11506200" y="89820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48</xdr:row>
      <xdr:rowOff>0</xdr:rowOff>
    </xdr:from>
    <xdr:to>
      <xdr:col>14</xdr:col>
      <xdr:colOff>228600</xdr:colOff>
      <xdr:row>48</xdr:row>
      <xdr:rowOff>0</xdr:rowOff>
    </xdr:to>
    <xdr:sp>
      <xdr:nvSpPr>
        <xdr:cNvPr id="11" name="Line 100"/>
        <xdr:cNvSpPr>
          <a:spLocks/>
        </xdr:cNvSpPr>
      </xdr:nvSpPr>
      <xdr:spPr>
        <a:xfrm flipH="1">
          <a:off x="12849225" y="96297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45</xdr:row>
      <xdr:rowOff>85725</xdr:rowOff>
    </xdr:from>
    <xdr:to>
      <xdr:col>13</xdr:col>
      <xdr:colOff>523875</xdr:colOff>
      <xdr:row>48</xdr:row>
      <xdr:rowOff>0</xdr:rowOff>
    </xdr:to>
    <xdr:sp>
      <xdr:nvSpPr>
        <xdr:cNvPr id="12" name="Line 101"/>
        <xdr:cNvSpPr>
          <a:spLocks/>
        </xdr:cNvSpPr>
      </xdr:nvSpPr>
      <xdr:spPr>
        <a:xfrm flipV="1">
          <a:off x="12849225" y="914400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42</xdr:row>
      <xdr:rowOff>0</xdr:rowOff>
    </xdr:from>
    <xdr:to>
      <xdr:col>12</xdr:col>
      <xdr:colOff>209550</xdr:colOff>
      <xdr:row>43</xdr:row>
      <xdr:rowOff>57150</xdr:rowOff>
    </xdr:to>
    <xdr:sp>
      <xdr:nvSpPr>
        <xdr:cNvPr id="13" name="Line 106"/>
        <xdr:cNvSpPr>
          <a:spLocks/>
        </xdr:cNvSpPr>
      </xdr:nvSpPr>
      <xdr:spPr>
        <a:xfrm flipV="1">
          <a:off x="11696700" y="8486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190500</xdr:colOff>
      <xdr:row>42</xdr:row>
      <xdr:rowOff>0</xdr:rowOff>
    </xdr:from>
    <xdr:to>
      <xdr:col>13</xdr:col>
      <xdr:colOff>190500</xdr:colOff>
      <xdr:row>43</xdr:row>
      <xdr:rowOff>57150</xdr:rowOff>
    </xdr:to>
    <xdr:sp>
      <xdr:nvSpPr>
        <xdr:cNvPr id="14" name="Line 107"/>
        <xdr:cNvSpPr>
          <a:spLocks/>
        </xdr:cNvSpPr>
      </xdr:nvSpPr>
      <xdr:spPr>
        <a:xfrm flipV="1">
          <a:off x="12515850" y="84867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43</xdr:row>
      <xdr:rowOff>152400</xdr:rowOff>
    </xdr:from>
    <xdr:to>
      <xdr:col>11</xdr:col>
      <xdr:colOff>542925</xdr:colOff>
      <xdr:row>43</xdr:row>
      <xdr:rowOff>152400</xdr:rowOff>
    </xdr:to>
    <xdr:sp>
      <xdr:nvSpPr>
        <xdr:cNvPr id="15" name="Line 108"/>
        <xdr:cNvSpPr>
          <a:spLocks/>
        </xdr:cNvSpPr>
      </xdr:nvSpPr>
      <xdr:spPr>
        <a:xfrm flipH="1" flipV="1">
          <a:off x="8705850" y="882967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47</xdr:row>
      <xdr:rowOff>0</xdr:rowOff>
    </xdr:from>
    <xdr:to>
      <xdr:col>10</xdr:col>
      <xdr:colOff>200025</xdr:colOff>
      <xdr:row>47</xdr:row>
      <xdr:rowOff>95250</xdr:rowOff>
    </xdr:to>
    <xdr:sp>
      <xdr:nvSpPr>
        <xdr:cNvPr id="16" name="Line 109"/>
        <xdr:cNvSpPr>
          <a:spLocks/>
        </xdr:cNvSpPr>
      </xdr:nvSpPr>
      <xdr:spPr>
        <a:xfrm flipH="1">
          <a:off x="8763000" y="9439275"/>
          <a:ext cx="666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51</xdr:row>
      <xdr:rowOff>152400</xdr:rowOff>
    </xdr:from>
    <xdr:to>
      <xdr:col>10</xdr:col>
      <xdr:colOff>95250</xdr:colOff>
      <xdr:row>51</xdr:row>
      <xdr:rowOff>152400</xdr:rowOff>
    </xdr:to>
    <xdr:sp>
      <xdr:nvSpPr>
        <xdr:cNvPr id="17" name="Line 110"/>
        <xdr:cNvSpPr>
          <a:spLocks/>
        </xdr:cNvSpPr>
      </xdr:nvSpPr>
      <xdr:spPr>
        <a:xfrm>
          <a:off x="8724900" y="1035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47</xdr:row>
      <xdr:rowOff>9525</xdr:rowOff>
    </xdr:from>
    <xdr:to>
      <xdr:col>10</xdr:col>
      <xdr:colOff>247650</xdr:colOff>
      <xdr:row>47</xdr:row>
      <xdr:rowOff>114300</xdr:rowOff>
    </xdr:to>
    <xdr:sp>
      <xdr:nvSpPr>
        <xdr:cNvPr id="18" name="Line 111"/>
        <xdr:cNvSpPr>
          <a:spLocks/>
        </xdr:cNvSpPr>
      </xdr:nvSpPr>
      <xdr:spPr>
        <a:xfrm flipH="1">
          <a:off x="8801100" y="9448800"/>
          <a:ext cx="762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228600</xdr:colOff>
      <xdr:row>47</xdr:row>
      <xdr:rowOff>57150</xdr:rowOff>
    </xdr:from>
    <xdr:to>
      <xdr:col>10</xdr:col>
      <xdr:colOff>247650</xdr:colOff>
      <xdr:row>47</xdr:row>
      <xdr:rowOff>114300</xdr:rowOff>
    </xdr:to>
    <xdr:sp>
      <xdr:nvSpPr>
        <xdr:cNvPr id="19" name="Line 112"/>
        <xdr:cNvSpPr>
          <a:spLocks/>
        </xdr:cNvSpPr>
      </xdr:nvSpPr>
      <xdr:spPr>
        <a:xfrm>
          <a:off x="8858250" y="9496425"/>
          <a:ext cx="190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47</xdr:row>
      <xdr:rowOff>9525</xdr:rowOff>
    </xdr:from>
    <xdr:to>
      <xdr:col>10</xdr:col>
      <xdr:colOff>323850</xdr:colOff>
      <xdr:row>47</xdr:row>
      <xdr:rowOff>123825</xdr:rowOff>
    </xdr:to>
    <xdr:sp>
      <xdr:nvSpPr>
        <xdr:cNvPr id="20" name="Line 113"/>
        <xdr:cNvSpPr>
          <a:spLocks/>
        </xdr:cNvSpPr>
      </xdr:nvSpPr>
      <xdr:spPr>
        <a:xfrm>
          <a:off x="8886825" y="9448800"/>
          <a:ext cx="6667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333375</xdr:colOff>
      <xdr:row>50</xdr:row>
      <xdr:rowOff>0</xdr:rowOff>
    </xdr:from>
    <xdr:to>
      <xdr:col>15</xdr:col>
      <xdr:colOff>409575</xdr:colOff>
      <xdr:row>50</xdr:row>
      <xdr:rowOff>85725</xdr:rowOff>
    </xdr:to>
    <xdr:sp>
      <xdr:nvSpPr>
        <xdr:cNvPr id="21" name="Line 114"/>
        <xdr:cNvSpPr>
          <a:spLocks/>
        </xdr:cNvSpPr>
      </xdr:nvSpPr>
      <xdr:spPr>
        <a:xfrm flipH="1">
          <a:off x="14716125" y="10010775"/>
          <a:ext cx="762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381000</xdr:colOff>
      <xdr:row>50</xdr:row>
      <xdr:rowOff>0</xdr:rowOff>
    </xdr:from>
    <xdr:to>
      <xdr:col>15</xdr:col>
      <xdr:colOff>466725</xdr:colOff>
      <xdr:row>50</xdr:row>
      <xdr:rowOff>95250</xdr:rowOff>
    </xdr:to>
    <xdr:sp>
      <xdr:nvSpPr>
        <xdr:cNvPr id="22" name="Line 115"/>
        <xdr:cNvSpPr>
          <a:spLocks/>
        </xdr:cNvSpPr>
      </xdr:nvSpPr>
      <xdr:spPr>
        <a:xfrm flipH="1">
          <a:off x="14763750" y="10010775"/>
          <a:ext cx="8572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485775</xdr:colOff>
      <xdr:row>50</xdr:row>
      <xdr:rowOff>9525</xdr:rowOff>
    </xdr:from>
    <xdr:to>
      <xdr:col>15</xdr:col>
      <xdr:colOff>542925</xdr:colOff>
      <xdr:row>50</xdr:row>
      <xdr:rowOff>95250</xdr:rowOff>
    </xdr:to>
    <xdr:sp>
      <xdr:nvSpPr>
        <xdr:cNvPr id="23" name="Line 116"/>
        <xdr:cNvSpPr>
          <a:spLocks/>
        </xdr:cNvSpPr>
      </xdr:nvSpPr>
      <xdr:spPr>
        <a:xfrm>
          <a:off x="14868525" y="10020300"/>
          <a:ext cx="571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542925</xdr:colOff>
      <xdr:row>50</xdr:row>
      <xdr:rowOff>0</xdr:rowOff>
    </xdr:from>
    <xdr:to>
      <xdr:col>15</xdr:col>
      <xdr:colOff>600075</xdr:colOff>
      <xdr:row>50</xdr:row>
      <xdr:rowOff>95250</xdr:rowOff>
    </xdr:to>
    <xdr:sp>
      <xdr:nvSpPr>
        <xdr:cNvPr id="24" name="Line 117"/>
        <xdr:cNvSpPr>
          <a:spLocks/>
        </xdr:cNvSpPr>
      </xdr:nvSpPr>
      <xdr:spPr>
        <a:xfrm>
          <a:off x="14925675" y="10010775"/>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44</xdr:row>
      <xdr:rowOff>123825</xdr:rowOff>
    </xdr:from>
    <xdr:to>
      <xdr:col>15</xdr:col>
      <xdr:colOff>381000</xdr:colOff>
      <xdr:row>45</xdr:row>
      <xdr:rowOff>38100</xdr:rowOff>
    </xdr:to>
    <xdr:sp>
      <xdr:nvSpPr>
        <xdr:cNvPr id="25" name="AutoShape 118"/>
        <xdr:cNvSpPr>
          <a:spLocks/>
        </xdr:cNvSpPr>
      </xdr:nvSpPr>
      <xdr:spPr>
        <a:xfrm rot="10658317">
          <a:off x="14687550" y="8991600"/>
          <a:ext cx="76200" cy="104775"/>
        </a:xfrm>
        <a:prstGeom prst="triangle">
          <a:avLst>
            <a:gd name="adj" fmla="val 1454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438150</xdr:colOff>
      <xdr:row>50</xdr:row>
      <xdr:rowOff>38100</xdr:rowOff>
    </xdr:from>
    <xdr:to>
      <xdr:col>15</xdr:col>
      <xdr:colOff>485775</xdr:colOff>
      <xdr:row>50</xdr:row>
      <xdr:rowOff>104775</xdr:rowOff>
    </xdr:to>
    <xdr:sp>
      <xdr:nvSpPr>
        <xdr:cNvPr id="26" name="Line 119"/>
        <xdr:cNvSpPr>
          <a:spLocks/>
        </xdr:cNvSpPr>
      </xdr:nvSpPr>
      <xdr:spPr>
        <a:xfrm>
          <a:off x="14820900" y="10048875"/>
          <a:ext cx="4762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238125</xdr:colOff>
      <xdr:row>45</xdr:row>
      <xdr:rowOff>95250</xdr:rowOff>
    </xdr:from>
    <xdr:to>
      <xdr:col>15</xdr:col>
      <xdr:colOff>419100</xdr:colOff>
      <xdr:row>45</xdr:row>
      <xdr:rowOff>95250</xdr:rowOff>
    </xdr:to>
    <xdr:sp>
      <xdr:nvSpPr>
        <xdr:cNvPr id="27" name="Line 120"/>
        <xdr:cNvSpPr>
          <a:spLocks/>
        </xdr:cNvSpPr>
      </xdr:nvSpPr>
      <xdr:spPr>
        <a:xfrm>
          <a:off x="14620875" y="91535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266700</xdr:colOff>
      <xdr:row>45</xdr:row>
      <xdr:rowOff>133350</xdr:rowOff>
    </xdr:from>
    <xdr:to>
      <xdr:col>15</xdr:col>
      <xdr:colOff>400050</xdr:colOff>
      <xdr:row>45</xdr:row>
      <xdr:rowOff>133350</xdr:rowOff>
    </xdr:to>
    <xdr:sp>
      <xdr:nvSpPr>
        <xdr:cNvPr id="28" name="Line 121"/>
        <xdr:cNvSpPr>
          <a:spLocks/>
        </xdr:cNvSpPr>
      </xdr:nvSpPr>
      <xdr:spPr>
        <a:xfrm>
          <a:off x="14649450" y="91916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46</xdr:row>
      <xdr:rowOff>0</xdr:rowOff>
    </xdr:from>
    <xdr:to>
      <xdr:col>15</xdr:col>
      <xdr:colOff>361950</xdr:colOff>
      <xdr:row>46</xdr:row>
      <xdr:rowOff>0</xdr:rowOff>
    </xdr:to>
    <xdr:sp>
      <xdr:nvSpPr>
        <xdr:cNvPr id="29" name="Line 122"/>
        <xdr:cNvSpPr>
          <a:spLocks/>
        </xdr:cNvSpPr>
      </xdr:nvSpPr>
      <xdr:spPr>
        <a:xfrm>
          <a:off x="14687550" y="92487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714375</xdr:colOff>
      <xdr:row>42</xdr:row>
      <xdr:rowOff>76200</xdr:rowOff>
    </xdr:from>
    <xdr:to>
      <xdr:col>13</xdr:col>
      <xdr:colOff>200025</xdr:colOff>
      <xdr:row>42</xdr:row>
      <xdr:rowOff>76200</xdr:rowOff>
    </xdr:to>
    <xdr:sp>
      <xdr:nvSpPr>
        <xdr:cNvPr id="30" name="Line 123"/>
        <xdr:cNvSpPr>
          <a:spLocks/>
        </xdr:cNvSpPr>
      </xdr:nvSpPr>
      <xdr:spPr>
        <a:xfrm flipV="1">
          <a:off x="12201525" y="85629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42</xdr:row>
      <xdr:rowOff>76200</xdr:rowOff>
    </xdr:from>
    <xdr:to>
      <xdr:col>12</xdr:col>
      <xdr:colOff>514350</xdr:colOff>
      <xdr:row>42</xdr:row>
      <xdr:rowOff>76200</xdr:rowOff>
    </xdr:to>
    <xdr:sp>
      <xdr:nvSpPr>
        <xdr:cNvPr id="31" name="Line 124"/>
        <xdr:cNvSpPr>
          <a:spLocks/>
        </xdr:cNvSpPr>
      </xdr:nvSpPr>
      <xdr:spPr>
        <a:xfrm flipH="1">
          <a:off x="11696700" y="85629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857250</xdr:colOff>
      <xdr:row>42</xdr:row>
      <xdr:rowOff>66675</xdr:rowOff>
    </xdr:from>
    <xdr:to>
      <xdr:col>15</xdr:col>
      <xdr:colOff>857250</xdr:colOff>
      <xdr:row>44</xdr:row>
      <xdr:rowOff>0</xdr:rowOff>
    </xdr:to>
    <xdr:sp>
      <xdr:nvSpPr>
        <xdr:cNvPr id="32" name="Line 126"/>
        <xdr:cNvSpPr>
          <a:spLocks/>
        </xdr:cNvSpPr>
      </xdr:nvSpPr>
      <xdr:spPr>
        <a:xfrm>
          <a:off x="15240000" y="85534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857250</xdr:colOff>
      <xdr:row>45</xdr:row>
      <xdr:rowOff>47625</xdr:rowOff>
    </xdr:from>
    <xdr:to>
      <xdr:col>15</xdr:col>
      <xdr:colOff>857250</xdr:colOff>
      <xdr:row>46</xdr:row>
      <xdr:rowOff>133350</xdr:rowOff>
    </xdr:to>
    <xdr:sp>
      <xdr:nvSpPr>
        <xdr:cNvPr id="33" name="Line 127"/>
        <xdr:cNvSpPr>
          <a:spLocks/>
        </xdr:cNvSpPr>
      </xdr:nvSpPr>
      <xdr:spPr>
        <a:xfrm flipV="1">
          <a:off x="15240000" y="91059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323850</xdr:colOff>
      <xdr:row>47</xdr:row>
      <xdr:rowOff>0</xdr:rowOff>
    </xdr:from>
    <xdr:to>
      <xdr:col>10</xdr:col>
      <xdr:colOff>400050</xdr:colOff>
      <xdr:row>47</xdr:row>
      <xdr:rowOff>123825</xdr:rowOff>
    </xdr:to>
    <xdr:sp>
      <xdr:nvSpPr>
        <xdr:cNvPr id="34" name="Line 129"/>
        <xdr:cNvSpPr>
          <a:spLocks/>
        </xdr:cNvSpPr>
      </xdr:nvSpPr>
      <xdr:spPr>
        <a:xfrm>
          <a:off x="8953500" y="9439275"/>
          <a:ext cx="762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390525</xdr:colOff>
      <xdr:row>44</xdr:row>
      <xdr:rowOff>0</xdr:rowOff>
    </xdr:from>
    <xdr:to>
      <xdr:col>16</xdr:col>
      <xdr:colOff>390525</xdr:colOff>
      <xdr:row>46</xdr:row>
      <xdr:rowOff>57150</xdr:rowOff>
    </xdr:to>
    <xdr:sp>
      <xdr:nvSpPr>
        <xdr:cNvPr id="35" name="Line 130"/>
        <xdr:cNvSpPr>
          <a:spLocks/>
        </xdr:cNvSpPr>
      </xdr:nvSpPr>
      <xdr:spPr>
        <a:xfrm flipV="1">
          <a:off x="15725775" y="886777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400050</xdr:colOff>
      <xdr:row>47</xdr:row>
      <xdr:rowOff>114300</xdr:rowOff>
    </xdr:from>
    <xdr:to>
      <xdr:col>16</xdr:col>
      <xdr:colOff>400050</xdr:colOff>
      <xdr:row>50</xdr:row>
      <xdr:rowOff>0</xdr:rowOff>
    </xdr:to>
    <xdr:sp>
      <xdr:nvSpPr>
        <xdr:cNvPr id="36" name="Line 131"/>
        <xdr:cNvSpPr>
          <a:spLocks/>
        </xdr:cNvSpPr>
      </xdr:nvSpPr>
      <xdr:spPr>
        <a:xfrm>
          <a:off x="15735300" y="95535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266700</xdr:colOff>
      <xdr:row>43</xdr:row>
      <xdr:rowOff>152400</xdr:rowOff>
    </xdr:from>
    <xdr:to>
      <xdr:col>10</xdr:col>
      <xdr:colOff>266700</xdr:colOff>
      <xdr:row>44</xdr:row>
      <xdr:rowOff>161925</xdr:rowOff>
    </xdr:to>
    <xdr:sp>
      <xdr:nvSpPr>
        <xdr:cNvPr id="37" name="Line 135"/>
        <xdr:cNvSpPr>
          <a:spLocks/>
        </xdr:cNvSpPr>
      </xdr:nvSpPr>
      <xdr:spPr>
        <a:xfrm flipH="1" flipV="1">
          <a:off x="8896350" y="88296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266700</xdr:colOff>
      <xdr:row>45</xdr:row>
      <xdr:rowOff>142875</xdr:rowOff>
    </xdr:from>
    <xdr:to>
      <xdr:col>10</xdr:col>
      <xdr:colOff>266700</xdr:colOff>
      <xdr:row>47</xdr:row>
      <xdr:rowOff>0</xdr:rowOff>
    </xdr:to>
    <xdr:sp>
      <xdr:nvSpPr>
        <xdr:cNvPr id="38" name="Line 136"/>
        <xdr:cNvSpPr>
          <a:spLocks/>
        </xdr:cNvSpPr>
      </xdr:nvSpPr>
      <xdr:spPr>
        <a:xfrm>
          <a:off x="8896350" y="92011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266700</xdr:colOff>
      <xdr:row>40</xdr:row>
      <xdr:rowOff>123825</xdr:rowOff>
    </xdr:from>
    <xdr:to>
      <xdr:col>14</xdr:col>
      <xdr:colOff>333375</xdr:colOff>
      <xdr:row>43</xdr:row>
      <xdr:rowOff>133350</xdr:rowOff>
    </xdr:to>
    <xdr:sp>
      <xdr:nvSpPr>
        <xdr:cNvPr id="39" name="Line 138"/>
        <xdr:cNvSpPr>
          <a:spLocks/>
        </xdr:cNvSpPr>
      </xdr:nvSpPr>
      <xdr:spPr>
        <a:xfrm flipH="1">
          <a:off x="12592050" y="8229600"/>
          <a:ext cx="117157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53</xdr:row>
      <xdr:rowOff>0</xdr:rowOff>
    </xdr:from>
    <xdr:to>
      <xdr:col>13</xdr:col>
      <xdr:colOff>9525</xdr:colOff>
      <xdr:row>53</xdr:row>
      <xdr:rowOff>0</xdr:rowOff>
    </xdr:to>
    <xdr:sp>
      <xdr:nvSpPr>
        <xdr:cNvPr id="40" name="Line 142"/>
        <xdr:cNvSpPr>
          <a:spLocks/>
        </xdr:cNvSpPr>
      </xdr:nvSpPr>
      <xdr:spPr>
        <a:xfrm>
          <a:off x="9467850" y="10582275"/>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53</xdr:row>
      <xdr:rowOff>0</xdr:rowOff>
    </xdr:from>
    <xdr:to>
      <xdr:col>13</xdr:col>
      <xdr:colOff>9525</xdr:colOff>
      <xdr:row>56</xdr:row>
      <xdr:rowOff>9525</xdr:rowOff>
    </xdr:to>
    <xdr:sp>
      <xdr:nvSpPr>
        <xdr:cNvPr id="41" name="Line 143"/>
        <xdr:cNvSpPr>
          <a:spLocks/>
        </xdr:cNvSpPr>
      </xdr:nvSpPr>
      <xdr:spPr>
        <a:xfrm>
          <a:off x="12334875" y="1058227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56</xdr:row>
      <xdr:rowOff>19050</xdr:rowOff>
    </xdr:from>
    <xdr:to>
      <xdr:col>13</xdr:col>
      <xdr:colOff>9525</xdr:colOff>
      <xdr:row>56</xdr:row>
      <xdr:rowOff>19050</xdr:rowOff>
    </xdr:to>
    <xdr:sp>
      <xdr:nvSpPr>
        <xdr:cNvPr id="42" name="Line 144"/>
        <xdr:cNvSpPr>
          <a:spLocks/>
        </xdr:cNvSpPr>
      </xdr:nvSpPr>
      <xdr:spPr>
        <a:xfrm flipH="1">
          <a:off x="9467850" y="11172825"/>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53</xdr:row>
      <xdr:rowOff>0</xdr:rowOff>
    </xdr:from>
    <xdr:to>
      <xdr:col>11</xdr:col>
      <xdr:colOff>0</xdr:colOff>
      <xdr:row>56</xdr:row>
      <xdr:rowOff>19050</xdr:rowOff>
    </xdr:to>
    <xdr:sp>
      <xdr:nvSpPr>
        <xdr:cNvPr id="43" name="Line 145"/>
        <xdr:cNvSpPr>
          <a:spLocks/>
        </xdr:cNvSpPr>
      </xdr:nvSpPr>
      <xdr:spPr>
        <a:xfrm flipV="1">
          <a:off x="9467850" y="105822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56</xdr:row>
      <xdr:rowOff>104775</xdr:rowOff>
    </xdr:from>
    <xdr:to>
      <xdr:col>13</xdr:col>
      <xdr:colOff>0</xdr:colOff>
      <xdr:row>58</xdr:row>
      <xdr:rowOff>38100</xdr:rowOff>
    </xdr:to>
    <xdr:sp>
      <xdr:nvSpPr>
        <xdr:cNvPr id="44" name="Line 146"/>
        <xdr:cNvSpPr>
          <a:spLocks/>
        </xdr:cNvSpPr>
      </xdr:nvSpPr>
      <xdr:spPr>
        <a:xfrm>
          <a:off x="12325350" y="112585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56</xdr:row>
      <xdr:rowOff>104775</xdr:rowOff>
    </xdr:from>
    <xdr:to>
      <xdr:col>11</xdr:col>
      <xdr:colOff>0</xdr:colOff>
      <xdr:row>58</xdr:row>
      <xdr:rowOff>47625</xdr:rowOff>
    </xdr:to>
    <xdr:sp>
      <xdr:nvSpPr>
        <xdr:cNvPr id="45" name="Line 147"/>
        <xdr:cNvSpPr>
          <a:spLocks/>
        </xdr:cNvSpPr>
      </xdr:nvSpPr>
      <xdr:spPr>
        <a:xfrm>
          <a:off x="9467850" y="112585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0</xdr:rowOff>
    </xdr:from>
    <xdr:to>
      <xdr:col>11</xdr:col>
      <xdr:colOff>1162050</xdr:colOff>
      <xdr:row>58</xdr:row>
      <xdr:rowOff>0</xdr:rowOff>
    </xdr:to>
    <xdr:sp>
      <xdr:nvSpPr>
        <xdr:cNvPr id="46" name="Line 148"/>
        <xdr:cNvSpPr>
          <a:spLocks/>
        </xdr:cNvSpPr>
      </xdr:nvSpPr>
      <xdr:spPr>
        <a:xfrm flipH="1">
          <a:off x="9467850" y="1153477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1457325</xdr:colOff>
      <xdr:row>58</xdr:row>
      <xdr:rowOff>0</xdr:rowOff>
    </xdr:from>
    <xdr:to>
      <xdr:col>13</xdr:col>
      <xdr:colOff>0</xdr:colOff>
      <xdr:row>58</xdr:row>
      <xdr:rowOff>0</xdr:rowOff>
    </xdr:to>
    <xdr:sp>
      <xdr:nvSpPr>
        <xdr:cNvPr id="47" name="Line 149"/>
        <xdr:cNvSpPr>
          <a:spLocks/>
        </xdr:cNvSpPr>
      </xdr:nvSpPr>
      <xdr:spPr>
        <a:xfrm>
          <a:off x="10925175" y="11534775"/>
          <a:ext cx="1400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95250</xdr:colOff>
      <xdr:row>53</xdr:row>
      <xdr:rowOff>0</xdr:rowOff>
    </xdr:from>
    <xdr:to>
      <xdr:col>13</xdr:col>
      <xdr:colOff>571500</xdr:colOff>
      <xdr:row>53</xdr:row>
      <xdr:rowOff>0</xdr:rowOff>
    </xdr:to>
    <xdr:sp>
      <xdr:nvSpPr>
        <xdr:cNvPr id="48" name="Line 151"/>
        <xdr:cNvSpPr>
          <a:spLocks/>
        </xdr:cNvSpPr>
      </xdr:nvSpPr>
      <xdr:spPr>
        <a:xfrm>
          <a:off x="12420600" y="105822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56</xdr:row>
      <xdr:rowOff>0</xdr:rowOff>
    </xdr:from>
    <xdr:to>
      <xdr:col>13</xdr:col>
      <xdr:colOff>581025</xdr:colOff>
      <xdr:row>56</xdr:row>
      <xdr:rowOff>0</xdr:rowOff>
    </xdr:to>
    <xdr:sp>
      <xdr:nvSpPr>
        <xdr:cNvPr id="49" name="Line 152"/>
        <xdr:cNvSpPr>
          <a:spLocks/>
        </xdr:cNvSpPr>
      </xdr:nvSpPr>
      <xdr:spPr>
        <a:xfrm>
          <a:off x="12439650" y="111537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409575</xdr:colOff>
      <xdr:row>52</xdr:row>
      <xdr:rowOff>180975</xdr:rowOff>
    </xdr:from>
    <xdr:to>
      <xdr:col>13</xdr:col>
      <xdr:colOff>409575</xdr:colOff>
      <xdr:row>53</xdr:row>
      <xdr:rowOff>180975</xdr:rowOff>
    </xdr:to>
    <xdr:sp>
      <xdr:nvSpPr>
        <xdr:cNvPr id="50" name="Line 153"/>
        <xdr:cNvSpPr>
          <a:spLocks/>
        </xdr:cNvSpPr>
      </xdr:nvSpPr>
      <xdr:spPr>
        <a:xfrm flipV="1">
          <a:off x="12734925" y="1057275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409575</xdr:colOff>
      <xdr:row>55</xdr:row>
      <xdr:rowOff>0</xdr:rowOff>
    </xdr:from>
    <xdr:to>
      <xdr:col>13</xdr:col>
      <xdr:colOff>409575</xdr:colOff>
      <xdr:row>56</xdr:row>
      <xdr:rowOff>0</xdr:rowOff>
    </xdr:to>
    <xdr:sp>
      <xdr:nvSpPr>
        <xdr:cNvPr id="51" name="Line 154"/>
        <xdr:cNvSpPr>
          <a:spLocks/>
        </xdr:cNvSpPr>
      </xdr:nvSpPr>
      <xdr:spPr>
        <a:xfrm flipH="1">
          <a:off x="12734925" y="109632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40</xdr:row>
      <xdr:rowOff>76200</xdr:rowOff>
    </xdr:from>
    <xdr:to>
      <xdr:col>11</xdr:col>
      <xdr:colOff>914400</xdr:colOff>
      <xdr:row>41</xdr:row>
      <xdr:rowOff>76200</xdr:rowOff>
    </xdr:to>
    <xdr:sp>
      <xdr:nvSpPr>
        <xdr:cNvPr id="52" name="AutoShape 157"/>
        <xdr:cNvSpPr>
          <a:spLocks/>
        </xdr:cNvSpPr>
      </xdr:nvSpPr>
      <xdr:spPr>
        <a:xfrm>
          <a:off x="8658225" y="8181975"/>
          <a:ext cx="1724025" cy="1905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Narrow"/>
              <a:cs typeface="Arial Narrow"/>
            </a:rPr>
            <a:t>Cross Section of Embankment</a:t>
          </a:r>
        </a:p>
      </xdr:txBody>
    </xdr:sp>
    <xdr:clientData/>
  </xdr:twoCellAnchor>
  <xdr:twoCellAnchor>
    <xdr:from>
      <xdr:col>10</xdr:col>
      <xdr:colOff>47625</xdr:colOff>
      <xdr:row>49</xdr:row>
      <xdr:rowOff>180975</xdr:rowOff>
    </xdr:from>
    <xdr:to>
      <xdr:col>11</xdr:col>
      <xdr:colOff>257175</xdr:colOff>
      <xdr:row>50</xdr:row>
      <xdr:rowOff>180975</xdr:rowOff>
    </xdr:to>
    <xdr:sp>
      <xdr:nvSpPr>
        <xdr:cNvPr id="53" name="AutoShape 158"/>
        <xdr:cNvSpPr>
          <a:spLocks/>
        </xdr:cNvSpPr>
      </xdr:nvSpPr>
      <xdr:spPr>
        <a:xfrm>
          <a:off x="8677275" y="10001250"/>
          <a:ext cx="1047750" cy="1905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Narrow"/>
              <a:cs typeface="Arial Narrow"/>
            </a:rPr>
            <a:t>Plan View of Pond</a:t>
          </a:r>
        </a:p>
      </xdr:txBody>
    </xdr:sp>
    <xdr:clientData/>
  </xdr:twoCellAnchor>
  <xdr:twoCellAnchor>
    <xdr:from>
      <xdr:col>11</xdr:col>
      <xdr:colOff>1314450</xdr:colOff>
      <xdr:row>54</xdr:row>
      <xdr:rowOff>28575</xdr:rowOff>
    </xdr:from>
    <xdr:to>
      <xdr:col>11</xdr:col>
      <xdr:colOff>1609725</xdr:colOff>
      <xdr:row>55</xdr:row>
      <xdr:rowOff>0</xdr:rowOff>
    </xdr:to>
    <xdr:sp>
      <xdr:nvSpPr>
        <xdr:cNvPr id="54" name="AutoShape 159"/>
        <xdr:cNvSpPr>
          <a:spLocks/>
        </xdr:cNvSpPr>
      </xdr:nvSpPr>
      <xdr:spPr>
        <a:xfrm>
          <a:off x="10782300" y="10801350"/>
          <a:ext cx="295275" cy="161925"/>
        </a:xfrm>
        <a:prstGeom prst="rect"/>
        <a:noFill/>
      </xdr:spPr>
      <xdr:txBody>
        <a:bodyPr fromWordArt="1" wrap="none">
          <a:prstTxWarp prst="textPlain"/>
        </a:bodyPr>
        <a:p>
          <a:pPr algn="ctr"/>
          <a:r>
            <a:rPr sz="800" kern="10" spc="0">
              <a:ln w="9525" cmpd="sng">
                <a:solidFill>
                  <a:srgbClr val="000000"/>
                </a:solidFill>
                <a:headEnd type="none"/>
                <a:tailEnd type="none"/>
              </a:ln>
              <a:solidFill>
                <a:srgbClr val="000000"/>
              </a:solidFill>
              <a:latin typeface="Arial Narrow"/>
              <a:cs typeface="Arial Narrow"/>
            </a:rPr>
            <a:t>Pond</a:t>
          </a:r>
        </a:p>
      </xdr:txBody>
    </xdr:sp>
    <xdr:clientData/>
  </xdr:twoCellAnchor>
  <xdr:twoCellAnchor>
    <xdr:from>
      <xdr:col>14</xdr:col>
      <xdr:colOff>400050</xdr:colOff>
      <xdr:row>39</xdr:row>
      <xdr:rowOff>171450</xdr:rowOff>
    </xdr:from>
    <xdr:to>
      <xdr:col>15</xdr:col>
      <xdr:colOff>400050</xdr:colOff>
      <xdr:row>41</xdr:row>
      <xdr:rowOff>85725</xdr:rowOff>
    </xdr:to>
    <xdr:sp>
      <xdr:nvSpPr>
        <xdr:cNvPr id="55" name="AutoShape 160"/>
        <xdr:cNvSpPr>
          <a:spLocks/>
        </xdr:cNvSpPr>
      </xdr:nvSpPr>
      <xdr:spPr>
        <a:xfrm>
          <a:off x="13830300" y="8086725"/>
          <a:ext cx="952500" cy="295275"/>
        </a:xfrm>
        <a:prstGeom prst="rect"/>
        <a:noFill/>
      </xdr:spPr>
      <xdr:txBody>
        <a:bodyPr fromWordArt="1" wrap="none">
          <a:prstTxWarp prst="textPlain"/>
        </a:bodyPr>
        <a:p>
          <a:pPr algn="ctr"/>
          <a:r>
            <a:rPr sz="800" kern="10" spc="0">
              <a:ln w="9525" cmpd="sng">
                <a:solidFill>
                  <a:srgbClr val="000000"/>
                </a:solidFill>
                <a:headEnd type="none"/>
                <a:tailEnd type="none"/>
              </a:ln>
              <a:solidFill>
                <a:srgbClr val="000000"/>
              </a:solidFill>
              <a:latin typeface="Arial Narrow"/>
              <a:cs typeface="Arial Narrow"/>
            </a:rPr>
            <a:t>Pond Dimensions
Measured Here</a:t>
          </a:r>
        </a:p>
      </xdr:txBody>
    </xdr:sp>
    <xdr:clientData/>
  </xdr:twoCellAnchor>
  <xdr:twoCellAnchor>
    <xdr:from>
      <xdr:col>12</xdr:col>
      <xdr:colOff>180975</xdr:colOff>
      <xdr:row>46</xdr:row>
      <xdr:rowOff>142875</xdr:rowOff>
    </xdr:from>
    <xdr:to>
      <xdr:col>13</xdr:col>
      <xdr:colOff>180975</xdr:colOff>
      <xdr:row>47</xdr:row>
      <xdr:rowOff>104775</xdr:rowOff>
    </xdr:to>
    <xdr:sp>
      <xdr:nvSpPr>
        <xdr:cNvPr id="56" name="AutoShape 161"/>
        <xdr:cNvSpPr>
          <a:spLocks/>
        </xdr:cNvSpPr>
      </xdr:nvSpPr>
      <xdr:spPr>
        <a:xfrm>
          <a:off x="11668125" y="9391650"/>
          <a:ext cx="838200" cy="152400"/>
        </a:xfrm>
        <a:prstGeom prst="rect"/>
        <a:noFill/>
      </xdr:spPr>
      <xdr:txBody>
        <a:bodyPr fromWordArt="1" wrap="none">
          <a:prstTxWarp prst="textPlain"/>
        </a:bodyPr>
        <a:p>
          <a:pPr algn="ctr"/>
          <a:r>
            <a:rPr sz="800" kern="10" spc="0">
              <a:ln w="9525" cmpd="sng">
                <a:solidFill>
                  <a:srgbClr val="000000"/>
                </a:solidFill>
                <a:headEnd type="none"/>
                <a:tailEnd type="none"/>
              </a:ln>
              <a:solidFill>
                <a:srgbClr val="000000"/>
              </a:solidFill>
              <a:latin typeface="Arial Narrow"/>
              <a:cs typeface="Arial Narrow"/>
            </a:rPr>
            <a:t>Embankment</a:t>
          </a:r>
        </a:p>
      </xdr:txBody>
    </xdr:sp>
    <xdr:clientData/>
  </xdr:twoCellAnchor>
  <xdr:twoCellAnchor>
    <xdr:from>
      <xdr:col>15</xdr:col>
      <xdr:colOff>342900</xdr:colOff>
      <xdr:row>47</xdr:row>
      <xdr:rowOff>47625</xdr:rowOff>
    </xdr:from>
    <xdr:to>
      <xdr:col>15</xdr:col>
      <xdr:colOff>723900</xdr:colOff>
      <xdr:row>48</xdr:row>
      <xdr:rowOff>19050</xdr:rowOff>
    </xdr:to>
    <xdr:sp>
      <xdr:nvSpPr>
        <xdr:cNvPr id="57" name="AutoShape 162"/>
        <xdr:cNvSpPr>
          <a:spLocks/>
        </xdr:cNvSpPr>
      </xdr:nvSpPr>
      <xdr:spPr>
        <a:xfrm>
          <a:off x="14725650" y="9486900"/>
          <a:ext cx="381000" cy="161925"/>
        </a:xfrm>
        <a:prstGeom prst="rect"/>
        <a:noFill/>
      </xdr:spPr>
      <xdr:txBody>
        <a:bodyPr fromWordArt="1" wrap="none">
          <a:prstTxWarp prst="textPlain"/>
        </a:bodyPr>
        <a:p>
          <a:pPr algn="ctr"/>
          <a:r>
            <a:rPr sz="800" kern="10" spc="0">
              <a:ln w="9525" cmpd="sng">
                <a:solidFill>
                  <a:srgbClr val="000000"/>
                </a:solidFill>
                <a:headEnd type="none"/>
                <a:tailEnd type="none"/>
              </a:ln>
              <a:solidFill>
                <a:srgbClr val="000000"/>
              </a:solidFill>
              <a:latin typeface="Arial Narrow"/>
              <a:cs typeface="Arial Narrow"/>
            </a:rPr>
            <a:t>Pond</a:t>
          </a:r>
        </a:p>
      </xdr:txBody>
    </xdr:sp>
    <xdr:clientData/>
  </xdr:twoCellAnchor>
  <xdr:twoCellAnchor>
    <xdr:from>
      <xdr:col>14</xdr:col>
      <xdr:colOff>914400</xdr:colOff>
      <xdr:row>49</xdr:row>
      <xdr:rowOff>47625</xdr:rowOff>
    </xdr:from>
    <xdr:to>
      <xdr:col>16</xdr:col>
      <xdr:colOff>104775</xdr:colOff>
      <xdr:row>49</xdr:row>
      <xdr:rowOff>47625</xdr:rowOff>
    </xdr:to>
    <xdr:sp>
      <xdr:nvSpPr>
        <xdr:cNvPr id="58" name="Line 177"/>
        <xdr:cNvSpPr>
          <a:spLocks/>
        </xdr:cNvSpPr>
      </xdr:nvSpPr>
      <xdr:spPr>
        <a:xfrm>
          <a:off x="14344650" y="986790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933450</xdr:colOff>
      <xdr:row>50</xdr:row>
      <xdr:rowOff>0</xdr:rowOff>
    </xdr:from>
    <xdr:to>
      <xdr:col>15</xdr:col>
      <xdr:colOff>933450</xdr:colOff>
      <xdr:row>51</xdr:row>
      <xdr:rowOff>95250</xdr:rowOff>
    </xdr:to>
    <xdr:sp>
      <xdr:nvSpPr>
        <xdr:cNvPr id="59" name="Line 178"/>
        <xdr:cNvSpPr>
          <a:spLocks/>
        </xdr:cNvSpPr>
      </xdr:nvSpPr>
      <xdr:spPr>
        <a:xfrm flipV="1">
          <a:off x="15316200" y="100107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933450</xdr:colOff>
      <xdr:row>47</xdr:row>
      <xdr:rowOff>161925</xdr:rowOff>
    </xdr:from>
    <xdr:to>
      <xdr:col>15</xdr:col>
      <xdr:colOff>933450</xdr:colOff>
      <xdr:row>49</xdr:row>
      <xdr:rowOff>47625</xdr:rowOff>
    </xdr:to>
    <xdr:sp>
      <xdr:nvSpPr>
        <xdr:cNvPr id="60" name="Line 179"/>
        <xdr:cNvSpPr>
          <a:spLocks/>
        </xdr:cNvSpPr>
      </xdr:nvSpPr>
      <xdr:spPr>
        <a:xfrm>
          <a:off x="15316200" y="96012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11</xdr:row>
      <xdr:rowOff>0</xdr:rowOff>
    </xdr:from>
    <xdr:to>
      <xdr:col>9</xdr:col>
      <xdr:colOff>400050</xdr:colOff>
      <xdr:row>11</xdr:row>
      <xdr:rowOff>0</xdr:rowOff>
    </xdr:to>
    <xdr:sp>
      <xdr:nvSpPr>
        <xdr:cNvPr id="1" name="Line 58"/>
        <xdr:cNvSpPr>
          <a:spLocks/>
        </xdr:cNvSpPr>
      </xdr:nvSpPr>
      <xdr:spPr>
        <a:xfrm>
          <a:off x="7972425" y="24288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8</xdr:row>
      <xdr:rowOff>0</xdr:rowOff>
    </xdr:from>
    <xdr:to>
      <xdr:col>11</xdr:col>
      <xdr:colOff>228600</xdr:colOff>
      <xdr:row>11</xdr:row>
      <xdr:rowOff>0</xdr:rowOff>
    </xdr:to>
    <xdr:sp>
      <xdr:nvSpPr>
        <xdr:cNvPr id="2" name="Line 59"/>
        <xdr:cNvSpPr>
          <a:spLocks/>
        </xdr:cNvSpPr>
      </xdr:nvSpPr>
      <xdr:spPr>
        <a:xfrm flipV="1">
          <a:off x="8305800" y="1828800"/>
          <a:ext cx="21240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228600</xdr:colOff>
      <xdr:row>8</xdr:row>
      <xdr:rowOff>0</xdr:rowOff>
    </xdr:from>
    <xdr:to>
      <xdr:col>12</xdr:col>
      <xdr:colOff>180975</xdr:colOff>
      <xdr:row>8</xdr:row>
      <xdr:rowOff>0</xdr:rowOff>
    </xdr:to>
    <xdr:sp>
      <xdr:nvSpPr>
        <xdr:cNvPr id="3" name="Line 60"/>
        <xdr:cNvSpPr>
          <a:spLocks/>
        </xdr:cNvSpPr>
      </xdr:nvSpPr>
      <xdr:spPr>
        <a:xfrm>
          <a:off x="10429875" y="1828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8</xdr:row>
      <xdr:rowOff>0</xdr:rowOff>
    </xdr:from>
    <xdr:to>
      <xdr:col>13</xdr:col>
      <xdr:colOff>581025</xdr:colOff>
      <xdr:row>12</xdr:row>
      <xdr:rowOff>133350</xdr:rowOff>
    </xdr:to>
    <xdr:sp>
      <xdr:nvSpPr>
        <xdr:cNvPr id="4" name="Line 61"/>
        <xdr:cNvSpPr>
          <a:spLocks/>
        </xdr:cNvSpPr>
      </xdr:nvSpPr>
      <xdr:spPr>
        <a:xfrm>
          <a:off x="10687050" y="1828800"/>
          <a:ext cx="12954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581025</xdr:colOff>
      <xdr:row>12</xdr:row>
      <xdr:rowOff>133350</xdr:rowOff>
    </xdr:from>
    <xdr:to>
      <xdr:col>15</xdr:col>
      <xdr:colOff>161925</xdr:colOff>
      <xdr:row>12</xdr:row>
      <xdr:rowOff>133350</xdr:rowOff>
    </xdr:to>
    <xdr:sp>
      <xdr:nvSpPr>
        <xdr:cNvPr id="5" name="Line 62"/>
        <xdr:cNvSpPr>
          <a:spLocks/>
        </xdr:cNvSpPr>
      </xdr:nvSpPr>
      <xdr:spPr>
        <a:xfrm>
          <a:off x="11982450" y="276225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533400</xdr:colOff>
      <xdr:row>9</xdr:row>
      <xdr:rowOff>47625</xdr:rowOff>
    </xdr:from>
    <xdr:to>
      <xdr:col>15</xdr:col>
      <xdr:colOff>66675</xdr:colOff>
      <xdr:row>9</xdr:row>
      <xdr:rowOff>47625</xdr:rowOff>
    </xdr:to>
    <xdr:sp>
      <xdr:nvSpPr>
        <xdr:cNvPr id="6" name="Line 63"/>
        <xdr:cNvSpPr>
          <a:spLocks/>
        </xdr:cNvSpPr>
      </xdr:nvSpPr>
      <xdr:spPr>
        <a:xfrm flipH="1" flipV="1">
          <a:off x="11039475" y="20764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457200</xdr:colOff>
      <xdr:row>8</xdr:row>
      <xdr:rowOff>0</xdr:rowOff>
    </xdr:from>
    <xdr:to>
      <xdr:col>15</xdr:col>
      <xdr:colOff>504825</xdr:colOff>
      <xdr:row>8</xdr:row>
      <xdr:rowOff>0</xdr:rowOff>
    </xdr:to>
    <xdr:sp>
      <xdr:nvSpPr>
        <xdr:cNvPr id="7" name="Line 64"/>
        <xdr:cNvSpPr>
          <a:spLocks/>
        </xdr:cNvSpPr>
      </xdr:nvSpPr>
      <xdr:spPr>
        <a:xfrm flipV="1">
          <a:off x="10963275" y="1828800"/>
          <a:ext cx="2524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228600</xdr:colOff>
      <xdr:row>12</xdr:row>
      <xdr:rowOff>123825</xdr:rowOff>
    </xdr:from>
    <xdr:to>
      <xdr:col>15</xdr:col>
      <xdr:colOff>504825</xdr:colOff>
      <xdr:row>12</xdr:row>
      <xdr:rowOff>123825</xdr:rowOff>
    </xdr:to>
    <xdr:sp>
      <xdr:nvSpPr>
        <xdr:cNvPr id="8" name="Line 65"/>
        <xdr:cNvSpPr>
          <a:spLocks/>
        </xdr:cNvSpPr>
      </xdr:nvSpPr>
      <xdr:spPr>
        <a:xfrm>
          <a:off x="13211175" y="2752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1381125</xdr:colOff>
      <xdr:row>10</xdr:row>
      <xdr:rowOff>0</xdr:rowOff>
    </xdr:from>
    <xdr:to>
      <xdr:col>10</xdr:col>
      <xdr:colOff>209550</xdr:colOff>
      <xdr:row>10</xdr:row>
      <xdr:rowOff>0</xdr:rowOff>
    </xdr:to>
    <xdr:sp>
      <xdr:nvSpPr>
        <xdr:cNvPr id="9" name="Line 66"/>
        <xdr:cNvSpPr>
          <a:spLocks/>
        </xdr:cNvSpPr>
      </xdr:nvSpPr>
      <xdr:spPr>
        <a:xfrm>
          <a:off x="9286875" y="2228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219075</xdr:colOff>
      <xdr:row>9</xdr:row>
      <xdr:rowOff>9525</xdr:rowOff>
    </xdr:from>
    <xdr:to>
      <xdr:col>10</xdr:col>
      <xdr:colOff>219075</xdr:colOff>
      <xdr:row>10</xdr:row>
      <xdr:rowOff>0</xdr:rowOff>
    </xdr:to>
    <xdr:sp>
      <xdr:nvSpPr>
        <xdr:cNvPr id="10" name="Line 67"/>
        <xdr:cNvSpPr>
          <a:spLocks/>
        </xdr:cNvSpPr>
      </xdr:nvSpPr>
      <xdr:spPr>
        <a:xfrm flipV="1">
          <a:off x="9829800" y="2038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247650</xdr:colOff>
      <xdr:row>10</xdr:row>
      <xdr:rowOff>57150</xdr:rowOff>
    </xdr:from>
    <xdr:to>
      <xdr:col>12</xdr:col>
      <xdr:colOff>666750</xdr:colOff>
      <xdr:row>10</xdr:row>
      <xdr:rowOff>57150</xdr:rowOff>
    </xdr:to>
    <xdr:sp>
      <xdr:nvSpPr>
        <xdr:cNvPr id="11" name="Line 68"/>
        <xdr:cNvSpPr>
          <a:spLocks/>
        </xdr:cNvSpPr>
      </xdr:nvSpPr>
      <xdr:spPr>
        <a:xfrm flipH="1">
          <a:off x="10753725" y="228600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247650</xdr:colOff>
      <xdr:row>8</xdr:row>
      <xdr:rowOff>95250</xdr:rowOff>
    </xdr:from>
    <xdr:to>
      <xdr:col>12</xdr:col>
      <xdr:colOff>247650</xdr:colOff>
      <xdr:row>10</xdr:row>
      <xdr:rowOff>57150</xdr:rowOff>
    </xdr:to>
    <xdr:sp>
      <xdr:nvSpPr>
        <xdr:cNvPr id="12" name="Line 69"/>
        <xdr:cNvSpPr>
          <a:spLocks/>
        </xdr:cNvSpPr>
      </xdr:nvSpPr>
      <xdr:spPr>
        <a:xfrm flipV="1">
          <a:off x="10753725" y="192405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238125</xdr:colOff>
      <xdr:row>6</xdr:row>
      <xdr:rowOff>142875</xdr:rowOff>
    </xdr:from>
    <xdr:to>
      <xdr:col>11</xdr:col>
      <xdr:colOff>238125</xdr:colOff>
      <xdr:row>7</xdr:row>
      <xdr:rowOff>304800</xdr:rowOff>
    </xdr:to>
    <xdr:sp>
      <xdr:nvSpPr>
        <xdr:cNvPr id="13" name="Line 74"/>
        <xdr:cNvSpPr>
          <a:spLocks/>
        </xdr:cNvSpPr>
      </xdr:nvSpPr>
      <xdr:spPr>
        <a:xfrm flipH="1" flipV="1">
          <a:off x="10439400" y="136207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190500</xdr:colOff>
      <xdr:row>6</xdr:row>
      <xdr:rowOff>142875</xdr:rowOff>
    </xdr:from>
    <xdr:to>
      <xdr:col>12</xdr:col>
      <xdr:colOff>190500</xdr:colOff>
      <xdr:row>7</xdr:row>
      <xdr:rowOff>304800</xdr:rowOff>
    </xdr:to>
    <xdr:sp>
      <xdr:nvSpPr>
        <xdr:cNvPr id="14" name="Line 75"/>
        <xdr:cNvSpPr>
          <a:spLocks/>
        </xdr:cNvSpPr>
      </xdr:nvSpPr>
      <xdr:spPr>
        <a:xfrm flipV="1">
          <a:off x="10696575" y="136207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11</xdr:row>
      <xdr:rowOff>0</xdr:rowOff>
    </xdr:from>
    <xdr:to>
      <xdr:col>9</xdr:col>
      <xdr:colOff>200025</xdr:colOff>
      <xdr:row>11</xdr:row>
      <xdr:rowOff>95250</xdr:rowOff>
    </xdr:to>
    <xdr:sp>
      <xdr:nvSpPr>
        <xdr:cNvPr id="15" name="Line 77"/>
        <xdr:cNvSpPr>
          <a:spLocks/>
        </xdr:cNvSpPr>
      </xdr:nvSpPr>
      <xdr:spPr>
        <a:xfrm flipH="1">
          <a:off x="8039100" y="2428875"/>
          <a:ext cx="666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15</xdr:row>
      <xdr:rowOff>142875</xdr:rowOff>
    </xdr:from>
    <xdr:to>
      <xdr:col>9</xdr:col>
      <xdr:colOff>95250</xdr:colOff>
      <xdr:row>15</xdr:row>
      <xdr:rowOff>142875</xdr:rowOff>
    </xdr:to>
    <xdr:sp>
      <xdr:nvSpPr>
        <xdr:cNvPr id="16" name="Line 78"/>
        <xdr:cNvSpPr>
          <a:spLocks/>
        </xdr:cNvSpPr>
      </xdr:nvSpPr>
      <xdr:spPr>
        <a:xfrm>
          <a:off x="8001000" y="340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11</xdr:row>
      <xdr:rowOff>9525</xdr:rowOff>
    </xdr:from>
    <xdr:to>
      <xdr:col>9</xdr:col>
      <xdr:colOff>247650</xdr:colOff>
      <xdr:row>11</xdr:row>
      <xdr:rowOff>114300</xdr:rowOff>
    </xdr:to>
    <xdr:sp>
      <xdr:nvSpPr>
        <xdr:cNvPr id="17" name="Line 79"/>
        <xdr:cNvSpPr>
          <a:spLocks/>
        </xdr:cNvSpPr>
      </xdr:nvSpPr>
      <xdr:spPr>
        <a:xfrm flipH="1">
          <a:off x="8077200" y="2438400"/>
          <a:ext cx="762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228600</xdr:colOff>
      <xdr:row>11</xdr:row>
      <xdr:rowOff>57150</xdr:rowOff>
    </xdr:from>
    <xdr:to>
      <xdr:col>9</xdr:col>
      <xdr:colOff>247650</xdr:colOff>
      <xdr:row>11</xdr:row>
      <xdr:rowOff>114300</xdr:rowOff>
    </xdr:to>
    <xdr:sp>
      <xdr:nvSpPr>
        <xdr:cNvPr id="18" name="Line 80"/>
        <xdr:cNvSpPr>
          <a:spLocks/>
        </xdr:cNvSpPr>
      </xdr:nvSpPr>
      <xdr:spPr>
        <a:xfrm>
          <a:off x="8134350" y="2486025"/>
          <a:ext cx="190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xdr:colOff>
      <xdr:row>11</xdr:row>
      <xdr:rowOff>9525</xdr:rowOff>
    </xdr:from>
    <xdr:to>
      <xdr:col>9</xdr:col>
      <xdr:colOff>323850</xdr:colOff>
      <xdr:row>11</xdr:row>
      <xdr:rowOff>123825</xdr:rowOff>
    </xdr:to>
    <xdr:sp>
      <xdr:nvSpPr>
        <xdr:cNvPr id="19" name="Line 81"/>
        <xdr:cNvSpPr>
          <a:spLocks/>
        </xdr:cNvSpPr>
      </xdr:nvSpPr>
      <xdr:spPr>
        <a:xfrm>
          <a:off x="8162925" y="2438400"/>
          <a:ext cx="6667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12</xdr:row>
      <xdr:rowOff>133350</xdr:rowOff>
    </xdr:from>
    <xdr:to>
      <xdr:col>14</xdr:col>
      <xdr:colOff>209550</xdr:colOff>
      <xdr:row>13</xdr:row>
      <xdr:rowOff>57150</xdr:rowOff>
    </xdr:to>
    <xdr:sp>
      <xdr:nvSpPr>
        <xdr:cNvPr id="20" name="Line 82"/>
        <xdr:cNvSpPr>
          <a:spLocks/>
        </xdr:cNvSpPr>
      </xdr:nvSpPr>
      <xdr:spPr>
        <a:xfrm flipH="1">
          <a:off x="12325350" y="2762250"/>
          <a:ext cx="762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12</xdr:row>
      <xdr:rowOff>133350</xdr:rowOff>
    </xdr:from>
    <xdr:to>
      <xdr:col>14</xdr:col>
      <xdr:colOff>266700</xdr:colOff>
      <xdr:row>13</xdr:row>
      <xdr:rowOff>66675</xdr:rowOff>
    </xdr:to>
    <xdr:sp>
      <xdr:nvSpPr>
        <xdr:cNvPr id="21" name="Line 83"/>
        <xdr:cNvSpPr>
          <a:spLocks/>
        </xdr:cNvSpPr>
      </xdr:nvSpPr>
      <xdr:spPr>
        <a:xfrm flipH="1">
          <a:off x="12372975" y="2762250"/>
          <a:ext cx="85725"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12</xdr:row>
      <xdr:rowOff>133350</xdr:rowOff>
    </xdr:from>
    <xdr:to>
      <xdr:col>14</xdr:col>
      <xdr:colOff>361950</xdr:colOff>
      <xdr:row>13</xdr:row>
      <xdr:rowOff>57150</xdr:rowOff>
    </xdr:to>
    <xdr:sp>
      <xdr:nvSpPr>
        <xdr:cNvPr id="22" name="Line 84"/>
        <xdr:cNvSpPr>
          <a:spLocks/>
        </xdr:cNvSpPr>
      </xdr:nvSpPr>
      <xdr:spPr>
        <a:xfrm>
          <a:off x="12496800" y="2762250"/>
          <a:ext cx="571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12</xdr:row>
      <xdr:rowOff>133350</xdr:rowOff>
    </xdr:from>
    <xdr:to>
      <xdr:col>14</xdr:col>
      <xdr:colOff>438150</xdr:colOff>
      <xdr:row>13</xdr:row>
      <xdr:rowOff>76200</xdr:rowOff>
    </xdr:to>
    <xdr:sp>
      <xdr:nvSpPr>
        <xdr:cNvPr id="23" name="Line 85"/>
        <xdr:cNvSpPr>
          <a:spLocks/>
        </xdr:cNvSpPr>
      </xdr:nvSpPr>
      <xdr:spPr>
        <a:xfrm>
          <a:off x="12553950" y="2762250"/>
          <a:ext cx="7620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8</xdr:row>
      <xdr:rowOff>123825</xdr:rowOff>
    </xdr:from>
    <xdr:to>
      <xdr:col>14</xdr:col>
      <xdr:colOff>381000</xdr:colOff>
      <xdr:row>9</xdr:row>
      <xdr:rowOff>38100</xdr:rowOff>
    </xdr:to>
    <xdr:sp>
      <xdr:nvSpPr>
        <xdr:cNvPr id="24" name="AutoShape 86"/>
        <xdr:cNvSpPr>
          <a:spLocks/>
        </xdr:cNvSpPr>
      </xdr:nvSpPr>
      <xdr:spPr>
        <a:xfrm rot="10658317">
          <a:off x="12496800" y="1952625"/>
          <a:ext cx="76200" cy="114300"/>
        </a:xfrm>
        <a:prstGeom prst="triangle">
          <a:avLst>
            <a:gd name="adj" fmla="val 1454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247650</xdr:colOff>
      <xdr:row>13</xdr:row>
      <xdr:rowOff>9525</xdr:rowOff>
    </xdr:from>
    <xdr:to>
      <xdr:col>14</xdr:col>
      <xdr:colOff>295275</xdr:colOff>
      <xdr:row>13</xdr:row>
      <xdr:rowOff>76200</xdr:rowOff>
    </xdr:to>
    <xdr:sp>
      <xdr:nvSpPr>
        <xdr:cNvPr id="25" name="Line 87"/>
        <xdr:cNvSpPr>
          <a:spLocks/>
        </xdr:cNvSpPr>
      </xdr:nvSpPr>
      <xdr:spPr>
        <a:xfrm>
          <a:off x="12439650" y="2838450"/>
          <a:ext cx="4762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238125</xdr:colOff>
      <xdr:row>9</xdr:row>
      <xdr:rowOff>95250</xdr:rowOff>
    </xdr:from>
    <xdr:to>
      <xdr:col>14</xdr:col>
      <xdr:colOff>419100</xdr:colOff>
      <xdr:row>9</xdr:row>
      <xdr:rowOff>95250</xdr:rowOff>
    </xdr:to>
    <xdr:sp>
      <xdr:nvSpPr>
        <xdr:cNvPr id="26" name="Line 88"/>
        <xdr:cNvSpPr>
          <a:spLocks/>
        </xdr:cNvSpPr>
      </xdr:nvSpPr>
      <xdr:spPr>
        <a:xfrm>
          <a:off x="12430125" y="21240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266700</xdr:colOff>
      <xdr:row>9</xdr:row>
      <xdr:rowOff>133350</xdr:rowOff>
    </xdr:from>
    <xdr:to>
      <xdr:col>14</xdr:col>
      <xdr:colOff>400050</xdr:colOff>
      <xdr:row>9</xdr:row>
      <xdr:rowOff>133350</xdr:rowOff>
    </xdr:to>
    <xdr:sp>
      <xdr:nvSpPr>
        <xdr:cNvPr id="27" name="Line 89"/>
        <xdr:cNvSpPr>
          <a:spLocks/>
        </xdr:cNvSpPr>
      </xdr:nvSpPr>
      <xdr:spPr>
        <a:xfrm>
          <a:off x="12458700" y="21621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304800</xdr:colOff>
      <xdr:row>10</xdr:row>
      <xdr:rowOff>0</xdr:rowOff>
    </xdr:from>
    <xdr:to>
      <xdr:col>14</xdr:col>
      <xdr:colOff>361950</xdr:colOff>
      <xdr:row>10</xdr:row>
      <xdr:rowOff>0</xdr:rowOff>
    </xdr:to>
    <xdr:sp>
      <xdr:nvSpPr>
        <xdr:cNvPr id="28" name="Line 90"/>
        <xdr:cNvSpPr>
          <a:spLocks/>
        </xdr:cNvSpPr>
      </xdr:nvSpPr>
      <xdr:spPr>
        <a:xfrm>
          <a:off x="12496800" y="22288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6</xdr:row>
      <xdr:rowOff>209550</xdr:rowOff>
    </xdr:from>
    <xdr:to>
      <xdr:col>11</xdr:col>
      <xdr:colOff>228600</xdr:colOff>
      <xdr:row>6</xdr:row>
      <xdr:rowOff>209550</xdr:rowOff>
    </xdr:to>
    <xdr:sp>
      <xdr:nvSpPr>
        <xdr:cNvPr id="29" name="Line 91"/>
        <xdr:cNvSpPr>
          <a:spLocks/>
        </xdr:cNvSpPr>
      </xdr:nvSpPr>
      <xdr:spPr>
        <a:xfrm>
          <a:off x="10182225" y="14287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180975</xdr:rowOff>
    </xdr:from>
    <xdr:to>
      <xdr:col>14</xdr:col>
      <xdr:colOff>0</xdr:colOff>
      <xdr:row>8</xdr:row>
      <xdr:rowOff>0</xdr:rowOff>
    </xdr:to>
    <xdr:sp>
      <xdr:nvSpPr>
        <xdr:cNvPr id="30" name="Line 94"/>
        <xdr:cNvSpPr>
          <a:spLocks/>
        </xdr:cNvSpPr>
      </xdr:nvSpPr>
      <xdr:spPr>
        <a:xfrm>
          <a:off x="12192000" y="140017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xdr:row>
      <xdr:rowOff>47625</xdr:rowOff>
    </xdr:from>
    <xdr:to>
      <xdr:col>14</xdr:col>
      <xdr:colOff>0</xdr:colOff>
      <xdr:row>10</xdr:row>
      <xdr:rowOff>114300</xdr:rowOff>
    </xdr:to>
    <xdr:sp>
      <xdr:nvSpPr>
        <xdr:cNvPr id="31" name="Line 95"/>
        <xdr:cNvSpPr>
          <a:spLocks/>
        </xdr:cNvSpPr>
      </xdr:nvSpPr>
      <xdr:spPr>
        <a:xfrm flipV="1">
          <a:off x="12192000" y="20764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11</xdr:row>
      <xdr:rowOff>0</xdr:rowOff>
    </xdr:from>
    <xdr:to>
      <xdr:col>9</xdr:col>
      <xdr:colOff>400050</xdr:colOff>
      <xdr:row>11</xdr:row>
      <xdr:rowOff>123825</xdr:rowOff>
    </xdr:to>
    <xdr:sp>
      <xdr:nvSpPr>
        <xdr:cNvPr id="32" name="Line 97"/>
        <xdr:cNvSpPr>
          <a:spLocks/>
        </xdr:cNvSpPr>
      </xdr:nvSpPr>
      <xdr:spPr>
        <a:xfrm>
          <a:off x="8229600" y="2428875"/>
          <a:ext cx="762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390525</xdr:colOff>
      <xdr:row>8</xdr:row>
      <xdr:rowOff>0</xdr:rowOff>
    </xdr:from>
    <xdr:to>
      <xdr:col>15</xdr:col>
      <xdr:colOff>390525</xdr:colOff>
      <xdr:row>9</xdr:row>
      <xdr:rowOff>142875</xdr:rowOff>
    </xdr:to>
    <xdr:sp>
      <xdr:nvSpPr>
        <xdr:cNvPr id="33" name="Line 98"/>
        <xdr:cNvSpPr>
          <a:spLocks/>
        </xdr:cNvSpPr>
      </xdr:nvSpPr>
      <xdr:spPr>
        <a:xfrm flipV="1">
          <a:off x="13373100" y="18288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390525</xdr:colOff>
      <xdr:row>10</xdr:row>
      <xdr:rowOff>180975</xdr:rowOff>
    </xdr:from>
    <xdr:to>
      <xdr:col>15</xdr:col>
      <xdr:colOff>390525</xdr:colOff>
      <xdr:row>12</xdr:row>
      <xdr:rowOff>114300</xdr:rowOff>
    </xdr:to>
    <xdr:sp>
      <xdr:nvSpPr>
        <xdr:cNvPr id="34" name="Line 99"/>
        <xdr:cNvSpPr>
          <a:spLocks/>
        </xdr:cNvSpPr>
      </xdr:nvSpPr>
      <xdr:spPr>
        <a:xfrm flipH="1">
          <a:off x="13373100" y="240982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8</xdr:row>
      <xdr:rowOff>0</xdr:rowOff>
    </xdr:from>
    <xdr:to>
      <xdr:col>9</xdr:col>
      <xdr:colOff>266700</xdr:colOff>
      <xdr:row>9</xdr:row>
      <xdr:rowOff>0</xdr:rowOff>
    </xdr:to>
    <xdr:sp>
      <xdr:nvSpPr>
        <xdr:cNvPr id="35" name="Line 103"/>
        <xdr:cNvSpPr>
          <a:spLocks/>
        </xdr:cNvSpPr>
      </xdr:nvSpPr>
      <xdr:spPr>
        <a:xfrm flipV="1">
          <a:off x="8172450" y="18288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9</xdr:row>
      <xdr:rowOff>142875</xdr:rowOff>
    </xdr:from>
    <xdr:to>
      <xdr:col>9</xdr:col>
      <xdr:colOff>266700</xdr:colOff>
      <xdr:row>11</xdr:row>
      <xdr:rowOff>0</xdr:rowOff>
    </xdr:to>
    <xdr:sp>
      <xdr:nvSpPr>
        <xdr:cNvPr id="36" name="Line 104"/>
        <xdr:cNvSpPr>
          <a:spLocks/>
        </xdr:cNvSpPr>
      </xdr:nvSpPr>
      <xdr:spPr>
        <a:xfrm>
          <a:off x="8172450" y="2171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5</xdr:row>
      <xdr:rowOff>47625</xdr:rowOff>
    </xdr:from>
    <xdr:to>
      <xdr:col>13</xdr:col>
      <xdr:colOff>409575</xdr:colOff>
      <xdr:row>7</xdr:row>
      <xdr:rowOff>304800</xdr:rowOff>
    </xdr:to>
    <xdr:sp>
      <xdr:nvSpPr>
        <xdr:cNvPr id="37" name="Line 106"/>
        <xdr:cNvSpPr>
          <a:spLocks/>
        </xdr:cNvSpPr>
      </xdr:nvSpPr>
      <xdr:spPr>
        <a:xfrm flipH="1">
          <a:off x="10791825" y="1066800"/>
          <a:ext cx="1019175"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1238250</xdr:colOff>
      <xdr:row>12</xdr:row>
      <xdr:rowOff>180975</xdr:rowOff>
    </xdr:from>
    <xdr:to>
      <xdr:col>12</xdr:col>
      <xdr:colOff>57150</xdr:colOff>
      <xdr:row>12</xdr:row>
      <xdr:rowOff>180975</xdr:rowOff>
    </xdr:to>
    <xdr:sp>
      <xdr:nvSpPr>
        <xdr:cNvPr id="38" name="Line 110"/>
        <xdr:cNvSpPr>
          <a:spLocks/>
        </xdr:cNvSpPr>
      </xdr:nvSpPr>
      <xdr:spPr>
        <a:xfrm>
          <a:off x="9144000" y="2809875"/>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12</xdr:row>
      <xdr:rowOff>180975</xdr:rowOff>
    </xdr:from>
    <xdr:to>
      <xdr:col>12</xdr:col>
      <xdr:colOff>57150</xdr:colOff>
      <xdr:row>15</xdr:row>
      <xdr:rowOff>123825</xdr:rowOff>
    </xdr:to>
    <xdr:sp>
      <xdr:nvSpPr>
        <xdr:cNvPr id="39" name="Line 111"/>
        <xdr:cNvSpPr>
          <a:spLocks/>
        </xdr:cNvSpPr>
      </xdr:nvSpPr>
      <xdr:spPr>
        <a:xfrm>
          <a:off x="10563225" y="280987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1238250</xdr:colOff>
      <xdr:row>15</xdr:row>
      <xdr:rowOff>133350</xdr:rowOff>
    </xdr:from>
    <xdr:to>
      <xdr:col>12</xdr:col>
      <xdr:colOff>57150</xdr:colOff>
      <xdr:row>15</xdr:row>
      <xdr:rowOff>133350</xdr:rowOff>
    </xdr:to>
    <xdr:sp>
      <xdr:nvSpPr>
        <xdr:cNvPr id="40" name="Line 112"/>
        <xdr:cNvSpPr>
          <a:spLocks/>
        </xdr:cNvSpPr>
      </xdr:nvSpPr>
      <xdr:spPr>
        <a:xfrm flipH="1">
          <a:off x="9144000" y="339090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1238250</xdr:colOff>
      <xdr:row>12</xdr:row>
      <xdr:rowOff>180975</xdr:rowOff>
    </xdr:from>
    <xdr:to>
      <xdr:col>9</xdr:col>
      <xdr:colOff>1238250</xdr:colOff>
      <xdr:row>15</xdr:row>
      <xdr:rowOff>133350</xdr:rowOff>
    </xdr:to>
    <xdr:sp>
      <xdr:nvSpPr>
        <xdr:cNvPr id="41" name="Line 113"/>
        <xdr:cNvSpPr>
          <a:spLocks/>
        </xdr:cNvSpPr>
      </xdr:nvSpPr>
      <xdr:spPr>
        <a:xfrm flipV="1">
          <a:off x="9144000" y="280987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15</xdr:row>
      <xdr:rowOff>200025</xdr:rowOff>
    </xdr:from>
    <xdr:to>
      <xdr:col>12</xdr:col>
      <xdr:colOff>66675</xdr:colOff>
      <xdr:row>17</xdr:row>
      <xdr:rowOff>9525</xdr:rowOff>
    </xdr:to>
    <xdr:sp>
      <xdr:nvSpPr>
        <xdr:cNvPr id="42" name="Line 114"/>
        <xdr:cNvSpPr>
          <a:spLocks/>
        </xdr:cNvSpPr>
      </xdr:nvSpPr>
      <xdr:spPr>
        <a:xfrm>
          <a:off x="10572750" y="34575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1238250</xdr:colOff>
      <xdr:row>15</xdr:row>
      <xdr:rowOff>200025</xdr:rowOff>
    </xdr:from>
    <xdr:to>
      <xdr:col>9</xdr:col>
      <xdr:colOff>1238250</xdr:colOff>
      <xdr:row>17</xdr:row>
      <xdr:rowOff>9525</xdr:rowOff>
    </xdr:to>
    <xdr:sp>
      <xdr:nvSpPr>
        <xdr:cNvPr id="43" name="Line 115"/>
        <xdr:cNvSpPr>
          <a:spLocks/>
        </xdr:cNvSpPr>
      </xdr:nvSpPr>
      <xdr:spPr>
        <a:xfrm flipH="1">
          <a:off x="9144000" y="34575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1238250</xdr:colOff>
      <xdr:row>16</xdr:row>
      <xdr:rowOff>152400</xdr:rowOff>
    </xdr:from>
    <xdr:to>
      <xdr:col>10</xdr:col>
      <xdr:colOff>171450</xdr:colOff>
      <xdr:row>16</xdr:row>
      <xdr:rowOff>152400</xdr:rowOff>
    </xdr:to>
    <xdr:sp>
      <xdr:nvSpPr>
        <xdr:cNvPr id="44" name="Line 116"/>
        <xdr:cNvSpPr>
          <a:spLocks/>
        </xdr:cNvSpPr>
      </xdr:nvSpPr>
      <xdr:spPr>
        <a:xfrm flipH="1">
          <a:off x="9144000" y="36385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323850</xdr:colOff>
      <xdr:row>16</xdr:row>
      <xdr:rowOff>152400</xdr:rowOff>
    </xdr:from>
    <xdr:to>
      <xdr:col>12</xdr:col>
      <xdr:colOff>66675</xdr:colOff>
      <xdr:row>16</xdr:row>
      <xdr:rowOff>152400</xdr:rowOff>
    </xdr:to>
    <xdr:sp>
      <xdr:nvSpPr>
        <xdr:cNvPr id="45" name="Line 117"/>
        <xdr:cNvSpPr>
          <a:spLocks/>
        </xdr:cNvSpPr>
      </xdr:nvSpPr>
      <xdr:spPr>
        <a:xfrm>
          <a:off x="9934575" y="36385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161925</xdr:colOff>
      <xdr:row>12</xdr:row>
      <xdr:rowOff>171450</xdr:rowOff>
    </xdr:from>
    <xdr:to>
      <xdr:col>12</xdr:col>
      <xdr:colOff>504825</xdr:colOff>
      <xdr:row>12</xdr:row>
      <xdr:rowOff>171450</xdr:rowOff>
    </xdr:to>
    <xdr:sp>
      <xdr:nvSpPr>
        <xdr:cNvPr id="46" name="Line 119"/>
        <xdr:cNvSpPr>
          <a:spLocks/>
        </xdr:cNvSpPr>
      </xdr:nvSpPr>
      <xdr:spPr>
        <a:xfrm flipV="1">
          <a:off x="10668000" y="28003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142875</xdr:colOff>
      <xdr:row>15</xdr:row>
      <xdr:rowOff>133350</xdr:rowOff>
    </xdr:from>
    <xdr:to>
      <xdr:col>12</xdr:col>
      <xdr:colOff>514350</xdr:colOff>
      <xdr:row>15</xdr:row>
      <xdr:rowOff>133350</xdr:rowOff>
    </xdr:to>
    <xdr:sp>
      <xdr:nvSpPr>
        <xdr:cNvPr id="47" name="Line 120"/>
        <xdr:cNvSpPr>
          <a:spLocks/>
        </xdr:cNvSpPr>
      </xdr:nvSpPr>
      <xdr:spPr>
        <a:xfrm flipV="1">
          <a:off x="10648950" y="33909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390525</xdr:colOff>
      <xdr:row>12</xdr:row>
      <xdr:rowOff>171450</xdr:rowOff>
    </xdr:from>
    <xdr:to>
      <xdr:col>12</xdr:col>
      <xdr:colOff>390525</xdr:colOff>
      <xdr:row>14</xdr:row>
      <xdr:rowOff>9525</xdr:rowOff>
    </xdr:to>
    <xdr:sp>
      <xdr:nvSpPr>
        <xdr:cNvPr id="48" name="Line 121"/>
        <xdr:cNvSpPr>
          <a:spLocks/>
        </xdr:cNvSpPr>
      </xdr:nvSpPr>
      <xdr:spPr>
        <a:xfrm flipV="1">
          <a:off x="10896600" y="28003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390525</xdr:colOff>
      <xdr:row>14</xdr:row>
      <xdr:rowOff>161925</xdr:rowOff>
    </xdr:from>
    <xdr:to>
      <xdr:col>12</xdr:col>
      <xdr:colOff>390525</xdr:colOff>
      <xdr:row>15</xdr:row>
      <xdr:rowOff>133350</xdr:rowOff>
    </xdr:to>
    <xdr:sp>
      <xdr:nvSpPr>
        <xdr:cNvPr id="49" name="Line 122"/>
        <xdr:cNvSpPr>
          <a:spLocks/>
        </xdr:cNvSpPr>
      </xdr:nvSpPr>
      <xdr:spPr>
        <a:xfrm>
          <a:off x="10896600" y="31908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12</xdr:row>
      <xdr:rowOff>180975</xdr:rowOff>
    </xdr:from>
    <xdr:to>
      <xdr:col>9</xdr:col>
      <xdr:colOff>1057275</xdr:colOff>
      <xdr:row>13</xdr:row>
      <xdr:rowOff>180975</xdr:rowOff>
    </xdr:to>
    <xdr:sp>
      <xdr:nvSpPr>
        <xdr:cNvPr id="50" name="AutoShape 129"/>
        <xdr:cNvSpPr>
          <a:spLocks/>
        </xdr:cNvSpPr>
      </xdr:nvSpPr>
      <xdr:spPr>
        <a:xfrm>
          <a:off x="7953375" y="2809875"/>
          <a:ext cx="1009650" cy="200025"/>
        </a:xfrm>
        <a:prstGeom prst="rect"/>
        <a:noFill/>
      </xdr:spPr>
      <xdr:txBody>
        <a:bodyPr fromWordArt="1" wrap="none">
          <a:prstTxWarp prst="textPlain"/>
        </a:bodyPr>
        <a:p>
          <a:pPr algn="ctr"/>
          <a:r>
            <a:rPr sz="1000" kern="10" spc="0">
              <a:ln w="6350" cmpd="sng">
                <a:solidFill>
                  <a:srgbClr val="000000"/>
                </a:solidFill>
                <a:headEnd type="none"/>
                <a:tailEnd type="none"/>
              </a:ln>
              <a:solidFill>
                <a:srgbClr val="000000"/>
              </a:solidFill>
              <a:latin typeface="Arial Narrow"/>
              <a:cs typeface="Arial Narrow"/>
            </a:rPr>
            <a:t>Plan View of Pond</a:t>
          </a:r>
        </a:p>
      </xdr:txBody>
    </xdr:sp>
    <xdr:clientData/>
  </xdr:twoCellAnchor>
  <xdr:twoCellAnchor>
    <xdr:from>
      <xdr:col>9</xdr:col>
      <xdr:colOff>47625</xdr:colOff>
      <xdr:row>5</xdr:row>
      <xdr:rowOff>9525</xdr:rowOff>
    </xdr:from>
    <xdr:to>
      <xdr:col>9</xdr:col>
      <xdr:colOff>1371600</xdr:colOff>
      <xdr:row>6</xdr:row>
      <xdr:rowOff>9525</xdr:rowOff>
    </xdr:to>
    <xdr:sp>
      <xdr:nvSpPr>
        <xdr:cNvPr id="51" name="AutoShape 131"/>
        <xdr:cNvSpPr>
          <a:spLocks/>
        </xdr:cNvSpPr>
      </xdr:nvSpPr>
      <xdr:spPr>
        <a:xfrm>
          <a:off x="7953375" y="1028700"/>
          <a:ext cx="1323975" cy="200025"/>
        </a:xfrm>
        <a:prstGeom prst="rect"/>
        <a:noFill/>
      </xdr:spPr>
      <xdr:txBody>
        <a:bodyPr fromWordArt="1" wrap="none">
          <a:prstTxWarp prst="textPlain"/>
        </a:bodyPr>
        <a:p>
          <a:pPr algn="ctr"/>
          <a:r>
            <a:rPr sz="1000" kern="10" spc="0">
              <a:ln w="9525" cmpd="sng">
                <a:solidFill>
                  <a:srgbClr val="000000"/>
                </a:solidFill>
                <a:headEnd type="none"/>
                <a:tailEnd type="none"/>
              </a:ln>
              <a:solidFill>
                <a:srgbClr val="000000"/>
              </a:solidFill>
              <a:latin typeface="Arial Narrow"/>
              <a:cs typeface="Arial Narrow"/>
            </a:rPr>
            <a:t>Cross Section of Embankment</a:t>
          </a:r>
        </a:p>
      </xdr:txBody>
    </xdr:sp>
    <xdr:clientData/>
  </xdr:twoCellAnchor>
  <xdr:twoCellAnchor>
    <xdr:from>
      <xdr:col>14</xdr:col>
      <xdr:colOff>228600</xdr:colOff>
      <xdr:row>10</xdr:row>
      <xdr:rowOff>152400</xdr:rowOff>
    </xdr:from>
    <xdr:to>
      <xdr:col>14</xdr:col>
      <xdr:colOff>504825</xdr:colOff>
      <xdr:row>11</xdr:row>
      <xdr:rowOff>95250</xdr:rowOff>
    </xdr:to>
    <xdr:sp>
      <xdr:nvSpPr>
        <xdr:cNvPr id="52" name="AutoShape 133"/>
        <xdr:cNvSpPr>
          <a:spLocks/>
        </xdr:cNvSpPr>
      </xdr:nvSpPr>
      <xdr:spPr>
        <a:xfrm>
          <a:off x="12420600" y="2381250"/>
          <a:ext cx="276225" cy="142875"/>
        </a:xfrm>
        <a:prstGeom prst="rect"/>
        <a:noFill/>
      </xdr:spPr>
      <xdr:txBody>
        <a:bodyPr fromWordArt="1" wrap="none">
          <a:prstTxWarp prst="textPlain"/>
        </a:bodyPr>
        <a:p>
          <a:pPr algn="ctr"/>
          <a:r>
            <a:rPr sz="800" kern="10" spc="0">
              <a:ln w="9525" cmpd="sng">
                <a:solidFill>
                  <a:srgbClr val="000000"/>
                </a:solidFill>
                <a:headEnd type="none"/>
                <a:tailEnd type="none"/>
              </a:ln>
              <a:solidFill>
                <a:srgbClr val="000000"/>
              </a:solidFill>
              <a:latin typeface="Arial Narrow"/>
              <a:cs typeface="Arial Narrow"/>
            </a:rPr>
            <a:t>Pond</a:t>
          </a:r>
        </a:p>
      </xdr:txBody>
    </xdr:sp>
    <xdr:clientData/>
  </xdr:twoCellAnchor>
  <xdr:twoCellAnchor>
    <xdr:from>
      <xdr:col>10</xdr:col>
      <xdr:colOff>123825</xdr:colOff>
      <xdr:row>13</xdr:row>
      <xdr:rowOff>180975</xdr:rowOff>
    </xdr:from>
    <xdr:to>
      <xdr:col>10</xdr:col>
      <xdr:colOff>400050</xdr:colOff>
      <xdr:row>14</xdr:row>
      <xdr:rowOff>142875</xdr:rowOff>
    </xdr:to>
    <xdr:sp>
      <xdr:nvSpPr>
        <xdr:cNvPr id="53" name="AutoShape 134"/>
        <xdr:cNvSpPr>
          <a:spLocks/>
        </xdr:cNvSpPr>
      </xdr:nvSpPr>
      <xdr:spPr>
        <a:xfrm>
          <a:off x="9734550" y="3009900"/>
          <a:ext cx="276225" cy="161925"/>
        </a:xfrm>
        <a:prstGeom prst="rect"/>
        <a:noFill/>
      </xdr:spPr>
      <xdr:txBody>
        <a:bodyPr fromWordArt="1" wrap="none">
          <a:prstTxWarp prst="textPlain"/>
        </a:bodyPr>
        <a:p>
          <a:pPr algn="ctr"/>
          <a:r>
            <a:rPr sz="800" kern="10" spc="0">
              <a:ln w="9525" cmpd="sng">
                <a:solidFill>
                  <a:srgbClr val="000000"/>
                </a:solidFill>
                <a:headEnd type="none"/>
                <a:tailEnd type="none"/>
              </a:ln>
              <a:solidFill>
                <a:srgbClr val="000000"/>
              </a:solidFill>
              <a:latin typeface="Arial Narrow"/>
              <a:cs typeface="Arial Narrow"/>
            </a:rPr>
            <a:t>Pond</a:t>
          </a:r>
        </a:p>
      </xdr:txBody>
    </xdr:sp>
    <xdr:clientData/>
  </xdr:twoCellAnchor>
  <xdr:twoCellAnchor>
    <xdr:from>
      <xdr:col>10</xdr:col>
      <xdr:colOff>295275</xdr:colOff>
      <xdr:row>10</xdr:row>
      <xdr:rowOff>152400</xdr:rowOff>
    </xdr:from>
    <xdr:to>
      <xdr:col>12</xdr:col>
      <xdr:colOff>171450</xdr:colOff>
      <xdr:row>11</xdr:row>
      <xdr:rowOff>104775</xdr:rowOff>
    </xdr:to>
    <xdr:sp>
      <xdr:nvSpPr>
        <xdr:cNvPr id="54" name="AutoShape 135"/>
        <xdr:cNvSpPr>
          <a:spLocks/>
        </xdr:cNvSpPr>
      </xdr:nvSpPr>
      <xdr:spPr>
        <a:xfrm>
          <a:off x="9906000" y="2381250"/>
          <a:ext cx="771525" cy="152400"/>
        </a:xfrm>
        <a:prstGeom prst="rect"/>
        <a:noFill/>
      </xdr:spPr>
      <xdr:txBody>
        <a:bodyPr fromWordArt="1" wrap="none">
          <a:prstTxWarp prst="textPlain"/>
        </a:bodyPr>
        <a:p>
          <a:pPr algn="ctr"/>
          <a:r>
            <a:rPr sz="800" kern="10" spc="0">
              <a:ln w="9525" cmpd="sng">
                <a:solidFill>
                  <a:srgbClr val="000000"/>
                </a:solidFill>
                <a:headEnd type="none"/>
                <a:tailEnd type="none"/>
              </a:ln>
              <a:solidFill>
                <a:srgbClr val="000000"/>
              </a:solidFill>
              <a:latin typeface="Arial Narrow"/>
              <a:cs typeface="Arial Narrow"/>
            </a:rPr>
            <a:t>Embankment</a:t>
          </a:r>
        </a:p>
      </xdr:txBody>
    </xdr:sp>
    <xdr:clientData/>
  </xdr:twoCellAnchor>
  <xdr:twoCellAnchor>
    <xdr:from>
      <xdr:col>9</xdr:col>
      <xdr:colOff>180975</xdr:colOff>
      <xdr:row>8</xdr:row>
      <xdr:rowOff>0</xdr:rowOff>
    </xdr:from>
    <xdr:to>
      <xdr:col>10</xdr:col>
      <xdr:colOff>581025</xdr:colOff>
      <xdr:row>8</xdr:row>
      <xdr:rowOff>0</xdr:rowOff>
    </xdr:to>
    <xdr:sp>
      <xdr:nvSpPr>
        <xdr:cNvPr id="55" name="Line 136"/>
        <xdr:cNvSpPr>
          <a:spLocks/>
        </xdr:cNvSpPr>
      </xdr:nvSpPr>
      <xdr:spPr>
        <a:xfrm flipH="1">
          <a:off x="8086725" y="1828800"/>
          <a:ext cx="210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6</xdr:row>
      <xdr:rowOff>209550</xdr:rowOff>
    </xdr:from>
    <xdr:to>
      <xdr:col>12</xdr:col>
      <xdr:colOff>428625</xdr:colOff>
      <xdr:row>6</xdr:row>
      <xdr:rowOff>209550</xdr:rowOff>
    </xdr:to>
    <xdr:sp>
      <xdr:nvSpPr>
        <xdr:cNvPr id="56" name="Line 137"/>
        <xdr:cNvSpPr>
          <a:spLocks/>
        </xdr:cNvSpPr>
      </xdr:nvSpPr>
      <xdr:spPr>
        <a:xfrm flipH="1">
          <a:off x="10706100" y="14287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4</xdr:row>
      <xdr:rowOff>95250</xdr:rowOff>
    </xdr:from>
    <xdr:to>
      <xdr:col>14</xdr:col>
      <xdr:colOff>628650</xdr:colOff>
      <xdr:row>5</xdr:row>
      <xdr:rowOff>190500</xdr:rowOff>
    </xdr:to>
    <xdr:sp>
      <xdr:nvSpPr>
        <xdr:cNvPr id="57" name="AutoShape 139"/>
        <xdr:cNvSpPr>
          <a:spLocks/>
        </xdr:cNvSpPr>
      </xdr:nvSpPr>
      <xdr:spPr>
        <a:xfrm>
          <a:off x="11868150" y="914400"/>
          <a:ext cx="952500" cy="295275"/>
        </a:xfrm>
        <a:prstGeom prst="rect"/>
        <a:noFill/>
      </xdr:spPr>
      <xdr:txBody>
        <a:bodyPr fromWordArt="1" wrap="none">
          <a:prstTxWarp prst="textPlain"/>
        </a:bodyPr>
        <a:p>
          <a:pPr algn="ctr"/>
          <a:r>
            <a:rPr sz="800" kern="10" spc="0">
              <a:ln w="9525" cmpd="sng">
                <a:solidFill>
                  <a:srgbClr val="000000"/>
                </a:solidFill>
                <a:headEnd type="none"/>
                <a:tailEnd type="none"/>
              </a:ln>
              <a:solidFill>
                <a:srgbClr val="000000"/>
              </a:solidFill>
              <a:latin typeface="Arial Narrow"/>
              <a:cs typeface="Arial Narrow"/>
            </a:rPr>
            <a:t>Pond Dimensions
Measured Here</a:t>
          </a:r>
        </a:p>
      </xdr:txBody>
    </xdr:sp>
    <xdr:clientData/>
  </xdr:twoCellAnchor>
  <xdr:twoCellAnchor>
    <xdr:from>
      <xdr:col>13</xdr:col>
      <xdr:colOff>390525</xdr:colOff>
      <xdr:row>11</xdr:row>
      <xdr:rowOff>180975</xdr:rowOff>
    </xdr:from>
    <xdr:to>
      <xdr:col>15</xdr:col>
      <xdr:colOff>133350</xdr:colOff>
      <xdr:row>11</xdr:row>
      <xdr:rowOff>180975</xdr:rowOff>
    </xdr:to>
    <xdr:sp>
      <xdr:nvSpPr>
        <xdr:cNvPr id="58" name="Line 141"/>
        <xdr:cNvSpPr>
          <a:spLocks/>
        </xdr:cNvSpPr>
      </xdr:nvSpPr>
      <xdr:spPr>
        <a:xfrm>
          <a:off x="11791950" y="2609850"/>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762000</xdr:colOff>
      <xdr:row>12</xdr:row>
      <xdr:rowOff>123825</xdr:rowOff>
    </xdr:from>
    <xdr:to>
      <xdr:col>14</xdr:col>
      <xdr:colOff>762000</xdr:colOff>
      <xdr:row>14</xdr:row>
      <xdr:rowOff>9525</xdr:rowOff>
    </xdr:to>
    <xdr:sp>
      <xdr:nvSpPr>
        <xdr:cNvPr id="59" name="Line 142"/>
        <xdr:cNvSpPr>
          <a:spLocks/>
        </xdr:cNvSpPr>
      </xdr:nvSpPr>
      <xdr:spPr>
        <a:xfrm flipV="1">
          <a:off x="12954000" y="27527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762000</xdr:colOff>
      <xdr:row>10</xdr:row>
      <xdr:rowOff>114300</xdr:rowOff>
    </xdr:from>
    <xdr:to>
      <xdr:col>14</xdr:col>
      <xdr:colOff>762000</xdr:colOff>
      <xdr:row>11</xdr:row>
      <xdr:rowOff>180975</xdr:rowOff>
    </xdr:to>
    <xdr:sp>
      <xdr:nvSpPr>
        <xdr:cNvPr id="60" name="Line 143"/>
        <xdr:cNvSpPr>
          <a:spLocks/>
        </xdr:cNvSpPr>
      </xdr:nvSpPr>
      <xdr:spPr>
        <a:xfrm>
          <a:off x="12954000" y="23431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excel\revised\Dairy%20Waste%20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rd Description"/>
      <sheetName val="Criteria"/>
      <sheetName val="Lagoon Sizing"/>
      <sheetName val="Farm N Balance"/>
      <sheetName val="Field N Balance"/>
      <sheetName val="Field Data Form"/>
    </sheetNames>
    <sheetDataSet>
      <sheetData sheetId="2">
        <row r="2">
          <cell r="A2" t="str">
            <v>Producer:</v>
          </cell>
          <cell r="F2" t="str">
            <v>Date:</v>
          </cell>
          <cell r="H2" t="str">
            <v>Joe Avis Dairy</v>
          </cell>
          <cell r="N2">
            <v>36178</v>
          </cell>
          <cell r="AE2" t="str">
            <v>Height</v>
          </cell>
          <cell r="AK2" t="str">
            <v>Bottom Length</v>
          </cell>
          <cell r="AQ2" t="str">
            <v>Bottom Width</v>
          </cell>
          <cell r="AW2" t="str">
            <v>Top Length</v>
          </cell>
          <cell r="BC2" t="str">
            <v>Top Width</v>
          </cell>
          <cell r="BI2" t="str">
            <v>Volume</v>
          </cell>
        </row>
        <row r="3">
          <cell r="A3" t="str">
            <v>Joe Avis Dairy</v>
          </cell>
          <cell r="F3">
            <v>36178</v>
          </cell>
          <cell r="Q3" t="str">
            <v>Volumes</v>
          </cell>
          <cell r="T3" t="str">
            <v>Lagoon 1</v>
          </cell>
          <cell r="U3" t="str">
            <v>Lagoon 2</v>
          </cell>
          <cell r="V3" t="str">
            <v>Lagoon 3</v>
          </cell>
          <cell r="W3" t="str">
            <v>Lagoon 4</v>
          </cell>
          <cell r="X3" t="str">
            <v>Lagoon 5</v>
          </cell>
          <cell r="Y3" t="str">
            <v>Lagoon 6</v>
          </cell>
          <cell r="AE3" t="str">
            <v>ft</v>
          </cell>
          <cell r="AK3" t="str">
            <v>ft</v>
          </cell>
          <cell r="AQ3" t="str">
            <v>ft</v>
          </cell>
          <cell r="AW3" t="str">
            <v>ft</v>
          </cell>
          <cell r="BC3" t="str">
            <v>ft</v>
          </cell>
          <cell r="BI3" t="str">
            <v>ft3</v>
          </cell>
        </row>
        <row r="4">
          <cell r="H4" t="str">
            <v>Lagoon Design</v>
          </cell>
          <cell r="R4" t="str">
            <v>Design Storage </v>
          </cell>
          <cell r="S4" t="str">
            <v>ft3</v>
          </cell>
          <cell r="T4">
            <v>559091</v>
          </cell>
          <cell r="U4">
            <v>450480</v>
          </cell>
          <cell r="V4">
            <v>0</v>
          </cell>
          <cell r="W4">
            <v>0</v>
          </cell>
          <cell r="X4">
            <v>0</v>
          </cell>
          <cell r="Y4">
            <v>0</v>
          </cell>
          <cell r="Z4" t="str">
            <v>Item</v>
          </cell>
          <cell r="AB4" t="str">
            <v>Lagoon:</v>
          </cell>
          <cell r="AC4">
            <v>1</v>
          </cell>
          <cell r="AD4">
            <v>2</v>
          </cell>
          <cell r="AE4">
            <v>3</v>
          </cell>
          <cell r="AF4">
            <v>4</v>
          </cell>
          <cell r="AG4">
            <v>5</v>
          </cell>
          <cell r="AH4">
            <v>6</v>
          </cell>
          <cell r="AI4">
            <v>1</v>
          </cell>
          <cell r="AJ4">
            <v>2</v>
          </cell>
          <cell r="AK4">
            <v>3</v>
          </cell>
          <cell r="AL4">
            <v>4</v>
          </cell>
          <cell r="AM4">
            <v>5</v>
          </cell>
          <cell r="AN4">
            <v>6</v>
          </cell>
          <cell r="AO4">
            <v>1</v>
          </cell>
          <cell r="AP4">
            <v>2</v>
          </cell>
          <cell r="AQ4">
            <v>3</v>
          </cell>
          <cell r="AR4">
            <v>4</v>
          </cell>
          <cell r="AS4">
            <v>5</v>
          </cell>
          <cell r="AT4">
            <v>6</v>
          </cell>
          <cell r="AU4">
            <v>1</v>
          </cell>
          <cell r="AV4">
            <v>2</v>
          </cell>
          <cell r="AW4">
            <v>3</v>
          </cell>
          <cell r="AX4">
            <v>4</v>
          </cell>
          <cell r="AY4">
            <v>5</v>
          </cell>
          <cell r="AZ4">
            <v>6</v>
          </cell>
          <cell r="BA4">
            <v>1</v>
          </cell>
          <cell r="BB4">
            <v>2</v>
          </cell>
          <cell r="BC4">
            <v>3</v>
          </cell>
          <cell r="BD4">
            <v>4</v>
          </cell>
          <cell r="BE4">
            <v>5</v>
          </cell>
          <cell r="BF4">
            <v>6</v>
          </cell>
          <cell r="BG4">
            <v>1</v>
          </cell>
          <cell r="BH4">
            <v>2</v>
          </cell>
          <cell r="BI4">
            <v>3</v>
          </cell>
          <cell r="BJ4">
            <v>4</v>
          </cell>
          <cell r="BK4">
            <v>5</v>
          </cell>
          <cell r="BL4">
            <v>6</v>
          </cell>
        </row>
        <row r="5">
          <cell r="C5" t="str">
            <v> Number of Animals/Area</v>
          </cell>
          <cell r="F5" t="str">
            <v> Animal</v>
          </cell>
          <cell r="G5" t="str">
            <v>Daily</v>
          </cell>
          <cell r="H5" t="str">
            <v>This worksheet uses the prismoidal method* to calculate storage volumes and </v>
          </cell>
          <cell r="R5" t="str">
            <v>Additional Required Storage</v>
          </cell>
          <cell r="S5" t="str">
            <v>ft3</v>
          </cell>
          <cell r="T5">
            <v>91480.08261917904</v>
          </cell>
          <cell r="U5">
            <v>-358999.91738082096</v>
          </cell>
          <cell r="V5">
            <v>-358999.91738082096</v>
          </cell>
          <cell r="W5">
            <v>-358999.91738082096</v>
          </cell>
          <cell r="X5">
            <v>-358999.91738082096</v>
          </cell>
          <cell r="Y5">
            <v>-358999.91738082096</v>
          </cell>
          <cell r="Z5" t="str">
            <v>Design Storage (W/ Freeboard)</v>
          </cell>
          <cell r="AC5">
            <v>13</v>
          </cell>
          <cell r="AD5">
            <v>12</v>
          </cell>
          <cell r="AE5">
            <v>0</v>
          </cell>
          <cell r="AF5">
            <v>0</v>
          </cell>
          <cell r="AG5">
            <v>0</v>
          </cell>
          <cell r="AH5">
            <v>0</v>
          </cell>
          <cell r="AI5">
            <v>355</v>
          </cell>
          <cell r="AJ5">
            <v>194</v>
          </cell>
          <cell r="AK5">
            <v>0</v>
          </cell>
          <cell r="AL5">
            <v>0</v>
          </cell>
          <cell r="AM5">
            <v>0</v>
          </cell>
          <cell r="AN5">
            <v>0</v>
          </cell>
          <cell r="AO5">
            <v>95</v>
          </cell>
          <cell r="AP5">
            <v>170</v>
          </cell>
          <cell r="AQ5">
            <v>0</v>
          </cell>
          <cell r="AR5">
            <v>0</v>
          </cell>
          <cell r="AS5">
            <v>0</v>
          </cell>
          <cell r="AT5">
            <v>0</v>
          </cell>
          <cell r="AU5">
            <v>394</v>
          </cell>
          <cell r="AV5">
            <v>218</v>
          </cell>
          <cell r="AW5">
            <v>0</v>
          </cell>
          <cell r="AX5">
            <v>0</v>
          </cell>
          <cell r="AY5">
            <v>0</v>
          </cell>
          <cell r="AZ5">
            <v>0</v>
          </cell>
          <cell r="BA5">
            <v>134</v>
          </cell>
          <cell r="BB5">
            <v>194</v>
          </cell>
          <cell r="BC5">
            <v>0</v>
          </cell>
          <cell r="BD5">
            <v>0</v>
          </cell>
          <cell r="BE5">
            <v>0</v>
          </cell>
          <cell r="BF5">
            <v>0</v>
          </cell>
          <cell r="BG5">
            <v>559091</v>
          </cell>
          <cell r="BH5">
            <v>450480</v>
          </cell>
          <cell r="BI5">
            <v>0</v>
          </cell>
          <cell r="BJ5">
            <v>0</v>
          </cell>
          <cell r="BK5">
            <v>0</v>
          </cell>
          <cell r="BL5">
            <v>0</v>
          </cell>
        </row>
        <row r="6">
          <cell r="A6" t="str">
            <v>Animal</v>
          </cell>
          <cell r="B6" t="str">
            <v>Flushed</v>
          </cell>
          <cell r="C6" t="str">
            <v>Flushed</v>
          </cell>
          <cell r="D6" t="str">
            <v>Scraped</v>
          </cell>
          <cell r="E6" t="str">
            <v>Scraped</v>
          </cell>
          <cell r="F6" t="str">
            <v>Weight</v>
          </cell>
          <cell r="G6" t="str">
            <v>Waste</v>
          </cell>
          <cell r="H6" t="str">
            <v>earthwork of a rectangular lagoon on a level surface.</v>
          </cell>
          <cell r="T6" t="str">
            <v>Inadequate</v>
          </cell>
          <cell r="U6" t="str">
            <v>Adequate</v>
          </cell>
          <cell r="V6" t="str">
            <v>Adequate</v>
          </cell>
          <cell r="W6" t="str">
            <v>Adequate</v>
          </cell>
          <cell r="X6" t="str">
            <v>Adequate</v>
          </cell>
          <cell r="Y6" t="str">
            <v>Adequate</v>
          </cell>
          <cell r="Z6" t="str">
            <v>Bank Full Storage (W/O Freeboard)</v>
          </cell>
          <cell r="AC6">
            <v>15</v>
          </cell>
          <cell r="AD6">
            <v>14</v>
          </cell>
          <cell r="AE6">
            <v>0</v>
          </cell>
          <cell r="AF6">
            <v>0</v>
          </cell>
          <cell r="AG6">
            <v>0</v>
          </cell>
          <cell r="AH6">
            <v>0</v>
          </cell>
          <cell r="AI6">
            <v>355</v>
          </cell>
          <cell r="AJ6">
            <v>194</v>
          </cell>
          <cell r="AK6">
            <v>0</v>
          </cell>
          <cell r="AL6">
            <v>0</v>
          </cell>
          <cell r="AM6">
            <v>0</v>
          </cell>
          <cell r="AN6">
            <v>0</v>
          </cell>
          <cell r="AO6">
            <v>95</v>
          </cell>
          <cell r="AP6">
            <v>170</v>
          </cell>
          <cell r="AQ6">
            <v>0</v>
          </cell>
          <cell r="AR6">
            <v>0</v>
          </cell>
          <cell r="AS6">
            <v>0</v>
          </cell>
          <cell r="AT6">
            <v>0</v>
          </cell>
          <cell r="AU6">
            <v>400</v>
          </cell>
          <cell r="AV6">
            <v>222</v>
          </cell>
          <cell r="AW6">
            <v>0</v>
          </cell>
          <cell r="AX6">
            <v>0</v>
          </cell>
          <cell r="AY6">
            <v>0</v>
          </cell>
          <cell r="AZ6">
            <v>0</v>
          </cell>
          <cell r="BA6">
            <v>140</v>
          </cell>
          <cell r="BB6">
            <v>198</v>
          </cell>
          <cell r="BC6">
            <v>0</v>
          </cell>
          <cell r="BD6">
            <v>0</v>
          </cell>
          <cell r="BE6">
            <v>0</v>
          </cell>
          <cell r="BF6">
            <v>0</v>
          </cell>
          <cell r="BG6">
            <v>667875</v>
          </cell>
          <cell r="BH6">
            <v>536722.6666666667</v>
          </cell>
          <cell r="BI6">
            <v>0</v>
          </cell>
          <cell r="BJ6">
            <v>0</v>
          </cell>
          <cell r="BK6">
            <v>0</v>
          </cell>
          <cell r="BL6">
            <v>0</v>
          </cell>
        </row>
        <row r="7">
          <cell r="A7" t="str">
            <v>Description</v>
          </cell>
          <cell r="B7" t="str">
            <v>Freestall</v>
          </cell>
          <cell r="C7" t="str">
            <v>Lanes</v>
          </cell>
          <cell r="D7" t="str">
            <v>Freestall</v>
          </cell>
          <cell r="E7" t="str">
            <v>Dry Lot</v>
          </cell>
          <cell r="F7" t="str">
            <v>lbs</v>
          </cell>
          <cell r="G7" t="str">
            <v>ft3</v>
          </cell>
          <cell r="H7" t="str">
            <v>*</v>
          </cell>
          <cell r="I7" t="str">
            <v>Volume = height / 6 x ( area of top + area of bottom + 4 x area of middle)</v>
          </cell>
          <cell r="Z7" t="str">
            <v>Total Cut</v>
          </cell>
          <cell r="AC7">
            <v>15</v>
          </cell>
          <cell r="AD7">
            <v>6</v>
          </cell>
          <cell r="AE7">
            <v>0</v>
          </cell>
          <cell r="AF7">
            <v>0</v>
          </cell>
          <cell r="AG7">
            <v>0</v>
          </cell>
          <cell r="AH7">
            <v>0</v>
          </cell>
          <cell r="AI7">
            <v>355</v>
          </cell>
          <cell r="AJ7">
            <v>194</v>
          </cell>
          <cell r="AK7">
            <v>0</v>
          </cell>
          <cell r="AL7">
            <v>0</v>
          </cell>
          <cell r="AM7">
            <v>0</v>
          </cell>
          <cell r="AN7">
            <v>0</v>
          </cell>
          <cell r="AO7">
            <v>95</v>
          </cell>
          <cell r="AP7">
            <v>170</v>
          </cell>
          <cell r="AQ7">
            <v>0</v>
          </cell>
          <cell r="AR7">
            <v>0</v>
          </cell>
          <cell r="AS7">
            <v>0</v>
          </cell>
          <cell r="AT7">
            <v>0</v>
          </cell>
          <cell r="AU7">
            <v>400</v>
          </cell>
          <cell r="AV7">
            <v>206</v>
          </cell>
          <cell r="AW7">
            <v>0</v>
          </cell>
          <cell r="AX7">
            <v>0</v>
          </cell>
          <cell r="AY7">
            <v>0</v>
          </cell>
          <cell r="AZ7">
            <v>0</v>
          </cell>
          <cell r="BA7">
            <v>140</v>
          </cell>
          <cell r="BB7">
            <v>182</v>
          </cell>
          <cell r="BC7">
            <v>0</v>
          </cell>
          <cell r="BD7">
            <v>0</v>
          </cell>
          <cell r="BE7">
            <v>0</v>
          </cell>
          <cell r="BF7">
            <v>0</v>
          </cell>
          <cell r="BG7">
            <v>667875</v>
          </cell>
          <cell r="BH7">
            <v>211272</v>
          </cell>
          <cell r="BI7">
            <v>0</v>
          </cell>
          <cell r="BJ7">
            <v>0</v>
          </cell>
          <cell r="BK7">
            <v>0</v>
          </cell>
          <cell r="BL7">
            <v>0</v>
          </cell>
        </row>
        <row r="8">
          <cell r="A8" t="str">
            <v>Milking Cows</v>
          </cell>
          <cell r="B8">
            <v>280</v>
          </cell>
          <cell r="C8">
            <v>0</v>
          </cell>
          <cell r="D8">
            <v>0</v>
          </cell>
          <cell r="E8">
            <v>0</v>
          </cell>
          <cell r="F8">
            <v>1400</v>
          </cell>
          <cell r="G8">
            <v>537</v>
          </cell>
          <cell r="R8" t="str">
            <v>Total Design Storage</v>
          </cell>
          <cell r="S8" t="str">
            <v>ft3</v>
          </cell>
          <cell r="T8">
            <v>1009571</v>
          </cell>
          <cell r="Z8" t="str">
            <v>Total Fill+Bank Full Storage-Cut</v>
          </cell>
          <cell r="AC8">
            <v>0</v>
          </cell>
          <cell r="AD8">
            <v>8</v>
          </cell>
          <cell r="AE8">
            <v>0</v>
          </cell>
          <cell r="AF8">
            <v>0</v>
          </cell>
          <cell r="AG8">
            <v>0</v>
          </cell>
          <cell r="AH8">
            <v>0</v>
          </cell>
          <cell r="AI8">
            <v>400</v>
          </cell>
          <cell r="AJ8">
            <v>270</v>
          </cell>
          <cell r="AK8">
            <v>0</v>
          </cell>
          <cell r="AL8">
            <v>0</v>
          </cell>
          <cell r="AM8">
            <v>0</v>
          </cell>
          <cell r="AN8">
            <v>0</v>
          </cell>
          <cell r="AO8">
            <v>140</v>
          </cell>
          <cell r="AP8">
            <v>246</v>
          </cell>
          <cell r="AQ8">
            <v>0</v>
          </cell>
          <cell r="AR8">
            <v>0</v>
          </cell>
          <cell r="AS8">
            <v>0</v>
          </cell>
          <cell r="AT8">
            <v>0</v>
          </cell>
          <cell r="AU8">
            <v>400</v>
          </cell>
          <cell r="AV8">
            <v>254</v>
          </cell>
          <cell r="AW8">
            <v>0</v>
          </cell>
          <cell r="AX8">
            <v>0</v>
          </cell>
          <cell r="AY8">
            <v>0</v>
          </cell>
          <cell r="AZ8">
            <v>0</v>
          </cell>
          <cell r="BA8">
            <v>140</v>
          </cell>
          <cell r="BB8">
            <v>230</v>
          </cell>
          <cell r="BC8">
            <v>0</v>
          </cell>
          <cell r="BD8">
            <v>0</v>
          </cell>
          <cell r="BE8">
            <v>0</v>
          </cell>
          <cell r="BF8">
            <v>0</v>
          </cell>
          <cell r="BG8">
            <v>0</v>
          </cell>
          <cell r="BH8">
            <v>499018.6666666666</v>
          </cell>
          <cell r="BI8">
            <v>0</v>
          </cell>
          <cell r="BJ8">
            <v>0</v>
          </cell>
          <cell r="BK8">
            <v>0</v>
          </cell>
          <cell r="BL8">
            <v>0</v>
          </cell>
        </row>
        <row r="9">
          <cell r="A9" t="str">
            <v>Dry Cows</v>
          </cell>
          <cell r="B9">
            <v>0</v>
          </cell>
          <cell r="C9">
            <v>0</v>
          </cell>
          <cell r="D9">
            <v>0</v>
          </cell>
          <cell r="E9">
            <v>0</v>
          </cell>
          <cell r="F9">
            <v>1500</v>
          </cell>
          <cell r="G9">
            <v>0</v>
          </cell>
          <cell r="R9" t="str">
            <v>Total Required Storage</v>
          </cell>
          <cell r="S9" t="str">
            <v>ft3</v>
          </cell>
          <cell r="T9">
            <v>650571.082619179</v>
          </cell>
          <cell r="U9">
            <v>0.3555965032482321</v>
          </cell>
        </row>
        <row r="10">
          <cell r="A10" t="str">
            <v>Bred Heifers</v>
          </cell>
          <cell r="B10">
            <v>0</v>
          </cell>
          <cell r="C10">
            <v>0</v>
          </cell>
          <cell r="D10">
            <v>0</v>
          </cell>
          <cell r="E10">
            <v>20</v>
          </cell>
          <cell r="F10">
            <v>1100</v>
          </cell>
          <cell r="G10">
            <v>30</v>
          </cell>
          <cell r="AB10" t="str">
            <v>Lagoon:</v>
          </cell>
          <cell r="AC10">
            <v>1</v>
          </cell>
          <cell r="AD10">
            <v>2</v>
          </cell>
          <cell r="AE10">
            <v>3</v>
          </cell>
          <cell r="AF10">
            <v>4</v>
          </cell>
          <cell r="AG10">
            <v>5</v>
          </cell>
          <cell r="AH10">
            <v>6</v>
          </cell>
        </row>
        <row r="11">
          <cell r="A11" t="str">
            <v>Heifers, 1 yr to breeding</v>
          </cell>
          <cell r="B11">
            <v>0</v>
          </cell>
          <cell r="C11">
            <v>0</v>
          </cell>
          <cell r="D11">
            <v>0</v>
          </cell>
          <cell r="E11">
            <v>0</v>
          </cell>
          <cell r="F11">
            <v>775</v>
          </cell>
          <cell r="G11">
            <v>0</v>
          </cell>
          <cell r="Q11" t="str">
            <v>Dimensions</v>
          </cell>
          <cell r="T11" t="str">
            <v>Lagoon 1</v>
          </cell>
          <cell r="U11" t="str">
            <v>Lagoon 2</v>
          </cell>
          <cell r="V11" t="str">
            <v>Lagoon 3</v>
          </cell>
          <cell r="W11" t="str">
            <v>Lagoon 4</v>
          </cell>
          <cell r="X11" t="str">
            <v>Lagoon 5</v>
          </cell>
          <cell r="Y11" t="str">
            <v>Lagoon 6</v>
          </cell>
          <cell r="AA11" t="str">
            <v>Total Fill</v>
          </cell>
          <cell r="AB11" t="str">
            <v>ft3</v>
          </cell>
          <cell r="AC11">
            <v>0</v>
          </cell>
          <cell r="AD11">
            <v>173567.99999999988</v>
          </cell>
          <cell r="AE11">
            <v>0</v>
          </cell>
          <cell r="AF11">
            <v>0</v>
          </cell>
          <cell r="AG11">
            <v>0</v>
          </cell>
          <cell r="AH11">
            <v>0</v>
          </cell>
        </row>
        <row r="12">
          <cell r="A12" t="str">
            <v>Calves, 3 m to 1 yr </v>
          </cell>
          <cell r="B12">
            <v>0</v>
          </cell>
          <cell r="C12">
            <v>0</v>
          </cell>
          <cell r="D12">
            <v>0</v>
          </cell>
          <cell r="E12">
            <v>80</v>
          </cell>
          <cell r="F12">
            <v>460</v>
          </cell>
          <cell r="G12">
            <v>50</v>
          </cell>
          <cell r="R12" t="str">
            <v>Footprint Length</v>
          </cell>
          <cell r="S12" t="str">
            <v>ft</v>
          </cell>
          <cell r="T12">
            <v>400</v>
          </cell>
          <cell r="U12">
            <v>270</v>
          </cell>
          <cell r="V12">
            <v>0</v>
          </cell>
          <cell r="W12">
            <v>0</v>
          </cell>
          <cell r="X12">
            <v>0</v>
          </cell>
          <cell r="Y12">
            <v>0</v>
          </cell>
          <cell r="AA12" t="str">
            <v>Available Cut </v>
          </cell>
          <cell r="AB12" t="str">
            <v>ft3</v>
          </cell>
          <cell r="AC12">
            <v>467512.49999999994</v>
          </cell>
          <cell r="AD12">
            <v>147890.4</v>
          </cell>
          <cell r="AE12">
            <v>0</v>
          </cell>
          <cell r="AF12">
            <v>0</v>
          </cell>
          <cell r="AG12">
            <v>0</v>
          </cell>
          <cell r="AH12">
            <v>0</v>
          </cell>
        </row>
        <row r="13">
          <cell r="A13" t="str">
            <v>Calves, 1 day to 90 days</v>
          </cell>
          <cell r="B13">
            <v>0</v>
          </cell>
          <cell r="C13">
            <v>0</v>
          </cell>
          <cell r="D13">
            <v>0</v>
          </cell>
          <cell r="E13">
            <v>0</v>
          </cell>
          <cell r="F13">
            <v>160</v>
          </cell>
          <cell r="G13">
            <v>0</v>
          </cell>
          <cell r="R13" t="str">
            <v>Footprint Width</v>
          </cell>
          <cell r="S13" t="str">
            <v>ft</v>
          </cell>
          <cell r="T13">
            <v>140</v>
          </cell>
          <cell r="U13">
            <v>246</v>
          </cell>
          <cell r="V13">
            <v>0</v>
          </cell>
          <cell r="W13">
            <v>0</v>
          </cell>
          <cell r="X13">
            <v>0</v>
          </cell>
          <cell r="Y13">
            <v>0</v>
          </cell>
        </row>
        <row r="14">
          <cell r="R14" t="str">
            <v>Bottom Length</v>
          </cell>
          <cell r="S14" t="str">
            <v>ft</v>
          </cell>
          <cell r="T14">
            <v>355</v>
          </cell>
          <cell r="U14">
            <v>194</v>
          </cell>
          <cell r="V14">
            <v>0</v>
          </cell>
          <cell r="W14">
            <v>0</v>
          </cell>
          <cell r="X14">
            <v>0</v>
          </cell>
          <cell r="Y14">
            <v>0</v>
          </cell>
        </row>
        <row r="15">
          <cell r="A15" t="str">
            <v>1)  WASTE VOLUME FOR STORAGE</v>
          </cell>
          <cell r="F15" t="str">
            <v>Totals</v>
          </cell>
          <cell r="R15" t="str">
            <v>Bottom Width</v>
          </cell>
          <cell r="S15" t="str">
            <v>ft</v>
          </cell>
          <cell r="T15">
            <v>95</v>
          </cell>
          <cell r="U15">
            <v>170</v>
          </cell>
          <cell r="V15">
            <v>0</v>
          </cell>
          <cell r="W15">
            <v>0</v>
          </cell>
          <cell r="X15">
            <v>0</v>
          </cell>
          <cell r="Y15">
            <v>0</v>
          </cell>
        </row>
        <row r="16">
          <cell r="A16" t="str">
            <v>      Lagoon Storage</v>
          </cell>
          <cell r="B16">
            <v>441</v>
          </cell>
          <cell r="C16">
            <v>0</v>
          </cell>
          <cell r="D16">
            <v>0</v>
          </cell>
          <cell r="E16">
            <v>0</v>
          </cell>
          <cell r="F16">
            <v>441</v>
          </cell>
          <cell r="G16" t="str">
            <v>ft3/day</v>
          </cell>
          <cell r="R16" t="str">
            <v>Bank Full Surface Area</v>
          </cell>
          <cell r="T16">
            <v>56000</v>
          </cell>
          <cell r="U16">
            <v>43956</v>
          </cell>
          <cell r="V16">
            <v>0</v>
          </cell>
          <cell r="W16">
            <v>0</v>
          </cell>
          <cell r="X16">
            <v>0</v>
          </cell>
          <cell r="Y16">
            <v>0</v>
          </cell>
        </row>
        <row r="17">
          <cell r="A17" t="str">
            <v>      Dry Lot Storage</v>
          </cell>
          <cell r="B17">
            <v>97</v>
          </cell>
          <cell r="C17">
            <v>0</v>
          </cell>
          <cell r="D17">
            <v>0</v>
          </cell>
          <cell r="E17">
            <v>81</v>
          </cell>
          <cell r="F17">
            <v>178</v>
          </cell>
          <cell r="G17" t="str">
            <v>ft3/day</v>
          </cell>
          <cell r="R17" t="str">
            <v>Design Surface Area</v>
          </cell>
          <cell r="S17" t="str">
            <v>ft2</v>
          </cell>
          <cell r="T17">
            <v>52796</v>
          </cell>
          <cell r="U17">
            <v>42292</v>
          </cell>
          <cell r="V17">
            <v>0</v>
          </cell>
          <cell r="W17">
            <v>0</v>
          </cell>
          <cell r="X17">
            <v>0</v>
          </cell>
          <cell r="Y17">
            <v>0</v>
          </cell>
        </row>
        <row r="18">
          <cell r="A18" t="str">
            <v>      Manure fluid waste for storage period of</v>
          </cell>
          <cell r="D18">
            <v>120</v>
          </cell>
          <cell r="E18" t="str">
            <v>days  =</v>
          </cell>
          <cell r="F18">
            <v>52920</v>
          </cell>
          <cell r="G18" t="str">
            <v>ft3</v>
          </cell>
        </row>
        <row r="19">
          <cell r="A19" t="str">
            <v>  </v>
          </cell>
          <cell r="Q19" t="str">
            <v>Earthwork</v>
          </cell>
          <cell r="T19" t="str">
            <v>Lagoon 1</v>
          </cell>
          <cell r="U19" t="str">
            <v>Lagoon 2</v>
          </cell>
          <cell r="V19" t="str">
            <v>Lagoon 3</v>
          </cell>
          <cell r="W19" t="str">
            <v>Lagoon 4</v>
          </cell>
          <cell r="X19" t="str">
            <v>Lagoon 5</v>
          </cell>
          <cell r="Y19" t="str">
            <v>Lagoon 6</v>
          </cell>
        </row>
        <row r="20">
          <cell r="A20" t="str">
            <v>      Days of Storage </v>
          </cell>
          <cell r="D20" t="str">
            <v>days</v>
          </cell>
          <cell r="E20">
            <v>120</v>
          </cell>
          <cell r="R20" t="str">
            <v>Total Cut</v>
          </cell>
          <cell r="S20" t="str">
            <v>cy3</v>
          </cell>
          <cell r="T20">
            <v>24736.11111111111</v>
          </cell>
          <cell r="U20">
            <v>7824.888888888889</v>
          </cell>
          <cell r="V20">
            <v>0</v>
          </cell>
          <cell r="W20">
            <v>0</v>
          </cell>
          <cell r="X20">
            <v>0</v>
          </cell>
          <cell r="Y20">
            <v>0</v>
          </cell>
        </row>
        <row r="21">
          <cell r="A21" t="str">
            <v>      Net Daily Water Use per Milking Cow </v>
          </cell>
          <cell r="D21" t="str">
            <v>gal/cow/day</v>
          </cell>
          <cell r="E21">
            <v>50</v>
          </cell>
          <cell r="R21" t="str">
            <v>Available Cut for Fill</v>
          </cell>
          <cell r="S21" t="str">
            <v>cy3</v>
          </cell>
          <cell r="T21">
            <v>17315.277777777777</v>
          </cell>
          <cell r="U21">
            <v>5477.422222222222</v>
          </cell>
          <cell r="V21">
            <v>0</v>
          </cell>
          <cell r="W21">
            <v>0</v>
          </cell>
          <cell r="X21">
            <v>0</v>
          </cell>
          <cell r="Y21">
            <v>0</v>
          </cell>
        </row>
        <row r="22">
          <cell r="A22" t="str">
            <v>      Other Daily Fresh Water added to Lagoon</v>
          </cell>
          <cell r="D22" t="str">
            <v>gal/day</v>
          </cell>
          <cell r="E22">
            <v>0</v>
          </cell>
          <cell r="R22" t="str">
            <v>Total Fill</v>
          </cell>
          <cell r="S22" t="str">
            <v>cy3</v>
          </cell>
          <cell r="T22">
            <v>0</v>
          </cell>
          <cell r="U22">
            <v>6428.44444444444</v>
          </cell>
          <cell r="V22">
            <v>0</v>
          </cell>
          <cell r="W22">
            <v>0</v>
          </cell>
          <cell r="X22">
            <v>0</v>
          </cell>
          <cell r="Y22">
            <v>0</v>
          </cell>
        </row>
        <row r="23">
          <cell r="A23" t="str">
            <v>         25 year 24 hour Storm Rainfall </v>
          </cell>
          <cell r="D23" t="str">
            <v>inches</v>
          </cell>
          <cell r="E23">
            <v>3.5</v>
          </cell>
          <cell r="R23" t="str">
            <v>Cut-Fill Balance </v>
          </cell>
          <cell r="S23" t="str">
            <v>cy3</v>
          </cell>
          <cell r="T23">
            <v>17315.277777777777</v>
          </cell>
          <cell r="U23">
            <v>-951.0222222222174</v>
          </cell>
          <cell r="V23">
            <v>0</v>
          </cell>
          <cell r="W23">
            <v>0</v>
          </cell>
          <cell r="X23">
            <v>0</v>
          </cell>
          <cell r="Y23">
            <v>0</v>
          </cell>
        </row>
        <row r="24">
          <cell r="A24" t="str">
            <v>         Runoff Area - Manured Surfaces</v>
          </cell>
          <cell r="D24" t="str">
            <v>acres</v>
          </cell>
          <cell r="E24">
            <v>6.3</v>
          </cell>
          <cell r="R24" t="str">
            <v>(Excess Material)</v>
          </cell>
        </row>
        <row r="25">
          <cell r="A25" t="str">
            <v>         Runoff Area - Concrete Surfaces</v>
          </cell>
          <cell r="D25" t="str">
            <v>ft2</v>
          </cell>
          <cell r="E25">
            <v>10000</v>
          </cell>
          <cell r="H25" t="str">
            <v>Input (From Field Data Form)</v>
          </cell>
        </row>
        <row r="26">
          <cell r="A26" t="str">
            <v>         Runoff Area - Roof Surfaces </v>
          </cell>
          <cell r="D26" t="str">
            <v>ft2</v>
          </cell>
          <cell r="E26">
            <v>100000</v>
          </cell>
          <cell r="K26" t="str">
            <v>Lagoon 1</v>
          </cell>
          <cell r="L26" t="str">
            <v>Lagoon 2</v>
          </cell>
          <cell r="M26" t="str">
            <v>Lagoon 3</v>
          </cell>
          <cell r="N26" t="str">
            <v>Lagoon 4</v>
          </cell>
          <cell r="O26" t="str">
            <v>Lagoon 5</v>
          </cell>
          <cell r="P26" t="str">
            <v>Lagoon 6</v>
          </cell>
        </row>
        <row r="27">
          <cell r="H27" t="str">
            <v>Hb</v>
          </cell>
          <cell r="I27" t="str">
            <v>Embankment Height</v>
          </cell>
          <cell r="J27" t="str">
            <v>ft</v>
          </cell>
          <cell r="K27">
            <v>0</v>
          </cell>
          <cell r="L27">
            <v>8</v>
          </cell>
        </row>
        <row r="28">
          <cell r="A28" t="str">
            <v>2) WASH WATER &amp; FRESH WATER VOLUME</v>
          </cell>
          <cell r="H28" t="str">
            <v>Wb</v>
          </cell>
          <cell r="I28" t="str">
            <v>Embankment Top Width</v>
          </cell>
          <cell r="J28" t="str">
            <v>ft</v>
          </cell>
          <cell r="K28">
            <v>0</v>
          </cell>
          <cell r="L28">
            <v>16</v>
          </cell>
        </row>
        <row r="29">
          <cell r="A29" t="str">
            <v>   Wash Water used during Storage Period of  </v>
          </cell>
          <cell r="C29">
            <v>120</v>
          </cell>
          <cell r="D29" t="str">
            <v>days  =</v>
          </cell>
          <cell r="E29">
            <v>224569</v>
          </cell>
          <cell r="F29" t="str">
            <v>ft3</v>
          </cell>
          <cell r="H29" t="str">
            <v>Fb</v>
          </cell>
          <cell r="I29" t="str">
            <v>Freeboard</v>
          </cell>
          <cell r="J29" t="str">
            <v>ft</v>
          </cell>
          <cell r="K29">
            <v>2</v>
          </cell>
          <cell r="L29">
            <v>2</v>
          </cell>
        </row>
        <row r="30">
          <cell r="A30" t="str">
            <v>   Fresh Water used during Storage Period of  </v>
          </cell>
          <cell r="C30">
            <v>120</v>
          </cell>
          <cell r="D30" t="str">
            <v>days  =</v>
          </cell>
          <cell r="E30">
            <v>0</v>
          </cell>
          <cell r="F30" t="str">
            <v>ft3</v>
          </cell>
          <cell r="H30" t="str">
            <v>Hl</v>
          </cell>
          <cell r="I30" t="str">
            <v>Depth of lagoon (freeboard +</v>
          </cell>
          <cell r="J30" t="str">
            <v>ft</v>
          </cell>
          <cell r="K30">
            <v>15</v>
          </cell>
          <cell r="L30">
            <v>14</v>
          </cell>
        </row>
        <row r="31">
          <cell r="D31" t="str">
            <v>Total =</v>
          </cell>
          <cell r="E31">
            <v>224569</v>
          </cell>
          <cell r="F31" t="str">
            <v>ft3</v>
          </cell>
          <cell r="I31" t="str">
            <v>Design Depth)</v>
          </cell>
        </row>
        <row r="32">
          <cell r="H32" t="str">
            <v>SSg</v>
          </cell>
          <cell r="I32" t="str">
            <v>Side Slope (Ground Side)</v>
          </cell>
          <cell r="J32" t="str">
            <v>horiz/vert</v>
          </cell>
          <cell r="K32">
            <v>0</v>
          </cell>
          <cell r="L32">
            <v>1</v>
          </cell>
        </row>
        <row r="33">
          <cell r="A33" t="str">
            <v>3) STORAGE NEEDED FOR RUNOFF &amp; POND SURFACE RAINFALL</v>
          </cell>
          <cell r="H33" t="str">
            <v>SSl</v>
          </cell>
          <cell r="I33" t="str">
            <v>Side Slope (Lagoon Side)</v>
          </cell>
          <cell r="J33" t="str">
            <v>horiz/vert</v>
          </cell>
          <cell r="K33">
            <v>1.5</v>
          </cell>
          <cell r="L33">
            <v>1</v>
          </cell>
        </row>
        <row r="34">
          <cell r="E34" t="str">
            <v> 25 YR STORM</v>
          </cell>
          <cell r="F34" t="str">
            <v>NORMAL</v>
          </cell>
          <cell r="H34" t="str">
            <v>L</v>
          </cell>
          <cell r="I34" t="str">
            <v>Lagoon Length (measured at inside</v>
          </cell>
          <cell r="J34" t="str">
            <v>ft</v>
          </cell>
          <cell r="K34">
            <v>400</v>
          </cell>
          <cell r="L34">
            <v>222</v>
          </cell>
        </row>
        <row r="35">
          <cell r="A35" t="str">
            <v>      Manured Surfaces Runoff Volume</v>
          </cell>
          <cell r="D35" t="str">
            <v>ft3</v>
          </cell>
          <cell r="E35">
            <v>55982.41139240507</v>
          </cell>
          <cell r="F35">
            <v>54108.054000000004</v>
          </cell>
          <cell r="I35" t="str">
            <v>edge of embankment)</v>
          </cell>
        </row>
        <row r="36">
          <cell r="A36" t="str">
            <v>      Concrete Surfaces Runoff Volume</v>
          </cell>
          <cell r="D36" t="str">
            <v>ft3</v>
          </cell>
          <cell r="E36">
            <v>2628.6591793228295</v>
          </cell>
          <cell r="F36">
            <v>4929.166666666667</v>
          </cell>
          <cell r="H36" t="str">
            <v>W</v>
          </cell>
          <cell r="I36" t="str">
            <v>Lagoon Width (measured at inside</v>
          </cell>
          <cell r="J36" t="str">
            <v>ft</v>
          </cell>
          <cell r="K36">
            <v>140</v>
          </cell>
          <cell r="L36">
            <v>198</v>
          </cell>
        </row>
      </sheetData>
      <sheetData sheetId="3">
        <row r="2">
          <cell r="J2" t="str">
            <v>Crop</v>
          </cell>
          <cell r="K2" t="str">
            <v> Crop</v>
          </cell>
          <cell r="L2" t="str">
            <v>Units</v>
          </cell>
          <cell r="M2" t="str">
            <v>N</v>
          </cell>
          <cell r="N2" t="str">
            <v>Ave.</v>
          </cell>
          <cell r="O2" t="str">
            <v>P2O5</v>
          </cell>
          <cell r="P2" t="str">
            <v>K2O</v>
          </cell>
        </row>
        <row r="3">
          <cell r="B3" t="str">
            <v>Farm Wide Nitrogen Balance using Current Cropping Pattern</v>
          </cell>
          <cell r="J3" t="str">
            <v>Code</v>
          </cell>
          <cell r="K3" t="str">
            <v>Name</v>
          </cell>
          <cell r="M3" t="str">
            <v>LB/Unit</v>
          </cell>
          <cell r="N3" t="str">
            <v>Yield</v>
          </cell>
          <cell r="O3" t="str">
            <v>LB/Unit</v>
          </cell>
          <cell r="P3" t="str">
            <v>LB/Unit</v>
          </cell>
        </row>
        <row r="4">
          <cell r="N4" t="str">
            <v>/Acre</v>
          </cell>
        </row>
        <row r="5">
          <cell r="A5" t="str">
            <v>Crop</v>
          </cell>
          <cell r="D5" t="str">
            <v>Yield</v>
          </cell>
          <cell r="E5" t="str">
            <v>Moisture</v>
          </cell>
          <cell r="F5" t="str">
            <v>Protein</v>
          </cell>
          <cell r="G5" t="str">
            <v>Harvested N</v>
          </cell>
          <cell r="H5" t="str">
            <v>Total N Used</v>
          </cell>
          <cell r="J5">
            <v>1</v>
          </cell>
          <cell r="K5" t="str">
            <v>Alfalfa</v>
          </cell>
          <cell r="L5" t="str">
            <v>tons</v>
          </cell>
          <cell r="M5">
            <v>60</v>
          </cell>
          <cell r="N5">
            <v>10</v>
          </cell>
          <cell r="O5">
            <v>12</v>
          </cell>
          <cell r="P5">
            <v>60</v>
          </cell>
        </row>
        <row r="6">
          <cell r="A6" t="str">
            <v>Code</v>
          </cell>
          <cell r="B6" t="str">
            <v>Crop Name</v>
          </cell>
          <cell r="C6" t="str">
            <v>Acres</v>
          </cell>
          <cell r="D6" t="str">
            <v>t/ac</v>
          </cell>
          <cell r="E6" t="str">
            <v>%</v>
          </cell>
          <cell r="F6" t="str">
            <v>%</v>
          </cell>
          <cell r="G6" t="str">
            <v>lbs/ton</v>
          </cell>
          <cell r="H6" t="str">
            <v>tons</v>
          </cell>
          <cell r="J6">
            <v>2</v>
          </cell>
          <cell r="K6" t="str">
            <v>Almonds</v>
          </cell>
          <cell r="L6" t="str">
            <v>tons</v>
          </cell>
          <cell r="M6">
            <v>134</v>
          </cell>
          <cell r="N6">
            <v>1</v>
          </cell>
          <cell r="O6">
            <v>50</v>
          </cell>
          <cell r="P6">
            <v>166</v>
          </cell>
        </row>
        <row r="7">
          <cell r="A7">
            <v>15</v>
          </cell>
          <cell r="B7" t="str">
            <v>Pasture(fescue)</v>
          </cell>
          <cell r="C7">
            <v>100</v>
          </cell>
          <cell r="D7">
            <v>19</v>
          </cell>
          <cell r="G7">
            <v>38.6</v>
          </cell>
          <cell r="H7">
            <v>36.67</v>
          </cell>
          <cell r="J7">
            <v>3</v>
          </cell>
          <cell r="K7" t="str">
            <v>Barley (grain)</v>
          </cell>
          <cell r="L7" t="str">
            <v>tons</v>
          </cell>
          <cell r="M7">
            <v>64</v>
          </cell>
          <cell r="N7">
            <v>3</v>
          </cell>
          <cell r="O7">
            <v>24</v>
          </cell>
          <cell r="P7">
            <v>64</v>
          </cell>
        </row>
        <row r="8">
          <cell r="A8">
            <v>7</v>
          </cell>
          <cell r="B8" t="str">
            <v>Corn (silage)</v>
          </cell>
          <cell r="C8">
            <v>40</v>
          </cell>
          <cell r="D8">
            <v>30</v>
          </cell>
          <cell r="G8">
            <v>8.3</v>
          </cell>
          <cell r="H8">
            <v>4.98</v>
          </cell>
          <cell r="J8">
            <v>4</v>
          </cell>
          <cell r="K8" t="str">
            <v>Barley (silage)</v>
          </cell>
          <cell r="L8" t="str">
            <v>tons</v>
          </cell>
          <cell r="M8">
            <v>33</v>
          </cell>
          <cell r="N8">
            <v>14</v>
          </cell>
          <cell r="O8">
            <v>13</v>
          </cell>
          <cell r="P8">
            <v>33</v>
          </cell>
        </row>
        <row r="9">
          <cell r="B9" t="str">
            <v> </v>
          </cell>
          <cell r="G9" t="str">
            <v> </v>
          </cell>
          <cell r="H9">
            <v>0</v>
          </cell>
          <cell r="J9">
            <v>5</v>
          </cell>
          <cell r="K9" t="str">
            <v>Bermudagrass</v>
          </cell>
          <cell r="L9" t="str">
            <v>tons</v>
          </cell>
          <cell r="M9">
            <v>56</v>
          </cell>
          <cell r="N9">
            <v>4</v>
          </cell>
          <cell r="O9">
            <v>10</v>
          </cell>
          <cell r="P9">
            <v>40</v>
          </cell>
        </row>
        <row r="10">
          <cell r="B10" t="str">
            <v> </v>
          </cell>
          <cell r="G10" t="str">
            <v> </v>
          </cell>
          <cell r="H10">
            <v>0</v>
          </cell>
          <cell r="J10">
            <v>6</v>
          </cell>
          <cell r="K10" t="str">
            <v>Corn (grain)</v>
          </cell>
          <cell r="L10" t="str">
            <v>tons</v>
          </cell>
          <cell r="M10">
            <v>48</v>
          </cell>
          <cell r="N10">
            <v>5</v>
          </cell>
          <cell r="O10">
            <v>20</v>
          </cell>
          <cell r="P10">
            <v>48</v>
          </cell>
        </row>
        <row r="11">
          <cell r="B11" t="str">
            <v> </v>
          </cell>
          <cell r="G11" t="str">
            <v> </v>
          </cell>
          <cell r="H11">
            <v>0</v>
          </cell>
          <cell r="J11">
            <v>7</v>
          </cell>
          <cell r="K11" t="str">
            <v>Corn (silage)</v>
          </cell>
          <cell r="L11" t="str">
            <v>tons</v>
          </cell>
          <cell r="M11">
            <v>8.3</v>
          </cell>
          <cell r="N11">
            <v>30</v>
          </cell>
          <cell r="O11">
            <v>3.6</v>
          </cell>
          <cell r="P11">
            <v>8.3</v>
          </cell>
        </row>
        <row r="12">
          <cell r="B12" t="str">
            <v> </v>
          </cell>
          <cell r="G12" t="str">
            <v> </v>
          </cell>
          <cell r="H12">
            <v>0</v>
          </cell>
          <cell r="J12">
            <v>8</v>
          </cell>
          <cell r="K12" t="str">
            <v>Cotton</v>
          </cell>
          <cell r="L12" t="str">
            <v>bale</v>
          </cell>
          <cell r="M12">
            <v>60</v>
          </cell>
          <cell r="N12">
            <v>3</v>
          </cell>
          <cell r="O12">
            <v>21.7</v>
          </cell>
          <cell r="P12">
            <v>41.7</v>
          </cell>
        </row>
        <row r="13">
          <cell r="B13" t="str">
            <v> </v>
          </cell>
          <cell r="G13" t="str">
            <v> </v>
          </cell>
          <cell r="H13">
            <v>0</v>
          </cell>
          <cell r="J13">
            <v>9</v>
          </cell>
          <cell r="K13" t="str">
            <v>Grapes</v>
          </cell>
          <cell r="L13" t="str">
            <v>tons</v>
          </cell>
          <cell r="M13">
            <v>8.3</v>
          </cell>
          <cell r="N13">
            <v>10</v>
          </cell>
          <cell r="O13">
            <v>3</v>
          </cell>
          <cell r="P13">
            <v>13</v>
          </cell>
        </row>
        <row r="14">
          <cell r="B14" t="str">
            <v> </v>
          </cell>
          <cell r="G14" t="str">
            <v> </v>
          </cell>
          <cell r="H14">
            <v>0</v>
          </cell>
          <cell r="J14">
            <v>10</v>
          </cell>
          <cell r="K14" t="str">
            <v>Melons</v>
          </cell>
          <cell r="L14" t="str">
            <v>tons</v>
          </cell>
          <cell r="M14">
            <v>7.3</v>
          </cell>
          <cell r="N14">
            <v>30</v>
          </cell>
          <cell r="O14">
            <v>2.3</v>
          </cell>
          <cell r="P14">
            <v>13.3</v>
          </cell>
        </row>
        <row r="15">
          <cell r="B15" t="str">
            <v> </v>
          </cell>
          <cell r="G15" t="str">
            <v> </v>
          </cell>
          <cell r="H15">
            <v>0</v>
          </cell>
          <cell r="J15">
            <v>11</v>
          </cell>
          <cell r="K15" t="str">
            <v>Mixed SG forage</v>
          </cell>
          <cell r="L15" t="str">
            <v>tons</v>
          </cell>
          <cell r="M15">
            <v>25</v>
          </cell>
          <cell r="N15">
            <v>14</v>
          </cell>
          <cell r="O15">
            <v>10</v>
          </cell>
          <cell r="P15">
            <v>33</v>
          </cell>
        </row>
        <row r="16">
          <cell r="B16" t="str">
            <v> </v>
          </cell>
          <cell r="G16" t="str">
            <v> </v>
          </cell>
          <cell r="H16">
            <v>0</v>
          </cell>
          <cell r="J16">
            <v>12</v>
          </cell>
          <cell r="K16" t="str">
            <v>Oats (grain)</v>
          </cell>
          <cell r="L16" t="str">
            <v>tons</v>
          </cell>
          <cell r="M16">
            <v>71.9</v>
          </cell>
          <cell r="N16">
            <v>2</v>
          </cell>
          <cell r="O16">
            <v>25</v>
          </cell>
          <cell r="P16">
            <v>90.6</v>
          </cell>
        </row>
        <row r="17">
          <cell r="B17" t="str">
            <v> </v>
          </cell>
          <cell r="G17" t="str">
            <v> </v>
          </cell>
          <cell r="H17">
            <v>0</v>
          </cell>
          <cell r="J17">
            <v>13</v>
          </cell>
          <cell r="K17" t="str">
            <v>Oats (silage)</v>
          </cell>
          <cell r="L17" t="str">
            <v>tons</v>
          </cell>
          <cell r="M17">
            <v>13.8</v>
          </cell>
          <cell r="N17">
            <v>14</v>
          </cell>
          <cell r="O17">
            <v>3.8</v>
          </cell>
          <cell r="P17">
            <v>29.4</v>
          </cell>
        </row>
        <row r="18">
          <cell r="B18" t="str">
            <v> </v>
          </cell>
          <cell r="G18" t="str">
            <v> </v>
          </cell>
          <cell r="H18">
            <v>0</v>
          </cell>
          <cell r="J18">
            <v>14</v>
          </cell>
          <cell r="K18" t="str">
            <v>Onions</v>
          </cell>
          <cell r="L18" t="str">
            <v>tons</v>
          </cell>
          <cell r="M18">
            <v>6</v>
          </cell>
          <cell r="N18">
            <v>30</v>
          </cell>
          <cell r="O18">
            <v>2.7</v>
          </cell>
          <cell r="P18">
            <v>5.3</v>
          </cell>
        </row>
        <row r="19">
          <cell r="B19" t="str">
            <v> </v>
          </cell>
          <cell r="G19" t="str">
            <v> </v>
          </cell>
          <cell r="H19">
            <v>0</v>
          </cell>
          <cell r="J19">
            <v>15</v>
          </cell>
          <cell r="K19" t="str">
            <v>Pasture(fescue)</v>
          </cell>
          <cell r="L19" t="str">
            <v>tons</v>
          </cell>
          <cell r="M19">
            <v>38.6</v>
          </cell>
          <cell r="N19">
            <v>6</v>
          </cell>
          <cell r="O19">
            <v>18.6</v>
          </cell>
          <cell r="P19">
            <v>52.9</v>
          </cell>
        </row>
        <row r="20">
          <cell r="B20" t="str">
            <v> </v>
          </cell>
          <cell r="G20" t="str">
            <v> </v>
          </cell>
          <cell r="H20">
            <v>0</v>
          </cell>
          <cell r="J20">
            <v>16</v>
          </cell>
          <cell r="K20" t="str">
            <v>Peaches</v>
          </cell>
          <cell r="L20" t="str">
            <v>tons</v>
          </cell>
          <cell r="M20">
            <v>6.3</v>
          </cell>
          <cell r="N20">
            <v>15</v>
          </cell>
          <cell r="O20">
            <v>2.7</v>
          </cell>
          <cell r="P20">
            <v>8</v>
          </cell>
        </row>
        <row r="21">
          <cell r="B21" t="str">
            <v> </v>
          </cell>
          <cell r="G21" t="str">
            <v> </v>
          </cell>
          <cell r="H21">
            <v>0</v>
          </cell>
          <cell r="J21">
            <v>17</v>
          </cell>
          <cell r="K21" t="str">
            <v>Potatoes</v>
          </cell>
          <cell r="L21" t="str">
            <v>tons</v>
          </cell>
          <cell r="M21">
            <v>10.8</v>
          </cell>
          <cell r="N21">
            <v>25</v>
          </cell>
          <cell r="O21">
            <v>4</v>
          </cell>
          <cell r="P21">
            <v>22</v>
          </cell>
        </row>
        <row r="22">
          <cell r="B22" t="str">
            <v> </v>
          </cell>
          <cell r="G22" t="str">
            <v> </v>
          </cell>
          <cell r="H22">
            <v>0</v>
          </cell>
          <cell r="J22">
            <v>18</v>
          </cell>
          <cell r="K22" t="str">
            <v>Safflower</v>
          </cell>
          <cell r="L22" t="str">
            <v>tons</v>
          </cell>
          <cell r="M22">
            <v>100</v>
          </cell>
          <cell r="N22">
            <v>2</v>
          </cell>
          <cell r="O22">
            <v>25</v>
          </cell>
          <cell r="P22">
            <v>75</v>
          </cell>
        </row>
        <row r="23">
          <cell r="B23" t="str">
            <v> </v>
          </cell>
          <cell r="G23" t="str">
            <v> </v>
          </cell>
          <cell r="H23">
            <v>0</v>
          </cell>
          <cell r="J23">
            <v>19</v>
          </cell>
          <cell r="K23" t="str">
            <v>Sorghum</v>
          </cell>
          <cell r="L23" t="str">
            <v>tons</v>
          </cell>
          <cell r="M23">
            <v>30</v>
          </cell>
          <cell r="N23">
            <v>4</v>
          </cell>
          <cell r="O23">
            <v>15</v>
          </cell>
          <cell r="P23">
            <v>7.5</v>
          </cell>
        </row>
        <row r="24">
          <cell r="B24" t="str">
            <v> </v>
          </cell>
          <cell r="G24" t="str">
            <v> </v>
          </cell>
          <cell r="H24">
            <v>0</v>
          </cell>
          <cell r="J24">
            <v>20</v>
          </cell>
          <cell r="K24" t="str">
            <v>Sudan silage</v>
          </cell>
          <cell r="L24" t="str">
            <v>tons</v>
          </cell>
          <cell r="M24">
            <v>39.9</v>
          </cell>
          <cell r="N24">
            <v>14</v>
          </cell>
          <cell r="O24">
            <v>15.3</v>
          </cell>
          <cell r="P24">
            <v>58.4</v>
          </cell>
        </row>
        <row r="25">
          <cell r="B25" t="str">
            <v> </v>
          </cell>
          <cell r="G25" t="str">
            <v> </v>
          </cell>
          <cell r="H25">
            <v>0</v>
          </cell>
          <cell r="J25">
            <v>21</v>
          </cell>
          <cell r="K25" t="str">
            <v>Sugar Beets</v>
          </cell>
          <cell r="L25" t="str">
            <v>tons</v>
          </cell>
          <cell r="M25">
            <v>8.5</v>
          </cell>
          <cell r="N25">
            <v>30</v>
          </cell>
          <cell r="O25">
            <v>2</v>
          </cell>
          <cell r="P25">
            <v>18.3</v>
          </cell>
        </row>
        <row r="26">
          <cell r="B26" t="str">
            <v> </v>
          </cell>
          <cell r="G26" t="str">
            <v> </v>
          </cell>
          <cell r="H26">
            <v>0</v>
          </cell>
          <cell r="J26">
            <v>22</v>
          </cell>
          <cell r="K26" t="str">
            <v>Sweet Potatoes</v>
          </cell>
          <cell r="L26" t="str">
            <v>tons</v>
          </cell>
          <cell r="M26">
            <v>10</v>
          </cell>
          <cell r="N26">
            <v>15</v>
          </cell>
          <cell r="O26">
            <v>4.7</v>
          </cell>
          <cell r="P26">
            <v>21</v>
          </cell>
        </row>
        <row r="27">
          <cell r="A27" t="str">
            <v>Estimated N used with this crop pattern</v>
          </cell>
          <cell r="H27">
            <v>41.650000000000006</v>
          </cell>
          <cell r="J27">
            <v>23</v>
          </cell>
          <cell r="K27" t="str">
            <v>Tomatoes</v>
          </cell>
          <cell r="L27" t="str">
            <v>tons</v>
          </cell>
          <cell r="M27">
            <v>6</v>
          </cell>
          <cell r="N27">
            <v>30</v>
          </cell>
          <cell r="O27">
            <v>1.7</v>
          </cell>
          <cell r="P27">
            <v>11.3</v>
          </cell>
        </row>
        <row r="28">
          <cell r="A28" t="str">
            <v>Total N applied with liquid manure under current management</v>
          </cell>
          <cell r="H28">
            <v>16.718898</v>
          </cell>
          <cell r="J28">
            <v>24</v>
          </cell>
          <cell r="K28" t="str">
            <v>Wheat (grain)</v>
          </cell>
          <cell r="L28" t="str">
            <v>tons</v>
          </cell>
          <cell r="M28">
            <v>58.3</v>
          </cell>
          <cell r="N28">
            <v>3</v>
          </cell>
          <cell r="O28">
            <v>23.3</v>
          </cell>
          <cell r="P28">
            <v>66.7</v>
          </cell>
        </row>
        <row r="29">
          <cell r="A29" t="str">
            <v>Total N applied with solid manure under current management</v>
          </cell>
          <cell r="H29">
            <v>2.9638547499999994</v>
          </cell>
          <cell r="J29">
            <v>25</v>
          </cell>
          <cell r="K29" t="str">
            <v>Wheat (silage)</v>
          </cell>
          <cell r="L29" t="str">
            <v>tons</v>
          </cell>
          <cell r="M29">
            <v>12</v>
          </cell>
          <cell r="N29">
            <v>14</v>
          </cell>
          <cell r="O29">
            <v>12</v>
          </cell>
          <cell r="P29">
            <v>35</v>
          </cell>
        </row>
        <row r="30">
          <cell r="A30" t="str">
            <v>N applied with manure which is available for the current year</v>
          </cell>
          <cell r="H30">
            <v>19.68275275</v>
          </cell>
        </row>
        <row r="31">
          <cell r="A31" t="str">
            <v>Percent of crop needs met by manure application</v>
          </cell>
          <cell r="H31">
            <v>0.4725750960384153</v>
          </cell>
        </row>
        <row r="33">
          <cell r="A33" t="str">
            <v>Include acres for double or triple cropped fields in the row for each crop grown.</v>
          </cell>
        </row>
        <row r="34">
          <cell r="A34" t="str">
            <v>For example, a 40 acre field used to grow corn silage and small grain silage in the same</v>
          </cell>
        </row>
        <row r="35">
          <cell r="A35" t="str">
            <v>year would appear as 40 acres of corn silage and 40 acres of small grain silage in this table.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transitionEvaluation="1">
    <pageSetUpPr fitToPage="1"/>
  </sheetPr>
  <dimension ref="A1:AO68"/>
  <sheetViews>
    <sheetView showGridLines="0" tabSelected="1" defaultGridColor="0" zoomScaleSheetLayoutView="50" colorId="9" workbookViewId="0" topLeftCell="A1">
      <selection activeCell="B3" sqref="B3"/>
    </sheetView>
  </sheetViews>
  <sheetFormatPr defaultColWidth="9.77734375" defaultRowHeight="15"/>
  <cols>
    <col min="1" max="1" width="8.4453125" style="0" customWidth="1"/>
    <col min="2" max="2" width="16.77734375" style="0" customWidth="1"/>
    <col min="3" max="4" width="9.88671875" style="0" bestFit="1" customWidth="1"/>
    <col min="5" max="5" width="10.10546875" style="0" bestFit="1" customWidth="1"/>
    <col min="6" max="6" width="9.88671875" style="0" bestFit="1" customWidth="1"/>
    <col min="9" max="9" width="10.6640625" style="0" customWidth="1"/>
    <col min="10" max="10" width="5.4453125" style="0" customWidth="1"/>
    <col min="12" max="12" width="23.5546875" style="0" customWidth="1"/>
    <col min="14" max="14" width="12.88671875" style="0" customWidth="1"/>
    <col min="15" max="16" width="11.10546875" style="0" customWidth="1"/>
    <col min="17" max="17" width="11.21484375" style="0" customWidth="1"/>
    <col min="18" max="18" width="7.10546875" style="0" customWidth="1"/>
    <col min="19" max="19" width="8.3359375" style="0" customWidth="1"/>
    <col min="20" max="20" width="18.77734375" style="14" customWidth="1"/>
    <col min="21" max="21" width="10.3359375" style="0" customWidth="1"/>
    <col min="22" max="22" width="12.88671875" style="0" customWidth="1"/>
    <col min="23" max="23" width="12.6640625" style="0" customWidth="1"/>
    <col min="24" max="24" width="14.4453125" style="0" customWidth="1"/>
    <col min="25" max="25" width="10.21484375" style="0" customWidth="1"/>
    <col min="26" max="26" width="9.77734375" style="1" customWidth="1"/>
    <col min="27" max="27" width="7.88671875" style="1" customWidth="1"/>
    <col min="28" max="28" width="6.77734375" style="1" customWidth="1"/>
    <col min="29" max="29" width="6.5546875" style="1" customWidth="1"/>
    <col min="30" max="30" width="7.77734375" style="1" customWidth="1"/>
    <col min="31" max="31" width="8.6640625" style="1" customWidth="1"/>
    <col min="32" max="32" width="9.10546875" style="1" customWidth="1"/>
    <col min="33" max="33" width="8.99609375" style="1" customWidth="1"/>
    <col min="34" max="34" width="8.6640625" style="1" customWidth="1"/>
    <col min="35" max="35" width="5.99609375" style="1" bestFit="1" customWidth="1"/>
    <col min="36" max="36" width="7.88671875" style="1" customWidth="1"/>
    <col min="37" max="37" width="9.5546875" style="1" customWidth="1"/>
    <col min="38" max="38" width="8.3359375" style="0" customWidth="1"/>
  </cols>
  <sheetData>
    <row r="1" spans="1:40" ht="18">
      <c r="A1" s="642" t="s">
        <v>479</v>
      </c>
      <c r="B1" s="642"/>
      <c r="C1" s="642"/>
      <c r="D1" s="642"/>
      <c r="E1" s="642"/>
      <c r="F1" s="642"/>
      <c r="G1" s="642"/>
      <c r="H1" s="642"/>
      <c r="I1" s="642"/>
      <c r="J1" s="642" t="s">
        <v>418</v>
      </c>
      <c r="K1" s="631"/>
      <c r="L1" s="631"/>
      <c r="M1" s="631"/>
      <c r="N1" s="631"/>
      <c r="O1" s="631"/>
      <c r="P1" s="631"/>
      <c r="Q1" s="631"/>
      <c r="R1" s="631"/>
      <c r="S1" s="642" t="s">
        <v>224</v>
      </c>
      <c r="T1" s="642"/>
      <c r="U1" s="642"/>
      <c r="V1" s="642"/>
      <c r="W1" s="642"/>
      <c r="X1" s="642"/>
      <c r="Y1" s="642"/>
      <c r="Z1" s="642"/>
      <c r="AA1" s="642"/>
      <c r="AB1" s="641" t="s">
        <v>419</v>
      </c>
      <c r="AC1" s="641"/>
      <c r="AD1" s="641"/>
      <c r="AE1" s="641"/>
      <c r="AF1" s="641"/>
      <c r="AG1" s="641"/>
      <c r="AH1" s="641"/>
      <c r="AI1" s="641"/>
      <c r="AJ1" s="641"/>
      <c r="AK1" s="641"/>
      <c r="AL1" s="641"/>
      <c r="AM1" s="641"/>
      <c r="AN1" s="641"/>
    </row>
    <row r="2" spans="11:37" ht="16.5" thickBot="1">
      <c r="K2" s="12"/>
      <c r="P2" t="str">
        <f>+G3</f>
        <v>Entered by:</v>
      </c>
      <c r="Q2" s="293">
        <f>H3</f>
        <v>0</v>
      </c>
      <c r="Y2" s="167" t="s">
        <v>0</v>
      </c>
      <c r="Z2" s="293">
        <f>L3</f>
        <v>0</v>
      </c>
      <c r="AA2" s="363"/>
      <c r="AC2"/>
      <c r="AD2"/>
      <c r="AE2"/>
      <c r="AH2"/>
      <c r="AI2"/>
      <c r="AJ2"/>
      <c r="AK2"/>
    </row>
    <row r="3" spans="1:38" ht="18.75" customHeight="1">
      <c r="A3" t="s">
        <v>0</v>
      </c>
      <c r="B3" s="361"/>
      <c r="C3" s="276"/>
      <c r="D3" s="167" t="s">
        <v>1</v>
      </c>
      <c r="E3" s="338">
        <f ca="1">TODAY()</f>
        <v>39541</v>
      </c>
      <c r="G3" t="s">
        <v>214</v>
      </c>
      <c r="H3" s="362"/>
      <c r="I3" s="472"/>
      <c r="K3" t="s">
        <v>0</v>
      </c>
      <c r="L3" s="293">
        <f>B3</f>
        <v>0</v>
      </c>
      <c r="N3" s="167" t="s">
        <v>1</v>
      </c>
      <c r="O3" s="338">
        <f ca="1">TODAY()</f>
        <v>39541</v>
      </c>
      <c r="P3" t="str">
        <f>+G4</f>
        <v>Checked by:</v>
      </c>
      <c r="Q3" s="279"/>
      <c r="S3" s="135" t="s">
        <v>91</v>
      </c>
      <c r="T3" s="86" t="s">
        <v>127</v>
      </c>
      <c r="U3" s="86" t="s">
        <v>90</v>
      </c>
      <c r="V3" s="64" t="s">
        <v>233</v>
      </c>
      <c r="W3" s="64" t="s">
        <v>204</v>
      </c>
      <c r="X3" s="302" t="s">
        <v>203</v>
      </c>
      <c r="Y3" s="87" t="s">
        <v>123</v>
      </c>
      <c r="AC3" s="167" t="s">
        <v>0</v>
      </c>
      <c r="AD3" s="293">
        <f>B3</f>
        <v>0</v>
      </c>
      <c r="AE3" s="363"/>
      <c r="AK3" s="167" t="str">
        <f>+$P$2</f>
        <v>Entered by:</v>
      </c>
      <c r="AL3" s="293">
        <f>H3</f>
        <v>0</v>
      </c>
    </row>
    <row r="4" spans="7:39" ht="18.75" thickBot="1">
      <c r="G4" t="s">
        <v>213</v>
      </c>
      <c r="H4" s="278"/>
      <c r="I4" s="22"/>
      <c r="L4" s="306"/>
      <c r="N4" s="167"/>
      <c r="O4" s="337"/>
      <c r="Q4" s="138"/>
      <c r="R4" s="239"/>
      <c r="S4" s="257" t="s">
        <v>94</v>
      </c>
      <c r="T4" s="258" t="s">
        <v>126</v>
      </c>
      <c r="U4" s="259"/>
      <c r="V4" s="116" t="s">
        <v>92</v>
      </c>
      <c r="W4" s="116" t="s">
        <v>228</v>
      </c>
      <c r="X4" s="303" t="s">
        <v>228</v>
      </c>
      <c r="Y4" s="305" t="s">
        <v>122</v>
      </c>
      <c r="Z4" s="364" t="s">
        <v>1</v>
      </c>
      <c r="AA4" s="454">
        <f ca="1">TODAY()</f>
        <v>39541</v>
      </c>
      <c r="AC4" s="167"/>
      <c r="AD4" s="306"/>
      <c r="AE4" s="407"/>
      <c r="AG4" s="364"/>
      <c r="AH4" s="162"/>
      <c r="AK4" s="167" t="str">
        <f>+P3</f>
        <v>Checked by:</v>
      </c>
      <c r="AL4" s="279"/>
      <c r="AM4" s="167"/>
    </row>
    <row r="5" spans="1:39" ht="18">
      <c r="A5" s="96" t="s">
        <v>323</v>
      </c>
      <c r="B5" s="5"/>
      <c r="C5" s="5"/>
      <c r="D5" s="17" t="s">
        <v>3</v>
      </c>
      <c r="E5" s="18" t="s">
        <v>110</v>
      </c>
      <c r="K5" s="336" t="s">
        <v>278</v>
      </c>
      <c r="L5" s="239"/>
      <c r="M5" s="239"/>
      <c r="N5" s="239"/>
      <c r="O5" s="239"/>
      <c r="P5" s="239"/>
      <c r="Q5" s="239"/>
      <c r="S5" s="331">
        <v>1</v>
      </c>
      <c r="T5" s="332" t="s">
        <v>262</v>
      </c>
      <c r="U5" s="256" t="s">
        <v>93</v>
      </c>
      <c r="V5" s="256">
        <v>8</v>
      </c>
      <c r="W5" s="434" t="s">
        <v>426</v>
      </c>
      <c r="X5" s="327" t="s">
        <v>311</v>
      </c>
      <c r="Y5" s="304">
        <v>60</v>
      </c>
      <c r="Z5" s="142"/>
      <c r="AC5" s="364" t="s">
        <v>1</v>
      </c>
      <c r="AD5" s="454">
        <f>AA4</f>
        <v>39541</v>
      </c>
      <c r="AE5" s="407"/>
      <c r="AG5" s="364"/>
      <c r="AH5" s="162"/>
      <c r="AM5" s="167"/>
    </row>
    <row r="6" spans="1:26" ht="16.5" thickBot="1">
      <c r="A6" s="97" t="s">
        <v>324</v>
      </c>
      <c r="B6" s="11"/>
      <c r="C6" s="11"/>
      <c r="D6" s="19" t="s">
        <v>7</v>
      </c>
      <c r="E6" s="339" t="s">
        <v>320</v>
      </c>
      <c r="K6" s="1" t="s">
        <v>510</v>
      </c>
      <c r="L6" s="1"/>
      <c r="M6" s="1"/>
      <c r="N6" s="172"/>
      <c r="O6" t="s">
        <v>29</v>
      </c>
      <c r="S6" s="331">
        <v>2</v>
      </c>
      <c r="T6" s="332" t="s">
        <v>99</v>
      </c>
      <c r="U6" s="256" t="s">
        <v>93</v>
      </c>
      <c r="V6" s="256">
        <v>2.5</v>
      </c>
      <c r="W6" s="434"/>
      <c r="X6" s="328"/>
      <c r="Y6" s="304">
        <v>64</v>
      </c>
      <c r="Z6" s="366"/>
    </row>
    <row r="7" spans="1:39" ht="15.75">
      <c r="A7" s="5" t="s">
        <v>15</v>
      </c>
      <c r="B7" s="5"/>
      <c r="C7" s="6"/>
      <c r="D7" s="196"/>
      <c r="E7" s="233">
        <v>1400</v>
      </c>
      <c r="F7" s="238">
        <f>+((D7*E7)+(D8*E8)+(D9*E9)+(D10*E10)+(D11*E11)+(D12*E12))/1000</f>
        <v>0</v>
      </c>
      <c r="G7" s="237" t="s">
        <v>317</v>
      </c>
      <c r="K7" s="1" t="s">
        <v>209</v>
      </c>
      <c r="L7" s="1"/>
      <c r="M7" s="1"/>
      <c r="N7" s="172"/>
      <c r="O7" t="s">
        <v>82</v>
      </c>
      <c r="S7" s="331">
        <v>3</v>
      </c>
      <c r="T7" s="433" t="s">
        <v>420</v>
      </c>
      <c r="U7" s="256" t="s">
        <v>93</v>
      </c>
      <c r="V7" s="256">
        <v>8</v>
      </c>
      <c r="W7" s="434" t="s">
        <v>427</v>
      </c>
      <c r="X7" s="329" t="s">
        <v>254</v>
      </c>
      <c r="Y7" s="304">
        <v>16</v>
      </c>
      <c r="Z7" s="366"/>
      <c r="AC7" s="652" t="s">
        <v>379</v>
      </c>
      <c r="AD7" s="653"/>
      <c r="AE7" s="653"/>
      <c r="AF7" s="653"/>
      <c r="AG7" s="653"/>
      <c r="AH7" s="654"/>
      <c r="AJ7" s="643" t="s">
        <v>381</v>
      </c>
      <c r="AK7" s="644"/>
      <c r="AL7" s="644"/>
      <c r="AM7" s="645"/>
    </row>
    <row r="8" spans="1:41" ht="15" customHeight="1">
      <c r="A8" s="21" t="s">
        <v>16</v>
      </c>
      <c r="B8" s="21"/>
      <c r="C8" s="8"/>
      <c r="D8" s="197"/>
      <c r="E8" s="234">
        <v>1500</v>
      </c>
      <c r="F8" s="238">
        <f>SUM(D7:D12)</f>
        <v>0</v>
      </c>
      <c r="G8" t="s">
        <v>337</v>
      </c>
      <c r="H8" s="25"/>
      <c r="I8" s="25"/>
      <c r="K8" s="1" t="s">
        <v>285</v>
      </c>
      <c r="L8" s="1"/>
      <c r="M8" s="1"/>
      <c r="N8" s="202"/>
      <c r="O8" t="s">
        <v>83</v>
      </c>
      <c r="S8" s="331">
        <v>4</v>
      </c>
      <c r="T8" s="433" t="s">
        <v>421</v>
      </c>
      <c r="U8" s="256" t="s">
        <v>93</v>
      </c>
      <c r="V8" s="256">
        <v>16</v>
      </c>
      <c r="W8" s="434" t="s">
        <v>427</v>
      </c>
      <c r="X8" s="329" t="s">
        <v>255</v>
      </c>
      <c r="Y8" s="304">
        <v>10</v>
      </c>
      <c r="Z8" s="366"/>
      <c r="AC8" s="383" t="s">
        <v>346</v>
      </c>
      <c r="AD8" s="384" t="s">
        <v>360</v>
      </c>
      <c r="AE8" s="384" t="s">
        <v>361</v>
      </c>
      <c r="AF8" s="384" t="s">
        <v>347</v>
      </c>
      <c r="AG8" s="384" t="s">
        <v>348</v>
      </c>
      <c r="AH8" s="385" t="s">
        <v>348</v>
      </c>
      <c r="AJ8" s="383" t="s">
        <v>346</v>
      </c>
      <c r="AK8" s="384" t="s">
        <v>360</v>
      </c>
      <c r="AL8" s="384" t="s">
        <v>361</v>
      </c>
      <c r="AM8" s="385" t="s">
        <v>347</v>
      </c>
      <c r="AN8" s="167"/>
      <c r="AO8" s="306"/>
    </row>
    <row r="9" spans="1:39" ht="15" customHeight="1">
      <c r="A9" s="21" t="s">
        <v>17</v>
      </c>
      <c r="B9" s="21"/>
      <c r="C9" s="8"/>
      <c r="D9" s="197"/>
      <c r="E9" s="234">
        <v>1100</v>
      </c>
      <c r="F9" s="58"/>
      <c r="K9" s="488" t="s">
        <v>504</v>
      </c>
      <c r="L9" s="488"/>
      <c r="M9" s="488"/>
      <c r="N9" s="202"/>
      <c r="O9" s="622" t="s">
        <v>511</v>
      </c>
      <c r="P9" s="623"/>
      <c r="Q9" s="623"/>
      <c r="S9" s="331">
        <v>5</v>
      </c>
      <c r="T9" s="332" t="s">
        <v>428</v>
      </c>
      <c r="U9" s="256" t="s">
        <v>93</v>
      </c>
      <c r="V9" s="256">
        <v>8</v>
      </c>
      <c r="W9" s="434" t="s">
        <v>426</v>
      </c>
      <c r="X9" s="328" t="s">
        <v>429</v>
      </c>
      <c r="Y9" s="304">
        <v>35</v>
      </c>
      <c r="Z9" s="366"/>
      <c r="AC9" s="386"/>
      <c r="AD9" s="404" t="s">
        <v>359</v>
      </c>
      <c r="AE9" s="404" t="s">
        <v>359</v>
      </c>
      <c r="AF9" s="405" t="s">
        <v>362</v>
      </c>
      <c r="AG9" s="404" t="s">
        <v>380</v>
      </c>
      <c r="AH9" s="406" t="s">
        <v>347</v>
      </c>
      <c r="AJ9" s="383"/>
      <c r="AK9" s="404" t="s">
        <v>359</v>
      </c>
      <c r="AL9" s="404" t="s">
        <v>359</v>
      </c>
      <c r="AM9" s="406" t="s">
        <v>362</v>
      </c>
    </row>
    <row r="10" spans="1:39" ht="15" customHeight="1">
      <c r="A10" s="21" t="s">
        <v>18</v>
      </c>
      <c r="B10" s="21"/>
      <c r="C10" s="8"/>
      <c r="D10" s="197"/>
      <c r="E10" s="234">
        <v>775</v>
      </c>
      <c r="F10" s="58"/>
      <c r="G10" s="14" t="s">
        <v>270</v>
      </c>
      <c r="K10" s="119" t="s">
        <v>286</v>
      </c>
      <c r="L10" s="119"/>
      <c r="M10" s="67"/>
      <c r="N10" s="408">
        <f>AG50</f>
        <v>0</v>
      </c>
      <c r="O10" s="133" t="s">
        <v>85</v>
      </c>
      <c r="S10" s="331">
        <v>6</v>
      </c>
      <c r="T10" s="332" t="s">
        <v>100</v>
      </c>
      <c r="U10" s="256" t="s">
        <v>93</v>
      </c>
      <c r="V10" s="256">
        <v>5</v>
      </c>
      <c r="W10" s="434"/>
      <c r="X10" s="328"/>
      <c r="Y10" s="304">
        <v>48</v>
      </c>
      <c r="Z10" s="366"/>
      <c r="AC10" s="383">
        <v>1</v>
      </c>
      <c r="AD10" s="410"/>
      <c r="AE10" s="410"/>
      <c r="AF10" s="387">
        <f>AE10*AD10</f>
        <v>0</v>
      </c>
      <c r="AG10" s="411"/>
      <c r="AH10" s="388">
        <f>IF(AG10&lt;&gt;"y",0,AD10*AE10)</f>
        <v>0</v>
      </c>
      <c r="AJ10" s="383" t="s">
        <v>349</v>
      </c>
      <c r="AK10" s="410"/>
      <c r="AL10" s="410"/>
      <c r="AM10" s="388">
        <f aca="true" t="shared" si="0" ref="AM10:AM15">+AL10*AK10</f>
        <v>0</v>
      </c>
    </row>
    <row r="11" spans="1:39" ht="15.75" customHeight="1">
      <c r="A11" s="21" t="s">
        <v>232</v>
      </c>
      <c r="B11" s="21"/>
      <c r="C11" s="8"/>
      <c r="D11" s="197"/>
      <c r="E11" s="234">
        <v>500</v>
      </c>
      <c r="F11" s="58"/>
      <c r="G11" s="277" t="s">
        <v>344</v>
      </c>
      <c r="K11" s="119" t="s">
        <v>287</v>
      </c>
      <c r="L11" s="119"/>
      <c r="M11" s="67"/>
      <c r="N11" s="409">
        <f>AM35</f>
        <v>0</v>
      </c>
      <c r="O11" s="133" t="s">
        <v>201</v>
      </c>
      <c r="S11" s="331">
        <v>7</v>
      </c>
      <c r="T11" s="332" t="s">
        <v>101</v>
      </c>
      <c r="U11" s="256" t="s">
        <v>93</v>
      </c>
      <c r="V11" s="256">
        <v>30</v>
      </c>
      <c r="W11" s="434" t="s">
        <v>427</v>
      </c>
      <c r="X11" s="329" t="s">
        <v>267</v>
      </c>
      <c r="Y11" s="304">
        <v>8.3</v>
      </c>
      <c r="Z11" s="366"/>
      <c r="AC11" s="383">
        <v>2</v>
      </c>
      <c r="AD11" s="410"/>
      <c r="AE11" s="410"/>
      <c r="AF11" s="387">
        <f aca="true" t="shared" si="1" ref="AF11:AF35">AE11*AD11</f>
        <v>0</v>
      </c>
      <c r="AG11" s="411"/>
      <c r="AH11" s="388">
        <f aca="true" t="shared" si="2" ref="AH11:AH35">IF(AG11&lt;&gt;"y",0,AD11*AE11)</f>
        <v>0</v>
      </c>
      <c r="AJ11" s="383" t="s">
        <v>350</v>
      </c>
      <c r="AK11" s="410"/>
      <c r="AL11" s="410"/>
      <c r="AM11" s="388">
        <f t="shared" si="0"/>
        <v>0</v>
      </c>
    </row>
    <row r="12" spans="1:39" ht="14.25" customHeight="1" thickBot="1">
      <c r="A12" s="11" t="s">
        <v>275</v>
      </c>
      <c r="B12" s="11"/>
      <c r="C12" s="74"/>
      <c r="D12" s="235"/>
      <c r="E12" s="236">
        <v>150</v>
      </c>
      <c r="F12" s="58"/>
      <c r="K12" s="119" t="s">
        <v>288</v>
      </c>
      <c r="L12" s="119"/>
      <c r="M12" s="67"/>
      <c r="N12" s="409">
        <f>AF38</f>
        <v>0</v>
      </c>
      <c r="O12" s="133" t="s">
        <v>201</v>
      </c>
      <c r="S12" s="331">
        <v>8</v>
      </c>
      <c r="T12" s="332" t="s">
        <v>102</v>
      </c>
      <c r="U12" s="256" t="s">
        <v>103</v>
      </c>
      <c r="V12" s="256">
        <v>3</v>
      </c>
      <c r="W12" s="434"/>
      <c r="X12" s="328"/>
      <c r="Y12" s="304">
        <v>80</v>
      </c>
      <c r="Z12" s="366"/>
      <c r="AC12" s="383">
        <v>3</v>
      </c>
      <c r="AD12" s="410"/>
      <c r="AE12" s="410"/>
      <c r="AF12" s="387">
        <f t="shared" si="1"/>
        <v>0</v>
      </c>
      <c r="AG12" s="411"/>
      <c r="AH12" s="388">
        <f t="shared" si="2"/>
        <v>0</v>
      </c>
      <c r="AJ12" s="383" t="s">
        <v>351</v>
      </c>
      <c r="AK12" s="410"/>
      <c r="AL12" s="410"/>
      <c r="AM12" s="388">
        <f t="shared" si="0"/>
        <v>0</v>
      </c>
    </row>
    <row r="13" spans="1:39" ht="15.75" thickBot="1">
      <c r="A13" s="5"/>
      <c r="B13" s="5"/>
      <c r="C13" s="6"/>
      <c r="D13" s="659" t="s">
        <v>338</v>
      </c>
      <c r="E13" s="660"/>
      <c r="F13" s="660"/>
      <c r="G13" s="630"/>
      <c r="K13" s="126"/>
      <c r="L13" s="124"/>
      <c r="M13" s="124"/>
      <c r="O13" s="85" t="s">
        <v>279</v>
      </c>
      <c r="P13" s="85" t="s">
        <v>276</v>
      </c>
      <c r="Q13" s="85" t="s">
        <v>277</v>
      </c>
      <c r="S13" s="331">
        <v>9</v>
      </c>
      <c r="T13" s="332" t="s">
        <v>430</v>
      </c>
      <c r="U13" s="256" t="s">
        <v>93</v>
      </c>
      <c r="V13" s="256">
        <v>6</v>
      </c>
      <c r="W13" s="434" t="s">
        <v>426</v>
      </c>
      <c r="X13" s="329" t="s">
        <v>431</v>
      </c>
      <c r="Y13" s="304">
        <v>38</v>
      </c>
      <c r="Z13" s="366"/>
      <c r="AC13" s="383">
        <v>4</v>
      </c>
      <c r="AD13" s="410"/>
      <c r="AE13" s="410"/>
      <c r="AF13" s="387">
        <f t="shared" si="1"/>
        <v>0</v>
      </c>
      <c r="AG13" s="411"/>
      <c r="AH13" s="388">
        <f t="shared" si="2"/>
        <v>0</v>
      </c>
      <c r="AJ13" s="383" t="s">
        <v>352</v>
      </c>
      <c r="AK13" s="410"/>
      <c r="AL13" s="410"/>
      <c r="AM13" s="388">
        <f t="shared" si="0"/>
        <v>0</v>
      </c>
    </row>
    <row r="14" spans="1:39" ht="15.75">
      <c r="A14" s="23" t="s">
        <v>325</v>
      </c>
      <c r="B14" s="23"/>
      <c r="C14" s="8"/>
      <c r="D14" s="261" t="str">
        <f>Criteria!A18</f>
        <v>Flushed</v>
      </c>
      <c r="E14" s="261" t="str">
        <f>Criteria!A20</f>
        <v>Scraped</v>
      </c>
      <c r="F14" s="262" t="str">
        <f>Criteria!A19</f>
        <v>Flushed</v>
      </c>
      <c r="G14" s="262" t="str">
        <f>Criteria!A21</f>
        <v>Scraped</v>
      </c>
      <c r="K14" s="241" t="s">
        <v>160</v>
      </c>
      <c r="L14" s="242" t="s">
        <v>174</v>
      </c>
      <c r="M14" s="76"/>
      <c r="N14" s="243" t="s">
        <v>171</v>
      </c>
      <c r="O14" s="244"/>
      <c r="P14" s="244"/>
      <c r="Q14" s="245"/>
      <c r="S14" s="331">
        <v>10</v>
      </c>
      <c r="T14" s="332" t="s">
        <v>104</v>
      </c>
      <c r="U14" s="256" t="s">
        <v>93</v>
      </c>
      <c r="V14" s="256">
        <v>1.6</v>
      </c>
      <c r="W14" s="434"/>
      <c r="X14" s="330"/>
      <c r="Y14" s="304">
        <v>100</v>
      </c>
      <c r="Z14" s="366"/>
      <c r="AC14" s="383">
        <v>5</v>
      </c>
      <c r="AD14" s="410"/>
      <c r="AE14" s="410"/>
      <c r="AF14" s="387">
        <f t="shared" si="1"/>
        <v>0</v>
      </c>
      <c r="AG14" s="411"/>
      <c r="AH14" s="388">
        <f t="shared" si="2"/>
        <v>0</v>
      </c>
      <c r="AJ14" s="383" t="s">
        <v>353</v>
      </c>
      <c r="AK14" s="410"/>
      <c r="AL14" s="410"/>
      <c r="AM14" s="388">
        <f t="shared" si="0"/>
        <v>0</v>
      </c>
    </row>
    <row r="15" spans="1:39" ht="16.5" thickBot="1">
      <c r="A15" s="11" t="s">
        <v>339</v>
      </c>
      <c r="B15" s="11"/>
      <c r="C15" s="74"/>
      <c r="D15" s="261" t="str">
        <f>Criteria!B18</f>
        <v>Freestall</v>
      </c>
      <c r="E15" s="261" t="str">
        <f>Criteria!B20</f>
        <v>Freestall</v>
      </c>
      <c r="F15" s="263" t="str">
        <f>Criteria!B19</f>
        <v>Lanes</v>
      </c>
      <c r="G15" s="264" t="str">
        <f>Criteria!B21</f>
        <v>Drylot</v>
      </c>
      <c r="K15" s="246" t="s">
        <v>161</v>
      </c>
      <c r="L15" s="134" t="s">
        <v>168</v>
      </c>
      <c r="M15" s="22"/>
      <c r="N15" s="85" t="s">
        <v>171</v>
      </c>
      <c r="O15" s="174"/>
      <c r="P15" s="174"/>
      <c r="Q15" s="247"/>
      <c r="S15" s="331">
        <v>11</v>
      </c>
      <c r="T15" s="332" t="s">
        <v>432</v>
      </c>
      <c r="U15" s="256" t="s">
        <v>93</v>
      </c>
      <c r="V15" s="256">
        <v>12</v>
      </c>
      <c r="W15" s="434" t="s">
        <v>427</v>
      </c>
      <c r="X15" s="329" t="s">
        <v>266</v>
      </c>
      <c r="Y15" s="304">
        <v>10</v>
      </c>
      <c r="Z15" s="366"/>
      <c r="AC15" s="383">
        <v>6</v>
      </c>
      <c r="AD15" s="410"/>
      <c r="AE15" s="410"/>
      <c r="AF15" s="387">
        <f t="shared" si="1"/>
        <v>0</v>
      </c>
      <c r="AG15" s="411"/>
      <c r="AH15" s="388">
        <f t="shared" si="2"/>
        <v>0</v>
      </c>
      <c r="AJ15" s="383" t="s">
        <v>354</v>
      </c>
      <c r="AK15" s="410"/>
      <c r="AL15" s="410"/>
      <c r="AM15" s="388">
        <f t="shared" si="0"/>
        <v>0</v>
      </c>
    </row>
    <row r="16" spans="1:39" ht="15.75">
      <c r="A16" s="5" t="s">
        <v>15</v>
      </c>
      <c r="B16" s="5"/>
      <c r="C16" s="6"/>
      <c r="D16" s="188"/>
      <c r="E16" s="189"/>
      <c r="F16" s="189"/>
      <c r="G16" s="190"/>
      <c r="K16" s="246" t="s">
        <v>162</v>
      </c>
      <c r="L16" s="134" t="s">
        <v>158</v>
      </c>
      <c r="M16" s="22"/>
      <c r="N16" s="85" t="s">
        <v>171</v>
      </c>
      <c r="O16" s="174"/>
      <c r="P16" s="174"/>
      <c r="Q16" s="247"/>
      <c r="S16" s="331">
        <v>12</v>
      </c>
      <c r="T16" s="332" t="s">
        <v>261</v>
      </c>
      <c r="U16" s="256" t="s">
        <v>93</v>
      </c>
      <c r="V16" s="256">
        <v>4</v>
      </c>
      <c r="W16" s="434" t="s">
        <v>426</v>
      </c>
      <c r="X16" s="329" t="s">
        <v>266</v>
      </c>
      <c r="Y16" s="304">
        <v>40</v>
      </c>
      <c r="Z16" s="366"/>
      <c r="AC16" s="383">
        <v>7</v>
      </c>
      <c r="AD16" s="410"/>
      <c r="AE16" s="410"/>
      <c r="AF16" s="387">
        <f t="shared" si="1"/>
        <v>0</v>
      </c>
      <c r="AG16" s="411"/>
      <c r="AH16" s="388">
        <f t="shared" si="2"/>
        <v>0</v>
      </c>
      <c r="AJ16" s="383" t="s">
        <v>363</v>
      </c>
      <c r="AK16" s="410"/>
      <c r="AL16" s="410"/>
      <c r="AM16" s="388">
        <f aca="true" t="shared" si="3" ref="AM16:AM34">+AL16*AK16</f>
        <v>0</v>
      </c>
    </row>
    <row r="17" spans="1:39" ht="15.75">
      <c r="A17" s="21" t="s">
        <v>16</v>
      </c>
      <c r="B17" s="21"/>
      <c r="C17" s="8"/>
      <c r="D17" s="191"/>
      <c r="E17" s="186"/>
      <c r="F17" s="186"/>
      <c r="G17" s="192"/>
      <c r="K17" s="246" t="s">
        <v>313</v>
      </c>
      <c r="L17" s="621" t="s">
        <v>498</v>
      </c>
      <c r="M17" s="631"/>
      <c r="N17" s="85" t="s">
        <v>171</v>
      </c>
      <c r="O17" s="174"/>
      <c r="P17" s="174"/>
      <c r="Q17" s="247"/>
      <c r="S17" s="331">
        <v>13</v>
      </c>
      <c r="T17" s="332" t="s">
        <v>433</v>
      </c>
      <c r="U17" s="256" t="s">
        <v>93</v>
      </c>
      <c r="V17" s="256">
        <v>6</v>
      </c>
      <c r="W17" s="434" t="s">
        <v>426</v>
      </c>
      <c r="X17" s="328" t="s">
        <v>434</v>
      </c>
      <c r="Y17" s="304">
        <v>32</v>
      </c>
      <c r="Z17" s="366"/>
      <c r="AC17" s="383">
        <v>8</v>
      </c>
      <c r="AD17" s="410"/>
      <c r="AE17" s="410"/>
      <c r="AF17" s="387">
        <f t="shared" si="1"/>
        <v>0</v>
      </c>
      <c r="AG17" s="411"/>
      <c r="AH17" s="388">
        <f t="shared" si="2"/>
        <v>0</v>
      </c>
      <c r="AJ17" s="383" t="s">
        <v>364</v>
      </c>
      <c r="AK17" s="410"/>
      <c r="AL17" s="410"/>
      <c r="AM17" s="388">
        <f t="shared" si="3"/>
        <v>0</v>
      </c>
    </row>
    <row r="18" spans="1:39" ht="15.75">
      <c r="A18" s="21" t="s">
        <v>17</v>
      </c>
      <c r="B18" s="21"/>
      <c r="C18" s="8"/>
      <c r="D18" s="191"/>
      <c r="E18" s="186"/>
      <c r="F18" s="186"/>
      <c r="G18" s="192"/>
      <c r="K18" s="585" t="s">
        <v>499</v>
      </c>
      <c r="L18" s="586" t="s">
        <v>496</v>
      </c>
      <c r="M18" s="494"/>
      <c r="N18" s="587" t="s">
        <v>171</v>
      </c>
      <c r="O18" s="174"/>
      <c r="P18" s="174"/>
      <c r="Q18" s="247"/>
      <c r="S18" s="331">
        <v>14</v>
      </c>
      <c r="T18" s="332" t="s">
        <v>105</v>
      </c>
      <c r="U18" s="256" t="s">
        <v>93</v>
      </c>
      <c r="V18" s="256">
        <v>2</v>
      </c>
      <c r="W18" s="434"/>
      <c r="X18" s="328"/>
      <c r="Y18" s="304">
        <v>100</v>
      </c>
      <c r="Z18" s="366"/>
      <c r="AC18" s="383">
        <v>9</v>
      </c>
      <c r="AD18" s="410"/>
      <c r="AE18" s="410"/>
      <c r="AF18" s="387">
        <f t="shared" si="1"/>
        <v>0</v>
      </c>
      <c r="AG18" s="411"/>
      <c r="AH18" s="388">
        <f t="shared" si="2"/>
        <v>0</v>
      </c>
      <c r="AJ18" s="383" t="s">
        <v>365</v>
      </c>
      <c r="AK18" s="410"/>
      <c r="AL18" s="410"/>
      <c r="AM18" s="388">
        <f t="shared" si="3"/>
        <v>0</v>
      </c>
    </row>
    <row r="19" spans="1:39" ht="15.75">
      <c r="A19" s="21" t="s">
        <v>18</v>
      </c>
      <c r="B19" s="21"/>
      <c r="C19" s="8"/>
      <c r="D19" s="191"/>
      <c r="E19" s="186"/>
      <c r="F19" s="186"/>
      <c r="G19" s="192"/>
      <c r="K19" s="246" t="s">
        <v>163</v>
      </c>
      <c r="L19" s="134" t="s">
        <v>159</v>
      </c>
      <c r="M19" s="22"/>
      <c r="N19" s="333" t="s">
        <v>321</v>
      </c>
      <c r="O19" s="174"/>
      <c r="P19" s="174"/>
      <c r="Q19" s="247"/>
      <c r="S19" s="331">
        <v>15</v>
      </c>
      <c r="T19" s="332" t="s">
        <v>106</v>
      </c>
      <c r="U19" s="256" t="s">
        <v>93</v>
      </c>
      <c r="V19" s="256">
        <v>4</v>
      </c>
      <c r="W19" s="434" t="s">
        <v>426</v>
      </c>
      <c r="X19" s="328"/>
      <c r="Y19" s="304">
        <v>50</v>
      </c>
      <c r="Z19" s="366"/>
      <c r="AC19" s="383">
        <v>10</v>
      </c>
      <c r="AD19" s="410"/>
      <c r="AE19" s="410"/>
      <c r="AF19" s="387">
        <f t="shared" si="1"/>
        <v>0</v>
      </c>
      <c r="AG19" s="411"/>
      <c r="AH19" s="388">
        <f t="shared" si="2"/>
        <v>0</v>
      </c>
      <c r="AJ19" s="383" t="s">
        <v>366</v>
      </c>
      <c r="AK19" s="410"/>
      <c r="AL19" s="410"/>
      <c r="AM19" s="388">
        <f t="shared" si="3"/>
        <v>0</v>
      </c>
    </row>
    <row r="20" spans="1:39" ht="15.75">
      <c r="A20" s="21" t="s">
        <v>232</v>
      </c>
      <c r="B20" s="21"/>
      <c r="C20" s="8"/>
      <c r="D20" s="191"/>
      <c r="E20" s="186"/>
      <c r="F20" s="186"/>
      <c r="G20" s="192"/>
      <c r="K20" s="246" t="s">
        <v>312</v>
      </c>
      <c r="L20" s="134" t="s">
        <v>280</v>
      </c>
      <c r="M20" s="22"/>
      <c r="N20" s="333" t="s">
        <v>321</v>
      </c>
      <c r="O20" s="174"/>
      <c r="P20" s="174"/>
      <c r="Q20" s="247"/>
      <c r="S20" s="331">
        <v>16</v>
      </c>
      <c r="T20" s="332" t="s">
        <v>107</v>
      </c>
      <c r="U20" s="256" t="s">
        <v>93</v>
      </c>
      <c r="V20" s="256" t="s">
        <v>263</v>
      </c>
      <c r="W20" s="434" t="s">
        <v>427</v>
      </c>
      <c r="X20" s="329" t="s">
        <v>255</v>
      </c>
      <c r="Y20" s="304">
        <v>10.6</v>
      </c>
      <c r="Z20" s="366"/>
      <c r="AC20" s="383">
        <v>11</v>
      </c>
      <c r="AD20" s="410"/>
      <c r="AE20" s="410"/>
      <c r="AF20" s="387">
        <f t="shared" si="1"/>
        <v>0</v>
      </c>
      <c r="AG20" s="411"/>
      <c r="AH20" s="388">
        <f t="shared" si="2"/>
        <v>0</v>
      </c>
      <c r="AJ20" s="383" t="s">
        <v>165</v>
      </c>
      <c r="AK20" s="410"/>
      <c r="AL20" s="410"/>
      <c r="AM20" s="388">
        <f t="shared" si="3"/>
        <v>0</v>
      </c>
    </row>
    <row r="21" spans="1:39" ht="15.75" customHeight="1" thickBot="1">
      <c r="A21" s="11" t="s">
        <v>275</v>
      </c>
      <c r="B21" s="11"/>
      <c r="C21" s="74"/>
      <c r="D21" s="193"/>
      <c r="E21" s="194"/>
      <c r="F21" s="194"/>
      <c r="G21" s="195"/>
      <c r="K21" s="246" t="s">
        <v>165</v>
      </c>
      <c r="L21" s="134" t="s">
        <v>281</v>
      </c>
      <c r="M21" s="22"/>
      <c r="N21" s="85" t="s">
        <v>171</v>
      </c>
      <c r="O21" s="172"/>
      <c r="P21" s="172"/>
      <c r="Q21" s="335"/>
      <c r="S21" s="331">
        <v>17</v>
      </c>
      <c r="T21" s="332" t="s">
        <v>264</v>
      </c>
      <c r="U21" s="256" t="s">
        <v>93</v>
      </c>
      <c r="V21" s="256">
        <v>8</v>
      </c>
      <c r="W21" s="434" t="s">
        <v>426</v>
      </c>
      <c r="X21" s="329" t="s">
        <v>255</v>
      </c>
      <c r="Y21" s="304">
        <v>31.7</v>
      </c>
      <c r="Z21" s="366"/>
      <c r="AC21" s="383">
        <v>12</v>
      </c>
      <c r="AD21" s="410"/>
      <c r="AE21" s="410"/>
      <c r="AF21" s="387">
        <f t="shared" si="1"/>
        <v>0</v>
      </c>
      <c r="AG21" s="411"/>
      <c r="AH21" s="388">
        <f t="shared" si="2"/>
        <v>0</v>
      </c>
      <c r="AJ21" s="383" t="s">
        <v>367</v>
      </c>
      <c r="AK21" s="410"/>
      <c r="AL21" s="410"/>
      <c r="AM21" s="388">
        <f t="shared" si="3"/>
        <v>0</v>
      </c>
    </row>
    <row r="22" spans="1:39" ht="16.5" thickBot="1">
      <c r="A22" s="281" t="s">
        <v>128</v>
      </c>
      <c r="B22" s="20"/>
      <c r="C22" s="20"/>
      <c r="D22" s="20"/>
      <c r="E22" s="20"/>
      <c r="F22" s="20"/>
      <c r="G22" s="20"/>
      <c r="K22" s="246"/>
      <c r="L22" s="134" t="s">
        <v>205</v>
      </c>
      <c r="M22" s="22"/>
      <c r="N22" s="85"/>
      <c r="O22" s="130"/>
      <c r="P22" s="130"/>
      <c r="Q22" s="248"/>
      <c r="S22" s="331">
        <v>18</v>
      </c>
      <c r="T22" s="332" t="s">
        <v>108</v>
      </c>
      <c r="U22" s="256" t="s">
        <v>93</v>
      </c>
      <c r="V22" s="256">
        <v>30</v>
      </c>
      <c r="W22" s="434"/>
      <c r="X22" s="328"/>
      <c r="Y22" s="304">
        <v>8.5</v>
      </c>
      <c r="Z22" s="366"/>
      <c r="AC22" s="383">
        <v>13</v>
      </c>
      <c r="AD22" s="410"/>
      <c r="AE22" s="410"/>
      <c r="AF22" s="387">
        <f t="shared" si="1"/>
        <v>0</v>
      </c>
      <c r="AG22" s="411"/>
      <c r="AH22" s="388">
        <f t="shared" si="2"/>
        <v>0</v>
      </c>
      <c r="AJ22" s="383" t="s">
        <v>123</v>
      </c>
      <c r="AK22" s="410"/>
      <c r="AL22" s="410"/>
      <c r="AM22" s="388">
        <f t="shared" si="3"/>
        <v>0</v>
      </c>
    </row>
    <row r="23" spans="1:39" ht="15.75">
      <c r="A23" s="21" t="s">
        <v>489</v>
      </c>
      <c r="B23" s="21"/>
      <c r="C23" s="21"/>
      <c r="D23" s="21"/>
      <c r="E23" s="21"/>
      <c r="F23" s="491">
        <v>0</v>
      </c>
      <c r="G23" s="62"/>
      <c r="K23" s="246" t="s">
        <v>164</v>
      </c>
      <c r="L23" s="134" t="s">
        <v>299</v>
      </c>
      <c r="M23" s="22"/>
      <c r="N23" s="85" t="s">
        <v>171</v>
      </c>
      <c r="O23" s="172"/>
      <c r="P23" s="172"/>
      <c r="Q23" s="335"/>
      <c r="S23" s="331">
        <v>19</v>
      </c>
      <c r="T23" s="332" t="s">
        <v>422</v>
      </c>
      <c r="U23" s="256" t="s">
        <v>93</v>
      </c>
      <c r="V23" s="256">
        <v>12</v>
      </c>
      <c r="W23" s="434" t="s">
        <v>427</v>
      </c>
      <c r="X23" s="329" t="s">
        <v>256</v>
      </c>
      <c r="Y23" s="304">
        <v>15</v>
      </c>
      <c r="Z23" s="366"/>
      <c r="AC23" s="383">
        <v>14</v>
      </c>
      <c r="AD23" s="410"/>
      <c r="AE23" s="410"/>
      <c r="AF23" s="387">
        <f t="shared" si="1"/>
        <v>0</v>
      </c>
      <c r="AG23" s="411"/>
      <c r="AH23" s="388">
        <f t="shared" si="2"/>
        <v>0</v>
      </c>
      <c r="AJ23" s="383" t="s">
        <v>368</v>
      </c>
      <c r="AK23" s="410"/>
      <c r="AL23" s="410"/>
      <c r="AM23" s="388">
        <f t="shared" si="3"/>
        <v>0</v>
      </c>
    </row>
    <row r="24" spans="1:39" ht="15.75">
      <c r="A24" s="21" t="s">
        <v>488</v>
      </c>
      <c r="B24" s="21"/>
      <c r="C24" s="21"/>
      <c r="D24" s="21"/>
      <c r="E24" s="21"/>
      <c r="F24" s="186">
        <v>0</v>
      </c>
      <c r="G24" s="62"/>
      <c r="K24" s="246"/>
      <c r="L24" s="134" t="s">
        <v>205</v>
      </c>
      <c r="M24" s="22"/>
      <c r="N24" s="85"/>
      <c r="O24" s="130"/>
      <c r="P24" s="130"/>
      <c r="Q24" s="248"/>
      <c r="S24" s="331">
        <v>20</v>
      </c>
      <c r="T24" s="332" t="s">
        <v>423</v>
      </c>
      <c r="U24" s="256" t="s">
        <v>93</v>
      </c>
      <c r="V24" s="256">
        <v>22</v>
      </c>
      <c r="W24" s="434" t="s">
        <v>427</v>
      </c>
      <c r="X24" s="329" t="s">
        <v>255</v>
      </c>
      <c r="Y24" s="304">
        <v>10</v>
      </c>
      <c r="AC24" s="383">
        <v>15</v>
      </c>
      <c r="AD24" s="410"/>
      <c r="AE24" s="410"/>
      <c r="AF24" s="387">
        <f t="shared" si="1"/>
        <v>0</v>
      </c>
      <c r="AG24" s="411"/>
      <c r="AH24" s="388">
        <f t="shared" si="2"/>
        <v>0</v>
      </c>
      <c r="AJ24" s="383" t="s">
        <v>369</v>
      </c>
      <c r="AK24" s="410"/>
      <c r="AL24" s="410"/>
      <c r="AM24" s="388">
        <f t="shared" si="3"/>
        <v>0</v>
      </c>
    </row>
    <row r="25" spans="1:39" ht="16.5" thickBot="1">
      <c r="A25" s="483" t="s">
        <v>474</v>
      </c>
      <c r="B25" s="21"/>
      <c r="C25" s="21"/>
      <c r="D25" s="21"/>
      <c r="E25" s="21"/>
      <c r="F25" s="485">
        <v>0</v>
      </c>
      <c r="G25" s="398" t="s">
        <v>475</v>
      </c>
      <c r="H25" s="22"/>
      <c r="I25" s="22"/>
      <c r="J25" s="22"/>
      <c r="K25" s="249" t="s">
        <v>215</v>
      </c>
      <c r="L25" s="250" t="s">
        <v>314</v>
      </c>
      <c r="M25" s="251"/>
      <c r="N25" s="334" t="s">
        <v>322</v>
      </c>
      <c r="O25" s="198"/>
      <c r="P25" s="198"/>
      <c r="Q25" s="252"/>
      <c r="R25" s="130"/>
      <c r="S25" s="331">
        <v>21</v>
      </c>
      <c r="T25" s="332" t="s">
        <v>109</v>
      </c>
      <c r="U25" s="256" t="s">
        <v>93</v>
      </c>
      <c r="V25" s="256">
        <v>3</v>
      </c>
      <c r="W25" s="434" t="s">
        <v>426</v>
      </c>
      <c r="X25" s="328"/>
      <c r="Y25" s="304">
        <v>58.3</v>
      </c>
      <c r="AC25" s="389">
        <v>16</v>
      </c>
      <c r="AD25" s="410"/>
      <c r="AE25" s="410"/>
      <c r="AF25" s="387">
        <f t="shared" si="1"/>
        <v>0</v>
      </c>
      <c r="AG25" s="411"/>
      <c r="AH25" s="388">
        <f t="shared" si="2"/>
        <v>0</v>
      </c>
      <c r="AJ25" s="383" t="s">
        <v>370</v>
      </c>
      <c r="AK25" s="410"/>
      <c r="AL25" s="410"/>
      <c r="AM25" s="388">
        <f t="shared" si="3"/>
        <v>0</v>
      </c>
    </row>
    <row r="26" spans="1:39" ht="15">
      <c r="A26" s="21" t="s">
        <v>490</v>
      </c>
      <c r="B26" s="21"/>
      <c r="C26" s="21"/>
      <c r="D26" s="21"/>
      <c r="E26" s="21"/>
      <c r="F26" s="173"/>
      <c r="G26" s="62" t="s">
        <v>32</v>
      </c>
      <c r="K26" s="128"/>
      <c r="L26" s="127"/>
      <c r="M26" s="125"/>
      <c r="S26" s="331">
        <v>22</v>
      </c>
      <c r="T26" s="433" t="s">
        <v>424</v>
      </c>
      <c r="U26" s="256" t="s">
        <v>93</v>
      </c>
      <c r="V26" s="256">
        <v>10</v>
      </c>
      <c r="W26" s="434" t="s">
        <v>427</v>
      </c>
      <c r="X26" s="328" t="s">
        <v>254</v>
      </c>
      <c r="Y26" s="304">
        <v>16</v>
      </c>
      <c r="AC26" s="383">
        <v>17</v>
      </c>
      <c r="AD26" s="410"/>
      <c r="AE26" s="410"/>
      <c r="AF26" s="387">
        <f aca="true" t="shared" si="4" ref="AF26:AF34">AE26*AD26</f>
        <v>0</v>
      </c>
      <c r="AG26" s="411"/>
      <c r="AH26" s="388">
        <f aca="true" t="shared" si="5" ref="AH26:AH34">IF(AG26&lt;&gt;"y",0,AD26*AE26)</f>
        <v>0</v>
      </c>
      <c r="AJ26" s="383" t="s">
        <v>371</v>
      </c>
      <c r="AK26" s="410"/>
      <c r="AL26" s="410"/>
      <c r="AM26" s="388">
        <f t="shared" si="3"/>
        <v>0</v>
      </c>
    </row>
    <row r="27" spans="1:39" ht="15.75" thickBot="1">
      <c r="A27" s="21" t="s">
        <v>491</v>
      </c>
      <c r="B27" s="21"/>
      <c r="C27" s="21"/>
      <c r="D27" s="21"/>
      <c r="E27" s="21"/>
      <c r="F27" s="173"/>
      <c r="G27" s="62" t="s">
        <v>32</v>
      </c>
      <c r="K27" s="128"/>
      <c r="L27" s="127"/>
      <c r="M27" s="125"/>
      <c r="O27" s="85" t="s">
        <v>282</v>
      </c>
      <c r="P27" s="85" t="s">
        <v>283</v>
      </c>
      <c r="Q27" s="85" t="s">
        <v>284</v>
      </c>
      <c r="S27" s="331">
        <v>23</v>
      </c>
      <c r="T27" s="433" t="s">
        <v>425</v>
      </c>
      <c r="U27" s="256" t="s">
        <v>93</v>
      </c>
      <c r="V27" s="256">
        <v>18</v>
      </c>
      <c r="W27" s="434" t="s">
        <v>427</v>
      </c>
      <c r="X27" s="328" t="s">
        <v>257</v>
      </c>
      <c r="Y27" s="304">
        <v>10.6</v>
      </c>
      <c r="AC27" s="383">
        <v>18</v>
      </c>
      <c r="AD27" s="410"/>
      <c r="AE27" s="410"/>
      <c r="AF27" s="387">
        <f t="shared" si="4"/>
        <v>0</v>
      </c>
      <c r="AG27" s="411"/>
      <c r="AH27" s="388">
        <f t="shared" si="5"/>
        <v>0</v>
      </c>
      <c r="AJ27" s="383" t="s">
        <v>378</v>
      </c>
      <c r="AK27" s="410"/>
      <c r="AL27" s="410"/>
      <c r="AM27" s="388">
        <f t="shared" si="3"/>
        <v>0</v>
      </c>
    </row>
    <row r="28" spans="1:39" ht="16.5" thickBot="1">
      <c r="A28" s="11" t="s">
        <v>492</v>
      </c>
      <c r="B28" s="11"/>
      <c r="C28" s="11"/>
      <c r="D28" s="11"/>
      <c r="E28" s="11"/>
      <c r="F28" s="187"/>
      <c r="G28" s="63" t="s">
        <v>316</v>
      </c>
      <c r="K28" s="241" t="s">
        <v>160</v>
      </c>
      <c r="L28" s="242" t="s">
        <v>174</v>
      </c>
      <c r="M28" s="76"/>
      <c r="N28" s="243" t="s">
        <v>171</v>
      </c>
      <c r="O28" s="244"/>
      <c r="P28" s="244"/>
      <c r="Q28" s="245"/>
      <c r="S28" s="331">
        <v>24</v>
      </c>
      <c r="T28" s="433" t="s">
        <v>435</v>
      </c>
      <c r="U28" s="256" t="s">
        <v>93</v>
      </c>
      <c r="V28" s="256">
        <v>6</v>
      </c>
      <c r="W28" s="434" t="s">
        <v>426</v>
      </c>
      <c r="X28" s="328" t="s">
        <v>436</v>
      </c>
      <c r="Y28" s="304">
        <v>35</v>
      </c>
      <c r="AC28" s="383">
        <v>19</v>
      </c>
      <c r="AD28" s="410"/>
      <c r="AE28" s="410"/>
      <c r="AF28" s="387">
        <f t="shared" si="4"/>
        <v>0</v>
      </c>
      <c r="AG28" s="411"/>
      <c r="AH28" s="388">
        <f t="shared" si="5"/>
        <v>0</v>
      </c>
      <c r="AI28" s="22"/>
      <c r="AJ28" s="383" t="s">
        <v>382</v>
      </c>
      <c r="AK28" s="410"/>
      <c r="AL28" s="410"/>
      <c r="AM28" s="388">
        <f t="shared" si="3"/>
        <v>0</v>
      </c>
    </row>
    <row r="29" spans="1:39" ht="16.5" thickBot="1">
      <c r="A29" s="12" t="s">
        <v>129</v>
      </c>
      <c r="G29" s="159"/>
      <c r="K29" s="246" t="s">
        <v>161</v>
      </c>
      <c r="L29" s="134" t="s">
        <v>168</v>
      </c>
      <c r="M29" s="22"/>
      <c r="N29" s="85" t="s">
        <v>171</v>
      </c>
      <c r="O29" s="174"/>
      <c r="P29" s="174"/>
      <c r="Q29" s="247"/>
      <c r="S29" s="331">
        <v>25</v>
      </c>
      <c r="T29" s="433" t="s">
        <v>437</v>
      </c>
      <c r="U29" s="256" t="s">
        <v>93</v>
      </c>
      <c r="V29" s="256">
        <v>6</v>
      </c>
      <c r="W29" s="434" t="s">
        <v>426</v>
      </c>
      <c r="X29" s="328" t="s">
        <v>255</v>
      </c>
      <c r="Y29" s="304">
        <v>32</v>
      </c>
      <c r="AC29" s="383">
        <v>20</v>
      </c>
      <c r="AD29" s="410"/>
      <c r="AE29" s="410"/>
      <c r="AF29" s="387">
        <f t="shared" si="4"/>
        <v>0</v>
      </c>
      <c r="AG29" s="411"/>
      <c r="AH29" s="388">
        <f t="shared" si="5"/>
        <v>0</v>
      </c>
      <c r="AI29" s="22"/>
      <c r="AJ29" s="383" t="s">
        <v>383</v>
      </c>
      <c r="AK29" s="410"/>
      <c r="AL29" s="410"/>
      <c r="AM29" s="388">
        <f t="shared" si="3"/>
        <v>0</v>
      </c>
    </row>
    <row r="30" spans="1:39" ht="15.75">
      <c r="A30" s="66" t="s">
        <v>91</v>
      </c>
      <c r="B30" s="64" t="s">
        <v>91</v>
      </c>
      <c r="C30" s="64"/>
      <c r="D30" s="64" t="s">
        <v>92</v>
      </c>
      <c r="E30" s="65" t="s">
        <v>61</v>
      </c>
      <c r="F30" s="114" t="s">
        <v>61</v>
      </c>
      <c r="G30" s="632" t="s">
        <v>439</v>
      </c>
      <c r="H30" s="634" t="s">
        <v>440</v>
      </c>
      <c r="I30" s="636" t="s">
        <v>448</v>
      </c>
      <c r="K30" s="246" t="s">
        <v>162</v>
      </c>
      <c r="L30" s="134" t="s">
        <v>158</v>
      </c>
      <c r="M30" s="22"/>
      <c r="N30" s="85" t="s">
        <v>171</v>
      </c>
      <c r="O30" s="174"/>
      <c r="P30" s="174"/>
      <c r="Q30" s="247"/>
      <c r="S30" s="331">
        <v>26</v>
      </c>
      <c r="T30" s="433" t="s">
        <v>438</v>
      </c>
      <c r="U30" s="256" t="s">
        <v>93</v>
      </c>
      <c r="V30" s="256">
        <v>6</v>
      </c>
      <c r="W30" s="434" t="s">
        <v>426</v>
      </c>
      <c r="X30" s="329" t="s">
        <v>436</v>
      </c>
      <c r="Y30" s="304">
        <v>35</v>
      </c>
      <c r="AC30" s="383">
        <v>21</v>
      </c>
      <c r="AD30" s="410"/>
      <c r="AE30" s="410"/>
      <c r="AF30" s="387">
        <f t="shared" si="4"/>
        <v>0</v>
      </c>
      <c r="AG30" s="411"/>
      <c r="AH30" s="388">
        <f t="shared" si="5"/>
        <v>0</v>
      </c>
      <c r="AI30" s="284"/>
      <c r="AJ30" s="383" t="s">
        <v>384</v>
      </c>
      <c r="AK30" s="410"/>
      <c r="AL30" s="410"/>
      <c r="AM30" s="388">
        <f t="shared" si="3"/>
        <v>0</v>
      </c>
    </row>
    <row r="31" spans="1:39" ht="16.5" thickBot="1">
      <c r="A31" s="115" t="s">
        <v>94</v>
      </c>
      <c r="B31" s="116" t="s">
        <v>126</v>
      </c>
      <c r="C31" s="116" t="s">
        <v>32</v>
      </c>
      <c r="D31" s="116" t="s">
        <v>340</v>
      </c>
      <c r="E31" s="117" t="s">
        <v>97</v>
      </c>
      <c r="F31" s="118" t="s">
        <v>98</v>
      </c>
      <c r="G31" s="633"/>
      <c r="H31" s="635"/>
      <c r="I31" s="637"/>
      <c r="K31" s="246" t="s">
        <v>313</v>
      </c>
      <c r="L31" s="621" t="s">
        <v>498</v>
      </c>
      <c r="M31" s="631"/>
      <c r="N31" s="85" t="s">
        <v>171</v>
      </c>
      <c r="O31" s="174"/>
      <c r="P31" s="174"/>
      <c r="Q31" s="247"/>
      <c r="S31" s="437">
        <v>99</v>
      </c>
      <c r="T31" s="438" t="s">
        <v>273</v>
      </c>
      <c r="U31" s="439"/>
      <c r="V31" s="439"/>
      <c r="W31" s="440"/>
      <c r="X31" s="441"/>
      <c r="Y31" s="442"/>
      <c r="AC31" s="383">
        <v>22</v>
      </c>
      <c r="AD31" s="410"/>
      <c r="AE31" s="410"/>
      <c r="AF31" s="387">
        <f t="shared" si="4"/>
        <v>0</v>
      </c>
      <c r="AG31" s="411"/>
      <c r="AH31" s="388">
        <f t="shared" si="5"/>
        <v>0</v>
      </c>
      <c r="AI31" s="372"/>
      <c r="AJ31" s="383" t="s">
        <v>164</v>
      </c>
      <c r="AK31" s="410"/>
      <c r="AL31" s="410"/>
      <c r="AM31" s="388">
        <f t="shared" si="3"/>
        <v>0</v>
      </c>
    </row>
    <row r="32" spans="1:39" ht="16.5" thickTop="1">
      <c r="A32" s="201"/>
      <c r="B32" s="435" t="str">
        <f>'Farm N Balance (EWS2-1)'!B8</f>
        <v> </v>
      </c>
      <c r="C32" s="174"/>
      <c r="D32" s="174"/>
      <c r="E32" s="322"/>
      <c r="F32" s="322"/>
      <c r="G32" s="447"/>
      <c r="H32" s="447"/>
      <c r="I32" s="199"/>
      <c r="K32" s="585" t="s">
        <v>499</v>
      </c>
      <c r="L32" s="586" t="s">
        <v>496</v>
      </c>
      <c r="M32" s="494"/>
      <c r="N32" s="587" t="s">
        <v>171</v>
      </c>
      <c r="O32" s="174"/>
      <c r="P32" s="174"/>
      <c r="Q32" s="247"/>
      <c r="S32" s="657" t="s">
        <v>268</v>
      </c>
      <c r="T32" s="658"/>
      <c r="U32" s="443" t="s">
        <v>145</v>
      </c>
      <c r="V32" s="443" t="s">
        <v>110</v>
      </c>
      <c r="W32" s="443" t="s">
        <v>90</v>
      </c>
      <c r="X32" s="443" t="s">
        <v>219</v>
      </c>
      <c r="Y32" s="443" t="s">
        <v>148</v>
      </c>
      <c r="AC32" s="383">
        <v>23</v>
      </c>
      <c r="AD32" s="410"/>
      <c r="AE32" s="410"/>
      <c r="AF32" s="387">
        <f t="shared" si="4"/>
        <v>0</v>
      </c>
      <c r="AG32" s="411"/>
      <c r="AH32" s="388">
        <f t="shared" si="5"/>
        <v>0</v>
      </c>
      <c r="AI32" s="22"/>
      <c r="AJ32" s="383" t="s">
        <v>385</v>
      </c>
      <c r="AK32" s="410"/>
      <c r="AL32" s="410"/>
      <c r="AM32" s="388">
        <f t="shared" si="3"/>
        <v>0</v>
      </c>
    </row>
    <row r="33" spans="1:39" ht="16.5" thickBot="1">
      <c r="A33" s="201"/>
      <c r="B33" s="435" t="str">
        <f>'Farm N Balance (EWS2-1)'!B9</f>
        <v> </v>
      </c>
      <c r="C33" s="174"/>
      <c r="D33" s="174"/>
      <c r="E33" s="322"/>
      <c r="F33" s="322"/>
      <c r="G33" s="447"/>
      <c r="H33" s="447"/>
      <c r="I33" s="199"/>
      <c r="K33" s="246" t="s">
        <v>163</v>
      </c>
      <c r="L33" s="134" t="s">
        <v>159</v>
      </c>
      <c r="M33" s="22"/>
      <c r="N33" s="333" t="s">
        <v>321</v>
      </c>
      <c r="O33" s="174"/>
      <c r="P33" s="174"/>
      <c r="Q33" s="174"/>
      <c r="S33" s="655" t="s">
        <v>326</v>
      </c>
      <c r="T33" s="656"/>
      <c r="U33" s="444" t="s">
        <v>144</v>
      </c>
      <c r="V33" s="444" t="s">
        <v>144</v>
      </c>
      <c r="W33" s="444"/>
      <c r="X33" s="444" t="s">
        <v>151</v>
      </c>
      <c r="Y33" s="444" t="s">
        <v>149</v>
      </c>
      <c r="AC33" s="389">
        <v>24</v>
      </c>
      <c r="AD33" s="410"/>
      <c r="AE33" s="410"/>
      <c r="AF33" s="387">
        <f t="shared" si="4"/>
        <v>0</v>
      </c>
      <c r="AG33" s="411"/>
      <c r="AH33" s="388">
        <f t="shared" si="5"/>
        <v>0</v>
      </c>
      <c r="AI33" s="56"/>
      <c r="AJ33" s="383" t="s">
        <v>386</v>
      </c>
      <c r="AK33" s="410"/>
      <c r="AL33" s="410"/>
      <c r="AM33" s="388">
        <f t="shared" si="3"/>
        <v>0</v>
      </c>
    </row>
    <row r="34" spans="1:39" ht="15" customHeight="1">
      <c r="A34" s="201"/>
      <c r="B34" s="435" t="str">
        <f>'Farm N Balance (EWS2-1)'!B10</f>
        <v> </v>
      </c>
      <c r="C34" s="174"/>
      <c r="D34" s="174"/>
      <c r="E34" s="322"/>
      <c r="F34" s="322"/>
      <c r="G34" s="447"/>
      <c r="H34" s="447"/>
      <c r="I34" s="199"/>
      <c r="K34" s="246" t="s">
        <v>312</v>
      </c>
      <c r="L34" s="134" t="s">
        <v>280</v>
      </c>
      <c r="M34" s="22"/>
      <c r="N34" s="333" t="s">
        <v>321</v>
      </c>
      <c r="O34" s="174"/>
      <c r="P34" s="174"/>
      <c r="Q34" s="174"/>
      <c r="S34" s="98" t="s">
        <v>132</v>
      </c>
      <c r="T34" s="104"/>
      <c r="U34" s="179"/>
      <c r="V34" s="180"/>
      <c r="W34" s="180"/>
      <c r="X34" s="175"/>
      <c r="Y34" s="176"/>
      <c r="AC34" s="383">
        <v>25</v>
      </c>
      <c r="AD34" s="410"/>
      <c r="AE34" s="410"/>
      <c r="AF34" s="387">
        <f t="shared" si="4"/>
        <v>0</v>
      </c>
      <c r="AG34" s="411"/>
      <c r="AH34" s="388">
        <f t="shared" si="5"/>
        <v>0</v>
      </c>
      <c r="AI34" s="56"/>
      <c r="AJ34" s="383" t="s">
        <v>387</v>
      </c>
      <c r="AK34" s="410"/>
      <c r="AL34" s="410"/>
      <c r="AM34" s="388">
        <f t="shared" si="3"/>
        <v>0</v>
      </c>
    </row>
    <row r="35" spans="1:39" ht="15" customHeight="1" thickBot="1">
      <c r="A35" s="201"/>
      <c r="B35" s="435" t="str">
        <f>'Farm N Balance (EWS2-1)'!B11</f>
        <v> </v>
      </c>
      <c r="C35" s="174"/>
      <c r="D35" s="174"/>
      <c r="E35" s="322"/>
      <c r="F35" s="322"/>
      <c r="G35" s="447"/>
      <c r="H35" s="447"/>
      <c r="I35" s="199"/>
      <c r="K35" s="246" t="s">
        <v>165</v>
      </c>
      <c r="L35" s="134" t="s">
        <v>281</v>
      </c>
      <c r="M35" s="22"/>
      <c r="N35" s="85" t="s">
        <v>171</v>
      </c>
      <c r="O35" s="172"/>
      <c r="P35" s="172"/>
      <c r="Q35" s="172"/>
      <c r="S35" s="101" t="s">
        <v>130</v>
      </c>
      <c r="T35" s="105"/>
      <c r="U35" s="102" t="s">
        <v>136</v>
      </c>
      <c r="V35" s="203"/>
      <c r="W35" s="102" t="s">
        <v>135</v>
      </c>
      <c r="X35" s="178" t="s">
        <v>227</v>
      </c>
      <c r="Y35" s="102">
        <f>V35</f>
        <v>0</v>
      </c>
      <c r="AC35" s="383">
        <v>26</v>
      </c>
      <c r="AD35" s="410"/>
      <c r="AE35" s="410"/>
      <c r="AF35" s="387">
        <f t="shared" si="1"/>
        <v>0</v>
      </c>
      <c r="AG35" s="411"/>
      <c r="AH35" s="388">
        <f t="shared" si="2"/>
        <v>0</v>
      </c>
      <c r="AI35" s="56"/>
      <c r="AJ35" s="390"/>
      <c r="AK35" s="391"/>
      <c r="AL35" s="392" t="s">
        <v>372</v>
      </c>
      <c r="AM35" s="393">
        <f>+SUM(AM10:AM34)</f>
        <v>0</v>
      </c>
    </row>
    <row r="36" spans="1:39" ht="15" customHeight="1" thickBot="1">
      <c r="A36" s="201"/>
      <c r="B36" s="435" t="str">
        <f>'Farm N Balance (EWS2-1)'!B12</f>
        <v> </v>
      </c>
      <c r="C36" s="174"/>
      <c r="D36" s="174"/>
      <c r="E36" s="322"/>
      <c r="F36" s="322"/>
      <c r="G36" s="447"/>
      <c r="H36" s="447"/>
      <c r="I36" s="199"/>
      <c r="K36" s="246"/>
      <c r="L36" s="134" t="s">
        <v>205</v>
      </c>
      <c r="M36" s="22"/>
      <c r="N36" s="85"/>
      <c r="O36" s="130"/>
      <c r="P36" s="130"/>
      <c r="Q36" s="248"/>
      <c r="S36" s="106" t="s">
        <v>131</v>
      </c>
      <c r="T36" s="107"/>
      <c r="U36" s="103" t="s">
        <v>137</v>
      </c>
      <c r="V36" s="204"/>
      <c r="W36" s="103" t="s">
        <v>135</v>
      </c>
      <c r="X36" s="178" t="s">
        <v>227</v>
      </c>
      <c r="Y36" s="102">
        <f>V36</f>
        <v>0</v>
      </c>
      <c r="AC36" s="394"/>
      <c r="AD36" s="395"/>
      <c r="AE36" s="396" t="s">
        <v>376</v>
      </c>
      <c r="AF36" s="395">
        <f>+SUM(AF10:AF35)</f>
        <v>0</v>
      </c>
      <c r="AG36" s="395" t="s">
        <v>355</v>
      </c>
      <c r="AH36" s="397"/>
      <c r="AI36" s="56"/>
      <c r="AJ36" s="22"/>
      <c r="AK36" s="22"/>
      <c r="AL36" s="22"/>
      <c r="AM36" s="373"/>
    </row>
    <row r="37" spans="1:39" ht="15" customHeight="1">
      <c r="A37" s="201"/>
      <c r="B37" s="435" t="str">
        <f>'Farm N Balance (EWS2-1)'!B13</f>
        <v> </v>
      </c>
      <c r="C37" s="174"/>
      <c r="D37" s="174"/>
      <c r="E37" s="322"/>
      <c r="F37" s="322"/>
      <c r="G37" s="447"/>
      <c r="H37" s="447"/>
      <c r="I37" s="199"/>
      <c r="K37" s="246" t="s">
        <v>164</v>
      </c>
      <c r="L37" s="134" t="s">
        <v>299</v>
      </c>
      <c r="M37" s="22"/>
      <c r="N37" s="85" t="s">
        <v>171</v>
      </c>
      <c r="O37" s="172"/>
      <c r="P37" s="172"/>
      <c r="Q37" s="172"/>
      <c r="S37" s="98" t="s">
        <v>133</v>
      </c>
      <c r="T37" s="104"/>
      <c r="U37" s="179"/>
      <c r="V37" s="180"/>
      <c r="W37" s="180"/>
      <c r="X37" s="175"/>
      <c r="Y37" s="176"/>
      <c r="AC37" s="58"/>
      <c r="AD37" s="22"/>
      <c r="AE37" s="374" t="s">
        <v>375</v>
      </c>
      <c r="AF37" s="22">
        <f>SUM(AH10:AH35)</f>
        <v>0</v>
      </c>
      <c r="AG37" s="22" t="s">
        <v>355</v>
      </c>
      <c r="AH37" s="398"/>
      <c r="AI37" s="22"/>
      <c r="AJ37" s="22"/>
      <c r="AK37" s="22"/>
      <c r="AL37" s="374"/>
      <c r="AM37" s="373"/>
    </row>
    <row r="38" spans="1:35" ht="15" customHeight="1" thickBot="1">
      <c r="A38" s="201"/>
      <c r="B38" s="435" t="str">
        <f>'Farm N Balance (EWS2-1)'!B14</f>
        <v> </v>
      </c>
      <c r="C38" s="174"/>
      <c r="D38" s="174"/>
      <c r="E38" s="322"/>
      <c r="F38" s="322"/>
      <c r="G38" s="447"/>
      <c r="H38" s="447"/>
      <c r="I38" s="199"/>
      <c r="K38" s="246"/>
      <c r="L38" s="134" t="s">
        <v>205</v>
      </c>
      <c r="M38" s="22"/>
      <c r="N38" s="85"/>
      <c r="O38" s="130"/>
      <c r="P38" s="130"/>
      <c r="Q38" s="248"/>
      <c r="S38" s="106" t="s">
        <v>328</v>
      </c>
      <c r="T38" s="107"/>
      <c r="U38" s="108" t="s">
        <v>134</v>
      </c>
      <c r="V38" s="205"/>
      <c r="W38" s="108" t="s">
        <v>135</v>
      </c>
      <c r="X38" s="205"/>
      <c r="Y38" s="102">
        <f>V38*X38*$U$49</f>
        <v>0</v>
      </c>
      <c r="AC38" s="399"/>
      <c r="AD38" s="251"/>
      <c r="AE38" s="400" t="s">
        <v>374</v>
      </c>
      <c r="AF38" s="251">
        <f>+AF36-AF37</f>
        <v>0</v>
      </c>
      <c r="AG38" s="251" t="s">
        <v>355</v>
      </c>
      <c r="AH38" s="401"/>
      <c r="AI38" s="22"/>
    </row>
    <row r="39" spans="1:35" ht="15" customHeight="1" thickBot="1">
      <c r="A39" s="201"/>
      <c r="B39" s="435" t="str">
        <f>'Farm N Balance (EWS2-1)'!B15</f>
        <v> </v>
      </c>
      <c r="C39" s="174"/>
      <c r="D39" s="174"/>
      <c r="E39" s="322"/>
      <c r="F39" s="322"/>
      <c r="G39" s="447"/>
      <c r="H39" s="447"/>
      <c r="I39" s="199"/>
      <c r="K39" s="249" t="s">
        <v>215</v>
      </c>
      <c r="L39" s="250" t="s">
        <v>314</v>
      </c>
      <c r="M39" s="251"/>
      <c r="N39" s="334" t="s">
        <v>322</v>
      </c>
      <c r="O39" s="198"/>
      <c r="P39" s="198"/>
      <c r="Q39" s="198"/>
      <c r="S39" s="99" t="s">
        <v>138</v>
      </c>
      <c r="T39" s="100"/>
      <c r="U39" s="109" t="s">
        <v>139</v>
      </c>
      <c r="V39" s="206"/>
      <c r="W39" s="109" t="s">
        <v>135</v>
      </c>
      <c r="X39" s="206"/>
      <c r="Y39" s="102">
        <f>V39*X39*$U$49</f>
        <v>0</v>
      </c>
      <c r="AG39" s="21"/>
      <c r="AH39" s="22"/>
      <c r="AI39" s="22"/>
    </row>
    <row r="40" spans="1:35" ht="15" customHeight="1" thickBot="1">
      <c r="A40" s="201"/>
      <c r="B40" s="435" t="str">
        <f>'Farm N Balance (EWS2-1)'!B16</f>
        <v> </v>
      </c>
      <c r="C40" s="174"/>
      <c r="D40" s="174"/>
      <c r="E40" s="322"/>
      <c r="F40" s="322"/>
      <c r="G40" s="447"/>
      <c r="H40" s="447"/>
      <c r="I40" s="199"/>
      <c r="R40" s="22"/>
      <c r="S40" s="589" t="s">
        <v>502</v>
      </c>
      <c r="T40" s="590"/>
      <c r="U40" s="591"/>
      <c r="V40" s="722"/>
      <c r="W40" s="592" t="s">
        <v>226</v>
      </c>
      <c r="X40" s="584"/>
      <c r="Y40" s="588">
        <f>V40*$U$49</f>
        <v>0</v>
      </c>
      <c r="AG40" s="21"/>
      <c r="AH40" s="22"/>
      <c r="AI40" s="22"/>
    </row>
    <row r="41" spans="1:35" ht="15" customHeight="1" thickBot="1" thickTop="1">
      <c r="A41" s="201"/>
      <c r="B41" s="435" t="str">
        <f>'Farm N Balance (EWS2-1)'!B17</f>
        <v> </v>
      </c>
      <c r="C41" s="174"/>
      <c r="D41" s="174"/>
      <c r="E41" s="322"/>
      <c r="F41" s="322"/>
      <c r="G41" s="447"/>
      <c r="H41" s="447"/>
      <c r="I41" s="199"/>
      <c r="R41" s="22"/>
      <c r="S41" s="99" t="s">
        <v>244</v>
      </c>
      <c r="T41" s="100"/>
      <c r="U41" s="109" t="s">
        <v>247</v>
      </c>
      <c r="V41" s="206"/>
      <c r="W41" s="177" t="s">
        <v>226</v>
      </c>
      <c r="X41" s="371"/>
      <c r="Y41" s="102">
        <f>V41*$U$49</f>
        <v>0</v>
      </c>
      <c r="AC41" s="646" t="s">
        <v>377</v>
      </c>
      <c r="AD41" s="647"/>
      <c r="AE41" s="647"/>
      <c r="AF41" s="647"/>
      <c r="AG41" s="647"/>
      <c r="AH41" s="648"/>
      <c r="AI41" s="22"/>
    </row>
    <row r="42" spans="1:35" ht="15" customHeight="1" thickBot="1">
      <c r="A42" s="201"/>
      <c r="B42" s="435" t="str">
        <f>'Farm N Balance (EWS2-1)'!B18</f>
        <v> </v>
      </c>
      <c r="C42" s="174"/>
      <c r="D42" s="174"/>
      <c r="E42" s="322"/>
      <c r="F42" s="322"/>
      <c r="G42" s="447"/>
      <c r="H42" s="447"/>
      <c r="I42" s="199"/>
      <c r="R42" s="22"/>
      <c r="S42" s="99" t="s">
        <v>140</v>
      </c>
      <c r="T42" s="100"/>
      <c r="U42" s="109" t="s">
        <v>246</v>
      </c>
      <c r="V42" s="206"/>
      <c r="W42" s="177" t="s">
        <v>226</v>
      </c>
      <c r="X42" s="170"/>
      <c r="Y42" s="102">
        <f>+V42*U49</f>
        <v>0</v>
      </c>
      <c r="AA42" s="367"/>
      <c r="AC42" s="649"/>
      <c r="AD42" s="650"/>
      <c r="AE42" s="650"/>
      <c r="AF42" s="650"/>
      <c r="AG42" s="650"/>
      <c r="AH42" s="651"/>
      <c r="AI42" s="22"/>
    </row>
    <row r="43" spans="1:35" ht="15" customHeight="1">
      <c r="A43" s="201"/>
      <c r="B43" s="435" t="str">
        <f>'Farm N Balance (EWS2-1)'!B19</f>
        <v> </v>
      </c>
      <c r="C43" s="174"/>
      <c r="D43" s="174"/>
      <c r="E43" s="322"/>
      <c r="F43" s="322"/>
      <c r="G43" s="447"/>
      <c r="H43" s="447"/>
      <c r="I43" s="199"/>
      <c r="R43" s="22"/>
      <c r="S43" s="98" t="s">
        <v>141</v>
      </c>
      <c r="T43" s="104"/>
      <c r="V43" s="271"/>
      <c r="W43" s="272" t="s">
        <v>260</v>
      </c>
      <c r="X43" s="271"/>
      <c r="Y43" s="273"/>
      <c r="AA43" s="367"/>
      <c r="AC43" s="638" t="s">
        <v>391</v>
      </c>
      <c r="AD43" s="639"/>
      <c r="AE43" s="639"/>
      <c r="AF43" s="639"/>
      <c r="AG43" s="639"/>
      <c r="AH43" s="640"/>
      <c r="AI43" s="22"/>
    </row>
    <row r="44" spans="1:35" ht="15" customHeight="1">
      <c r="A44" s="201"/>
      <c r="B44" s="435" t="str">
        <f>'Farm N Balance (EWS2-1)'!B20</f>
        <v> </v>
      </c>
      <c r="C44" s="174"/>
      <c r="D44" s="174"/>
      <c r="E44" s="322"/>
      <c r="F44" s="322"/>
      <c r="G44" s="447"/>
      <c r="H44" s="447"/>
      <c r="I44" s="199"/>
      <c r="R44" s="22"/>
      <c r="S44" s="101" t="s">
        <v>142</v>
      </c>
      <c r="T44" s="105"/>
      <c r="U44" s="102" t="s">
        <v>242</v>
      </c>
      <c r="V44" s="203"/>
      <c r="W44" s="102" t="s">
        <v>147</v>
      </c>
      <c r="X44" s="207">
        <f>+D7</f>
        <v>0</v>
      </c>
      <c r="Y44" s="102">
        <f>V44*X44*$U$49</f>
        <v>0</v>
      </c>
      <c r="AA44" s="367"/>
      <c r="AC44" s="638" t="s">
        <v>390</v>
      </c>
      <c r="AD44" s="639"/>
      <c r="AE44" s="639"/>
      <c r="AF44" s="639"/>
      <c r="AG44" s="639"/>
      <c r="AH44" s="640"/>
      <c r="AI44" s="22"/>
    </row>
    <row r="45" spans="1:35" ht="15" customHeight="1" thickBot="1">
      <c r="A45" s="201"/>
      <c r="B45" s="435" t="str">
        <f>'Farm N Balance (EWS2-1)'!B21</f>
        <v> </v>
      </c>
      <c r="C45" s="174"/>
      <c r="D45" s="174"/>
      <c r="E45" s="322"/>
      <c r="F45" s="322"/>
      <c r="G45" s="447"/>
      <c r="H45" s="447"/>
      <c r="I45" s="199"/>
      <c r="R45" s="22"/>
      <c r="S45" s="106" t="s">
        <v>143</v>
      </c>
      <c r="T45" s="107"/>
      <c r="U45" s="103" t="s">
        <v>243</v>
      </c>
      <c r="V45" s="204"/>
      <c r="W45" s="103" t="s">
        <v>147</v>
      </c>
      <c r="X45" s="208">
        <f>+D7</f>
        <v>0</v>
      </c>
      <c r="Y45" s="102">
        <f>V45*X45*$U$49</f>
        <v>0</v>
      </c>
      <c r="AC45" s="638" t="s">
        <v>389</v>
      </c>
      <c r="AD45" s="639"/>
      <c r="AE45" s="639"/>
      <c r="AF45" s="639"/>
      <c r="AG45" s="639"/>
      <c r="AH45" s="640"/>
      <c r="AI45" s="22"/>
    </row>
    <row r="46" spans="1:35" ht="15" customHeight="1">
      <c r="A46" s="201"/>
      <c r="B46" s="435" t="str">
        <f>'Farm N Balance (EWS2-1)'!B22</f>
        <v> </v>
      </c>
      <c r="C46" s="174"/>
      <c r="D46" s="174"/>
      <c r="E46" s="322"/>
      <c r="F46" s="322"/>
      <c r="G46" s="447"/>
      <c r="H46" s="447"/>
      <c r="I46" s="199"/>
      <c r="R46" s="22"/>
      <c r="S46" s="98" t="s">
        <v>327</v>
      </c>
      <c r="T46" s="104"/>
      <c r="U46" s="179"/>
      <c r="V46" s="180"/>
      <c r="W46" s="180"/>
      <c r="X46" s="175"/>
      <c r="Y46" s="176"/>
      <c r="AC46" s="375"/>
      <c r="AD46" s="22"/>
      <c r="AE46" s="22"/>
      <c r="AF46" s="22"/>
      <c r="AG46" s="22"/>
      <c r="AH46" s="376"/>
      <c r="AI46" s="22"/>
    </row>
    <row r="47" spans="1:39" ht="15" customHeight="1" thickBot="1">
      <c r="A47" s="201"/>
      <c r="B47" s="435" t="str">
        <f>'Farm N Balance (EWS2-1)'!B23</f>
        <v> </v>
      </c>
      <c r="C47" s="174"/>
      <c r="D47" s="174"/>
      <c r="E47" s="322"/>
      <c r="F47" s="322"/>
      <c r="G47" s="447"/>
      <c r="H47" s="447"/>
      <c r="I47" s="199"/>
      <c r="R47" s="22"/>
      <c r="S47" s="106" t="s">
        <v>146</v>
      </c>
      <c r="T47" s="107"/>
      <c r="U47" s="184" t="s">
        <v>245</v>
      </c>
      <c r="V47" s="204"/>
      <c r="W47" s="123" t="s">
        <v>185</v>
      </c>
      <c r="X47" s="171"/>
      <c r="Y47" s="103">
        <f>V47*W49*W50*U50*$U$49*$W$51</f>
        <v>0</v>
      </c>
      <c r="AC47" s="375"/>
      <c r="AD47" s="22"/>
      <c r="AE47" s="21"/>
      <c r="AF47" s="374" t="s">
        <v>373</v>
      </c>
      <c r="AG47" s="402"/>
      <c r="AH47" s="377" t="s">
        <v>356</v>
      </c>
      <c r="AI47" s="21"/>
      <c r="AJ47" s="22"/>
      <c r="AK47" s="22"/>
      <c r="AL47" s="22"/>
      <c r="AM47" s="22"/>
    </row>
    <row r="48" spans="1:39" ht="15" customHeight="1">
      <c r="A48" s="201"/>
      <c r="B48" s="435" t="str">
        <f>'Farm N Balance (EWS2-1)'!B24</f>
        <v> </v>
      </c>
      <c r="C48" s="174"/>
      <c r="D48" s="174"/>
      <c r="E48" s="322"/>
      <c r="F48" s="322"/>
      <c r="G48" s="447"/>
      <c r="H48" s="447"/>
      <c r="I48" s="199"/>
      <c r="R48" s="22"/>
      <c r="T48"/>
      <c r="AC48" s="375"/>
      <c r="AD48" s="22"/>
      <c r="AE48" s="21"/>
      <c r="AF48" s="374" t="s">
        <v>376</v>
      </c>
      <c r="AG48" s="22">
        <f>AF36</f>
        <v>0</v>
      </c>
      <c r="AH48" s="377" t="s">
        <v>356</v>
      </c>
      <c r="AI48" s="21"/>
      <c r="AJ48" s="22"/>
      <c r="AK48" s="22"/>
      <c r="AL48" s="22"/>
      <c r="AM48" s="22"/>
    </row>
    <row r="49" spans="1:39" ht="15" customHeight="1">
      <c r="A49" s="201"/>
      <c r="B49" s="435" t="str">
        <f>'Farm N Balance (EWS2-1)'!B25</f>
        <v> </v>
      </c>
      <c r="C49" s="174"/>
      <c r="D49" s="174"/>
      <c r="E49" s="322"/>
      <c r="F49" s="322"/>
      <c r="G49" s="447"/>
      <c r="H49" s="447"/>
      <c r="I49" s="199"/>
      <c r="P49" s="25"/>
      <c r="Q49" s="25"/>
      <c r="R49" s="22"/>
      <c r="T49" s="167" t="s">
        <v>217</v>
      </c>
      <c r="U49" s="209"/>
      <c r="V49" s="275" t="s">
        <v>220</v>
      </c>
      <c r="W49" s="209"/>
      <c r="Y49" s="167" t="s">
        <v>222</v>
      </c>
      <c r="Z49" s="368">
        <f>SUM(Y35:Y36)+SUM(Y38:Y42)+SUM(Y44:Y45)+Y47</f>
        <v>0</v>
      </c>
      <c r="AC49" s="375"/>
      <c r="AD49" s="22"/>
      <c r="AE49" s="21"/>
      <c r="AF49" s="374" t="s">
        <v>357</v>
      </c>
      <c r="AG49" s="22">
        <f>AM35</f>
        <v>0</v>
      </c>
      <c r="AH49" s="377" t="s">
        <v>356</v>
      </c>
      <c r="AI49" s="21"/>
      <c r="AJ49" s="22"/>
      <c r="AK49" s="22"/>
      <c r="AL49" s="22"/>
      <c r="AM49" s="22"/>
    </row>
    <row r="50" spans="1:39" ht="15" customHeight="1" thickBot="1">
      <c r="A50" s="201"/>
      <c r="B50" s="435" t="str">
        <f>'Farm N Balance (EWS2-1)'!B26</f>
        <v> </v>
      </c>
      <c r="C50" s="174"/>
      <c r="D50" s="174"/>
      <c r="E50" s="323"/>
      <c r="F50" s="323"/>
      <c r="G50" s="448"/>
      <c r="H50" s="447"/>
      <c r="I50" s="199"/>
      <c r="P50" s="25"/>
      <c r="Q50" s="25"/>
      <c r="R50" s="22"/>
      <c r="T50" s="167" t="s">
        <v>218</v>
      </c>
      <c r="U50" s="209"/>
      <c r="V50" s="275" t="s">
        <v>221</v>
      </c>
      <c r="W50" s="209"/>
      <c r="Y50" s="169" t="s">
        <v>223</v>
      </c>
      <c r="Z50" s="369">
        <f>+Z49-Y47</f>
        <v>0</v>
      </c>
      <c r="AC50" s="378"/>
      <c r="AD50" s="379"/>
      <c r="AE50" s="403"/>
      <c r="AF50" s="380" t="s">
        <v>388</v>
      </c>
      <c r="AG50" s="381">
        <f>+(AG47-AG48-AG49)/43560</f>
        <v>0</v>
      </c>
      <c r="AH50" s="382" t="s">
        <v>358</v>
      </c>
      <c r="AI50" s="21"/>
      <c r="AJ50" s="22"/>
      <c r="AK50" s="22"/>
      <c r="AL50" s="22"/>
      <c r="AM50" s="22"/>
    </row>
    <row r="51" spans="1:39" ht="15" customHeight="1" thickTop="1">
      <c r="A51" s="201"/>
      <c r="B51" s="435" t="str">
        <f>'Farm N Balance (EWS2-1)'!B27</f>
        <v> </v>
      </c>
      <c r="C51" s="174"/>
      <c r="D51" s="174"/>
      <c r="E51" s="322"/>
      <c r="F51" s="322"/>
      <c r="G51" s="460"/>
      <c r="H51" s="460"/>
      <c r="I51" s="199"/>
      <c r="P51" s="25"/>
      <c r="Q51" s="25"/>
      <c r="R51" s="22"/>
      <c r="S51" s="12"/>
      <c r="T51" s="167"/>
      <c r="V51" s="275" t="s">
        <v>259</v>
      </c>
      <c r="W51" s="280"/>
      <c r="Y51" s="169" t="s">
        <v>329</v>
      </c>
      <c r="Z51" s="370" t="str">
        <f>IF(D7=0," ",(+Y47/D7))</f>
        <v> </v>
      </c>
      <c r="AC51" s="22"/>
      <c r="AD51" s="22"/>
      <c r="AE51" s="22"/>
      <c r="AF51" s="22"/>
      <c r="AG51" s="22"/>
      <c r="AH51" s="22"/>
      <c r="AJ51" s="56"/>
      <c r="AK51" s="56"/>
      <c r="AL51" s="22"/>
      <c r="AM51" s="22"/>
    </row>
    <row r="52" spans="1:39" ht="15" customHeight="1">
      <c r="A52" s="455"/>
      <c r="B52" s="435" t="str">
        <f>'Farm N Balance (EWS2-1)'!B28</f>
        <v> </v>
      </c>
      <c r="C52" s="456"/>
      <c r="D52" s="456"/>
      <c r="E52" s="457"/>
      <c r="F52" s="457"/>
      <c r="G52" s="458"/>
      <c r="H52" s="458"/>
      <c r="I52" s="459"/>
      <c r="P52" s="25"/>
      <c r="Q52" s="25"/>
      <c r="R52" s="22"/>
      <c r="S52" s="12" t="s">
        <v>150</v>
      </c>
      <c r="T52"/>
      <c r="V52" s="168"/>
      <c r="AC52" s="22"/>
      <c r="AD52" s="22"/>
      <c r="AE52" s="22"/>
      <c r="AF52" s="22"/>
      <c r="AG52" s="22"/>
      <c r="AH52" s="22"/>
      <c r="AJ52" s="56"/>
      <c r="AK52" s="56"/>
      <c r="AL52" s="56"/>
      <c r="AM52" s="22"/>
    </row>
    <row r="53" spans="1:39" ht="15" customHeight="1">
      <c r="A53" s="201"/>
      <c r="B53" s="435" t="str">
        <f>'Farm N Balance (EWS2-1)'!B29</f>
        <v> </v>
      </c>
      <c r="C53" s="174"/>
      <c r="D53" s="174"/>
      <c r="E53" s="322"/>
      <c r="F53" s="322"/>
      <c r="G53" s="447"/>
      <c r="H53" s="447"/>
      <c r="I53" s="199"/>
      <c r="R53" s="22"/>
      <c r="S53" s="183" t="s">
        <v>450</v>
      </c>
      <c r="T53"/>
      <c r="AC53"/>
      <c r="AD53"/>
      <c r="AE53"/>
      <c r="AF53"/>
      <c r="AG53" s="22"/>
      <c r="AH53" s="22"/>
      <c r="AJ53" s="56"/>
      <c r="AK53" s="56"/>
      <c r="AL53" s="56"/>
      <c r="AM53" s="22"/>
    </row>
    <row r="54" spans="1:39" ht="15" customHeight="1">
      <c r="A54" s="201"/>
      <c r="B54" s="435" t="str">
        <f>'Farm N Balance (EWS2-1)'!B30</f>
        <v> </v>
      </c>
      <c r="C54" s="174"/>
      <c r="D54" s="174"/>
      <c r="E54" s="322"/>
      <c r="F54" s="322"/>
      <c r="G54" s="447"/>
      <c r="H54" s="447"/>
      <c r="I54" s="199"/>
      <c r="R54" s="22"/>
      <c r="S54" s="168" t="s">
        <v>451</v>
      </c>
      <c r="T54"/>
      <c r="AC54"/>
      <c r="AD54"/>
      <c r="AE54"/>
      <c r="AF54"/>
      <c r="AG54"/>
      <c r="AH54"/>
      <c r="AJ54" s="56"/>
      <c r="AK54" s="56"/>
      <c r="AL54" s="56"/>
      <c r="AM54" s="22"/>
    </row>
    <row r="55" spans="1:39" ht="15" customHeight="1">
      <c r="A55" s="201"/>
      <c r="B55" s="435" t="str">
        <f>'Farm N Balance (EWS2-1)'!B31</f>
        <v> </v>
      </c>
      <c r="C55" s="174"/>
      <c r="D55" s="174"/>
      <c r="E55" s="323"/>
      <c r="F55" s="323"/>
      <c r="G55" s="448"/>
      <c r="H55" s="447"/>
      <c r="I55" s="199"/>
      <c r="R55" s="22"/>
      <c r="S55" s="183" t="s">
        <v>512</v>
      </c>
      <c r="T55"/>
      <c r="AC55"/>
      <c r="AD55"/>
      <c r="AE55"/>
      <c r="AF55"/>
      <c r="AG55"/>
      <c r="AH55"/>
      <c r="AJ55" s="56"/>
      <c r="AK55" s="56"/>
      <c r="AL55" s="56"/>
      <c r="AM55" s="22"/>
    </row>
    <row r="56" spans="1:39" ht="15" customHeight="1" thickBot="1">
      <c r="A56" s="450"/>
      <c r="B56" s="436" t="str">
        <f>'Farm N Balance (EWS2-1)'!B32</f>
        <v> </v>
      </c>
      <c r="C56" s="198"/>
      <c r="D56" s="198"/>
      <c r="E56" s="324"/>
      <c r="F56" s="324"/>
      <c r="G56" s="449"/>
      <c r="H56" s="449"/>
      <c r="I56" s="200"/>
      <c r="S56" s="183" t="s">
        <v>274</v>
      </c>
      <c r="T56"/>
      <c r="AJ56" s="22"/>
      <c r="AK56" s="22"/>
      <c r="AL56" s="22"/>
      <c r="AM56" s="22"/>
    </row>
    <row r="57" spans="1:39" ht="15" customHeight="1">
      <c r="A57" s="67" t="s">
        <v>341</v>
      </c>
      <c r="S57" s="168" t="s">
        <v>452</v>
      </c>
      <c r="T57"/>
      <c r="AJ57" s="22"/>
      <c r="AK57" s="22"/>
      <c r="AL57" s="22"/>
      <c r="AM57" s="22"/>
    </row>
    <row r="58" spans="1:39" ht="15" customHeight="1">
      <c r="A58" s="67" t="s">
        <v>119</v>
      </c>
      <c r="S58" s="30" t="s">
        <v>453</v>
      </c>
      <c r="T58"/>
      <c r="AJ58" s="22"/>
      <c r="AK58" s="22"/>
      <c r="AL58" s="22"/>
      <c r="AM58" s="22"/>
    </row>
    <row r="59" spans="1:39" ht="15" customHeight="1">
      <c r="A59" s="67" t="s">
        <v>152</v>
      </c>
      <c r="S59" s="240" t="s">
        <v>454</v>
      </c>
      <c r="T59"/>
      <c r="AJ59" s="22"/>
      <c r="AK59" s="22"/>
      <c r="AL59" s="22"/>
      <c r="AM59" s="22"/>
    </row>
    <row r="60" spans="19:39" ht="15">
      <c r="S60" s="168" t="s">
        <v>342</v>
      </c>
      <c r="AJ60" s="22"/>
      <c r="AK60" s="22"/>
      <c r="AL60" s="22"/>
      <c r="AM60" s="22"/>
    </row>
    <row r="61" spans="19:37" ht="18">
      <c r="S61" s="183" t="s">
        <v>248</v>
      </c>
      <c r="AJ61"/>
      <c r="AK61"/>
    </row>
    <row r="62" spans="19:37" ht="18">
      <c r="S62" s="183" t="s">
        <v>271</v>
      </c>
      <c r="AJ62"/>
      <c r="AK62"/>
    </row>
    <row r="63" spans="19:37" ht="15">
      <c r="S63" s="168" t="s">
        <v>456</v>
      </c>
      <c r="AJ63"/>
      <c r="AK63"/>
    </row>
    <row r="64" spans="19:37" ht="15">
      <c r="S64" s="168" t="s">
        <v>455</v>
      </c>
      <c r="T64" s="365"/>
      <c r="U64" s="1"/>
      <c r="V64" s="1"/>
      <c r="W64" s="1"/>
      <c r="AJ64"/>
      <c r="AK64"/>
    </row>
    <row r="65" spans="19:37" ht="15.75">
      <c r="S65" s="2"/>
      <c r="T65" s="365"/>
      <c r="U65" s="1"/>
      <c r="V65" s="1"/>
      <c r="W65" s="1"/>
      <c r="AJ65"/>
      <c r="AK65"/>
    </row>
    <row r="66" spans="24:37" ht="15">
      <c r="X66" s="1"/>
      <c r="Y66" s="1"/>
      <c r="AJ66"/>
      <c r="AK66"/>
    </row>
    <row r="67" spans="24:25" ht="15">
      <c r="X67" s="1"/>
      <c r="Y67" s="1"/>
    </row>
    <row r="68" spans="19:25" ht="15">
      <c r="S68" s="1"/>
      <c r="T68" s="365"/>
      <c r="U68" s="1"/>
      <c r="V68" s="1"/>
      <c r="W68" s="1"/>
      <c r="X68" s="1"/>
      <c r="Y68" s="1"/>
    </row>
  </sheetData>
  <sheetProtection sheet="1" objects="1" scenarios="1"/>
  <mergeCells count="19">
    <mergeCell ref="D13:G13"/>
    <mergeCell ref="J1:R1"/>
    <mergeCell ref="G30:G31"/>
    <mergeCell ref="H30:H31"/>
    <mergeCell ref="I30:I31"/>
    <mergeCell ref="A1:I1"/>
    <mergeCell ref="L17:M17"/>
    <mergeCell ref="L31:M31"/>
    <mergeCell ref="O9:Q9"/>
    <mergeCell ref="AC45:AH45"/>
    <mergeCell ref="AB1:AN1"/>
    <mergeCell ref="S1:AA1"/>
    <mergeCell ref="AJ7:AM7"/>
    <mergeCell ref="AC41:AH42"/>
    <mergeCell ref="AC43:AH43"/>
    <mergeCell ref="AC44:AH44"/>
    <mergeCell ref="AC7:AH7"/>
    <mergeCell ref="S33:T33"/>
    <mergeCell ref="S32:T32"/>
  </mergeCells>
  <printOptions/>
  <pageMargins left="0.59" right="0.52" top="0.75" bottom="0.58" header="0.51" footer="0.25"/>
  <pageSetup fitToWidth="0" fitToHeight="1" horizontalDpi="600" verticalDpi="600" orientation="portrait" pageOrder="overThenDown" scale="72" r:id="rId4"/>
  <headerFooter alignWithMargins="0">
    <oddFooter>&amp;L&amp;9&amp;T, &amp;D&amp;C&amp;9Version 3.2&amp;R&amp;9&amp;A, Page &amp;P of &amp;N</oddFooter>
  </headerFooter>
  <colBreaks count="3" manualBreakCount="3">
    <brk id="9" max="61" man="1"/>
    <brk id="18" max="61" man="1"/>
    <brk id="27" max="61" man="1"/>
  </colBreaks>
  <ignoredErrors>
    <ignoredError sqref="W5 W7:W8 W11 W13 W15:W17 W19:W21 W23:W30"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codeName="Sheet3" transitionEvaluation="1"/>
  <dimension ref="A1:CP88"/>
  <sheetViews>
    <sheetView showGridLines="0" showZeros="0" zoomScale="91" zoomScaleNormal="91" workbookViewId="0" topLeftCell="A1">
      <selection activeCell="B19" sqref="B19"/>
    </sheetView>
  </sheetViews>
  <sheetFormatPr defaultColWidth="9.77734375" defaultRowHeight="15"/>
  <cols>
    <col min="1" max="1" width="10.6640625" style="507" customWidth="1"/>
    <col min="2" max="2" width="17.88671875" style="507" customWidth="1"/>
    <col min="3" max="3" width="8.10546875" style="507" customWidth="1"/>
    <col min="4" max="4" width="8.6640625" style="507" customWidth="1"/>
    <col min="5" max="5" width="10.3359375" style="507" customWidth="1"/>
    <col min="6" max="6" width="11.4453125" style="507" customWidth="1"/>
    <col min="7" max="7" width="9.3359375" style="507" customWidth="1"/>
    <col min="8" max="8" width="7.10546875" style="507" customWidth="1"/>
    <col min="9" max="9" width="8.6640625" style="92" customWidth="1"/>
    <col min="10" max="10" width="19.88671875" style="92" customWidth="1"/>
    <col min="11" max="11" width="6.88671875" style="92" customWidth="1"/>
    <col min="12" max="12" width="3.5546875" style="92" customWidth="1"/>
    <col min="13" max="13" width="10.4453125" style="92" customWidth="1"/>
    <col min="14" max="15" width="9.21484375" style="92" customWidth="1"/>
    <col min="16" max="16" width="9.3359375" style="92" customWidth="1"/>
    <col min="17" max="17" width="4.3359375" style="547" customWidth="1"/>
    <col min="18" max="18" width="8.5546875" style="509" customWidth="1"/>
    <col min="19" max="19" width="24.3359375" style="92" customWidth="1"/>
    <col min="20" max="20" width="12.88671875" style="92" customWidth="1"/>
    <col min="21" max="21" width="4.88671875" style="92" customWidth="1"/>
    <col min="22" max="22" width="10.88671875" style="92" customWidth="1"/>
    <col min="23" max="23" width="12.88671875" style="92" customWidth="1"/>
    <col min="24" max="24" width="4.3359375" style="92" customWidth="1"/>
    <col min="25" max="25" width="9.77734375" style="92" customWidth="1"/>
    <col min="26" max="26" width="10.77734375" style="92" customWidth="1"/>
    <col min="27" max="27" width="10.77734375" style="92" hidden="1" customWidth="1"/>
    <col min="28" max="57" width="10.77734375" style="506" hidden="1" customWidth="1"/>
    <col min="58" max="59" width="10.77734375" style="92" hidden="1" customWidth="1"/>
    <col min="60" max="65" width="10.77734375" style="507" hidden="1" customWidth="1"/>
    <col min="66" max="66" width="10.77734375" style="92" customWidth="1"/>
    <col min="67" max="71" width="8.88671875" style="92" customWidth="1"/>
    <col min="72" max="80" width="8.88671875" style="138" customWidth="1"/>
    <col min="81" max="88" width="8.88671875" style="21" customWidth="1"/>
    <col min="89" max="93" width="8.88671875" style="1" customWidth="1"/>
    <col min="94" max="16384" width="9.77734375" style="1" customWidth="1"/>
  </cols>
  <sheetData>
    <row r="1" spans="1:67" ht="18">
      <c r="A1" s="680" t="s">
        <v>343</v>
      </c>
      <c r="B1" s="680"/>
      <c r="C1" s="680"/>
      <c r="D1" s="680"/>
      <c r="E1" s="680"/>
      <c r="F1" s="680"/>
      <c r="G1" s="680"/>
      <c r="H1" s="680"/>
      <c r="I1" s="641" t="s">
        <v>343</v>
      </c>
      <c r="J1" s="681"/>
      <c r="K1" s="681"/>
      <c r="L1" s="681"/>
      <c r="M1" s="681"/>
      <c r="N1" s="681"/>
      <c r="O1" s="681"/>
      <c r="P1" s="681"/>
      <c r="Q1" s="681"/>
      <c r="R1" s="641" t="s">
        <v>343</v>
      </c>
      <c r="S1" s="682"/>
      <c r="T1" s="682"/>
      <c r="U1" s="682"/>
      <c r="V1" s="682"/>
      <c r="W1" s="682"/>
      <c r="X1" s="682"/>
      <c r="Y1" s="505"/>
      <c r="AA1" s="92" t="s">
        <v>178</v>
      </c>
      <c r="AB1" s="92"/>
      <c r="AC1" s="92"/>
      <c r="BF1" s="506"/>
      <c r="BG1" s="506"/>
      <c r="BN1" s="506"/>
      <c r="BO1" s="506"/>
    </row>
    <row r="2" spans="1:69" ht="15.75">
      <c r="A2" s="160"/>
      <c r="B2" s="160"/>
      <c r="C2" s="160"/>
      <c r="D2" s="160"/>
      <c r="E2" s="160"/>
      <c r="F2" s="160"/>
      <c r="G2" s="160"/>
      <c r="H2" s="160"/>
      <c r="J2" s="138"/>
      <c r="K2" s="138"/>
      <c r="L2" s="138"/>
      <c r="M2" s="138"/>
      <c r="N2" s="138"/>
      <c r="P2" s="138"/>
      <c r="Q2" s="508"/>
      <c r="W2" s="493"/>
      <c r="AA2" s="510"/>
      <c r="AB2" s="510"/>
      <c r="AC2" s="510"/>
      <c r="AD2" s="130"/>
      <c r="AE2" s="130"/>
      <c r="AF2" s="130" t="s">
        <v>173</v>
      </c>
      <c r="AG2" s="130"/>
      <c r="AH2" s="130"/>
      <c r="AI2" s="130"/>
      <c r="AJ2" s="510"/>
      <c r="AK2" s="510"/>
      <c r="AL2" s="130" t="s">
        <v>87</v>
      </c>
      <c r="AM2" s="130"/>
      <c r="AN2" s="130"/>
      <c r="AO2" s="130"/>
      <c r="AP2" s="130"/>
      <c r="AQ2" s="130"/>
      <c r="AR2" s="130" t="s">
        <v>86</v>
      </c>
      <c r="AS2" s="130"/>
      <c r="AT2" s="130"/>
      <c r="AU2" s="130"/>
      <c r="AV2" s="130"/>
      <c r="AW2" s="130"/>
      <c r="AX2" s="130" t="s">
        <v>89</v>
      </c>
      <c r="AY2" s="130"/>
      <c r="AZ2" s="130"/>
      <c r="BA2" s="130"/>
      <c r="BB2" s="130"/>
      <c r="BC2" s="130"/>
      <c r="BD2" s="130" t="s">
        <v>88</v>
      </c>
      <c r="BE2" s="130"/>
      <c r="BF2" s="130"/>
      <c r="BG2" s="130"/>
      <c r="BH2" s="130"/>
      <c r="BI2" s="130"/>
      <c r="BJ2" s="130" t="s">
        <v>144</v>
      </c>
      <c r="BK2" s="130"/>
      <c r="BL2" s="130"/>
      <c r="BM2" s="130"/>
      <c r="BN2" s="507"/>
      <c r="BO2" s="507"/>
      <c r="BP2" s="507"/>
      <c r="BQ2" s="507"/>
    </row>
    <row r="3" spans="1:94" ht="15">
      <c r="A3" s="156" t="s">
        <v>0</v>
      </c>
      <c r="B3" s="286">
        <f>' '!B3</f>
        <v>0</v>
      </c>
      <c r="C3" s="343"/>
      <c r="D3" s="119"/>
      <c r="F3" s="119" t="str">
        <f>+'Data Input'!G3</f>
        <v>Entered by:</v>
      </c>
      <c r="G3" s="286">
        <f>+'Data Input'!H3</f>
        <v>0</v>
      </c>
      <c r="H3" s="343"/>
      <c r="I3" s="119" t="s">
        <v>0</v>
      </c>
      <c r="J3" s="286">
        <f>' '!B3</f>
        <v>0</v>
      </c>
      <c r="K3" s="343"/>
      <c r="L3" s="138"/>
      <c r="N3" s="156" t="str">
        <f>+F3</f>
        <v>Entered by:</v>
      </c>
      <c r="O3" s="286">
        <f>+G3</f>
        <v>0</v>
      </c>
      <c r="P3" s="343"/>
      <c r="Q3" s="508"/>
      <c r="R3" s="511" t="str">
        <f>I3</f>
        <v>Producer:</v>
      </c>
      <c r="S3" s="512">
        <f>J3</f>
        <v>0</v>
      </c>
      <c r="T3" s="513"/>
      <c r="V3" s="511" t="str">
        <f>+N3</f>
        <v>Entered by:</v>
      </c>
      <c r="W3" s="286">
        <f>+O3</f>
        <v>0</v>
      </c>
      <c r="X3" s="513"/>
      <c r="AA3" s="510"/>
      <c r="AB3" s="510"/>
      <c r="AC3" s="510"/>
      <c r="AD3" s="130"/>
      <c r="AE3" s="130"/>
      <c r="AF3" s="130" t="s">
        <v>171</v>
      </c>
      <c r="AG3" s="130"/>
      <c r="AH3" s="130"/>
      <c r="AI3" s="130"/>
      <c r="AJ3" s="510"/>
      <c r="AK3" s="510"/>
      <c r="AL3" s="130" t="s">
        <v>171</v>
      </c>
      <c r="AM3" s="130"/>
      <c r="AN3" s="130"/>
      <c r="AO3" s="130"/>
      <c r="AP3" s="130"/>
      <c r="AQ3" s="130"/>
      <c r="AR3" s="130" t="s">
        <v>171</v>
      </c>
      <c r="AS3" s="130"/>
      <c r="AT3" s="130"/>
      <c r="AU3" s="130"/>
      <c r="AV3" s="130"/>
      <c r="AW3" s="130"/>
      <c r="AX3" s="130" t="s">
        <v>171</v>
      </c>
      <c r="AY3" s="130"/>
      <c r="AZ3" s="130"/>
      <c r="BA3" s="130"/>
      <c r="BB3" s="130"/>
      <c r="BC3" s="130"/>
      <c r="BD3" s="130" t="s">
        <v>171</v>
      </c>
      <c r="BE3" s="130"/>
      <c r="BF3" s="130"/>
      <c r="BG3" s="130"/>
      <c r="BH3" s="130"/>
      <c r="BI3" s="130"/>
      <c r="BJ3" s="130" t="s">
        <v>186</v>
      </c>
      <c r="BK3" s="130"/>
      <c r="BL3" s="130"/>
      <c r="BM3" s="130"/>
      <c r="BN3" s="507"/>
      <c r="BO3" s="507"/>
      <c r="BP3" s="507"/>
      <c r="BQ3" s="507"/>
      <c r="BR3" s="507"/>
      <c r="BS3" s="507"/>
      <c r="BT3" s="142"/>
      <c r="BU3" s="142"/>
      <c r="CC3" s="138"/>
      <c r="CD3" s="138"/>
      <c r="CE3" s="138"/>
      <c r="CF3" s="138"/>
      <c r="CG3" s="138"/>
      <c r="CH3" s="138"/>
      <c r="CK3" s="21"/>
      <c r="CL3" s="21"/>
      <c r="CM3" s="21"/>
      <c r="CN3" s="21"/>
      <c r="CO3" s="21"/>
      <c r="CP3" s="21"/>
    </row>
    <row r="4" spans="1:94" ht="15.75">
      <c r="A4" s="156" t="s">
        <v>1</v>
      </c>
      <c r="B4" s="340">
        <f>'Data Input'!E3</f>
        <v>39541</v>
      </c>
      <c r="C4" s="138"/>
      <c r="D4" s="119"/>
      <c r="F4" s="119" t="str">
        <f>+'Data Input'!G4</f>
        <v>Checked by:</v>
      </c>
      <c r="G4" s="289"/>
      <c r="H4" s="290"/>
      <c r="I4" s="119" t="s">
        <v>1</v>
      </c>
      <c r="J4" s="340">
        <f>'Data Input'!E3</f>
        <v>39541</v>
      </c>
      <c r="K4" s="510"/>
      <c r="L4" s="510"/>
      <c r="N4" s="156" t="str">
        <f>+F4</f>
        <v>Checked by:</v>
      </c>
      <c r="O4" s="514"/>
      <c r="P4" s="515"/>
      <c r="Q4" s="516"/>
      <c r="R4" s="511" t="str">
        <f>I4</f>
        <v>Date:</v>
      </c>
      <c r="S4" s="517">
        <f>J4</f>
        <v>39541</v>
      </c>
      <c r="T4" s="518"/>
      <c r="U4" s="493"/>
      <c r="V4" s="511" t="str">
        <f>+N4</f>
        <v>Checked by:</v>
      </c>
      <c r="W4" s="514"/>
      <c r="X4" s="514"/>
      <c r="AA4" s="510" t="s">
        <v>172</v>
      </c>
      <c r="AB4" s="510"/>
      <c r="AC4" s="516" t="s">
        <v>295</v>
      </c>
      <c r="AD4" s="519">
        <v>1</v>
      </c>
      <c r="AE4" s="520">
        <v>2</v>
      </c>
      <c r="AF4" s="520">
        <v>3</v>
      </c>
      <c r="AG4" s="520">
        <v>4</v>
      </c>
      <c r="AH4" s="520">
        <v>5</v>
      </c>
      <c r="AI4" s="520">
        <v>6</v>
      </c>
      <c r="AJ4" s="519">
        <v>1</v>
      </c>
      <c r="AK4" s="520">
        <v>2</v>
      </c>
      <c r="AL4" s="520">
        <v>3</v>
      </c>
      <c r="AM4" s="520">
        <v>4</v>
      </c>
      <c r="AN4" s="520">
        <v>5</v>
      </c>
      <c r="AO4" s="521">
        <v>6</v>
      </c>
      <c r="AP4" s="519">
        <v>1</v>
      </c>
      <c r="AQ4" s="520">
        <v>2</v>
      </c>
      <c r="AR4" s="520">
        <v>3</v>
      </c>
      <c r="AS4" s="520">
        <v>4</v>
      </c>
      <c r="AT4" s="520">
        <v>5</v>
      </c>
      <c r="AU4" s="521">
        <v>6</v>
      </c>
      <c r="AV4" s="519">
        <v>1</v>
      </c>
      <c r="AW4" s="520">
        <v>2</v>
      </c>
      <c r="AX4" s="520">
        <v>3</v>
      </c>
      <c r="AY4" s="520">
        <v>4</v>
      </c>
      <c r="AZ4" s="520">
        <v>5</v>
      </c>
      <c r="BA4" s="521">
        <v>6</v>
      </c>
      <c r="BB4" s="519">
        <v>1</v>
      </c>
      <c r="BC4" s="520">
        <v>2</v>
      </c>
      <c r="BD4" s="520">
        <v>3</v>
      </c>
      <c r="BE4" s="520">
        <v>4</v>
      </c>
      <c r="BF4" s="520">
        <v>5</v>
      </c>
      <c r="BG4" s="521">
        <v>6</v>
      </c>
      <c r="BH4" s="519">
        <v>1</v>
      </c>
      <c r="BI4" s="520">
        <v>2</v>
      </c>
      <c r="BJ4" s="520">
        <v>3</v>
      </c>
      <c r="BK4" s="520">
        <v>4</v>
      </c>
      <c r="BL4" s="520">
        <v>5</v>
      </c>
      <c r="BM4" s="521">
        <v>6</v>
      </c>
      <c r="BN4" s="507"/>
      <c r="BO4" s="507"/>
      <c r="BP4" s="507"/>
      <c r="BQ4" s="507"/>
      <c r="BR4" s="507"/>
      <c r="BS4" s="507"/>
      <c r="BT4" s="142"/>
      <c r="BU4" s="142"/>
      <c r="CC4" s="138"/>
      <c r="CD4" s="138"/>
      <c r="CE4" s="138"/>
      <c r="CF4" s="138"/>
      <c r="CG4" s="138"/>
      <c r="CH4" s="138"/>
      <c r="CK4" s="21"/>
      <c r="CL4" s="21"/>
      <c r="CM4" s="21"/>
      <c r="CN4" s="21"/>
      <c r="CO4" s="21"/>
      <c r="CP4" s="21"/>
    </row>
    <row r="5" spans="1:94" ht="15.75">
      <c r="A5" s="119"/>
      <c r="B5" s="119"/>
      <c r="C5" s="138"/>
      <c r="D5" s="23"/>
      <c r="E5" s="138"/>
      <c r="F5" s="138"/>
      <c r="G5" s="139" t="s">
        <v>77</v>
      </c>
      <c r="H5" s="140" t="s">
        <v>78</v>
      </c>
      <c r="J5" s="1"/>
      <c r="K5" s="1"/>
      <c r="L5" s="1"/>
      <c r="M5" s="1"/>
      <c r="N5" s="1"/>
      <c r="O5" s="1"/>
      <c r="P5" s="1"/>
      <c r="Q5" s="516"/>
      <c r="R5" s="493"/>
      <c r="S5" s="522"/>
      <c r="T5" s="518"/>
      <c r="U5" s="493"/>
      <c r="V5" s="493"/>
      <c r="W5" s="493"/>
      <c r="AA5" s="523" t="s">
        <v>167</v>
      </c>
      <c r="AB5" s="510"/>
      <c r="AC5" s="510"/>
      <c r="AD5" s="524">
        <f>N22-N21</f>
        <v>0</v>
      </c>
      <c r="AE5" s="525">
        <f>O22-O21</f>
        <v>0</v>
      </c>
      <c r="AF5" s="525">
        <f>P22-P21</f>
        <v>0</v>
      </c>
      <c r="AG5" s="525">
        <f>N36-N35</f>
        <v>0</v>
      </c>
      <c r="AH5" s="525">
        <f>O36-O35</f>
        <v>0</v>
      </c>
      <c r="AI5" s="525">
        <f>P36-P35</f>
        <v>0</v>
      </c>
      <c r="AJ5" s="524">
        <f>N26-2*N22*N25</f>
        <v>0</v>
      </c>
      <c r="AK5" s="525">
        <f>O26-2*O22*O25</f>
        <v>0</v>
      </c>
      <c r="AL5" s="525">
        <f>P26-2*P22*P25</f>
        <v>0</v>
      </c>
      <c r="AM5" s="525">
        <f>N40-2*N36*N39</f>
        <v>0</v>
      </c>
      <c r="AN5" s="525">
        <f>O40-2*O36*O39</f>
        <v>0</v>
      </c>
      <c r="AO5" s="526">
        <f>P40-2*P36*P39</f>
        <v>0</v>
      </c>
      <c r="AP5" s="524">
        <f>N28-2*N22*N25</f>
        <v>0</v>
      </c>
      <c r="AQ5" s="525">
        <f>O28-2*O22*O25</f>
        <v>0</v>
      </c>
      <c r="AR5" s="525">
        <f>P28-2*P22*P25</f>
        <v>0</v>
      </c>
      <c r="AS5" s="525">
        <f>N42-2*N36*N39</f>
        <v>0</v>
      </c>
      <c r="AT5" s="525">
        <f>O42-2*O36*O39</f>
        <v>0</v>
      </c>
      <c r="AU5" s="526">
        <f>P42-2*P36*P39</f>
        <v>0</v>
      </c>
      <c r="AV5" s="524">
        <f>N26-2*N21*N25</f>
        <v>0</v>
      </c>
      <c r="AW5" s="525">
        <f>O26-2*O21*O25</f>
        <v>0</v>
      </c>
      <c r="AX5" s="525">
        <f>P26-2*P21*P25</f>
        <v>0</v>
      </c>
      <c r="AY5" s="525">
        <f>N40-2*N35*N39</f>
        <v>0</v>
      </c>
      <c r="AZ5" s="525">
        <f>O40-2*O35*O39</f>
        <v>0</v>
      </c>
      <c r="BA5" s="526">
        <f>P40-2*P35*P39</f>
        <v>0</v>
      </c>
      <c r="BB5" s="524">
        <f>N28-2*N21*N25</f>
        <v>0</v>
      </c>
      <c r="BC5" s="525">
        <f>O28-2*O21*O25</f>
        <v>0</v>
      </c>
      <c r="BD5" s="525">
        <f>P28-2*P21*P25</f>
        <v>0</v>
      </c>
      <c r="BE5" s="525">
        <f>N42-2*N35*N39</f>
        <v>0</v>
      </c>
      <c r="BF5" s="525">
        <f>O42-2*O35*O39</f>
        <v>0</v>
      </c>
      <c r="BG5" s="526">
        <f>P42-2*P35*P39</f>
        <v>0</v>
      </c>
      <c r="BH5" s="524">
        <f aca="true" t="shared" si="0" ref="BH5:BM9">AD5/6*(AJ5*AP5+AV5*BB5+(AJ5+AV5)*(AP5+BB5))</f>
        <v>0</v>
      </c>
      <c r="BI5" s="525">
        <f t="shared" si="0"/>
        <v>0</v>
      </c>
      <c r="BJ5" s="525">
        <f t="shared" si="0"/>
        <v>0</v>
      </c>
      <c r="BK5" s="525">
        <f t="shared" si="0"/>
        <v>0</v>
      </c>
      <c r="BL5" s="525">
        <f t="shared" si="0"/>
        <v>0</v>
      </c>
      <c r="BM5" s="526">
        <f t="shared" si="0"/>
        <v>0</v>
      </c>
      <c r="BN5" s="507"/>
      <c r="BO5" s="507"/>
      <c r="BP5" s="507"/>
      <c r="BQ5" s="507"/>
      <c r="BR5" s="507"/>
      <c r="BS5" s="507"/>
      <c r="BT5" s="142"/>
      <c r="BU5" s="142"/>
      <c r="CC5" s="138"/>
      <c r="CD5" s="138"/>
      <c r="CE5" s="138"/>
      <c r="CF5" s="138"/>
      <c r="CG5" s="138"/>
      <c r="CH5" s="138"/>
      <c r="CK5" s="21"/>
      <c r="CL5" s="21"/>
      <c r="CM5" s="21"/>
      <c r="CN5" s="21"/>
      <c r="CO5" s="21"/>
      <c r="CP5" s="21"/>
    </row>
    <row r="6" spans="1:94" ht="15.75">
      <c r="A6" s="141"/>
      <c r="B6" s="141"/>
      <c r="C6" s="140" t="str">
        <f>'Data Input'!D14</f>
        <v>Flushed</v>
      </c>
      <c r="D6" s="140" t="str">
        <f>'Data Input'!F14</f>
        <v>Flushed</v>
      </c>
      <c r="E6" s="267" t="str">
        <f>'Data Input'!E14</f>
        <v>Scraped</v>
      </c>
      <c r="F6" s="267" t="str">
        <f>'Data Input'!G14</f>
        <v>Scraped</v>
      </c>
      <c r="G6" s="139" t="s">
        <v>79</v>
      </c>
      <c r="H6" s="140" t="s">
        <v>80</v>
      </c>
      <c r="J6" s="1"/>
      <c r="K6" s="1"/>
      <c r="L6" s="1"/>
      <c r="M6" s="1"/>
      <c r="N6" s="1"/>
      <c r="O6" s="1"/>
      <c r="P6" s="1"/>
      <c r="Q6" s="516"/>
      <c r="R6" s="527" t="s">
        <v>175</v>
      </c>
      <c r="S6" s="528"/>
      <c r="T6" s="529" t="s">
        <v>279</v>
      </c>
      <c r="U6" s="668" t="s">
        <v>276</v>
      </c>
      <c r="V6" s="668"/>
      <c r="W6" s="529" t="s">
        <v>277</v>
      </c>
      <c r="X6" s="530"/>
      <c r="AA6" s="523" t="s">
        <v>189</v>
      </c>
      <c r="AB6" s="510"/>
      <c r="AC6" s="510"/>
      <c r="AD6" s="531">
        <f>N22</f>
        <v>0</v>
      </c>
      <c r="AE6" s="532">
        <f>O22</f>
        <v>0</v>
      </c>
      <c r="AF6" s="532">
        <f>P22</f>
        <v>0</v>
      </c>
      <c r="AG6" s="532">
        <f>N36</f>
        <v>0</v>
      </c>
      <c r="AH6" s="532">
        <f>O36</f>
        <v>0</v>
      </c>
      <c r="AI6" s="532">
        <f>P36</f>
        <v>0</v>
      </c>
      <c r="AJ6" s="531">
        <f>N26-2*N22*N25</f>
        <v>0</v>
      </c>
      <c r="AK6" s="532">
        <f>O26-2*O22*O25</f>
        <v>0</v>
      </c>
      <c r="AL6" s="532">
        <f>P26-2*P22*P25</f>
        <v>0</v>
      </c>
      <c r="AM6" s="532">
        <f>N40-2*N36*N39</f>
        <v>0</v>
      </c>
      <c r="AN6" s="532">
        <f>O40-2*O36*O39</f>
        <v>0</v>
      </c>
      <c r="AO6" s="533">
        <f>P40-2*P36*P39</f>
        <v>0</v>
      </c>
      <c r="AP6" s="531">
        <f>N28-2*N22*N25</f>
        <v>0</v>
      </c>
      <c r="AQ6" s="532">
        <f>O28-2*O22*O25</f>
        <v>0</v>
      </c>
      <c r="AR6" s="532">
        <f>P28-2*P22*P25</f>
        <v>0</v>
      </c>
      <c r="AS6" s="532">
        <f>N42-2*N36*N39</f>
        <v>0</v>
      </c>
      <c r="AT6" s="532">
        <f>O42-2*O36*O39</f>
        <v>0</v>
      </c>
      <c r="AU6" s="533">
        <f>P42-2*P36*P39</f>
        <v>0</v>
      </c>
      <c r="AV6" s="531">
        <f>N26</f>
        <v>0</v>
      </c>
      <c r="AW6" s="532">
        <f>O26</f>
        <v>0</v>
      </c>
      <c r="AX6" s="532">
        <f>P26</f>
        <v>0</v>
      </c>
      <c r="AY6" s="532">
        <f>N40</f>
        <v>0</v>
      </c>
      <c r="AZ6" s="532">
        <f>O40</f>
        <v>0</v>
      </c>
      <c r="BA6" s="533">
        <f>P40</f>
        <v>0</v>
      </c>
      <c r="BB6" s="531">
        <f>N28</f>
        <v>0</v>
      </c>
      <c r="BC6" s="532">
        <f>O28</f>
        <v>0</v>
      </c>
      <c r="BD6" s="532">
        <f>P28</f>
        <v>0</v>
      </c>
      <c r="BE6" s="532">
        <f>N42</f>
        <v>0</v>
      </c>
      <c r="BF6" s="532">
        <f>O42</f>
        <v>0</v>
      </c>
      <c r="BG6" s="533">
        <f>P42</f>
        <v>0</v>
      </c>
      <c r="BH6" s="531">
        <f t="shared" si="0"/>
        <v>0</v>
      </c>
      <c r="BI6" s="532">
        <f t="shared" si="0"/>
        <v>0</v>
      </c>
      <c r="BJ6" s="532">
        <f t="shared" si="0"/>
        <v>0</v>
      </c>
      <c r="BK6" s="532">
        <f t="shared" si="0"/>
        <v>0</v>
      </c>
      <c r="BL6" s="532">
        <f t="shared" si="0"/>
        <v>0</v>
      </c>
      <c r="BM6" s="533">
        <f t="shared" si="0"/>
        <v>0</v>
      </c>
      <c r="BN6" s="507"/>
      <c r="BO6" s="507"/>
      <c r="BP6" s="507"/>
      <c r="BQ6" s="507"/>
      <c r="BR6" s="507"/>
      <c r="BS6" s="507"/>
      <c r="BT6" s="142"/>
      <c r="BU6" s="142"/>
      <c r="CC6" s="138"/>
      <c r="CD6" s="138"/>
      <c r="CE6" s="138"/>
      <c r="CF6" s="138"/>
      <c r="CG6" s="138"/>
      <c r="CH6" s="138"/>
      <c r="CK6" s="21"/>
      <c r="CL6" s="21"/>
      <c r="CM6" s="21"/>
      <c r="CN6" s="21"/>
      <c r="CO6" s="21"/>
      <c r="CP6" s="21"/>
    </row>
    <row r="7" spans="1:94" ht="18">
      <c r="A7" s="143"/>
      <c r="B7" s="143"/>
      <c r="C7" s="140" t="str">
        <f>'Data Input'!D15</f>
        <v>Freestall</v>
      </c>
      <c r="D7" s="140" t="str">
        <f>'Data Input'!F15</f>
        <v>Lanes</v>
      </c>
      <c r="E7" s="140" t="str">
        <f>'Data Input'!E15</f>
        <v>Freestall</v>
      </c>
      <c r="F7" s="140" t="str">
        <f>'Data Input'!G15</f>
        <v>Drylot</v>
      </c>
      <c r="G7" s="139" t="s">
        <v>192</v>
      </c>
      <c r="H7" s="144" t="s">
        <v>207</v>
      </c>
      <c r="J7" s="1"/>
      <c r="K7" s="1"/>
      <c r="L7" s="1"/>
      <c r="M7" s="1"/>
      <c r="N7" s="1"/>
      <c r="O7" s="1"/>
      <c r="P7" s="1"/>
      <c r="Q7" s="516"/>
      <c r="R7" s="534"/>
      <c r="S7" s="535" t="s">
        <v>296</v>
      </c>
      <c r="T7" s="181">
        <f>BH5</f>
        <v>0</v>
      </c>
      <c r="U7" s="673">
        <f>BI5</f>
        <v>0</v>
      </c>
      <c r="V7" s="673"/>
      <c r="W7" s="181">
        <f>BJ5</f>
        <v>0</v>
      </c>
      <c r="X7" s="136" t="s">
        <v>206</v>
      </c>
      <c r="AA7" s="523" t="s">
        <v>166</v>
      </c>
      <c r="AB7" s="510"/>
      <c r="AC7" s="510"/>
      <c r="AD7" s="531">
        <f>N22-N19</f>
        <v>0</v>
      </c>
      <c r="AE7" s="532">
        <f>O22-O19</f>
        <v>0</v>
      </c>
      <c r="AF7" s="532">
        <f>P22-P19</f>
        <v>0</v>
      </c>
      <c r="AG7" s="532">
        <f>N36-N33</f>
        <v>0</v>
      </c>
      <c r="AH7" s="532">
        <f>O36-O33</f>
        <v>0</v>
      </c>
      <c r="AI7" s="532">
        <f>P36-P33</f>
        <v>0</v>
      </c>
      <c r="AJ7" s="531">
        <f>N26-2*N22*N25</f>
        <v>0</v>
      </c>
      <c r="AK7" s="532">
        <f>O26-2*O22*O25</f>
        <v>0</v>
      </c>
      <c r="AL7" s="532">
        <f>P26-2*P22*P25</f>
        <v>0</v>
      </c>
      <c r="AM7" s="532">
        <f>N40-2*N36*N39</f>
        <v>0</v>
      </c>
      <c r="AN7" s="532">
        <f>O40-2*O36*O39</f>
        <v>0</v>
      </c>
      <c r="AO7" s="533">
        <f>P40-2*P36*P39</f>
        <v>0</v>
      </c>
      <c r="AP7" s="531">
        <f>N28-2*N22*N25</f>
        <v>0</v>
      </c>
      <c r="AQ7" s="532">
        <f>O28-2*O22*O25</f>
        <v>0</v>
      </c>
      <c r="AR7" s="532">
        <f>P28-2*P22*P25</f>
        <v>0</v>
      </c>
      <c r="AS7" s="532">
        <f>N42-2*N36*N39</f>
        <v>0</v>
      </c>
      <c r="AT7" s="532">
        <f>O42-2*O36*O39</f>
        <v>0</v>
      </c>
      <c r="AU7" s="533">
        <f>P42-2*P36*P39</f>
        <v>0</v>
      </c>
      <c r="AV7" s="531">
        <f>N26-2*N19*N25</f>
        <v>0</v>
      </c>
      <c r="AW7" s="532">
        <f>O26-2*O19*O25</f>
        <v>0</v>
      </c>
      <c r="AX7" s="532">
        <f>P26-2*P19*P25</f>
        <v>0</v>
      </c>
      <c r="AY7" s="532">
        <f>N40-2*N33*N39</f>
        <v>0</v>
      </c>
      <c r="AZ7" s="532">
        <f>O40-2*O33*O39</f>
        <v>0</v>
      </c>
      <c r="BA7" s="533">
        <f>P40-2*P33*P39</f>
        <v>0</v>
      </c>
      <c r="BB7" s="531">
        <f>N28-2*N19*N25</f>
        <v>0</v>
      </c>
      <c r="BC7" s="532">
        <f>O28-2*O19*O25</f>
        <v>0</v>
      </c>
      <c r="BD7" s="532">
        <f>P28-2*P19*P25</f>
        <v>0</v>
      </c>
      <c r="BE7" s="532">
        <f>N42-2*N33*N39</f>
        <v>0</v>
      </c>
      <c r="BF7" s="532">
        <f>O42-2*O33*O39</f>
        <v>0</v>
      </c>
      <c r="BG7" s="533">
        <f>P42-2*P33*P39</f>
        <v>0</v>
      </c>
      <c r="BH7" s="531">
        <f t="shared" si="0"/>
        <v>0</v>
      </c>
      <c r="BI7" s="532">
        <f t="shared" si="0"/>
        <v>0</v>
      </c>
      <c r="BJ7" s="532">
        <f t="shared" si="0"/>
        <v>0</v>
      </c>
      <c r="BK7" s="532">
        <f t="shared" si="0"/>
        <v>0</v>
      </c>
      <c r="BL7" s="532">
        <f t="shared" si="0"/>
        <v>0</v>
      </c>
      <c r="BM7" s="533">
        <f t="shared" si="0"/>
        <v>0</v>
      </c>
      <c r="BN7" s="507"/>
      <c r="BO7" s="507"/>
      <c r="BP7" s="507"/>
      <c r="BQ7" s="507"/>
      <c r="BR7" s="507"/>
      <c r="BS7" s="507"/>
      <c r="BT7" s="142"/>
      <c r="BU7" s="142"/>
      <c r="CC7" s="138"/>
      <c r="CD7" s="138"/>
      <c r="CE7" s="138"/>
      <c r="CF7" s="138"/>
      <c r="CG7" s="138"/>
      <c r="CH7" s="138"/>
      <c r="CK7" s="21"/>
      <c r="CL7" s="21"/>
      <c r="CM7" s="21"/>
      <c r="CN7" s="21"/>
      <c r="CO7" s="21"/>
      <c r="CP7" s="21"/>
    </row>
    <row r="8" spans="1:94" ht="30">
      <c r="A8" s="145" t="s">
        <v>15</v>
      </c>
      <c r="B8" s="145"/>
      <c r="C8" s="254">
        <f>' '!D9*' '!D20</f>
        <v>0</v>
      </c>
      <c r="D8" s="254">
        <f>' '!D9*' '!F20</f>
        <v>0</v>
      </c>
      <c r="E8" s="254">
        <f>' '!D9*' '!E20</f>
        <v>0</v>
      </c>
      <c r="F8" s="254">
        <f>' '!D9*' '!G20</f>
        <v>0</v>
      </c>
      <c r="G8" s="255">
        <f>' '!E9</f>
        <v>1400</v>
      </c>
      <c r="H8" s="255">
        <f>ROUND(G8*(C8+D8+E8+F8)*Criteria!$O$8/1000,0)</f>
        <v>0</v>
      </c>
      <c r="J8" s="1"/>
      <c r="K8" s="1"/>
      <c r="L8" s="1"/>
      <c r="M8" s="1"/>
      <c r="N8" s="1"/>
      <c r="O8" s="1"/>
      <c r="P8" s="1"/>
      <c r="Q8" s="516"/>
      <c r="R8" s="534"/>
      <c r="S8" s="535" t="s">
        <v>188</v>
      </c>
      <c r="T8" s="536" t="str">
        <f>IF(T7=0," ",IF(G48-T7&lt;0,"none",G48-T7))</f>
        <v> </v>
      </c>
      <c r="U8" s="675" t="str">
        <f>IF(U7=0," ",IF(T8-U7&lt;0,"none",T8-U7))</f>
        <v> </v>
      </c>
      <c r="V8" s="675"/>
      <c r="W8" s="536" t="str">
        <f>IF(W7=0," ",IF(U8-W7&lt;0,"none",U8-W7))</f>
        <v> </v>
      </c>
      <c r="X8" s="136" t="s">
        <v>206</v>
      </c>
      <c r="AA8" s="523" t="s">
        <v>191</v>
      </c>
      <c r="AB8" s="510"/>
      <c r="AC8" s="510"/>
      <c r="AD8" s="531">
        <f>N19</f>
        <v>0</v>
      </c>
      <c r="AE8" s="532">
        <f>O19</f>
        <v>0</v>
      </c>
      <c r="AF8" s="532">
        <f>P19</f>
        <v>0</v>
      </c>
      <c r="AG8" s="532">
        <f>N33</f>
        <v>0</v>
      </c>
      <c r="AH8" s="532">
        <f>O33</f>
        <v>0</v>
      </c>
      <c r="AI8" s="532">
        <f>P33</f>
        <v>0</v>
      </c>
      <c r="AJ8" s="531">
        <f>AV8+2*N19*N24</f>
        <v>0</v>
      </c>
      <c r="AK8" s="532">
        <f>AW8+2*O19*O24</f>
        <v>0</v>
      </c>
      <c r="AL8" s="532">
        <f>AX8+2*P19*P24</f>
        <v>0</v>
      </c>
      <c r="AM8" s="532">
        <f>AY8+2*N33*N38</f>
        <v>0</v>
      </c>
      <c r="AN8" s="532">
        <f>AZ8+2*O33*O38</f>
        <v>0</v>
      </c>
      <c r="AO8" s="533">
        <f>BA8+2*P33*P38</f>
        <v>0</v>
      </c>
      <c r="AP8" s="531">
        <f>BB8+2*N19*N24</f>
        <v>0</v>
      </c>
      <c r="AQ8" s="532">
        <f>BC8+2*O19*O24</f>
        <v>0</v>
      </c>
      <c r="AR8" s="532">
        <f>BD8+2*P19*P24</f>
        <v>0</v>
      </c>
      <c r="AS8" s="532">
        <f>BE8+2*N33*N38</f>
        <v>0</v>
      </c>
      <c r="AT8" s="532">
        <f>BF8+2*O33*O38</f>
        <v>0</v>
      </c>
      <c r="AU8" s="533">
        <f>BG8+2*P33*P38</f>
        <v>0</v>
      </c>
      <c r="AV8" s="531">
        <f>N26+2*N20</f>
        <v>0</v>
      </c>
      <c r="AW8" s="532">
        <f>O26+2*O20</f>
        <v>0</v>
      </c>
      <c r="AX8" s="532">
        <f>P26+2*P20</f>
        <v>0</v>
      </c>
      <c r="AY8" s="532">
        <f>N40+2*N34</f>
        <v>0</v>
      </c>
      <c r="AZ8" s="532">
        <f>O40+2*O34</f>
        <v>0</v>
      </c>
      <c r="BA8" s="533">
        <f>P40+2*P34</f>
        <v>0</v>
      </c>
      <c r="BB8" s="531">
        <f>N28+2*N20</f>
        <v>0</v>
      </c>
      <c r="BC8" s="532">
        <f>O28+2*O20</f>
        <v>0</v>
      </c>
      <c r="BD8" s="532">
        <f>P28+2*P20</f>
        <v>0</v>
      </c>
      <c r="BE8" s="532">
        <f>N42+2*N34</f>
        <v>0</v>
      </c>
      <c r="BF8" s="532">
        <f>O42+2*O34</f>
        <v>0</v>
      </c>
      <c r="BG8" s="533">
        <f>P42+2*P34</f>
        <v>0</v>
      </c>
      <c r="BH8" s="531">
        <f t="shared" si="0"/>
        <v>0</v>
      </c>
      <c r="BI8" s="532">
        <f t="shared" si="0"/>
        <v>0</v>
      </c>
      <c r="BJ8" s="532">
        <f t="shared" si="0"/>
        <v>0</v>
      </c>
      <c r="BK8" s="532">
        <f t="shared" si="0"/>
        <v>0</v>
      </c>
      <c r="BL8" s="532">
        <f t="shared" si="0"/>
        <v>0</v>
      </c>
      <c r="BM8" s="533">
        <f t="shared" si="0"/>
        <v>0</v>
      </c>
      <c r="BN8" s="507"/>
      <c r="BO8" s="507"/>
      <c r="BP8" s="507"/>
      <c r="BQ8" s="507"/>
      <c r="BR8" s="507"/>
      <c r="BS8" s="507"/>
      <c r="BT8" s="142"/>
      <c r="BU8" s="142"/>
      <c r="CC8" s="138"/>
      <c r="CD8" s="138"/>
      <c r="CE8" s="138"/>
      <c r="CF8" s="138"/>
      <c r="CG8" s="138"/>
      <c r="CH8" s="138"/>
      <c r="CK8" s="21"/>
      <c r="CL8" s="21"/>
      <c r="CM8" s="21"/>
      <c r="CN8" s="21"/>
      <c r="CO8" s="21"/>
      <c r="CP8" s="21"/>
    </row>
    <row r="9" spans="1:94" ht="15.75">
      <c r="A9" s="145" t="s">
        <v>16</v>
      </c>
      <c r="B9" s="145"/>
      <c r="C9" s="254">
        <f>(+' '!D10*' '!D21)</f>
        <v>0</v>
      </c>
      <c r="D9" s="254">
        <f>(+' '!D10*' '!F21)</f>
        <v>0</v>
      </c>
      <c r="E9" s="254">
        <f>' '!D10*' '!E21</f>
        <v>0</v>
      </c>
      <c r="F9" s="254">
        <f>' '!D10*' '!G21</f>
        <v>0</v>
      </c>
      <c r="G9" s="255">
        <f>' '!E10</f>
        <v>1500</v>
      </c>
      <c r="H9" s="255">
        <f>ROUND(G9*(C9+D9+E9+F9)*Criteria!$O$8/1000,0)</f>
        <v>0</v>
      </c>
      <c r="J9" s="1"/>
      <c r="K9" s="1"/>
      <c r="L9" s="1"/>
      <c r="M9" s="1"/>
      <c r="N9" s="1"/>
      <c r="O9" s="1"/>
      <c r="P9" s="1"/>
      <c r="Q9" s="516"/>
      <c r="R9" s="534"/>
      <c r="S9" s="537" t="s">
        <v>225</v>
      </c>
      <c r="T9" s="538" t="str">
        <f>IF(T7=0," ",IF(T8&gt;0,"Inadequate","Adequate"))</f>
        <v> </v>
      </c>
      <c r="U9" s="674" t="str">
        <f>IF(U7=0," ",IF(U8&gt;0,"Inadequate","Adequate"))</f>
        <v> </v>
      </c>
      <c r="V9" s="674"/>
      <c r="W9" s="538" t="str">
        <f>IF(W7=0," ",IF(W8&gt;0,"Inadequate","Adequate"))</f>
        <v> </v>
      </c>
      <c r="X9" s="538"/>
      <c r="AA9" s="510" t="s">
        <v>497</v>
      </c>
      <c r="AB9" s="510"/>
      <c r="AC9" s="510"/>
      <c r="AD9" s="608">
        <f>N23</f>
        <v>0</v>
      </c>
      <c r="AE9" s="609">
        <f>O23</f>
        <v>0</v>
      </c>
      <c r="AF9" s="609">
        <f>P23</f>
        <v>0</v>
      </c>
      <c r="AG9" s="609">
        <f>N37</f>
        <v>0</v>
      </c>
      <c r="AH9" s="609">
        <f>O37</f>
        <v>0</v>
      </c>
      <c r="AI9" s="610">
        <f>P37</f>
        <v>0</v>
      </c>
      <c r="AJ9" s="611">
        <f>N26-2*N22*N25</f>
        <v>0</v>
      </c>
      <c r="AK9" s="612">
        <f>O26-2*O22*O25</f>
        <v>0</v>
      </c>
      <c r="AL9" s="612">
        <f>P26-2*P22*P25</f>
        <v>0</v>
      </c>
      <c r="AM9" s="612">
        <f>N40-2*N36*N39</f>
        <v>0</v>
      </c>
      <c r="AN9" s="612">
        <f>O40-2*O36*O39</f>
        <v>0</v>
      </c>
      <c r="AO9" s="613">
        <f>P40-2*P36*P39</f>
        <v>0</v>
      </c>
      <c r="AP9" s="611">
        <f>N28-2*N22*N25</f>
        <v>0</v>
      </c>
      <c r="AQ9" s="612">
        <f>O28-2*O22*O25</f>
        <v>0</v>
      </c>
      <c r="AR9" s="612">
        <f>P28-2*P22*P25</f>
        <v>0</v>
      </c>
      <c r="AS9" s="612">
        <f>N42-2*N36*N39</f>
        <v>0</v>
      </c>
      <c r="AT9" s="612">
        <f>O42-2*O36*O39</f>
        <v>0</v>
      </c>
      <c r="AU9" s="613">
        <f>P42-2*P36*P39</f>
        <v>0</v>
      </c>
      <c r="AV9" s="611">
        <f>AJ9+2*N23*N25</f>
        <v>0</v>
      </c>
      <c r="AW9" s="612">
        <f>AK9+2*O23*O25</f>
        <v>0</v>
      </c>
      <c r="AX9" s="612">
        <f>AL9+2*P23*P25</f>
        <v>0</v>
      </c>
      <c r="AY9" s="612">
        <f>AM9+2*N37*N39</f>
        <v>0</v>
      </c>
      <c r="AZ9" s="612">
        <f>AN9+2*O37*O39</f>
        <v>0</v>
      </c>
      <c r="BA9" s="613">
        <f>AO9+2*P37*P39</f>
        <v>0</v>
      </c>
      <c r="BB9" s="611">
        <f>AP9+2*N23*N25</f>
        <v>0</v>
      </c>
      <c r="BC9" s="612">
        <f>AQ9+2*O23*O25</f>
        <v>0</v>
      </c>
      <c r="BD9" s="612">
        <f>AR9+2*P23*P25</f>
        <v>0</v>
      </c>
      <c r="BE9" s="612">
        <f>AS9+2*N37*N39</f>
        <v>0</v>
      </c>
      <c r="BF9" s="612">
        <f>AT9+2*O37*O39</f>
        <v>0</v>
      </c>
      <c r="BG9" s="613">
        <f>AU9+2*P37*P39</f>
        <v>0</v>
      </c>
      <c r="BH9" s="614">
        <f>AD9/6*(AJ9*AP9+AV9*BB9+(AJ9+AV9)*(AP9+BB9))</f>
        <v>0</v>
      </c>
      <c r="BI9" s="615">
        <f t="shared" si="0"/>
        <v>0</v>
      </c>
      <c r="BJ9" s="615">
        <f t="shared" si="0"/>
        <v>0</v>
      </c>
      <c r="BK9" s="615">
        <f t="shared" si="0"/>
        <v>0</v>
      </c>
      <c r="BL9" s="615">
        <f t="shared" si="0"/>
        <v>0</v>
      </c>
      <c r="BM9" s="616">
        <f t="shared" si="0"/>
        <v>0</v>
      </c>
      <c r="BN9" s="506"/>
      <c r="BO9" s="506"/>
      <c r="BR9" s="507"/>
      <c r="BS9" s="507"/>
      <c r="BT9" s="142"/>
      <c r="BU9" s="142"/>
      <c r="CC9" s="138"/>
      <c r="CD9" s="138"/>
      <c r="CE9" s="138"/>
      <c r="CF9" s="138"/>
      <c r="CG9" s="138"/>
      <c r="CH9" s="138"/>
      <c r="CK9" s="21"/>
      <c r="CL9" s="21"/>
      <c r="CM9" s="21"/>
      <c r="CN9" s="21"/>
      <c r="CO9" s="21"/>
      <c r="CP9" s="21"/>
    </row>
    <row r="10" spans="1:94" ht="15.75">
      <c r="A10" s="119" t="s">
        <v>17</v>
      </c>
      <c r="B10" s="119"/>
      <c r="C10" s="254">
        <f>(+' '!D11*' '!D22)</f>
        <v>0</v>
      </c>
      <c r="D10" s="254">
        <f>(+' '!D11*' '!F22)</f>
        <v>0</v>
      </c>
      <c r="E10" s="254">
        <f>' '!D11*' '!E22</f>
        <v>0</v>
      </c>
      <c r="F10" s="254">
        <f>' '!D11*' '!G22</f>
        <v>0</v>
      </c>
      <c r="G10" s="255">
        <f>' '!E11</f>
        <v>1100</v>
      </c>
      <c r="H10" s="255">
        <f>ROUND(G10*(C10+D10+E10+F10)*Criteria!$O$8/1000,0)</f>
        <v>0</v>
      </c>
      <c r="J10" s="1"/>
      <c r="K10" s="1"/>
      <c r="L10" s="1"/>
      <c r="M10" s="1"/>
      <c r="N10" s="1"/>
      <c r="O10" s="1"/>
      <c r="P10" s="1"/>
      <c r="Q10" s="516"/>
      <c r="R10" s="534" t="s">
        <v>176</v>
      </c>
      <c r="S10" s="539"/>
      <c r="T10" s="502"/>
      <c r="U10" s="676"/>
      <c r="V10" s="676"/>
      <c r="W10" s="502"/>
      <c r="X10" s="493"/>
      <c r="AC10" s="516" t="s">
        <v>295</v>
      </c>
      <c r="AD10" s="540">
        <v>1</v>
      </c>
      <c r="AE10" s="541">
        <v>2</v>
      </c>
      <c r="AF10" s="541">
        <v>3</v>
      </c>
      <c r="AG10" s="541">
        <v>4</v>
      </c>
      <c r="AH10" s="541">
        <v>5</v>
      </c>
      <c r="AI10" s="542">
        <v>6</v>
      </c>
      <c r="AJ10" s="130"/>
      <c r="AK10" s="543"/>
      <c r="AL10" s="543"/>
      <c r="AM10" s="543"/>
      <c r="AN10" s="543"/>
      <c r="AO10" s="543"/>
      <c r="AP10" s="130"/>
      <c r="AQ10" s="543"/>
      <c r="AR10" s="543"/>
      <c r="AS10" s="543"/>
      <c r="AT10" s="543"/>
      <c r="AU10" s="543"/>
      <c r="AV10" s="130"/>
      <c r="AW10" s="543"/>
      <c r="AX10" s="543"/>
      <c r="AY10" s="543"/>
      <c r="AZ10" s="543"/>
      <c r="BA10" s="543"/>
      <c r="BB10" s="130"/>
      <c r="BC10" s="543"/>
      <c r="BD10" s="543"/>
      <c r="BE10" s="543"/>
      <c r="BF10" s="543"/>
      <c r="BG10" s="543"/>
      <c r="BN10" s="506"/>
      <c r="BO10" s="506"/>
      <c r="BR10" s="507"/>
      <c r="BS10" s="507"/>
      <c r="BT10" s="142"/>
      <c r="BU10" s="142"/>
      <c r="CC10" s="138"/>
      <c r="CD10" s="138"/>
      <c r="CE10" s="138"/>
      <c r="CF10" s="138"/>
      <c r="CG10" s="138"/>
      <c r="CH10" s="138"/>
      <c r="CK10" s="21"/>
      <c r="CL10" s="21"/>
      <c r="CM10" s="21"/>
      <c r="CN10" s="21"/>
      <c r="CO10" s="21"/>
      <c r="CP10" s="21"/>
    </row>
    <row r="11" spans="1:67" ht="15.75">
      <c r="A11" s="119" t="s">
        <v>18</v>
      </c>
      <c r="B11" s="119"/>
      <c r="C11" s="254">
        <f>' '!D12*' '!D23</f>
        <v>0</v>
      </c>
      <c r="D11" s="254">
        <f>' '!D12*' '!F23</f>
        <v>0</v>
      </c>
      <c r="E11" s="254">
        <f>' '!D12*' '!E23</f>
        <v>0</v>
      </c>
      <c r="F11" s="254">
        <f>' '!D12*' '!G23</f>
        <v>0</v>
      </c>
      <c r="G11" s="255">
        <f>' '!E12</f>
        <v>775</v>
      </c>
      <c r="H11" s="255">
        <f>ROUND(G11*(C11+D11+E11+F11)*Criteria!$O$8/1000,0)</f>
        <v>0</v>
      </c>
      <c r="J11" s="1"/>
      <c r="K11" s="1"/>
      <c r="L11" s="1"/>
      <c r="M11" s="1"/>
      <c r="O11" s="1"/>
      <c r="P11" s="1"/>
      <c r="Q11" s="516"/>
      <c r="R11" s="534"/>
      <c r="S11" s="539" t="s">
        <v>169</v>
      </c>
      <c r="T11" s="544">
        <f>AJ8</f>
        <v>0</v>
      </c>
      <c r="U11" s="679">
        <f>AK8</f>
        <v>0</v>
      </c>
      <c r="V11" s="679"/>
      <c r="W11" s="544">
        <f>AL8</f>
        <v>0</v>
      </c>
      <c r="X11" s="136" t="s">
        <v>171</v>
      </c>
      <c r="AB11" s="516" t="s">
        <v>195</v>
      </c>
      <c r="AC11" s="130" t="s">
        <v>186</v>
      </c>
      <c r="AD11" s="531">
        <f aca="true" t="shared" si="1" ref="AD11:AI11">BH8-BH6+BH7</f>
        <v>0</v>
      </c>
      <c r="AE11" s="532">
        <f t="shared" si="1"/>
        <v>0</v>
      </c>
      <c r="AF11" s="532">
        <f t="shared" si="1"/>
        <v>0</v>
      </c>
      <c r="AG11" s="532">
        <f t="shared" si="1"/>
        <v>0</v>
      </c>
      <c r="AH11" s="532">
        <f t="shared" si="1"/>
        <v>0</v>
      </c>
      <c r="AI11" s="533">
        <f t="shared" si="1"/>
        <v>0</v>
      </c>
      <c r="AK11" s="545"/>
      <c r="AL11" s="545"/>
      <c r="AM11" s="545"/>
      <c r="AN11" s="545"/>
      <c r="AO11" s="545"/>
      <c r="AQ11" s="545"/>
      <c r="AR11" s="545"/>
      <c r="AS11" s="545"/>
      <c r="AT11" s="545"/>
      <c r="AU11" s="545"/>
      <c r="AW11" s="545"/>
      <c r="AX11" s="545"/>
      <c r="AY11" s="545"/>
      <c r="AZ11" s="545"/>
      <c r="BA11" s="545"/>
      <c r="BC11" s="545"/>
      <c r="BD11" s="545"/>
      <c r="BE11" s="545"/>
      <c r="BF11" s="545"/>
      <c r="BG11" s="545"/>
      <c r="BN11" s="506"/>
      <c r="BO11" s="506"/>
    </row>
    <row r="12" spans="1:59" ht="15.75">
      <c r="A12" s="148" t="s">
        <v>249</v>
      </c>
      <c r="B12" s="148"/>
      <c r="C12" s="254">
        <f>' '!D13*' '!D24</f>
        <v>0</v>
      </c>
      <c r="D12" s="254">
        <f>' '!D13*' '!F24</f>
        <v>0</v>
      </c>
      <c r="E12" s="254">
        <f>' '!D13*' '!E24</f>
        <v>0</v>
      </c>
      <c r="F12" s="254">
        <f>' '!D13*' '!G24</f>
        <v>0</v>
      </c>
      <c r="G12" s="255">
        <f>' '!E13</f>
        <v>500</v>
      </c>
      <c r="H12" s="255">
        <f>ROUND(G12*(C12+D12+E12+F12)*Criteria!$O$8/1000,0)</f>
        <v>0</v>
      </c>
      <c r="J12" s="1"/>
      <c r="K12" s="1"/>
      <c r="L12" s="1"/>
      <c r="M12" s="1"/>
      <c r="N12" s="1"/>
      <c r="O12" s="488"/>
      <c r="P12" s="1"/>
      <c r="Q12" s="516"/>
      <c r="R12" s="534"/>
      <c r="S12" s="539" t="s">
        <v>170</v>
      </c>
      <c r="T12" s="546">
        <f>AP8</f>
        <v>0</v>
      </c>
      <c r="U12" s="677">
        <f>AQ8</f>
        <v>0</v>
      </c>
      <c r="V12" s="677"/>
      <c r="W12" s="546">
        <f>AR8</f>
        <v>0</v>
      </c>
      <c r="X12" s="136" t="s">
        <v>171</v>
      </c>
      <c r="AB12" s="547" t="s">
        <v>196</v>
      </c>
      <c r="AC12" s="506" t="s">
        <v>186</v>
      </c>
      <c r="AD12" s="548">
        <f>IF(N30=0,0,BH7/N30)</f>
        <v>0</v>
      </c>
      <c r="AE12" s="548">
        <f>IF(O30=0,0,BI7/O30)</f>
        <v>0</v>
      </c>
      <c r="AF12" s="548">
        <f>IF(P30=0,0,BJ7/P30)</f>
        <v>0</v>
      </c>
      <c r="AG12" s="548">
        <f>IF(N44=0,0,BK7/N44)</f>
        <v>0</v>
      </c>
      <c r="AH12" s="548">
        <f>IF(O44=0,0,BL7/O44)</f>
        <v>0</v>
      </c>
      <c r="AI12" s="548">
        <f>IF(P44=0,0,BM7/P44)</f>
        <v>0</v>
      </c>
      <c r="BF12" s="506"/>
      <c r="BG12" s="506"/>
    </row>
    <row r="13" spans="1:59" ht="15.75">
      <c r="A13" s="21" t="s">
        <v>275</v>
      </c>
      <c r="B13" s="119"/>
      <c r="C13" s="254">
        <f>' '!D14*' '!D25</f>
        <v>0</v>
      </c>
      <c r="D13" s="254">
        <f>' '!D14*' '!F25</f>
        <v>0</v>
      </c>
      <c r="E13" s="254">
        <f>' '!D14*' '!E25</f>
        <v>0</v>
      </c>
      <c r="F13" s="254">
        <f>' '!D14*' '!G25</f>
        <v>0</v>
      </c>
      <c r="G13" s="255">
        <f>' '!E14</f>
        <v>150</v>
      </c>
      <c r="H13" s="255">
        <f>ROUND(G13*(C13+D13+E13+F13)*Criteria!$O$8/1000,0)</f>
        <v>0</v>
      </c>
      <c r="J13" s="1"/>
      <c r="K13" s="1"/>
      <c r="L13" s="1"/>
      <c r="M13" s="1"/>
      <c r="N13" s="1"/>
      <c r="O13" s="488"/>
      <c r="P13" s="1"/>
      <c r="R13" s="534"/>
      <c r="S13" s="539" t="s">
        <v>87</v>
      </c>
      <c r="T13" s="546">
        <f>AJ5</f>
        <v>0</v>
      </c>
      <c r="U13" s="677">
        <f>AK5</f>
        <v>0</v>
      </c>
      <c r="V13" s="677"/>
      <c r="W13" s="546">
        <f>AL5</f>
        <v>0</v>
      </c>
      <c r="X13" s="136" t="s">
        <v>171</v>
      </c>
      <c r="BF13" s="506"/>
      <c r="BG13" s="506"/>
    </row>
    <row r="14" spans="1:59" ht="15.75">
      <c r="A14" s="119"/>
      <c r="B14" s="119"/>
      <c r="C14" s="142"/>
      <c r="D14" s="142"/>
      <c r="E14" s="142"/>
      <c r="F14" s="142"/>
      <c r="G14" s="147"/>
      <c r="H14" s="147"/>
      <c r="J14" s="1"/>
      <c r="K14" s="1"/>
      <c r="L14" s="1"/>
      <c r="M14" s="1"/>
      <c r="N14" s="1"/>
      <c r="O14" s="488"/>
      <c r="P14" s="1"/>
      <c r="R14" s="534"/>
      <c r="S14" s="539" t="s">
        <v>86</v>
      </c>
      <c r="T14" s="546">
        <f>AP5</f>
        <v>0</v>
      </c>
      <c r="U14" s="677">
        <f>AQ5</f>
        <v>0</v>
      </c>
      <c r="V14" s="677"/>
      <c r="W14" s="546">
        <f>AR5</f>
        <v>0</v>
      </c>
      <c r="X14" s="136" t="s">
        <v>171</v>
      </c>
      <c r="AA14" s="510" t="s">
        <v>187</v>
      </c>
      <c r="AB14" s="510"/>
      <c r="AC14" s="92"/>
      <c r="AD14" s="92"/>
      <c r="AE14" s="92"/>
      <c r="AF14" s="92"/>
      <c r="BF14" s="506"/>
      <c r="BG14" s="506"/>
    </row>
    <row r="15" spans="1:59" ht="18">
      <c r="A15" s="119" t="s">
        <v>510</v>
      </c>
      <c r="B15" s="119"/>
      <c r="C15" s="119"/>
      <c r="D15" s="549">
        <f>'Data Input'!N6</f>
        <v>0</v>
      </c>
      <c r="E15" s="133" t="s">
        <v>29</v>
      </c>
      <c r="J15" s="1"/>
      <c r="K15" s="1"/>
      <c r="L15" s="1"/>
      <c r="M15" s="1"/>
      <c r="N15" s="1"/>
      <c r="O15" s="1"/>
      <c r="P15" s="1"/>
      <c r="R15" s="534"/>
      <c r="S15" s="493" t="s">
        <v>190</v>
      </c>
      <c r="T15" s="155">
        <f>N26*N28</f>
        <v>0</v>
      </c>
      <c r="U15" s="678">
        <f>O26*O28</f>
        <v>0</v>
      </c>
      <c r="V15" s="678"/>
      <c r="W15" s="155">
        <f>P26*P28</f>
        <v>0</v>
      </c>
      <c r="X15" s="136" t="s">
        <v>201</v>
      </c>
      <c r="AA15" s="92" t="s">
        <v>304</v>
      </c>
      <c r="AB15" s="92"/>
      <c r="AC15" s="510"/>
      <c r="AD15" s="510"/>
      <c r="AE15" s="510"/>
      <c r="AF15" s="510"/>
      <c r="BF15" s="506"/>
      <c r="BG15" s="506"/>
    </row>
    <row r="16" spans="1:59" ht="18">
      <c r="A16" s="119" t="s">
        <v>209</v>
      </c>
      <c r="B16" s="119"/>
      <c r="C16" s="119"/>
      <c r="D16" s="549">
        <f>'Data Input'!N7</f>
        <v>0</v>
      </c>
      <c r="E16" s="133" t="s">
        <v>82</v>
      </c>
      <c r="F16" s="488"/>
      <c r="G16" s="488"/>
      <c r="H16" s="488"/>
      <c r="J16" s="1"/>
      <c r="K16" s="1"/>
      <c r="L16" s="1"/>
      <c r="M16" s="1"/>
      <c r="N16" s="1"/>
      <c r="O16" s="1"/>
      <c r="P16" s="1"/>
      <c r="R16" s="534"/>
      <c r="S16" s="493" t="s">
        <v>211</v>
      </c>
      <c r="T16" s="550">
        <f>AV5*BB5</f>
        <v>0</v>
      </c>
      <c r="U16" s="665">
        <f>AW5*BC5</f>
        <v>0</v>
      </c>
      <c r="V16" s="665"/>
      <c r="W16" s="550">
        <f>AX5*BD5</f>
        <v>0</v>
      </c>
      <c r="X16" s="136" t="s">
        <v>201</v>
      </c>
      <c r="AA16" s="547" t="s">
        <v>179</v>
      </c>
      <c r="AB16" s="92" t="s">
        <v>180</v>
      </c>
      <c r="AC16" s="510"/>
      <c r="AD16" s="510"/>
      <c r="AE16" s="510"/>
      <c r="AF16" s="510"/>
      <c r="BF16" s="506"/>
      <c r="BG16" s="506"/>
    </row>
    <row r="17" spans="1:59" ht="15.75">
      <c r="A17" s="119" t="s">
        <v>305</v>
      </c>
      <c r="B17" s="119"/>
      <c r="C17" s="119"/>
      <c r="D17" s="549">
        <f>'Data Input'!N8</f>
        <v>0</v>
      </c>
      <c r="E17" s="133" t="s">
        <v>83</v>
      </c>
      <c r="J17" s="1"/>
      <c r="K17" s="1"/>
      <c r="L17" s="1"/>
      <c r="M17" s="1"/>
      <c r="N17" s="1"/>
      <c r="O17" s="1"/>
      <c r="P17" s="1"/>
      <c r="R17" s="534" t="s">
        <v>177</v>
      </c>
      <c r="S17" s="493"/>
      <c r="T17" s="502"/>
      <c r="U17" s="676"/>
      <c r="V17" s="676"/>
      <c r="W17" s="502"/>
      <c r="X17" s="493"/>
      <c r="BF17" s="506"/>
      <c r="BG17" s="506"/>
    </row>
    <row r="18" spans="1:59" ht="15.75">
      <c r="A18" s="593" t="s">
        <v>504</v>
      </c>
      <c r="B18" s="593"/>
      <c r="C18" s="593"/>
      <c r="D18" s="536">
        <f>'Data Input'!N9</f>
        <v>0</v>
      </c>
      <c r="E18" s="687" t="s">
        <v>511</v>
      </c>
      <c r="F18" s="687"/>
      <c r="G18" s="687"/>
      <c r="I18" s="551"/>
      <c r="N18" s="552" t="s">
        <v>279</v>
      </c>
      <c r="O18" s="552" t="s">
        <v>276</v>
      </c>
      <c r="P18" s="552" t="s">
        <v>277</v>
      </c>
      <c r="Q18" s="92"/>
      <c r="R18" s="534"/>
      <c r="S18" s="535" t="s">
        <v>166</v>
      </c>
      <c r="T18" s="181">
        <f>BH7/27</f>
        <v>0</v>
      </c>
      <c r="U18" s="673">
        <f>BI7/27</f>
        <v>0</v>
      </c>
      <c r="V18" s="673"/>
      <c r="W18" s="181">
        <f>BJ7/27</f>
        <v>0</v>
      </c>
      <c r="X18" s="136" t="s">
        <v>198</v>
      </c>
      <c r="AA18" s="138" t="s">
        <v>241</v>
      </c>
      <c r="BF18" s="506"/>
      <c r="BG18" s="506"/>
    </row>
    <row r="19" spans="1:90" ht="15.75">
      <c r="A19" s="119" t="s">
        <v>210</v>
      </c>
      <c r="B19" s="119"/>
      <c r="C19" s="119"/>
      <c r="D19" s="553">
        <f>Criteria!O14</f>
        <v>0</v>
      </c>
      <c r="E19" s="133" t="s">
        <v>84</v>
      </c>
      <c r="I19" s="554" t="s">
        <v>160</v>
      </c>
      <c r="J19" s="628" t="s">
        <v>174</v>
      </c>
      <c r="K19" s="629"/>
      <c r="L19" s="555"/>
      <c r="M19" s="556" t="s">
        <v>171</v>
      </c>
      <c r="N19" s="253">
        <f>'Data Input'!O14</f>
        <v>0</v>
      </c>
      <c r="O19" s="253">
        <f>'Data Input'!P14</f>
        <v>0</v>
      </c>
      <c r="P19" s="253">
        <f>'Data Input'!Q14</f>
        <v>0</v>
      </c>
      <c r="Q19" s="142"/>
      <c r="R19" s="534"/>
      <c r="S19" s="535" t="s">
        <v>197</v>
      </c>
      <c r="T19" s="536">
        <f>AD12/27</f>
        <v>0</v>
      </c>
      <c r="U19" s="675">
        <f>AE12/27</f>
        <v>0</v>
      </c>
      <c r="V19" s="675"/>
      <c r="W19" s="536">
        <f>AF12/27</f>
        <v>0</v>
      </c>
      <c r="X19" s="136" t="s">
        <v>198</v>
      </c>
      <c r="AB19" s="140" t="str">
        <f>'Data Input'!D14</f>
        <v>Flushed</v>
      </c>
      <c r="AC19" s="140" t="str">
        <f>'Data Input'!F14</f>
        <v>Flushed</v>
      </c>
      <c r="AD19" s="267" t="str">
        <f>'Data Input'!E14</f>
        <v>Scraped</v>
      </c>
      <c r="AE19" s="267" t="str">
        <f>'Data Input'!G14</f>
        <v>Scraped</v>
      </c>
      <c r="BF19" s="506"/>
      <c r="BG19" s="506"/>
      <c r="CC19" s="138"/>
      <c r="CD19" s="138"/>
      <c r="CE19" s="138"/>
      <c r="CF19" s="138"/>
      <c r="CG19" s="138"/>
      <c r="CH19" s="138"/>
      <c r="CI19" s="138"/>
      <c r="CJ19" s="138"/>
      <c r="CK19" s="119"/>
      <c r="CL19" s="119"/>
    </row>
    <row r="20" spans="1:90" ht="15.75">
      <c r="A20" s="593" t="s">
        <v>482</v>
      </c>
      <c r="B20" s="594"/>
      <c r="C20" s="594"/>
      <c r="D20" s="595">
        <f>Criteria!O15</f>
        <v>1</v>
      </c>
      <c r="E20" s="593"/>
      <c r="I20" s="557" t="s">
        <v>161</v>
      </c>
      <c r="J20" s="624" t="s">
        <v>168</v>
      </c>
      <c r="K20" s="625"/>
      <c r="M20" s="142" t="s">
        <v>171</v>
      </c>
      <c r="N20" s="253">
        <f>'Data Input'!O15</f>
        <v>0</v>
      </c>
      <c r="O20" s="253">
        <f>'Data Input'!P15</f>
        <v>0</v>
      </c>
      <c r="P20" s="253">
        <f>'Data Input'!Q15</f>
        <v>0</v>
      </c>
      <c r="Q20" s="142"/>
      <c r="R20" s="534"/>
      <c r="S20" s="535" t="s">
        <v>195</v>
      </c>
      <c r="T20" s="536">
        <f>AD11/27</f>
        <v>0</v>
      </c>
      <c r="U20" s="675">
        <f>AE11/27</f>
        <v>0</v>
      </c>
      <c r="V20" s="675"/>
      <c r="W20" s="536">
        <f>AF11/27</f>
        <v>0</v>
      </c>
      <c r="X20" s="136" t="s">
        <v>198</v>
      </c>
      <c r="AB20" s="140" t="str">
        <f>'Data Input'!D15</f>
        <v>Freestall</v>
      </c>
      <c r="AC20" s="140" t="str">
        <f>'Data Input'!F15</f>
        <v>Lanes</v>
      </c>
      <c r="AD20" s="140" t="str">
        <f>'Data Input'!E15</f>
        <v>Freestall</v>
      </c>
      <c r="AE20" s="140" t="str">
        <f>'Data Input'!G15</f>
        <v>Drylot</v>
      </c>
      <c r="BF20" s="506"/>
      <c r="BG20" s="506"/>
      <c r="CC20" s="138"/>
      <c r="CD20" s="138"/>
      <c r="CE20" s="138"/>
      <c r="CF20" s="138"/>
      <c r="CG20" s="138"/>
      <c r="CH20" s="138"/>
      <c r="CI20" s="138"/>
      <c r="CJ20" s="138"/>
      <c r="CK20" s="119"/>
      <c r="CL20" s="119"/>
    </row>
    <row r="21" spans="1:90" ht="18">
      <c r="A21" s="119" t="s">
        <v>286</v>
      </c>
      <c r="B21" s="119"/>
      <c r="C21" s="119"/>
      <c r="D21" s="553">
        <f>'Data Input'!N10</f>
        <v>0</v>
      </c>
      <c r="E21" s="133" t="s">
        <v>85</v>
      </c>
      <c r="H21" s="119"/>
      <c r="I21" s="557" t="s">
        <v>162</v>
      </c>
      <c r="J21" s="624" t="s">
        <v>158</v>
      </c>
      <c r="K21" s="625"/>
      <c r="M21" s="142" t="s">
        <v>171</v>
      </c>
      <c r="N21" s="253">
        <f>'Data Input'!O16</f>
        <v>0</v>
      </c>
      <c r="O21" s="253">
        <f>'Data Input'!P16</f>
        <v>0</v>
      </c>
      <c r="P21" s="253">
        <f>'Data Input'!Q16</f>
        <v>0</v>
      </c>
      <c r="Q21" s="142"/>
      <c r="R21" s="534"/>
      <c r="S21" s="535" t="s">
        <v>199</v>
      </c>
      <c r="T21" s="550">
        <f>(T19-T20)</f>
        <v>0</v>
      </c>
      <c r="U21" s="665">
        <f>(U19-U20)</f>
        <v>0</v>
      </c>
      <c r="V21" s="665"/>
      <c r="W21" s="550">
        <f>(W19-W20)</f>
        <v>0</v>
      </c>
      <c r="X21" s="136" t="s">
        <v>198</v>
      </c>
      <c r="AA21" s="144" t="s">
        <v>297</v>
      </c>
      <c r="AB21" s="146">
        <f>ROUND((Criteria!$F$23*C8*G8*Criteria!$O$8/1000)+((C8*G8*(1-Criteria!$F$23)+C9*G9+C10*G10+C11*G11+C12*G12+C13*G13)/1000)*Criteria!$E$18*Criteria!$O$8,0)</f>
        <v>0</v>
      </c>
      <c r="AC21" s="146">
        <f>ROUND((Criteria!$F$23*D8*G8*Criteria!$O$8/1000)+((D8*G8*(1-Criteria!$F$23)+D9*G9+D10*G10+D11*G11+D12*G12+D13*G13)/1000)*Criteria!$E$19*Criteria!$O$8,0)</f>
        <v>0</v>
      </c>
      <c r="AD21" s="146">
        <f>ROUND((Criteria!$F$23*E8*G8*Criteria!$O$8/1000)+((E8*G8*(1-Criteria!$F$23)+E9*G9+E10*G10+E11*G11+E12*G12+E13*G13)/1000)*Criteria!$E$20*Criteria!$O$8,0)</f>
        <v>0</v>
      </c>
      <c r="AE21" s="146">
        <f>ROUND((Criteria!$F$23*F8*G8*Criteria!$O$8/1000)+((F8*G8*(1-Criteria!$F$23)+F9*G9+F10*G10+F11*G11+F12*G12+F13*G13)/1000)*Criteria!$E$21*Criteria!$O$8,0)</f>
        <v>0</v>
      </c>
      <c r="AF21" s="136" t="s">
        <v>212</v>
      </c>
      <c r="BF21" s="506"/>
      <c r="BG21" s="506"/>
      <c r="CC21" s="138"/>
      <c r="CD21" s="138"/>
      <c r="CE21" s="138"/>
      <c r="CF21" s="138"/>
      <c r="CG21" s="138"/>
      <c r="CH21" s="138"/>
      <c r="CI21" s="138"/>
      <c r="CJ21" s="138"/>
      <c r="CK21" s="119"/>
      <c r="CL21" s="119"/>
    </row>
    <row r="22" spans="1:90" ht="16.5" customHeight="1">
      <c r="A22" s="119" t="s">
        <v>287</v>
      </c>
      <c r="B22" s="119"/>
      <c r="C22" s="119"/>
      <c r="D22" s="549">
        <f>'Data Input'!N11</f>
        <v>0</v>
      </c>
      <c r="E22" s="133" t="s">
        <v>201</v>
      </c>
      <c r="I22" s="557" t="s">
        <v>313</v>
      </c>
      <c r="J22" s="624" t="s">
        <v>500</v>
      </c>
      <c r="K22" s="625"/>
      <c r="L22" s="625"/>
      <c r="M22" s="142" t="s">
        <v>171</v>
      </c>
      <c r="N22" s="504">
        <f>'Data Input'!O17</f>
        <v>0</v>
      </c>
      <c r="O22" s="253">
        <f>'Data Input'!P17</f>
        <v>0</v>
      </c>
      <c r="P22" s="253">
        <f>'Data Input'!Q17</f>
        <v>0</v>
      </c>
      <c r="Q22" s="142"/>
      <c r="R22" s="559"/>
      <c r="S22" s="560" t="s">
        <v>336</v>
      </c>
      <c r="T22" s="561"/>
      <c r="U22" s="666"/>
      <c r="V22" s="666"/>
      <c r="W22" s="561"/>
      <c r="X22" s="562"/>
      <c r="AA22" s="144" t="s">
        <v>240</v>
      </c>
      <c r="AB22" s="149">
        <f>ROUND(((C8*G8*(1-Criteria!$F$23)+C9*G9+C10*G10+C11*G11+C12*G12+C13*G13)/1000)*Criteria!$F$18*Criteria!$O$8,0)</f>
        <v>0</v>
      </c>
      <c r="AC22" s="149">
        <f>ROUND(((D8*G8*(1-Criteria!$F$23)+D9*G9+D10*G10+D11*G11+D12*G12+D13*G13)/1000)*Criteria!$F$19*Criteria!$O$8,0)</f>
        <v>0</v>
      </c>
      <c r="AD22" s="149">
        <f>ROUND(((E8*G8*(1-Criteria!$F$23)+E9*G9+E10*G10+E11*G11+E12*G12+E13*G13)/1000)*Criteria!$F$20*Criteria!$O$8,0)</f>
        <v>0</v>
      </c>
      <c r="AE22" s="149">
        <f>ROUND(((F8*G8*(1-Criteria!$F$23)+F9*G9+F10*G10+F11*G11+F12*G12+F13*G13)/1000)*Criteria!$F$21*Criteria!$O$8,0)</f>
        <v>0</v>
      </c>
      <c r="AF22" s="136" t="s">
        <v>212</v>
      </c>
      <c r="BF22" s="506"/>
      <c r="BG22" s="506"/>
      <c r="CC22" s="138"/>
      <c r="CD22" s="138"/>
      <c r="CE22" s="138"/>
      <c r="CF22" s="138"/>
      <c r="CG22" s="138"/>
      <c r="CH22" s="138"/>
      <c r="CI22" s="138"/>
      <c r="CJ22" s="138"/>
      <c r="CK22" s="119"/>
      <c r="CL22" s="119"/>
    </row>
    <row r="23" spans="1:90" ht="18">
      <c r="A23" s="119" t="s">
        <v>288</v>
      </c>
      <c r="B23" s="119"/>
      <c r="C23" s="119"/>
      <c r="D23" s="549">
        <f>'Data Input'!N12</f>
        <v>0</v>
      </c>
      <c r="E23" s="133" t="s">
        <v>201</v>
      </c>
      <c r="I23" s="603" t="s">
        <v>499</v>
      </c>
      <c r="J23" s="661" t="s">
        <v>496</v>
      </c>
      <c r="K23" s="662"/>
      <c r="L23" s="510"/>
      <c r="M23" s="136" t="s">
        <v>171</v>
      </c>
      <c r="N23" s="604">
        <f>'Data Input'!O18</f>
        <v>0</v>
      </c>
      <c r="O23" s="604">
        <f>'Data Input'!P18</f>
        <v>0</v>
      </c>
      <c r="P23" s="604">
        <f>'Data Input'!Q18</f>
        <v>0</v>
      </c>
      <c r="Q23" s="142"/>
      <c r="S23" s="493"/>
      <c r="T23" s="493"/>
      <c r="U23" s="667"/>
      <c r="V23" s="667"/>
      <c r="W23" s="493"/>
      <c r="BF23" s="506"/>
      <c r="BG23" s="506"/>
      <c r="CC23" s="138"/>
      <c r="CD23" s="138"/>
      <c r="CE23" s="138"/>
      <c r="CF23" s="138"/>
      <c r="CG23" s="138"/>
      <c r="CH23" s="138"/>
      <c r="CI23" s="138"/>
      <c r="CJ23" s="138"/>
      <c r="CK23" s="119"/>
      <c r="CL23" s="119"/>
    </row>
    <row r="24" spans="9:90" ht="18" customHeight="1">
      <c r="I24" s="557" t="s">
        <v>163</v>
      </c>
      <c r="J24" s="624" t="s">
        <v>159</v>
      </c>
      <c r="K24" s="625"/>
      <c r="L24" s="663" t="s">
        <v>321</v>
      </c>
      <c r="M24" s="664"/>
      <c r="N24" s="253">
        <f>'Data Input'!O19</f>
        <v>0</v>
      </c>
      <c r="O24" s="253">
        <f>'Data Input'!P19</f>
        <v>0</v>
      </c>
      <c r="P24" s="253">
        <f>'Data Input'!Q19</f>
        <v>0</v>
      </c>
      <c r="Q24" s="142"/>
      <c r="R24" s="527" t="s">
        <v>175</v>
      </c>
      <c r="S24" s="528"/>
      <c r="T24" s="529" t="s">
        <v>282</v>
      </c>
      <c r="U24" s="668" t="s">
        <v>283</v>
      </c>
      <c r="V24" s="668"/>
      <c r="W24" s="529" t="s">
        <v>284</v>
      </c>
      <c r="X24" s="555"/>
      <c r="BF24" s="506"/>
      <c r="BG24" s="506"/>
      <c r="CC24" s="138"/>
      <c r="CD24" s="138"/>
      <c r="CE24" s="138"/>
      <c r="CF24" s="138"/>
      <c r="CG24" s="138"/>
      <c r="CH24" s="138"/>
      <c r="CI24" s="138"/>
      <c r="CJ24" s="138"/>
      <c r="CK24" s="119"/>
      <c r="CL24" s="119"/>
    </row>
    <row r="25" spans="1:90" ht="18">
      <c r="A25" s="694" t="s">
        <v>234</v>
      </c>
      <c r="B25" s="694"/>
      <c r="C25" s="694"/>
      <c r="D25" s="694"/>
      <c r="E25" s="694"/>
      <c r="F25" s="694"/>
      <c r="G25" s="694"/>
      <c r="H25" s="694"/>
      <c r="I25" s="557" t="s">
        <v>312</v>
      </c>
      <c r="J25" s="624" t="s">
        <v>280</v>
      </c>
      <c r="K25" s="625"/>
      <c r="L25" s="663" t="s">
        <v>321</v>
      </c>
      <c r="M25" s="664"/>
      <c r="N25" s="253">
        <f>'Data Input'!O20</f>
        <v>0</v>
      </c>
      <c r="O25" s="253">
        <f>'Data Input'!P20</f>
        <v>0</v>
      </c>
      <c r="P25" s="253">
        <f>'Data Input'!Q20</f>
        <v>0</v>
      </c>
      <c r="Q25" s="142"/>
      <c r="R25" s="534"/>
      <c r="S25" s="535" t="s">
        <v>296</v>
      </c>
      <c r="T25" s="181">
        <f>BK5</f>
        <v>0</v>
      </c>
      <c r="U25" s="673">
        <f>BL5</f>
        <v>0</v>
      </c>
      <c r="V25" s="673"/>
      <c r="W25" s="181">
        <f>BM5</f>
        <v>0</v>
      </c>
      <c r="X25" s="136" t="s">
        <v>206</v>
      </c>
      <c r="BF25" s="506"/>
      <c r="BG25" s="506"/>
      <c r="CC25" s="138"/>
      <c r="CD25" s="138"/>
      <c r="CE25" s="138"/>
      <c r="CF25" s="138"/>
      <c r="CG25" s="138"/>
      <c r="CH25" s="138"/>
      <c r="CI25" s="138"/>
      <c r="CJ25" s="138"/>
      <c r="CK25" s="119"/>
      <c r="CL25" s="119"/>
    </row>
    <row r="26" spans="1:90" ht="30">
      <c r="A26" s="2" t="s">
        <v>239</v>
      </c>
      <c r="B26" s="2"/>
      <c r="C26" s="144"/>
      <c r="D26" s="144"/>
      <c r="E26" s="144"/>
      <c r="F26" s="144"/>
      <c r="G26" s="150"/>
      <c r="H26" s="144"/>
      <c r="I26" s="557" t="s">
        <v>165</v>
      </c>
      <c r="J26" s="558" t="s">
        <v>298</v>
      </c>
      <c r="L26" s="669" t="s">
        <v>171</v>
      </c>
      <c r="M26" s="670"/>
      <c r="N26" s="253">
        <f>'Data Input'!O21</f>
        <v>0</v>
      </c>
      <c r="O26" s="253">
        <f>'Data Input'!P21</f>
        <v>0</v>
      </c>
      <c r="P26" s="253">
        <f>'Data Input'!Q21</f>
        <v>0</v>
      </c>
      <c r="Q26" s="142"/>
      <c r="R26" s="534"/>
      <c r="S26" s="535" t="s">
        <v>188</v>
      </c>
      <c r="T26" s="536" t="str">
        <f>IF(T25=0," ",IF(W8-T25&lt;0,"none",W8-T25))</f>
        <v> </v>
      </c>
      <c r="U26" s="675" t="str">
        <f>IF(U25=0," ",IF(T26-U25&lt;0,"none",T26-U25))</f>
        <v> </v>
      </c>
      <c r="V26" s="675"/>
      <c r="W26" s="536" t="str">
        <f>IF(W25=0," ",IF(U26-W25&lt;0,"none",U26-W25))</f>
        <v> </v>
      </c>
      <c r="X26" s="136" t="s">
        <v>206</v>
      </c>
      <c r="BF26" s="506"/>
      <c r="BG26" s="506"/>
      <c r="CC26" s="138"/>
      <c r="CD26" s="138"/>
      <c r="CE26" s="138"/>
      <c r="CF26" s="138"/>
      <c r="CG26" s="138"/>
      <c r="CH26" s="138"/>
      <c r="CI26" s="138"/>
      <c r="CJ26" s="138"/>
      <c r="CK26" s="119"/>
      <c r="CL26" s="119"/>
    </row>
    <row r="27" spans="1:90" ht="18">
      <c r="A27" s="119" t="s">
        <v>334</v>
      </c>
      <c r="B27" s="119"/>
      <c r="G27" s="549">
        <f>(AB21+AC21+AD21+AE21)</f>
        <v>0</v>
      </c>
      <c r="H27" s="133" t="s">
        <v>207</v>
      </c>
      <c r="I27" s="557"/>
      <c r="J27" s="558" t="s">
        <v>205</v>
      </c>
      <c r="L27" s="41"/>
      <c r="N27" s="136"/>
      <c r="O27" s="136"/>
      <c r="P27" s="136"/>
      <c r="Q27" s="142"/>
      <c r="S27" s="537" t="s">
        <v>225</v>
      </c>
      <c r="T27" s="538" t="str">
        <f>IF(T25=0," ",IF(T26&gt;0,"Inadequate","Adequate"))</f>
        <v> </v>
      </c>
      <c r="U27" s="674" t="str">
        <f>IF(U25=0," ",IF(U26&gt;0,"Inadequate","Adequate"))</f>
        <v> </v>
      </c>
      <c r="V27" s="674"/>
      <c r="W27" s="538" t="str">
        <f>IF(W25=0," ",IF(W26&gt;0,"Inadequate","Adequate"))</f>
        <v> </v>
      </c>
      <c r="X27" s="538"/>
      <c r="BF27" s="506"/>
      <c r="BG27" s="506"/>
      <c r="CC27" s="138"/>
      <c r="CD27" s="138"/>
      <c r="CE27" s="138"/>
      <c r="CF27" s="138"/>
      <c r="CG27" s="138"/>
      <c r="CH27" s="138"/>
      <c r="CI27" s="138"/>
      <c r="CJ27" s="138"/>
      <c r="CK27" s="119"/>
      <c r="CL27" s="119"/>
    </row>
    <row r="28" spans="1:90" ht="18">
      <c r="A28" s="119" t="s">
        <v>335</v>
      </c>
      <c r="B28" s="119"/>
      <c r="G28" s="142">
        <f>(AB22+AC22+AD22+AE22)</f>
        <v>0</v>
      </c>
      <c r="H28" s="133" t="s">
        <v>207</v>
      </c>
      <c r="I28" s="557" t="s">
        <v>164</v>
      </c>
      <c r="J28" s="558" t="s">
        <v>299</v>
      </c>
      <c r="L28" s="669" t="s">
        <v>171</v>
      </c>
      <c r="M28" s="670"/>
      <c r="N28" s="253">
        <f>'Data Input'!O23</f>
        <v>0</v>
      </c>
      <c r="O28" s="253">
        <f>'Data Input'!P23</f>
        <v>0</v>
      </c>
      <c r="P28" s="253">
        <f>'Data Input'!Q23</f>
        <v>0</v>
      </c>
      <c r="Q28" s="142"/>
      <c r="R28" s="534" t="s">
        <v>176</v>
      </c>
      <c r="S28" s="539"/>
      <c r="T28" s="502"/>
      <c r="U28" s="676"/>
      <c r="V28" s="676"/>
      <c r="W28" s="502"/>
      <c r="X28" s="493"/>
      <c r="BF28" s="506"/>
      <c r="BG28" s="506"/>
      <c r="CC28" s="138"/>
      <c r="CD28" s="138"/>
      <c r="CE28" s="138"/>
      <c r="CF28" s="138"/>
      <c r="CG28" s="138"/>
      <c r="CH28" s="138"/>
      <c r="CI28" s="138"/>
      <c r="CJ28" s="138"/>
      <c r="CK28" s="119"/>
      <c r="CL28" s="119"/>
    </row>
    <row r="29" spans="1:90" ht="18">
      <c r="A29" s="119" t="s">
        <v>486</v>
      </c>
      <c r="B29" s="119"/>
      <c r="C29" s="144"/>
      <c r="D29" s="144"/>
      <c r="E29" s="489">
        <f>(D15)</f>
        <v>0</v>
      </c>
      <c r="F29" s="133" t="s">
        <v>81</v>
      </c>
      <c r="G29" s="182">
        <f>G27*D15</f>
        <v>0</v>
      </c>
      <c r="H29" s="133" t="s">
        <v>206</v>
      </c>
      <c r="I29" s="557"/>
      <c r="J29" s="558" t="s">
        <v>205</v>
      </c>
      <c r="L29" s="41"/>
      <c r="N29" s="136"/>
      <c r="O29" s="136"/>
      <c r="P29" s="136"/>
      <c r="Q29" s="142"/>
      <c r="R29" s="534"/>
      <c r="S29" s="539" t="s">
        <v>169</v>
      </c>
      <c r="T29" s="544">
        <f>AM8</f>
        <v>0</v>
      </c>
      <c r="U29" s="679">
        <f>AN8</f>
        <v>0</v>
      </c>
      <c r="V29" s="679"/>
      <c r="W29" s="544">
        <f>AO8</f>
        <v>0</v>
      </c>
      <c r="X29" s="136" t="s">
        <v>171</v>
      </c>
      <c r="BF29" s="506"/>
      <c r="BG29" s="506"/>
      <c r="CC29" s="138"/>
      <c r="CD29" s="138"/>
      <c r="CE29" s="138"/>
      <c r="CF29" s="138"/>
      <c r="CG29" s="138"/>
      <c r="CH29" s="138"/>
      <c r="CI29" s="138"/>
      <c r="CJ29" s="138"/>
      <c r="CK29" s="119"/>
      <c r="CL29" s="119"/>
    </row>
    <row r="30" spans="1:90" ht="15.75">
      <c r="A30" s="2" t="s">
        <v>238</v>
      </c>
      <c r="B30" s="2"/>
      <c r="C30" s="119"/>
      <c r="D30" s="138"/>
      <c r="E30" s="156"/>
      <c r="F30" s="157"/>
      <c r="G30" s="119"/>
      <c r="H30" s="133"/>
      <c r="I30" s="563" t="s">
        <v>215</v>
      </c>
      <c r="J30" s="626" t="s">
        <v>315</v>
      </c>
      <c r="K30" s="627"/>
      <c r="L30" s="671" t="s">
        <v>322</v>
      </c>
      <c r="M30" s="672"/>
      <c r="N30" s="253">
        <f>'Data Input'!O25</f>
        <v>0</v>
      </c>
      <c r="O30" s="253">
        <f>'Data Input'!P25</f>
        <v>0</v>
      </c>
      <c r="P30" s="253">
        <f>'Data Input'!Q25</f>
        <v>0</v>
      </c>
      <c r="Q30" s="142"/>
      <c r="R30" s="534"/>
      <c r="S30" s="539" t="s">
        <v>170</v>
      </c>
      <c r="T30" s="546">
        <f>AS8</f>
        <v>0</v>
      </c>
      <c r="U30" s="677">
        <f>AT8</f>
        <v>0</v>
      </c>
      <c r="V30" s="677"/>
      <c r="W30" s="546">
        <f>AU8</f>
        <v>0</v>
      </c>
      <c r="X30" s="136" t="s">
        <v>171</v>
      </c>
      <c r="BF30" s="506"/>
      <c r="BG30" s="506"/>
      <c r="CC30" s="138"/>
      <c r="CD30" s="138"/>
      <c r="CE30" s="138"/>
      <c r="CF30" s="138"/>
      <c r="CG30" s="138"/>
      <c r="CH30" s="138"/>
      <c r="CI30" s="138"/>
      <c r="CJ30" s="138"/>
      <c r="CK30" s="119"/>
      <c r="CL30" s="119"/>
    </row>
    <row r="31" spans="1:90" ht="18">
      <c r="A31" s="693" t="s">
        <v>332</v>
      </c>
      <c r="B31" s="693"/>
      <c r="C31" s="693"/>
      <c r="D31" s="693"/>
      <c r="E31" s="489">
        <f>(D15)</f>
        <v>0</v>
      </c>
      <c r="F31" s="133" t="s">
        <v>81</v>
      </c>
      <c r="G31" s="147">
        <f>ROUND(((C8+D8+E8+F8)*D15*D16)/7.481,0)</f>
        <v>0</v>
      </c>
      <c r="H31" s="133" t="s">
        <v>206</v>
      </c>
      <c r="I31" s="564"/>
      <c r="K31" s="506"/>
      <c r="O31" s="130"/>
      <c r="P31" s="130"/>
      <c r="Q31" s="92"/>
      <c r="R31" s="534"/>
      <c r="S31" s="539" t="s">
        <v>87</v>
      </c>
      <c r="T31" s="546">
        <f>AM5</f>
        <v>0</v>
      </c>
      <c r="U31" s="677">
        <f>AN5</f>
        <v>0</v>
      </c>
      <c r="V31" s="677"/>
      <c r="W31" s="546">
        <f>AO5</f>
        <v>0</v>
      </c>
      <c r="X31" s="136" t="s">
        <v>171</v>
      </c>
      <c r="BF31" s="506"/>
      <c r="BG31" s="506"/>
      <c r="CC31" s="138"/>
      <c r="CD31" s="138"/>
      <c r="CE31" s="138"/>
      <c r="CF31" s="138"/>
      <c r="CG31" s="138"/>
      <c r="CH31" s="138"/>
      <c r="CI31" s="138"/>
      <c r="CJ31" s="138"/>
      <c r="CK31" s="119"/>
      <c r="CL31" s="119"/>
    </row>
    <row r="32" spans="1:90" ht="18">
      <c r="A32" s="693" t="s">
        <v>333</v>
      </c>
      <c r="B32" s="693"/>
      <c r="C32" s="693"/>
      <c r="D32" s="693"/>
      <c r="E32" s="489">
        <f>(D15)</f>
        <v>0</v>
      </c>
      <c r="F32" s="133" t="s">
        <v>81</v>
      </c>
      <c r="G32" s="147">
        <f>ROUND(D17*D15/7.481,0)</f>
        <v>0</v>
      </c>
      <c r="H32" s="133" t="s">
        <v>206</v>
      </c>
      <c r="I32" s="564"/>
      <c r="K32" s="506"/>
      <c r="N32" s="552" t="s">
        <v>282</v>
      </c>
      <c r="O32" s="552" t="s">
        <v>283</v>
      </c>
      <c r="P32" s="552" t="s">
        <v>284</v>
      </c>
      <c r="Q32" s="565"/>
      <c r="R32" s="534"/>
      <c r="S32" s="539" t="s">
        <v>86</v>
      </c>
      <c r="T32" s="546">
        <f>AS5</f>
        <v>0</v>
      </c>
      <c r="U32" s="677">
        <f>AT5</f>
        <v>0</v>
      </c>
      <c r="V32" s="677"/>
      <c r="W32" s="546">
        <f>AU5</f>
        <v>0</v>
      </c>
      <c r="X32" s="136" t="s">
        <v>171</v>
      </c>
      <c r="BF32" s="506"/>
      <c r="BG32" s="506"/>
      <c r="CC32" s="138"/>
      <c r="CD32" s="138"/>
      <c r="CE32" s="138"/>
      <c r="CF32" s="138"/>
      <c r="CG32" s="138"/>
      <c r="CH32" s="138"/>
      <c r="CI32" s="138"/>
      <c r="CJ32" s="138"/>
      <c r="CK32" s="119"/>
      <c r="CL32" s="119"/>
    </row>
    <row r="33" spans="1:90" ht="18">
      <c r="A33" s="119" t="s">
        <v>485</v>
      </c>
      <c r="B33" s="119"/>
      <c r="C33" s="119"/>
      <c r="E33" s="489">
        <f>(D15)</f>
        <v>0</v>
      </c>
      <c r="F33" s="133" t="s">
        <v>81</v>
      </c>
      <c r="G33" s="149">
        <f>(G31+G32)</f>
        <v>0</v>
      </c>
      <c r="H33" s="133" t="s">
        <v>206</v>
      </c>
      <c r="I33" s="554" t="s">
        <v>160</v>
      </c>
      <c r="J33" s="628" t="s">
        <v>174</v>
      </c>
      <c r="K33" s="629"/>
      <c r="L33" s="555"/>
      <c r="M33" s="556" t="s">
        <v>171</v>
      </c>
      <c r="N33" s="253">
        <f>'Data Input'!O28</f>
        <v>0</v>
      </c>
      <c r="O33" s="253">
        <f>'Data Input'!P28</f>
        <v>0</v>
      </c>
      <c r="P33" s="253">
        <f>'Data Input'!Q28</f>
        <v>0</v>
      </c>
      <c r="Q33" s="142"/>
      <c r="R33" s="534"/>
      <c r="S33" s="493" t="s">
        <v>190</v>
      </c>
      <c r="T33" s="155">
        <f>N40*N42</f>
        <v>0</v>
      </c>
      <c r="U33" s="678">
        <f>O40*O42</f>
        <v>0</v>
      </c>
      <c r="V33" s="678"/>
      <c r="W33" s="155">
        <f>P40*P42</f>
        <v>0</v>
      </c>
      <c r="X33" s="136" t="s">
        <v>201</v>
      </c>
      <c r="BF33" s="506"/>
      <c r="BG33" s="506"/>
      <c r="CC33" s="138"/>
      <c r="CD33" s="138"/>
      <c r="CE33" s="138"/>
      <c r="CF33" s="138"/>
      <c r="CG33" s="138"/>
      <c r="CH33" s="138"/>
      <c r="CI33" s="138"/>
      <c r="CJ33" s="138"/>
      <c r="CK33" s="119"/>
      <c r="CL33" s="119"/>
    </row>
    <row r="34" spans="1:90" ht="18">
      <c r="A34" s="596" t="s">
        <v>505</v>
      </c>
      <c r="B34" s="593"/>
      <c r="C34" s="593"/>
      <c r="D34" s="594"/>
      <c r="E34" s="597"/>
      <c r="F34" s="598"/>
      <c r="G34" s="153"/>
      <c r="H34" s="598"/>
      <c r="I34" s="557" t="s">
        <v>161</v>
      </c>
      <c r="J34" s="624" t="s">
        <v>168</v>
      </c>
      <c r="K34" s="625"/>
      <c r="M34" s="142" t="s">
        <v>171</v>
      </c>
      <c r="N34" s="253">
        <f>'Data Input'!O29</f>
        <v>0</v>
      </c>
      <c r="O34" s="253">
        <f>'Data Input'!P29</f>
        <v>0</v>
      </c>
      <c r="P34" s="253">
        <f>'Data Input'!Q29</f>
        <v>0</v>
      </c>
      <c r="Q34" s="142"/>
      <c r="S34" s="493" t="s">
        <v>211</v>
      </c>
      <c r="T34" s="550">
        <f>AY5*BE5</f>
        <v>0</v>
      </c>
      <c r="U34" s="665">
        <f>AZ5*BF5</f>
        <v>0</v>
      </c>
      <c r="V34" s="665"/>
      <c r="W34" s="550">
        <f>BA5*BG5</f>
        <v>0</v>
      </c>
      <c r="X34" s="136" t="s">
        <v>201</v>
      </c>
      <c r="BF34" s="506"/>
      <c r="BG34" s="506"/>
      <c r="CC34" s="138"/>
      <c r="CD34" s="138"/>
      <c r="CE34" s="138"/>
      <c r="CF34" s="138"/>
      <c r="CG34" s="138"/>
      <c r="CH34" s="138"/>
      <c r="CI34" s="138"/>
      <c r="CJ34" s="138"/>
      <c r="CK34" s="119"/>
      <c r="CL34" s="119"/>
    </row>
    <row r="35" spans="1:88" ht="18">
      <c r="A35" s="599" t="s">
        <v>506</v>
      </c>
      <c r="B35" s="593"/>
      <c r="C35" s="593"/>
      <c r="D35" s="594"/>
      <c r="E35" s="597">
        <f>(D15)</f>
        <v>0</v>
      </c>
      <c r="F35" s="598" t="s">
        <v>81</v>
      </c>
      <c r="G35" s="617">
        <f>ROUND(D18/7.481,0)</f>
        <v>0</v>
      </c>
      <c r="H35" s="598" t="s">
        <v>206</v>
      </c>
      <c r="I35" s="557" t="s">
        <v>162</v>
      </c>
      <c r="J35" s="624" t="s">
        <v>158</v>
      </c>
      <c r="K35" s="625"/>
      <c r="M35" s="142" t="s">
        <v>171</v>
      </c>
      <c r="N35" s="253">
        <f>'Data Input'!O30</f>
        <v>0</v>
      </c>
      <c r="O35" s="253">
        <f>'Data Input'!P30</f>
        <v>0</v>
      </c>
      <c r="P35" s="253">
        <f>'Data Input'!Q30</f>
        <v>0</v>
      </c>
      <c r="Q35" s="142"/>
      <c r="R35" s="534" t="s">
        <v>177</v>
      </c>
      <c r="S35" s="493"/>
      <c r="T35" s="502"/>
      <c r="U35" s="676"/>
      <c r="V35" s="676"/>
      <c r="W35" s="502"/>
      <c r="X35" s="493"/>
      <c r="BF35" s="506"/>
      <c r="BG35" s="506"/>
      <c r="CC35" s="138"/>
      <c r="CD35" s="138"/>
      <c r="CE35" s="138"/>
      <c r="CF35" s="138"/>
      <c r="CG35" s="138"/>
      <c r="CH35" s="138"/>
      <c r="CI35" s="138"/>
      <c r="CJ35" s="138"/>
    </row>
    <row r="36" spans="1:88" ht="15.75">
      <c r="A36" s="2" t="s">
        <v>507</v>
      </c>
      <c r="B36" s="2"/>
      <c r="C36" s="119"/>
      <c r="D36" s="119"/>
      <c r="I36" s="557" t="s">
        <v>313</v>
      </c>
      <c r="J36" s="624" t="s">
        <v>500</v>
      </c>
      <c r="K36" s="625"/>
      <c r="L36" s="625"/>
      <c r="M36" s="142" t="s">
        <v>171</v>
      </c>
      <c r="N36" s="253">
        <f>'Data Input'!O31</f>
        <v>0</v>
      </c>
      <c r="O36" s="253">
        <f>'Data Input'!P31</f>
        <v>0</v>
      </c>
      <c r="P36" s="253">
        <f>'Data Input'!Q31</f>
        <v>0</v>
      </c>
      <c r="Q36" s="142"/>
      <c r="R36" s="566"/>
      <c r="S36" s="535" t="s">
        <v>166</v>
      </c>
      <c r="T36" s="181">
        <f>BK7/27</f>
        <v>0</v>
      </c>
      <c r="U36" s="673">
        <f>BL7/27</f>
        <v>0</v>
      </c>
      <c r="V36" s="673"/>
      <c r="W36" s="181">
        <f>BM7/27</f>
        <v>0</v>
      </c>
      <c r="X36" s="136" t="s">
        <v>198</v>
      </c>
      <c r="BF36" s="506"/>
      <c r="BG36" s="506"/>
      <c r="CC36" s="138"/>
      <c r="CD36" s="138"/>
      <c r="CE36" s="138"/>
      <c r="CF36" s="138"/>
      <c r="CG36" s="138"/>
      <c r="CH36" s="138"/>
      <c r="CI36" s="138"/>
      <c r="CJ36" s="138"/>
    </row>
    <row r="37" spans="1:88" ht="15.75">
      <c r="A37" s="119"/>
      <c r="B37" s="119"/>
      <c r="C37" s="119"/>
      <c r="D37" s="119"/>
      <c r="E37" s="119"/>
      <c r="F37" s="567" t="s">
        <v>494</v>
      </c>
      <c r="G37" s="688">
        <f>D20</f>
        <v>1</v>
      </c>
      <c r="H37" s="689"/>
      <c r="I37" s="603" t="s">
        <v>499</v>
      </c>
      <c r="J37" s="661" t="s">
        <v>496</v>
      </c>
      <c r="K37" s="662"/>
      <c r="L37" s="510"/>
      <c r="M37" s="136" t="s">
        <v>171</v>
      </c>
      <c r="N37" s="604">
        <f>'Data Input'!O32</f>
        <v>0</v>
      </c>
      <c r="O37" s="604">
        <f>'Data Input'!P32</f>
        <v>0</v>
      </c>
      <c r="P37" s="604">
        <f>'Data Input'!Q32</f>
        <v>0</v>
      </c>
      <c r="Q37" s="142"/>
      <c r="R37" s="566"/>
      <c r="S37" s="535" t="s">
        <v>197</v>
      </c>
      <c r="T37" s="536">
        <f>AG12/27</f>
        <v>0</v>
      </c>
      <c r="U37" s="675">
        <f>AH12/27</f>
        <v>0</v>
      </c>
      <c r="V37" s="675"/>
      <c r="W37" s="536">
        <f>AI12/27</f>
        <v>0</v>
      </c>
      <c r="X37" s="136" t="s">
        <v>198</v>
      </c>
      <c r="BF37" s="506"/>
      <c r="BG37" s="506"/>
      <c r="CC37" s="138"/>
      <c r="CD37" s="138"/>
      <c r="CE37" s="138"/>
      <c r="CF37" s="138"/>
      <c r="CG37" s="138"/>
      <c r="CH37" s="138"/>
      <c r="CI37" s="138"/>
      <c r="CJ37" s="138"/>
    </row>
    <row r="38" spans="2:88" ht="18">
      <c r="B38" s="119" t="s">
        <v>235</v>
      </c>
      <c r="C38" s="119"/>
      <c r="D38" s="119"/>
      <c r="F38" s="181">
        <f>((D19-0.2*(1000/Criteria!$O$11-10))^2/(D19+0.8*(1000/Criteria!$O$11-10))*(D21)*43560/12)</f>
        <v>0</v>
      </c>
      <c r="G38" s="152">
        <f>(D21)*Criteria!M35*43560/12</f>
        <v>0</v>
      </c>
      <c r="H38" s="133" t="s">
        <v>206</v>
      </c>
      <c r="I38" s="557" t="s">
        <v>163</v>
      </c>
      <c r="J38" s="624" t="s">
        <v>159</v>
      </c>
      <c r="K38" s="625"/>
      <c r="L38" s="663" t="s">
        <v>321</v>
      </c>
      <c r="M38" s="664"/>
      <c r="N38" s="253">
        <f>'Data Input'!O33</f>
        <v>0</v>
      </c>
      <c r="O38" s="253">
        <f>'Data Input'!P33</f>
        <v>0</v>
      </c>
      <c r="P38" s="253">
        <f>'Data Input'!Q33</f>
        <v>0</v>
      </c>
      <c r="Q38" s="142"/>
      <c r="R38" s="566"/>
      <c r="S38" s="535" t="s">
        <v>195</v>
      </c>
      <c r="T38" s="536">
        <f>AG11/27</f>
        <v>0</v>
      </c>
      <c r="U38" s="675">
        <f>AH11/27</f>
        <v>0</v>
      </c>
      <c r="V38" s="675"/>
      <c r="W38" s="536">
        <f>AI11/27</f>
        <v>0</v>
      </c>
      <c r="X38" s="136" t="s">
        <v>198</v>
      </c>
      <c r="BF38" s="506"/>
      <c r="BG38" s="506"/>
      <c r="CC38" s="138"/>
      <c r="CD38" s="138"/>
      <c r="CE38" s="138"/>
      <c r="CF38" s="138"/>
      <c r="CG38" s="138"/>
      <c r="CH38" s="138"/>
      <c r="CI38" s="138"/>
      <c r="CJ38" s="138"/>
    </row>
    <row r="39" spans="2:88" ht="18">
      <c r="B39" s="119" t="s">
        <v>236</v>
      </c>
      <c r="C39" s="119"/>
      <c r="D39" s="119"/>
      <c r="F39" s="153">
        <f>(D19-0.2*(1000/Criteria!$O$12-10))^2/(D19+0.8*(1000/Criteria!$O$12-10))*(D22)/12</f>
        <v>0</v>
      </c>
      <c r="G39" s="153">
        <f>Criteria!O35*(D22)/12</f>
        <v>0</v>
      </c>
      <c r="H39" s="133" t="s">
        <v>206</v>
      </c>
      <c r="I39" s="557" t="s">
        <v>312</v>
      </c>
      <c r="J39" s="624" t="s">
        <v>280</v>
      </c>
      <c r="K39" s="625"/>
      <c r="L39" s="663" t="s">
        <v>321</v>
      </c>
      <c r="M39" s="664"/>
      <c r="N39" s="253">
        <f>'Data Input'!O34</f>
        <v>0</v>
      </c>
      <c r="O39" s="253">
        <f>'Data Input'!P34</f>
        <v>0</v>
      </c>
      <c r="P39" s="253">
        <f>'Data Input'!Q34</f>
        <v>0</v>
      </c>
      <c r="Q39" s="142"/>
      <c r="S39" s="535" t="s">
        <v>199</v>
      </c>
      <c r="T39" s="550">
        <f>(T37-T38)</f>
        <v>0</v>
      </c>
      <c r="U39" s="665">
        <f>(U37-U38)</f>
        <v>0</v>
      </c>
      <c r="V39" s="665"/>
      <c r="W39" s="550">
        <f>(W37-W38)</f>
        <v>0</v>
      </c>
      <c r="X39" s="136" t="s">
        <v>198</v>
      </c>
      <c r="Z39" s="138"/>
      <c r="BF39" s="506"/>
      <c r="BG39" s="506"/>
      <c r="CC39" s="138"/>
      <c r="CD39" s="138"/>
      <c r="CE39" s="138"/>
      <c r="CF39" s="138"/>
      <c r="CG39" s="138"/>
      <c r="CH39" s="138"/>
      <c r="CI39" s="138"/>
      <c r="CJ39" s="138"/>
    </row>
    <row r="40" spans="2:88" ht="18">
      <c r="B40" s="119" t="s">
        <v>237</v>
      </c>
      <c r="C40" s="119"/>
      <c r="D40" s="119"/>
      <c r="F40" s="153">
        <f>((D19-0.2*(1000/Criteria!$O$13-10))^2/(D19+0.8*(1000/Criteria!$O$13-10))*(D23)/12)</f>
        <v>0</v>
      </c>
      <c r="G40" s="153">
        <f>Criteria!Q35*(D23)/12</f>
        <v>0</v>
      </c>
      <c r="H40" s="133" t="s">
        <v>208</v>
      </c>
      <c r="I40" s="557" t="s">
        <v>165</v>
      </c>
      <c r="J40" s="558" t="s">
        <v>298</v>
      </c>
      <c r="L40" s="669" t="s">
        <v>171</v>
      </c>
      <c r="M40" s="670"/>
      <c r="N40" s="253">
        <f>'Data Input'!O35</f>
        <v>0</v>
      </c>
      <c r="O40" s="253">
        <f>'Data Input'!P35</f>
        <v>0</v>
      </c>
      <c r="P40" s="253">
        <f>'Data Input'!Q35</f>
        <v>0</v>
      </c>
      <c r="Q40" s="142"/>
      <c r="R40" s="568"/>
      <c r="S40" s="560" t="s">
        <v>336</v>
      </c>
      <c r="T40" s="343"/>
      <c r="U40" s="686"/>
      <c r="V40" s="686"/>
      <c r="W40" s="343"/>
      <c r="X40" s="513"/>
      <c r="Z40" s="138"/>
      <c r="BF40" s="506"/>
      <c r="BG40" s="506"/>
      <c r="CC40" s="138"/>
      <c r="CD40" s="138"/>
      <c r="CE40" s="138"/>
      <c r="CF40" s="138"/>
      <c r="CG40" s="138"/>
      <c r="CH40" s="138"/>
      <c r="CI40" s="138"/>
      <c r="CJ40" s="138"/>
    </row>
    <row r="41" spans="2:88" ht="18" customHeight="1">
      <c r="B41" s="119" t="s">
        <v>300</v>
      </c>
      <c r="C41" s="119"/>
      <c r="D41" s="119"/>
      <c r="F41" s="153">
        <f>ROUND((SUM(T15:W15)+SUM(T33:W33))*D19/12,2)</f>
        <v>0</v>
      </c>
      <c r="G41" s="153">
        <f>ROUND((SUM(T15:W15)+SUM(T33:W33))*Criteria!$J$35/12*Criteria!$O$15,2)</f>
        <v>0</v>
      </c>
      <c r="H41" s="133" t="s">
        <v>208</v>
      </c>
      <c r="I41" s="557"/>
      <c r="J41" s="558" t="s">
        <v>205</v>
      </c>
      <c r="L41" s="41"/>
      <c r="N41" s="137"/>
      <c r="O41" s="137"/>
      <c r="P41" s="137"/>
      <c r="Q41" s="142"/>
      <c r="R41" s="569" t="s">
        <v>202</v>
      </c>
      <c r="V41" s="138"/>
      <c r="W41" s="138"/>
      <c r="Z41" s="138"/>
      <c r="AA41" s="570"/>
      <c r="BF41" s="506"/>
      <c r="BG41" s="506"/>
      <c r="CC41" s="138"/>
      <c r="CD41" s="138"/>
      <c r="CE41" s="138"/>
      <c r="CF41" s="138"/>
      <c r="CG41" s="138"/>
      <c r="CH41" s="138"/>
      <c r="CI41" s="138"/>
      <c r="CJ41" s="138"/>
    </row>
    <row r="42" spans="1:88" ht="18" customHeight="1">
      <c r="A42" s="119" t="s">
        <v>330</v>
      </c>
      <c r="B42" s="119"/>
      <c r="C42" s="119"/>
      <c r="D42" s="119"/>
      <c r="F42" s="149">
        <f>SUM(F38:F41)</f>
        <v>0</v>
      </c>
      <c r="G42" s="149">
        <f>SUM(G38:G41)</f>
        <v>0</v>
      </c>
      <c r="H42" s="133" t="s">
        <v>208</v>
      </c>
      <c r="I42" s="557" t="s">
        <v>164</v>
      </c>
      <c r="J42" s="558" t="s">
        <v>299</v>
      </c>
      <c r="L42" s="669" t="s">
        <v>171</v>
      </c>
      <c r="M42" s="670"/>
      <c r="N42" s="253">
        <f>'Data Input'!O37</f>
        <v>0</v>
      </c>
      <c r="O42" s="253">
        <f>'Data Input'!P37</f>
        <v>0</v>
      </c>
      <c r="P42" s="253">
        <f>'Data Input'!Q37</f>
        <v>0</v>
      </c>
      <c r="Q42" s="142"/>
      <c r="S42" s="493" t="s">
        <v>301</v>
      </c>
      <c r="T42" s="550">
        <f>SUM(T7:W7)+SUM(T25:W25)</f>
        <v>0</v>
      </c>
      <c r="U42" s="571" t="s">
        <v>206</v>
      </c>
      <c r="V42" s="138"/>
      <c r="W42" s="138"/>
      <c r="Z42" s="138"/>
      <c r="BF42" s="506"/>
      <c r="BG42" s="506"/>
      <c r="CC42" s="138"/>
      <c r="CD42" s="138"/>
      <c r="CE42" s="138"/>
      <c r="CF42" s="138"/>
      <c r="CG42" s="138"/>
      <c r="CH42" s="138"/>
      <c r="CI42" s="138"/>
      <c r="CJ42" s="138"/>
    </row>
    <row r="43" spans="1:88" ht="18" customHeight="1" thickBot="1">
      <c r="A43" s="692" t="s">
        <v>495</v>
      </c>
      <c r="B43" s="692"/>
      <c r="C43" s="690">
        <f>D20</f>
        <v>1</v>
      </c>
      <c r="D43" s="691"/>
      <c r="G43" s="154">
        <f>(F42+G42)</f>
        <v>0</v>
      </c>
      <c r="H43" s="133" t="s">
        <v>208</v>
      </c>
      <c r="I43" s="557"/>
      <c r="J43" s="558" t="s">
        <v>205</v>
      </c>
      <c r="L43" s="41"/>
      <c r="N43" s="137"/>
      <c r="O43" s="137"/>
      <c r="P43" s="137"/>
      <c r="Q43" s="142"/>
      <c r="S43" s="535" t="s">
        <v>302</v>
      </c>
      <c r="T43" s="536">
        <f>G48</f>
        <v>0</v>
      </c>
      <c r="U43" s="571" t="s">
        <v>206</v>
      </c>
      <c r="Y43" s="138"/>
      <c r="AA43" s="570"/>
      <c r="AJ43" s="92"/>
      <c r="BF43" s="506"/>
      <c r="BG43" s="506"/>
      <c r="CC43" s="138"/>
      <c r="CD43" s="138"/>
      <c r="CE43" s="138"/>
      <c r="CF43" s="138"/>
      <c r="CG43" s="138"/>
      <c r="CH43" s="138"/>
      <c r="CI43" s="138"/>
      <c r="CJ43" s="138"/>
    </row>
    <row r="44" spans="1:88" ht="18" customHeight="1" thickBot="1" thickTop="1">
      <c r="A44" s="133" t="s">
        <v>331</v>
      </c>
      <c r="B44" s="133"/>
      <c r="C44" s="119"/>
      <c r="D44" s="119"/>
      <c r="G44" s="151">
        <f>(SUM(T16:W16)+(SUM(T34:W34)))*Criteria!K35/12</f>
        <v>0</v>
      </c>
      <c r="H44" s="133" t="s">
        <v>208</v>
      </c>
      <c r="I44" s="563" t="s">
        <v>215</v>
      </c>
      <c r="J44" s="626" t="s">
        <v>315</v>
      </c>
      <c r="K44" s="627"/>
      <c r="L44" s="671" t="s">
        <v>322</v>
      </c>
      <c r="M44" s="672"/>
      <c r="N44" s="253">
        <f>'Data Input'!O39</f>
        <v>0</v>
      </c>
      <c r="O44" s="253">
        <f>'Data Input'!P39</f>
        <v>0</v>
      </c>
      <c r="P44" s="253">
        <f>'Data Input'!Q39</f>
        <v>0</v>
      </c>
      <c r="Q44" s="142"/>
      <c r="S44" s="683" t="str">
        <f>IF(T42&lt;T43,"Combined Pond Capacity is NOT ADEQUATE"," Combined Pond Capacity is ADEQUATE")</f>
        <v> Combined Pond Capacity is ADEQUATE</v>
      </c>
      <c r="T44" s="684"/>
      <c r="U44" s="685"/>
      <c r="Z44" s="138"/>
      <c r="AJ44" s="92"/>
      <c r="BF44" s="506"/>
      <c r="BG44" s="506"/>
      <c r="CC44" s="138"/>
      <c r="CD44" s="138"/>
      <c r="CE44" s="138"/>
      <c r="CF44" s="138"/>
      <c r="CG44" s="138"/>
      <c r="CH44" s="138"/>
      <c r="CI44" s="138"/>
      <c r="CJ44" s="138"/>
    </row>
    <row r="45" spans="1:88" ht="18" customHeight="1" thickTop="1">
      <c r="A45" s="596" t="s">
        <v>508</v>
      </c>
      <c r="B45" s="594"/>
      <c r="C45" s="594"/>
      <c r="D45" s="594"/>
      <c r="E45" s="594"/>
      <c r="F45" s="594"/>
      <c r="G45" s="594"/>
      <c r="S45" s="493" t="s">
        <v>480</v>
      </c>
      <c r="T45" s="605">
        <f>(T42-F42-G46)*7.4805</f>
        <v>0</v>
      </c>
      <c r="U45" s="493" t="s">
        <v>481</v>
      </c>
      <c r="V45" s="571"/>
      <c r="W45" s="510"/>
      <c r="X45" s="572"/>
      <c r="Y45" s="138"/>
      <c r="Z45" s="138"/>
      <c r="AJ45" s="92"/>
      <c r="BF45" s="506"/>
      <c r="BG45" s="506"/>
      <c r="CC45" s="138"/>
      <c r="CD45" s="138"/>
      <c r="CE45" s="138"/>
      <c r="CF45" s="138"/>
      <c r="CG45" s="138"/>
      <c r="CH45" s="138"/>
      <c r="CI45" s="138"/>
      <c r="CJ45" s="138"/>
    </row>
    <row r="46" spans="1:88" ht="18" customHeight="1">
      <c r="A46" s="598" t="s">
        <v>501</v>
      </c>
      <c r="B46" s="593"/>
      <c r="C46" s="600"/>
      <c r="D46" s="594"/>
      <c r="E46" s="597"/>
      <c r="F46" s="598"/>
      <c r="G46" s="151">
        <f>SUM(BH9:BM9)</f>
        <v>0</v>
      </c>
      <c r="H46" s="133" t="s">
        <v>208</v>
      </c>
      <c r="S46" s="606" t="s">
        <v>503</v>
      </c>
      <c r="T46" s="510"/>
      <c r="U46" s="510"/>
      <c r="V46" s="607"/>
      <c r="W46" s="510"/>
      <c r="AJ46" s="573"/>
      <c r="BF46" s="506"/>
      <c r="BG46" s="506"/>
      <c r="CC46" s="138"/>
      <c r="CD46" s="138"/>
      <c r="CE46" s="138"/>
      <c r="CF46" s="138"/>
      <c r="CG46" s="138"/>
      <c r="CH46" s="138"/>
      <c r="CI46" s="138"/>
      <c r="CJ46" s="138"/>
    </row>
    <row r="47" spans="1:88" ht="15.75">
      <c r="A47" s="594"/>
      <c r="B47" s="594"/>
      <c r="C47" s="594"/>
      <c r="D47" s="594"/>
      <c r="E47" s="594"/>
      <c r="F47" s="594"/>
      <c r="G47" s="601"/>
      <c r="T47" s="131"/>
      <c r="U47" s="574"/>
      <c r="V47" s="574"/>
      <c r="W47" s="493"/>
      <c r="X47" s="572"/>
      <c r="Y47" s="572"/>
      <c r="AJ47" s="575"/>
      <c r="BF47" s="506"/>
      <c r="BG47" s="506"/>
      <c r="CC47" s="138"/>
      <c r="CD47" s="138"/>
      <c r="CE47" s="138"/>
      <c r="CF47" s="138"/>
      <c r="CG47" s="138"/>
      <c r="CH47" s="138"/>
      <c r="CI47" s="138"/>
      <c r="CJ47" s="138"/>
    </row>
    <row r="48" spans="1:88" ht="18.75" thickBot="1">
      <c r="A48" s="596" t="s">
        <v>509</v>
      </c>
      <c r="B48" s="593"/>
      <c r="C48" s="593"/>
      <c r="D48" s="593"/>
      <c r="E48" s="594"/>
      <c r="F48" s="594"/>
      <c r="G48" s="602">
        <f>($G$29+$G$33+G35+$G$43-$G$44+$G$46)</f>
        <v>0</v>
      </c>
      <c r="H48" s="490" t="s">
        <v>487</v>
      </c>
      <c r="X48" s="138"/>
      <c r="Y48" s="138"/>
      <c r="AJ48" s="573"/>
      <c r="BF48" s="506"/>
      <c r="BG48" s="506"/>
      <c r="CC48" s="138"/>
      <c r="CD48" s="138"/>
      <c r="CE48" s="138"/>
      <c r="CF48" s="138"/>
      <c r="CG48" s="138"/>
      <c r="CH48" s="138"/>
      <c r="CI48" s="138"/>
      <c r="CJ48" s="138"/>
    </row>
    <row r="49" spans="36:88" ht="15">
      <c r="AJ49" s="575"/>
      <c r="BF49" s="506"/>
      <c r="BG49" s="506"/>
      <c r="CC49" s="138"/>
      <c r="CD49" s="138"/>
      <c r="CE49" s="138"/>
      <c r="CF49" s="138"/>
      <c r="CG49" s="138"/>
      <c r="CH49" s="138"/>
      <c r="CI49" s="138"/>
      <c r="CJ49" s="138"/>
    </row>
    <row r="50" spans="36:88" ht="15">
      <c r="AJ50" s="575"/>
      <c r="BF50" s="506"/>
      <c r="BG50" s="506"/>
      <c r="CC50" s="138"/>
      <c r="CD50" s="138"/>
      <c r="CE50" s="138"/>
      <c r="CF50" s="138"/>
      <c r="CG50" s="138"/>
      <c r="CH50" s="138"/>
      <c r="CI50" s="138"/>
      <c r="CJ50" s="138"/>
    </row>
    <row r="51" spans="7:88" ht="15">
      <c r="G51" s="119"/>
      <c r="H51" s="119"/>
      <c r="AJ51" s="576"/>
      <c r="BF51" s="506"/>
      <c r="BG51" s="506"/>
      <c r="CC51" s="138"/>
      <c r="CD51" s="138"/>
      <c r="CE51" s="138"/>
      <c r="CF51" s="138"/>
      <c r="CG51" s="138"/>
      <c r="CH51" s="138"/>
      <c r="CI51" s="138"/>
      <c r="CJ51" s="138"/>
    </row>
    <row r="52" spans="7:88" ht="15">
      <c r="G52" s="119"/>
      <c r="H52" s="119"/>
      <c r="AJ52" s="576"/>
      <c r="AN52" s="92"/>
      <c r="BF52" s="506"/>
      <c r="BG52" s="506"/>
      <c r="CC52" s="138"/>
      <c r="CD52" s="138"/>
      <c r="CE52" s="138"/>
      <c r="CF52" s="138"/>
      <c r="CG52" s="138"/>
      <c r="CH52" s="138"/>
      <c r="CI52" s="138"/>
      <c r="CJ52" s="138"/>
    </row>
    <row r="53" spans="7:88" ht="15">
      <c r="G53" s="119"/>
      <c r="H53" s="119"/>
      <c r="AJ53" s="92"/>
      <c r="AN53" s="92"/>
      <c r="BF53" s="506"/>
      <c r="BG53" s="506"/>
      <c r="CC53" s="138"/>
      <c r="CD53" s="138"/>
      <c r="CE53" s="138"/>
      <c r="CF53" s="138"/>
      <c r="CG53" s="138"/>
      <c r="CH53" s="138"/>
      <c r="CI53" s="138"/>
      <c r="CJ53" s="138"/>
    </row>
    <row r="54" spans="7:88" ht="15">
      <c r="G54" s="119"/>
      <c r="H54" s="119"/>
      <c r="AJ54" s="577"/>
      <c r="AN54" s="92"/>
      <c r="BF54" s="506"/>
      <c r="BG54" s="506"/>
      <c r="CC54" s="138"/>
      <c r="CD54" s="138"/>
      <c r="CE54" s="138"/>
      <c r="CF54" s="138"/>
      <c r="CG54" s="138"/>
      <c r="CH54" s="138"/>
      <c r="CI54" s="138"/>
      <c r="CJ54" s="138"/>
    </row>
    <row r="55" spans="7:88" ht="15">
      <c r="G55" s="119"/>
      <c r="H55" s="119"/>
      <c r="AJ55" s="577"/>
      <c r="AN55" s="92"/>
      <c r="BF55" s="506"/>
      <c r="BG55" s="506"/>
      <c r="CC55" s="138"/>
      <c r="CD55" s="138"/>
      <c r="CE55" s="138"/>
      <c r="CF55" s="138"/>
      <c r="CG55" s="138"/>
      <c r="CH55" s="138"/>
      <c r="CI55" s="138"/>
      <c r="CJ55" s="138"/>
    </row>
    <row r="56" spans="7:88" ht="15">
      <c r="G56" s="119"/>
      <c r="H56" s="119"/>
      <c r="AJ56" s="577"/>
      <c r="AN56" s="92"/>
      <c r="BF56" s="506"/>
      <c r="BG56" s="506"/>
      <c r="CC56" s="138"/>
      <c r="CD56" s="138"/>
      <c r="CE56" s="138"/>
      <c r="CF56" s="138"/>
      <c r="CG56" s="138"/>
      <c r="CH56" s="138"/>
      <c r="CI56" s="138"/>
      <c r="CJ56" s="138"/>
    </row>
    <row r="57" spans="7:88" ht="15">
      <c r="G57" s="119"/>
      <c r="H57" s="119"/>
      <c r="J57" s="578"/>
      <c r="AJ57" s="577"/>
      <c r="AN57" s="92"/>
      <c r="BF57" s="506"/>
      <c r="BG57" s="506"/>
      <c r="CC57" s="138"/>
      <c r="CD57" s="138"/>
      <c r="CE57" s="138"/>
      <c r="CF57" s="138"/>
      <c r="CG57" s="138"/>
      <c r="CH57" s="138"/>
      <c r="CI57" s="138"/>
      <c r="CJ57" s="138"/>
    </row>
    <row r="58" spans="10:88" ht="15">
      <c r="J58" s="578"/>
      <c r="AJ58" s="129"/>
      <c r="AN58" s="92"/>
      <c r="BF58" s="506"/>
      <c r="BG58" s="506"/>
      <c r="CC58" s="138"/>
      <c r="CD58" s="138"/>
      <c r="CE58" s="138"/>
      <c r="CF58" s="138"/>
      <c r="CG58" s="138"/>
      <c r="CH58" s="138"/>
      <c r="CI58" s="138"/>
      <c r="CJ58" s="138"/>
    </row>
    <row r="59" spans="10:88" ht="15">
      <c r="J59" s="579"/>
      <c r="K59" s="506"/>
      <c r="L59" s="573"/>
      <c r="M59" s="573"/>
      <c r="N59" s="573"/>
      <c r="O59" s="573"/>
      <c r="P59" s="573"/>
      <c r="Q59" s="580"/>
      <c r="AJ59" s="92"/>
      <c r="AN59" s="92"/>
      <c r="BF59" s="506"/>
      <c r="BG59" s="506"/>
      <c r="CC59" s="138"/>
      <c r="CD59" s="138"/>
      <c r="CE59" s="138"/>
      <c r="CF59" s="138"/>
      <c r="CG59" s="138"/>
      <c r="CH59" s="138"/>
      <c r="CI59" s="138"/>
      <c r="CJ59" s="138"/>
    </row>
    <row r="60" spans="10:88" ht="15">
      <c r="J60" s="579"/>
      <c r="K60" s="506"/>
      <c r="L60" s="575"/>
      <c r="M60" s="575"/>
      <c r="N60" s="575"/>
      <c r="O60" s="575"/>
      <c r="P60" s="575"/>
      <c r="Q60" s="581"/>
      <c r="AJ60" s="577"/>
      <c r="AN60" s="92"/>
      <c r="BF60" s="506"/>
      <c r="BG60" s="506"/>
      <c r="CC60" s="138"/>
      <c r="CD60" s="138"/>
      <c r="CE60" s="138"/>
      <c r="CF60" s="138"/>
      <c r="CG60" s="138"/>
      <c r="CH60" s="138"/>
      <c r="CI60" s="138"/>
      <c r="CJ60" s="138"/>
    </row>
    <row r="61" spans="10:88" ht="15">
      <c r="J61" s="579"/>
      <c r="K61" s="506"/>
      <c r="L61" s="573"/>
      <c r="M61" s="573"/>
      <c r="N61" s="573"/>
      <c r="O61" s="573"/>
      <c r="P61" s="573"/>
      <c r="Q61" s="580"/>
      <c r="AJ61" s="92"/>
      <c r="AN61" s="92"/>
      <c r="BF61" s="506"/>
      <c r="BG61" s="506"/>
      <c r="CC61" s="138"/>
      <c r="CD61" s="138"/>
      <c r="CE61" s="138"/>
      <c r="CF61" s="138"/>
      <c r="CG61" s="138"/>
      <c r="CH61" s="138"/>
      <c r="CI61" s="138"/>
      <c r="CJ61" s="138"/>
    </row>
    <row r="62" spans="10:88" ht="15">
      <c r="J62" s="579"/>
      <c r="K62" s="506"/>
      <c r="L62" s="575"/>
      <c r="M62" s="575"/>
      <c r="N62" s="575"/>
      <c r="O62" s="575"/>
      <c r="P62" s="575"/>
      <c r="Q62" s="581"/>
      <c r="AJ62" s="573"/>
      <c r="AN62" s="92"/>
      <c r="BF62" s="506"/>
      <c r="BG62" s="506"/>
      <c r="CC62" s="138"/>
      <c r="CD62" s="138"/>
      <c r="CE62" s="138"/>
      <c r="CF62" s="138"/>
      <c r="CG62" s="138"/>
      <c r="CH62" s="138"/>
      <c r="CI62" s="138"/>
      <c r="CJ62" s="138"/>
    </row>
    <row r="63" spans="10:88" ht="15">
      <c r="J63" s="579"/>
      <c r="K63" s="506"/>
      <c r="L63" s="575"/>
      <c r="M63" s="575"/>
      <c r="N63" s="575"/>
      <c r="O63" s="575"/>
      <c r="P63" s="575"/>
      <c r="Q63" s="581"/>
      <c r="AA63" s="506"/>
      <c r="AJ63" s="573"/>
      <c r="AN63" s="92"/>
      <c r="BF63" s="506"/>
      <c r="BG63" s="506"/>
      <c r="CC63" s="138"/>
      <c r="CD63" s="138"/>
      <c r="CE63" s="138"/>
      <c r="CF63" s="138"/>
      <c r="CG63" s="138"/>
      <c r="CH63" s="138"/>
      <c r="CI63" s="138"/>
      <c r="CJ63" s="138"/>
    </row>
    <row r="64" spans="10:88" ht="15">
      <c r="J64" s="579"/>
      <c r="K64" s="506"/>
      <c r="L64" s="576"/>
      <c r="M64" s="576"/>
      <c r="N64" s="576"/>
      <c r="O64" s="576"/>
      <c r="P64" s="576"/>
      <c r="Q64" s="582"/>
      <c r="AJ64" s="573"/>
      <c r="BF64" s="506"/>
      <c r="BG64" s="506"/>
      <c r="CC64" s="138"/>
      <c r="CD64" s="138"/>
      <c r="CE64" s="138"/>
      <c r="CF64" s="138"/>
      <c r="CG64" s="138"/>
      <c r="CH64" s="138"/>
      <c r="CI64" s="138"/>
      <c r="CJ64" s="138"/>
    </row>
    <row r="65" spans="10:88" ht="15">
      <c r="J65" s="579"/>
      <c r="K65" s="506"/>
      <c r="L65" s="576"/>
      <c r="M65" s="576"/>
      <c r="N65" s="576"/>
      <c r="O65" s="576"/>
      <c r="P65" s="576"/>
      <c r="Q65" s="582"/>
      <c r="R65" s="573"/>
      <c r="AJ65" s="573"/>
      <c r="BF65" s="506"/>
      <c r="BG65" s="506"/>
      <c r="CC65" s="138"/>
      <c r="CD65" s="138"/>
      <c r="CE65" s="138"/>
      <c r="CF65" s="138"/>
      <c r="CG65" s="138"/>
      <c r="CH65" s="138"/>
      <c r="CI65" s="138"/>
      <c r="CJ65" s="138"/>
    </row>
    <row r="66" spans="10:88" ht="15">
      <c r="J66" s="578"/>
      <c r="R66" s="575"/>
      <c r="S66" s="573"/>
      <c r="T66" s="573"/>
      <c r="U66" s="573"/>
      <c r="V66" s="573"/>
      <c r="W66" s="573"/>
      <c r="Z66" s="573"/>
      <c r="BF66" s="506"/>
      <c r="BG66" s="506"/>
      <c r="CC66" s="138"/>
      <c r="CD66" s="138"/>
      <c r="CE66" s="138"/>
      <c r="CF66" s="138"/>
      <c r="CG66" s="138"/>
      <c r="CH66" s="138"/>
      <c r="CI66" s="138"/>
      <c r="CJ66" s="138"/>
    </row>
    <row r="67" spans="10:88" ht="15">
      <c r="J67" s="578"/>
      <c r="K67" s="506"/>
      <c r="L67" s="577"/>
      <c r="M67" s="577"/>
      <c r="N67" s="577"/>
      <c r="O67" s="577"/>
      <c r="P67" s="577"/>
      <c r="Q67" s="583"/>
      <c r="R67" s="573"/>
      <c r="S67" s="575"/>
      <c r="T67" s="575"/>
      <c r="U67" s="575"/>
      <c r="V67" s="575"/>
      <c r="W67" s="575"/>
      <c r="Z67" s="575"/>
      <c r="BD67" s="92"/>
      <c r="BE67" s="92"/>
      <c r="CC67" s="138"/>
      <c r="CD67" s="138"/>
      <c r="CE67" s="138"/>
      <c r="CF67" s="138"/>
      <c r="CG67" s="138"/>
      <c r="CH67" s="138"/>
      <c r="CI67" s="138"/>
      <c r="CJ67" s="138"/>
    </row>
    <row r="68" spans="10:88" ht="15">
      <c r="J68" s="578"/>
      <c r="K68" s="506"/>
      <c r="L68" s="577"/>
      <c r="M68" s="577"/>
      <c r="N68" s="577"/>
      <c r="O68" s="577"/>
      <c r="P68" s="577"/>
      <c r="Q68" s="583"/>
      <c r="R68" s="575"/>
      <c r="S68" s="573"/>
      <c r="T68" s="573"/>
      <c r="U68" s="573"/>
      <c r="V68" s="573"/>
      <c r="W68" s="573"/>
      <c r="Z68" s="573"/>
      <c r="CC68" s="138"/>
      <c r="CD68" s="138"/>
      <c r="CE68" s="138"/>
      <c r="CF68" s="138"/>
      <c r="CG68" s="138"/>
      <c r="CH68" s="138"/>
      <c r="CI68" s="138"/>
      <c r="CJ68" s="138"/>
    </row>
    <row r="69" spans="10:88" ht="15">
      <c r="J69" s="578"/>
      <c r="K69" s="506"/>
      <c r="L69" s="577"/>
      <c r="M69" s="577"/>
      <c r="N69" s="577"/>
      <c r="O69" s="577"/>
      <c r="P69" s="577"/>
      <c r="Q69" s="583"/>
      <c r="R69" s="575"/>
      <c r="S69" s="575"/>
      <c r="T69" s="575"/>
      <c r="U69" s="575"/>
      <c r="V69" s="575"/>
      <c r="W69" s="575"/>
      <c r="X69" s="573"/>
      <c r="Y69" s="573"/>
      <c r="Z69" s="575"/>
      <c r="CA69" s="21"/>
      <c r="CB69" s="21"/>
      <c r="CC69" s="138"/>
      <c r="CD69" s="138"/>
      <c r="CE69" s="138"/>
      <c r="CF69" s="138"/>
      <c r="CG69" s="138"/>
      <c r="CH69" s="138"/>
      <c r="CI69" s="138"/>
      <c r="CJ69" s="138"/>
    </row>
    <row r="70" spans="10:88" ht="15">
      <c r="J70" s="578"/>
      <c r="K70" s="506"/>
      <c r="L70" s="577"/>
      <c r="M70" s="577"/>
      <c r="N70" s="577"/>
      <c r="O70" s="577"/>
      <c r="P70" s="577"/>
      <c r="Q70" s="583"/>
      <c r="R70" s="576"/>
      <c r="S70" s="575"/>
      <c r="T70" s="575"/>
      <c r="U70" s="575"/>
      <c r="V70" s="575"/>
      <c r="W70" s="575"/>
      <c r="X70" s="575"/>
      <c r="Y70" s="575"/>
      <c r="Z70" s="575"/>
      <c r="CC70" s="138"/>
      <c r="CD70" s="138"/>
      <c r="CE70" s="138"/>
      <c r="CF70" s="138"/>
      <c r="CG70" s="138"/>
      <c r="CH70" s="138"/>
      <c r="CI70" s="138"/>
      <c r="CJ70" s="138"/>
    </row>
    <row r="71" spans="11:88" ht="15">
      <c r="K71" s="506"/>
      <c r="L71" s="129"/>
      <c r="M71" s="129"/>
      <c r="N71" s="129"/>
      <c r="O71" s="129"/>
      <c r="P71" s="129"/>
      <c r="Q71" s="161"/>
      <c r="R71" s="576"/>
      <c r="S71" s="576"/>
      <c r="T71" s="576"/>
      <c r="U71" s="576"/>
      <c r="V71" s="576"/>
      <c r="W71" s="576"/>
      <c r="X71" s="573"/>
      <c r="Y71" s="573"/>
      <c r="Z71" s="576"/>
      <c r="CC71" s="138"/>
      <c r="CD71" s="138"/>
      <c r="CE71" s="138"/>
      <c r="CF71" s="138"/>
      <c r="CG71" s="138"/>
      <c r="CH71" s="138"/>
      <c r="CI71" s="138"/>
      <c r="CJ71" s="138"/>
    </row>
    <row r="72" spans="19:88" ht="15">
      <c r="S72" s="576"/>
      <c r="T72" s="576"/>
      <c r="U72" s="576"/>
      <c r="V72" s="576"/>
      <c r="W72" s="576"/>
      <c r="X72" s="575"/>
      <c r="Y72" s="575"/>
      <c r="Z72" s="576"/>
      <c r="CC72" s="138"/>
      <c r="CD72" s="138"/>
      <c r="CE72" s="138"/>
      <c r="CF72" s="138"/>
      <c r="CG72" s="138"/>
      <c r="CH72" s="138"/>
      <c r="CI72" s="138"/>
      <c r="CJ72" s="138"/>
    </row>
    <row r="73" spans="10:88" ht="15">
      <c r="J73" s="578"/>
      <c r="K73" s="506"/>
      <c r="L73" s="577"/>
      <c r="M73" s="577"/>
      <c r="N73" s="577"/>
      <c r="O73" s="577"/>
      <c r="P73" s="577"/>
      <c r="Q73" s="583"/>
      <c r="R73" s="577"/>
      <c r="X73" s="575"/>
      <c r="Y73" s="575"/>
      <c r="CC73" s="138"/>
      <c r="CD73" s="138"/>
      <c r="CE73" s="138"/>
      <c r="CF73" s="138"/>
      <c r="CG73" s="138"/>
      <c r="CH73" s="138"/>
      <c r="CI73" s="138"/>
      <c r="CJ73" s="138"/>
    </row>
    <row r="74" spans="18:88" ht="18" customHeight="1">
      <c r="R74" s="577"/>
      <c r="S74" s="577"/>
      <c r="T74" s="577"/>
      <c r="U74" s="577"/>
      <c r="V74" s="577"/>
      <c r="W74" s="577"/>
      <c r="X74" s="576"/>
      <c r="Y74" s="576"/>
      <c r="Z74" s="577"/>
      <c r="CC74" s="138"/>
      <c r="CD74" s="138"/>
      <c r="CE74" s="138"/>
      <c r="CF74" s="138"/>
      <c r="CG74" s="138"/>
      <c r="CH74" s="138"/>
      <c r="CI74" s="138"/>
      <c r="CJ74" s="138"/>
    </row>
    <row r="75" spans="10:88" ht="18" customHeight="1">
      <c r="J75" s="579"/>
      <c r="K75" s="506"/>
      <c r="L75" s="573"/>
      <c r="M75" s="573"/>
      <c r="N75" s="573"/>
      <c r="O75" s="573"/>
      <c r="P75" s="573"/>
      <c r="Q75" s="580"/>
      <c r="R75" s="577"/>
      <c r="S75" s="577"/>
      <c r="T75" s="577"/>
      <c r="U75" s="577"/>
      <c r="V75" s="577"/>
      <c r="W75" s="577"/>
      <c r="X75" s="576"/>
      <c r="Y75" s="576"/>
      <c r="Z75" s="577"/>
      <c r="CC75" s="138"/>
      <c r="CD75" s="138"/>
      <c r="CE75" s="138"/>
      <c r="CF75" s="138"/>
      <c r="CG75" s="138"/>
      <c r="CH75" s="138"/>
      <c r="CI75" s="138"/>
      <c r="CJ75" s="138"/>
    </row>
    <row r="76" spans="10:88" ht="15">
      <c r="J76" s="579"/>
      <c r="K76" s="506"/>
      <c r="L76" s="573"/>
      <c r="M76" s="573"/>
      <c r="N76" s="573"/>
      <c r="O76" s="573"/>
      <c r="P76" s="573"/>
      <c r="Q76" s="580"/>
      <c r="R76" s="577"/>
      <c r="S76" s="577"/>
      <c r="T76" s="577"/>
      <c r="U76" s="577"/>
      <c r="V76" s="577"/>
      <c r="W76" s="577"/>
      <c r="Z76" s="577"/>
      <c r="CC76" s="138"/>
      <c r="CD76" s="138"/>
      <c r="CE76" s="138"/>
      <c r="CF76" s="138"/>
      <c r="CG76" s="138"/>
      <c r="CH76" s="138"/>
      <c r="CI76" s="138"/>
      <c r="CJ76" s="138"/>
    </row>
    <row r="77" spans="10:88" ht="15">
      <c r="J77" s="579"/>
      <c r="K77" s="506"/>
      <c r="L77" s="573"/>
      <c r="M77" s="573"/>
      <c r="N77" s="573"/>
      <c r="O77" s="573"/>
      <c r="P77" s="573"/>
      <c r="Q77" s="580"/>
      <c r="R77" s="129"/>
      <c r="S77" s="577"/>
      <c r="T77" s="577"/>
      <c r="U77" s="577"/>
      <c r="V77" s="577"/>
      <c r="W77" s="577"/>
      <c r="X77" s="577"/>
      <c r="Y77" s="577"/>
      <c r="Z77" s="577"/>
      <c r="CC77" s="138"/>
      <c r="CD77" s="138"/>
      <c r="CE77" s="138"/>
      <c r="CF77" s="138"/>
      <c r="CG77" s="138"/>
      <c r="CH77" s="138"/>
      <c r="CI77" s="138"/>
      <c r="CJ77" s="138"/>
    </row>
    <row r="78" spans="10:88" ht="15">
      <c r="J78" s="579"/>
      <c r="K78" s="506"/>
      <c r="L78" s="573"/>
      <c r="M78" s="573"/>
      <c r="N78" s="573"/>
      <c r="O78" s="573"/>
      <c r="P78" s="573"/>
      <c r="Q78" s="580"/>
      <c r="S78" s="129"/>
      <c r="T78" s="129"/>
      <c r="U78" s="129"/>
      <c r="V78" s="129"/>
      <c r="W78" s="129"/>
      <c r="X78" s="577"/>
      <c r="Y78" s="577"/>
      <c r="Z78" s="129"/>
      <c r="CC78" s="138"/>
      <c r="CD78" s="138"/>
      <c r="CE78" s="138"/>
      <c r="CF78" s="138"/>
      <c r="CG78" s="138"/>
      <c r="CH78" s="138"/>
      <c r="CI78" s="138"/>
      <c r="CJ78" s="138"/>
    </row>
    <row r="79" spans="18:88" ht="15">
      <c r="R79" s="577"/>
      <c r="X79" s="577"/>
      <c r="Y79" s="577"/>
      <c r="CC79" s="138"/>
      <c r="CD79" s="138"/>
      <c r="CE79" s="138"/>
      <c r="CF79" s="138"/>
      <c r="CG79" s="138"/>
      <c r="CH79" s="138"/>
      <c r="CI79" s="138"/>
      <c r="CJ79" s="138"/>
    </row>
    <row r="80" spans="19:88" ht="15">
      <c r="S80" s="577"/>
      <c r="T80" s="577"/>
      <c r="U80" s="577"/>
      <c r="V80" s="577"/>
      <c r="W80" s="577"/>
      <c r="X80" s="577"/>
      <c r="Y80" s="577"/>
      <c r="Z80" s="577"/>
      <c r="CC80" s="138"/>
      <c r="CD80" s="138"/>
      <c r="CE80" s="138"/>
      <c r="CF80" s="138"/>
      <c r="CG80" s="138"/>
      <c r="CH80" s="138"/>
      <c r="CI80" s="138"/>
      <c r="CJ80" s="138"/>
    </row>
    <row r="81" spans="18:88" ht="15">
      <c r="R81" s="573"/>
      <c r="X81" s="129"/>
      <c r="Y81" s="129"/>
      <c r="CC81" s="138"/>
      <c r="CD81" s="138"/>
      <c r="CE81" s="138"/>
      <c r="CF81" s="138"/>
      <c r="CG81" s="138"/>
      <c r="CH81" s="138"/>
      <c r="CI81" s="138"/>
      <c r="CJ81" s="138"/>
    </row>
    <row r="82" spans="18:88" ht="15">
      <c r="R82" s="573"/>
      <c r="S82" s="573"/>
      <c r="T82" s="573"/>
      <c r="U82" s="573"/>
      <c r="V82" s="573"/>
      <c r="W82" s="573"/>
      <c r="Z82" s="573"/>
      <c r="CC82" s="138"/>
      <c r="CD82" s="138"/>
      <c r="CE82" s="138"/>
      <c r="CF82" s="138"/>
      <c r="CG82" s="138"/>
      <c r="CH82" s="138"/>
      <c r="CI82" s="138"/>
      <c r="CJ82" s="138"/>
    </row>
    <row r="83" spans="18:88" ht="15">
      <c r="R83" s="573"/>
      <c r="S83" s="573"/>
      <c r="T83" s="573"/>
      <c r="U83" s="573"/>
      <c r="V83" s="573"/>
      <c r="W83" s="573"/>
      <c r="X83" s="577"/>
      <c r="Y83" s="577"/>
      <c r="Z83" s="573"/>
      <c r="CC83" s="138"/>
      <c r="CD83" s="138"/>
      <c r="CE83" s="138"/>
      <c r="CF83" s="138"/>
      <c r="CG83" s="138"/>
      <c r="CH83" s="138"/>
      <c r="CI83" s="138"/>
      <c r="CJ83" s="138"/>
    </row>
    <row r="84" spans="18:88" ht="15">
      <c r="R84" s="573"/>
      <c r="S84" s="573"/>
      <c r="T84" s="573"/>
      <c r="U84" s="573"/>
      <c r="V84" s="573"/>
      <c r="W84" s="573"/>
      <c r="Z84" s="573"/>
      <c r="CC84" s="138"/>
      <c r="CD84" s="138"/>
      <c r="CE84" s="138"/>
      <c r="CF84" s="138"/>
      <c r="CG84" s="138"/>
      <c r="CH84" s="138"/>
      <c r="CI84" s="138"/>
      <c r="CJ84" s="138"/>
    </row>
    <row r="85" spans="19:88" ht="15">
      <c r="S85" s="573"/>
      <c r="T85" s="573"/>
      <c r="U85" s="573"/>
      <c r="V85" s="573"/>
      <c r="W85" s="573"/>
      <c r="X85" s="573"/>
      <c r="Y85" s="573"/>
      <c r="Z85" s="573"/>
      <c r="CC85" s="138"/>
      <c r="CD85" s="138"/>
      <c r="CE85" s="138"/>
      <c r="CF85" s="138"/>
      <c r="CG85" s="138"/>
      <c r="CH85" s="138"/>
      <c r="CI85" s="138"/>
      <c r="CJ85" s="138"/>
    </row>
    <row r="86" spans="24:88" ht="15">
      <c r="X86" s="573"/>
      <c r="Y86" s="573"/>
      <c r="CC86" s="138"/>
      <c r="CD86" s="138"/>
      <c r="CE86" s="138"/>
      <c r="CF86" s="138"/>
      <c r="CG86" s="138"/>
      <c r="CH86" s="138"/>
      <c r="CI86" s="138"/>
      <c r="CJ86" s="138"/>
    </row>
    <row r="87" spans="24:88" ht="15">
      <c r="X87" s="573"/>
      <c r="Y87" s="573"/>
      <c r="CI87" s="1"/>
      <c r="CJ87" s="1"/>
    </row>
    <row r="88" spans="24:25" ht="15">
      <c r="X88" s="573"/>
      <c r="Y88" s="573"/>
    </row>
    <row r="94" ht="16.5" customHeight="1"/>
    <row r="95" ht="16.5" customHeight="1"/>
    <row r="112" ht="16.5" customHeight="1"/>
  </sheetData>
  <sheetProtection sheet="1" objects="1" scenarios="1"/>
  <mergeCells count="72">
    <mergeCell ref="E18:G18"/>
    <mergeCell ref="G37:H37"/>
    <mergeCell ref="C43:D43"/>
    <mergeCell ref="A43:B43"/>
    <mergeCell ref="A31:D31"/>
    <mergeCell ref="A32:D32"/>
    <mergeCell ref="A25:H25"/>
    <mergeCell ref="S44:U44"/>
    <mergeCell ref="U40:V40"/>
    <mergeCell ref="U39:V39"/>
    <mergeCell ref="L39:M39"/>
    <mergeCell ref="L40:M40"/>
    <mergeCell ref="L42:M42"/>
    <mergeCell ref="L44:M44"/>
    <mergeCell ref="A1:H1"/>
    <mergeCell ref="U6:V6"/>
    <mergeCell ref="U7:V7"/>
    <mergeCell ref="I1:Q1"/>
    <mergeCell ref="R1:X1"/>
    <mergeCell ref="U8:V8"/>
    <mergeCell ref="U11:V11"/>
    <mergeCell ref="U12:V12"/>
    <mergeCell ref="U10:V10"/>
    <mergeCell ref="U9:V9"/>
    <mergeCell ref="U20:V20"/>
    <mergeCell ref="U13:V13"/>
    <mergeCell ref="U14:V14"/>
    <mergeCell ref="U15:V15"/>
    <mergeCell ref="U16:V16"/>
    <mergeCell ref="U17:V17"/>
    <mergeCell ref="U18:V18"/>
    <mergeCell ref="U19:V19"/>
    <mergeCell ref="U38:V38"/>
    <mergeCell ref="U28:V28"/>
    <mergeCell ref="U31:V31"/>
    <mergeCell ref="U32:V32"/>
    <mergeCell ref="U33:V33"/>
    <mergeCell ref="U35:V35"/>
    <mergeCell ref="U36:V36"/>
    <mergeCell ref="U37:V37"/>
    <mergeCell ref="U29:V29"/>
    <mergeCell ref="U30:V30"/>
    <mergeCell ref="L28:M28"/>
    <mergeCell ref="L30:M30"/>
    <mergeCell ref="U34:V34"/>
    <mergeCell ref="U25:V25"/>
    <mergeCell ref="L26:M26"/>
    <mergeCell ref="U27:V27"/>
    <mergeCell ref="U26:V26"/>
    <mergeCell ref="J24:K24"/>
    <mergeCell ref="J25:K25"/>
    <mergeCell ref="U21:V21"/>
    <mergeCell ref="U22:V22"/>
    <mergeCell ref="U23:V23"/>
    <mergeCell ref="U24:V24"/>
    <mergeCell ref="L24:M24"/>
    <mergeCell ref="L25:M25"/>
    <mergeCell ref="L38:M38"/>
    <mergeCell ref="J36:L36"/>
    <mergeCell ref="J37:K37"/>
    <mergeCell ref="J38:K38"/>
    <mergeCell ref="J19:K19"/>
    <mergeCell ref="J20:K20"/>
    <mergeCell ref="J21:K21"/>
    <mergeCell ref="J23:K23"/>
    <mergeCell ref="J22:L22"/>
    <mergeCell ref="J39:K39"/>
    <mergeCell ref="J44:K44"/>
    <mergeCell ref="J30:K30"/>
    <mergeCell ref="J33:K33"/>
    <mergeCell ref="J34:K34"/>
    <mergeCell ref="J35:K35"/>
  </mergeCells>
  <printOptions/>
  <pageMargins left="0.88" right="0.69" top="0.5" bottom="0.5" header="0.25" footer="0.25"/>
  <pageSetup horizontalDpi="600" verticalDpi="600" orientation="portrait" scale="85" r:id="rId4"/>
  <headerFooter alignWithMargins="0">
    <oddFooter>&amp;L&amp;9&amp;T, &amp;D&amp;C&amp;9Version 3.2&amp;R&amp;9&amp;A, Page &amp;P of &amp;N</oddFooter>
  </headerFooter>
  <colBreaks count="2" manualBreakCount="2">
    <brk id="8" max="65535" man="1"/>
    <brk id="17"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4" transitionEvaluation="1">
    <pageSetUpPr fitToPage="1"/>
  </sheetPr>
  <dimension ref="A1:IV60"/>
  <sheetViews>
    <sheetView showGridLines="0" showZeros="0" zoomScale="91" zoomScaleNormal="91" workbookViewId="0" topLeftCell="A1">
      <selection activeCell="G43" sqref="G43"/>
    </sheetView>
  </sheetViews>
  <sheetFormatPr defaultColWidth="9.77734375" defaultRowHeight="15"/>
  <cols>
    <col min="1" max="1" width="5.77734375" style="0" customWidth="1"/>
    <col min="2" max="2" width="17.77734375" style="0" customWidth="1"/>
    <col min="3" max="3" width="7.88671875" style="0" customWidth="1"/>
    <col min="4" max="4" width="8.4453125" style="0" hidden="1" customWidth="1"/>
    <col min="5" max="6" width="8.6640625" style="0" hidden="1" customWidth="1"/>
    <col min="7" max="9" width="8.6640625" style="0" customWidth="1"/>
    <col min="10" max="10" width="7.6640625" style="0" customWidth="1"/>
    <col min="11" max="11" width="8.4453125" style="0" customWidth="1"/>
    <col min="12" max="12" width="9.10546875" style="0" customWidth="1"/>
    <col min="13" max="13" width="6.77734375" style="0" customWidth="1"/>
    <col min="14" max="14" width="6.77734375" style="15" customWidth="1"/>
    <col min="15" max="15" width="8.77734375" style="16" customWidth="1"/>
    <col min="16" max="16" width="4.3359375" style="0" customWidth="1"/>
    <col min="17" max="17" width="5.21484375" style="0" customWidth="1"/>
    <col min="18" max="18" width="21.99609375" style="0" customWidth="1"/>
    <col min="19" max="19" width="6.10546875" style="0" customWidth="1"/>
    <col min="20" max="20" width="7.10546875" style="0" customWidth="1"/>
    <col min="21" max="21" width="8.21484375" style="0" customWidth="1"/>
    <col min="22" max="22" width="7.88671875" style="0" customWidth="1"/>
    <col min="23" max="23" width="6.6640625" style="0" customWidth="1"/>
    <col min="24" max="25" width="11.77734375" style="0" customWidth="1"/>
  </cols>
  <sheetData>
    <row r="1" spans="1:256" ht="17.25" customHeight="1">
      <c r="A1" s="642" t="s">
        <v>470</v>
      </c>
      <c r="B1" s="642"/>
      <c r="C1" s="642"/>
      <c r="D1" s="642"/>
      <c r="E1" s="642"/>
      <c r="F1" s="642"/>
      <c r="G1" s="642"/>
      <c r="H1" s="642"/>
      <c r="I1" s="642"/>
      <c r="J1" s="642"/>
      <c r="K1" s="642"/>
      <c r="L1" s="642"/>
      <c r="M1" s="642"/>
      <c r="N1" s="642"/>
      <c r="O1" s="642"/>
      <c r="P1" s="1"/>
      <c r="Q1" s="156" t="s">
        <v>0</v>
      </c>
      <c r="R1" s="286">
        <f>'Data Input'!B3</f>
        <v>0</v>
      </c>
      <c r="S1" s="325"/>
      <c r="T1" s="1"/>
      <c r="U1" s="156" t="s">
        <v>1</v>
      </c>
      <c r="V1" s="462">
        <f>'Data Input'!E3</f>
        <v>39541</v>
      </c>
      <c r="W1" s="1"/>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ht="15.75">
      <c r="A2" s="12" t="s">
        <v>478</v>
      </c>
      <c r="B2" s="158"/>
      <c r="C2" s="158"/>
      <c r="D2" s="158"/>
      <c r="E2" s="158"/>
      <c r="F2" s="158"/>
      <c r="G2" s="158"/>
      <c r="H2" s="158"/>
      <c r="I2" s="158"/>
      <c r="J2" s="158"/>
      <c r="K2" s="158"/>
      <c r="L2" s="158"/>
      <c r="M2" s="158"/>
      <c r="N2" s="158"/>
      <c r="O2" s="158"/>
      <c r="P2" s="1"/>
      <c r="Q2" s="1"/>
      <c r="R2" s="1"/>
      <c r="S2" s="1"/>
      <c r="T2" s="1"/>
      <c r="U2" s="1"/>
      <c r="V2" s="1"/>
      <c r="W2" s="1"/>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3" ht="15.75">
      <c r="A3" s="702" t="s">
        <v>0</v>
      </c>
      <c r="B3" s="702"/>
      <c r="C3" s="621">
        <f>Pond!B3</f>
        <v>0</v>
      </c>
      <c r="D3" s="621"/>
      <c r="E3" s="621"/>
      <c r="F3" s="621"/>
      <c r="G3" s="621"/>
      <c r="H3" s="621"/>
      <c r="I3" s="12"/>
      <c r="J3" s="67"/>
      <c r="K3" s="67"/>
      <c r="L3" t="s">
        <v>214</v>
      </c>
      <c r="M3" s="292"/>
      <c r="N3" s="284">
        <f>+'Data Input'!H3</f>
        <v>0</v>
      </c>
      <c r="O3" s="13"/>
      <c r="P3" s="1"/>
      <c r="Q3" s="1"/>
      <c r="R3" s="2" t="s">
        <v>310</v>
      </c>
      <c r="S3" s="1"/>
      <c r="T3" s="1"/>
      <c r="U3" s="1"/>
      <c r="V3" s="1"/>
      <c r="W3" s="1"/>
    </row>
    <row r="4" spans="2:23" ht="15.75" thickBot="1">
      <c r="B4" s="270" t="s">
        <v>1</v>
      </c>
      <c r="C4" s="703">
        <f>Pond!B4</f>
        <v>39541</v>
      </c>
      <c r="D4" s="703"/>
      <c r="E4" s="703"/>
      <c r="F4" s="703"/>
      <c r="G4" s="703"/>
      <c r="H4" s="122"/>
      <c r="I4" s="122"/>
      <c r="L4" t="s">
        <v>213</v>
      </c>
      <c r="M4" s="285"/>
      <c r="N4" s="285"/>
      <c r="P4" s="119"/>
      <c r="Q4" s="119"/>
      <c r="R4" s="119"/>
      <c r="S4" s="144"/>
      <c r="T4" s="142"/>
      <c r="U4" s="1"/>
      <c r="V4" s="1"/>
      <c r="W4" s="1"/>
    </row>
    <row r="5" spans="1:23" ht="15.75">
      <c r="A5" s="67"/>
      <c r="B5" s="12"/>
      <c r="C5" s="67"/>
      <c r="D5" s="67"/>
      <c r="E5" s="67"/>
      <c r="F5" s="67"/>
      <c r="G5" s="67"/>
      <c r="H5" s="67"/>
      <c r="I5" s="67"/>
      <c r="J5" s="67"/>
      <c r="N5" s="67"/>
      <c r="O5" s="67"/>
      <c r="P5" s="119"/>
      <c r="Q5" s="307" t="s">
        <v>91</v>
      </c>
      <c r="R5" s="308" t="s">
        <v>127</v>
      </c>
      <c r="S5" s="308" t="s">
        <v>90</v>
      </c>
      <c r="T5" s="308" t="s">
        <v>123</v>
      </c>
      <c r="U5" s="309" t="s">
        <v>124</v>
      </c>
      <c r="V5" s="142"/>
      <c r="W5" s="142"/>
    </row>
    <row r="6" spans="1:23" ht="15">
      <c r="A6" s="68" t="s">
        <v>91</v>
      </c>
      <c r="B6" s="68"/>
      <c r="C6" s="68"/>
      <c r="D6" s="697" t="s">
        <v>439</v>
      </c>
      <c r="E6" s="699" t="s">
        <v>440</v>
      </c>
      <c r="F6" s="701" t="s">
        <v>446</v>
      </c>
      <c r="G6" s="697" t="s">
        <v>443</v>
      </c>
      <c r="H6" s="699" t="s">
        <v>444</v>
      </c>
      <c r="I6" s="701" t="s">
        <v>447</v>
      </c>
      <c r="J6" s="446" t="s">
        <v>92</v>
      </c>
      <c r="K6" s="69" t="s">
        <v>97</v>
      </c>
      <c r="L6" s="70" t="s">
        <v>98</v>
      </c>
      <c r="M6" s="695" t="s">
        <v>120</v>
      </c>
      <c r="N6" s="696"/>
      <c r="O6" s="68" t="s">
        <v>445</v>
      </c>
      <c r="P6" s="1"/>
      <c r="Q6" s="310" t="s">
        <v>94</v>
      </c>
      <c r="R6" s="311" t="s">
        <v>126</v>
      </c>
      <c r="S6" s="312"/>
      <c r="T6" s="311" t="s">
        <v>122</v>
      </c>
      <c r="U6" s="313" t="s">
        <v>92</v>
      </c>
      <c r="V6" s="142"/>
      <c r="W6" s="142"/>
    </row>
    <row r="7" spans="1:23" ht="15">
      <c r="A7" s="68" t="s">
        <v>94</v>
      </c>
      <c r="B7" s="68" t="s">
        <v>95</v>
      </c>
      <c r="C7" s="68" t="s">
        <v>32</v>
      </c>
      <c r="D7" s="698"/>
      <c r="E7" s="700"/>
      <c r="F7" s="699"/>
      <c r="G7" s="698"/>
      <c r="H7" s="700"/>
      <c r="I7" s="699"/>
      <c r="J7" s="446" t="s">
        <v>96</v>
      </c>
      <c r="K7" s="69" t="s">
        <v>61</v>
      </c>
      <c r="L7" s="70" t="s">
        <v>61</v>
      </c>
      <c r="M7" s="70" t="s">
        <v>253</v>
      </c>
      <c r="N7" s="68" t="s">
        <v>121</v>
      </c>
      <c r="O7" s="68" t="s">
        <v>93</v>
      </c>
      <c r="P7" s="119"/>
      <c r="Q7" s="314"/>
      <c r="R7" s="311"/>
      <c r="S7" s="311"/>
      <c r="T7" s="311"/>
      <c r="U7" s="313" t="s">
        <v>125</v>
      </c>
      <c r="V7" s="142"/>
      <c r="W7" s="142"/>
    </row>
    <row r="8" spans="1:23" ht="15">
      <c r="A8" s="213">
        <f>'Data Input'!A32</f>
        <v>0</v>
      </c>
      <c r="B8" s="445" t="str">
        <f aca="true" t="shared" si="0" ref="B8:B32">IF(A8=0," ",VLOOKUP(A8,$Q$8:$U$34,2,FALSE))</f>
        <v> </v>
      </c>
      <c r="C8" s="213">
        <f>'Data Input'!C32</f>
        <v>0</v>
      </c>
      <c r="D8" s="260">
        <f>'Data Input'!G32</f>
        <v>0</v>
      </c>
      <c r="E8" s="260">
        <f>'Data Input'!H32</f>
        <v>0</v>
      </c>
      <c r="F8" s="260">
        <f>'Data Input'!I32</f>
        <v>0</v>
      </c>
      <c r="G8" s="260">
        <f>D8*C8/2000</f>
        <v>0</v>
      </c>
      <c r="H8" s="260">
        <f>C8*E8/2000</f>
        <v>0</v>
      </c>
      <c r="I8" s="260">
        <f>F8*C8/2000</f>
        <v>0</v>
      </c>
      <c r="J8" s="213">
        <f>'Data Input'!D32</f>
        <v>0</v>
      </c>
      <c r="K8" s="216">
        <f>'Data Input'!E32</f>
        <v>0</v>
      </c>
      <c r="L8" s="216">
        <f>'Data Input'!F32</f>
        <v>0</v>
      </c>
      <c r="M8" s="260">
        <f>+N8*J8</f>
        <v>0</v>
      </c>
      <c r="N8" s="215" t="str">
        <f aca="true" t="shared" si="1" ref="N8:N27">IF(A8=0," ",IF(AND(K8&lt;&gt;0,L8&lt;&gt;0),(1-K8)*L8*2000*0.16,VLOOKUP(A8,$Q$8:$U$34,4,FALSE)))</f>
        <v> </v>
      </c>
      <c r="O8" s="214">
        <f aca="true" t="shared" si="2" ref="O8:O27">C8*J8*N8/2000</f>
        <v>0</v>
      </c>
      <c r="P8" s="119"/>
      <c r="Q8" s="315">
        <f>'Data Input'!S5</f>
        <v>1</v>
      </c>
      <c r="R8" s="316" t="str">
        <f>'Data Input'!T5</f>
        <v>Alfalfa hay</v>
      </c>
      <c r="S8" s="317" t="str">
        <f>'Data Input'!U5</f>
        <v>tons</v>
      </c>
      <c r="T8" s="463">
        <f>'Data Input'!Y5</f>
        <v>60</v>
      </c>
      <c r="U8" s="464">
        <f>'Data Input'!V5</f>
        <v>8</v>
      </c>
      <c r="V8" s="326"/>
      <c r="W8" s="326"/>
    </row>
    <row r="9" spans="1:23" ht="15">
      <c r="A9" s="213">
        <f>'Data Input'!A33</f>
        <v>0</v>
      </c>
      <c r="B9" s="445" t="str">
        <f t="shared" si="0"/>
        <v> </v>
      </c>
      <c r="C9" s="213">
        <f>'Data Input'!C33</f>
        <v>0</v>
      </c>
      <c r="D9" s="213">
        <f>'Data Input'!G33</f>
        <v>0</v>
      </c>
      <c r="E9" s="213">
        <f>'Data Input'!H33</f>
        <v>0</v>
      </c>
      <c r="F9" s="213">
        <f>'Data Input'!I33</f>
        <v>0</v>
      </c>
      <c r="G9" s="213">
        <f aca="true" t="shared" si="3" ref="G9:G27">D9*C9/2000</f>
        <v>0</v>
      </c>
      <c r="H9" s="213">
        <f aca="true" t="shared" si="4" ref="H9:H27">C9*E9/2000</f>
        <v>0</v>
      </c>
      <c r="I9" s="213">
        <f aca="true" t="shared" si="5" ref="I9:I27">F9*C9/2000</f>
        <v>0</v>
      </c>
      <c r="J9" s="213">
        <f>'Data Input'!D33</f>
        <v>0</v>
      </c>
      <c r="K9" s="216">
        <f>'Data Input'!E33</f>
        <v>0</v>
      </c>
      <c r="L9" s="216">
        <f>'Data Input'!F33</f>
        <v>0</v>
      </c>
      <c r="M9" s="260">
        <f>+N9*J9</f>
        <v>0</v>
      </c>
      <c r="N9" s="215" t="str">
        <f t="shared" si="1"/>
        <v> </v>
      </c>
      <c r="O9" s="214">
        <f t="shared" si="2"/>
        <v>0</v>
      </c>
      <c r="P9" s="119"/>
      <c r="Q9" s="315">
        <f>'Data Input'!S6</f>
        <v>2</v>
      </c>
      <c r="R9" s="316" t="str">
        <f>'Data Input'!T6</f>
        <v>Barley (grain)</v>
      </c>
      <c r="S9" s="317" t="str">
        <f>'Data Input'!U6</f>
        <v>tons</v>
      </c>
      <c r="T9" s="463">
        <f>'Data Input'!Y6</f>
        <v>64</v>
      </c>
      <c r="U9" s="464">
        <f>'Data Input'!V6</f>
        <v>2.5</v>
      </c>
      <c r="V9" s="326"/>
      <c r="W9" s="326"/>
    </row>
    <row r="10" spans="1:23" ht="15">
      <c r="A10" s="213">
        <f>'Data Input'!A34</f>
        <v>0</v>
      </c>
      <c r="B10" s="445" t="str">
        <f t="shared" si="0"/>
        <v> </v>
      </c>
      <c r="C10" s="213">
        <f>'Data Input'!C34</f>
        <v>0</v>
      </c>
      <c r="D10" s="213">
        <f>'Data Input'!G34</f>
        <v>0</v>
      </c>
      <c r="E10" s="213">
        <f>'Data Input'!H34</f>
        <v>0</v>
      </c>
      <c r="F10" s="213">
        <f>'Data Input'!I34</f>
        <v>0</v>
      </c>
      <c r="G10" s="213">
        <f t="shared" si="3"/>
        <v>0</v>
      </c>
      <c r="H10" s="213">
        <f t="shared" si="4"/>
        <v>0</v>
      </c>
      <c r="I10" s="213">
        <f t="shared" si="5"/>
        <v>0</v>
      </c>
      <c r="J10" s="213">
        <f>'Data Input'!D34</f>
        <v>0</v>
      </c>
      <c r="K10" s="216">
        <f>'Data Input'!E34</f>
        <v>0</v>
      </c>
      <c r="L10" s="216">
        <f>'Data Input'!F34</f>
        <v>0</v>
      </c>
      <c r="M10" s="260">
        <f aca="true" t="shared" si="6" ref="M10:M27">+N10*J10</f>
        <v>0</v>
      </c>
      <c r="N10" s="215" t="str">
        <f t="shared" si="1"/>
        <v> </v>
      </c>
      <c r="O10" s="214">
        <f t="shared" si="2"/>
        <v>0</v>
      </c>
      <c r="P10" s="119"/>
      <c r="Q10" s="315">
        <f>'Data Input'!S7</f>
        <v>3</v>
      </c>
      <c r="R10" s="316" t="str">
        <f>'Data Input'!T7</f>
        <v>Barley Silage, boot stage</v>
      </c>
      <c r="S10" s="317" t="str">
        <f>'Data Input'!U7</f>
        <v>tons</v>
      </c>
      <c r="T10" s="463">
        <f>'Data Input'!Y7</f>
        <v>16</v>
      </c>
      <c r="U10" s="464">
        <f>'Data Input'!V7</f>
        <v>8</v>
      </c>
      <c r="V10" s="326"/>
      <c r="W10" s="326"/>
    </row>
    <row r="11" spans="1:23" ht="15">
      <c r="A11" s="213">
        <f>'Data Input'!A35</f>
        <v>0</v>
      </c>
      <c r="B11" s="445" t="str">
        <f t="shared" si="0"/>
        <v> </v>
      </c>
      <c r="C11" s="213">
        <f>'Data Input'!C35</f>
        <v>0</v>
      </c>
      <c r="D11" s="213">
        <f>'Data Input'!G35</f>
        <v>0</v>
      </c>
      <c r="E11" s="213">
        <f>'Data Input'!H35</f>
        <v>0</v>
      </c>
      <c r="F11" s="213">
        <f>'Data Input'!I35</f>
        <v>0</v>
      </c>
      <c r="G11" s="213">
        <f t="shared" si="3"/>
        <v>0</v>
      </c>
      <c r="H11" s="213">
        <f t="shared" si="4"/>
        <v>0</v>
      </c>
      <c r="I11" s="213">
        <f t="shared" si="5"/>
        <v>0</v>
      </c>
      <c r="J11" s="213">
        <f>'Data Input'!D35</f>
        <v>0</v>
      </c>
      <c r="K11" s="216">
        <f>'Data Input'!E35</f>
        <v>0</v>
      </c>
      <c r="L11" s="216">
        <f>'Data Input'!F35</f>
        <v>0</v>
      </c>
      <c r="M11" s="260">
        <f t="shared" si="6"/>
        <v>0</v>
      </c>
      <c r="N11" s="215" t="str">
        <f t="shared" si="1"/>
        <v> </v>
      </c>
      <c r="O11" s="214">
        <f t="shared" si="2"/>
        <v>0</v>
      </c>
      <c r="P11" s="119"/>
      <c r="Q11" s="315">
        <f>'Data Input'!S8</f>
        <v>4</v>
      </c>
      <c r="R11" s="316" t="str">
        <f>'Data Input'!T8</f>
        <v>Barley Silage, soft dough</v>
      </c>
      <c r="S11" s="317" t="str">
        <f>'Data Input'!U8</f>
        <v>tons</v>
      </c>
      <c r="T11" s="463">
        <f>'Data Input'!Y8</f>
        <v>10</v>
      </c>
      <c r="U11" s="464">
        <f>'Data Input'!V8</f>
        <v>16</v>
      </c>
      <c r="V11" s="326"/>
      <c r="W11" s="326"/>
    </row>
    <row r="12" spans="1:23" ht="15">
      <c r="A12" s="213">
        <f>'Data Input'!A36</f>
        <v>0</v>
      </c>
      <c r="B12" s="445" t="str">
        <f t="shared" si="0"/>
        <v> </v>
      </c>
      <c r="C12" s="213">
        <f>'Data Input'!C36</f>
        <v>0</v>
      </c>
      <c r="D12" s="213">
        <f>'Data Input'!G36</f>
        <v>0</v>
      </c>
      <c r="E12" s="213">
        <f>'Data Input'!H36</f>
        <v>0</v>
      </c>
      <c r="F12" s="213">
        <f>'Data Input'!I36</f>
        <v>0</v>
      </c>
      <c r="G12" s="213">
        <f t="shared" si="3"/>
        <v>0</v>
      </c>
      <c r="H12" s="213">
        <f t="shared" si="4"/>
        <v>0</v>
      </c>
      <c r="I12" s="213">
        <f t="shared" si="5"/>
        <v>0</v>
      </c>
      <c r="J12" s="213">
        <f>'Data Input'!D36</f>
        <v>0</v>
      </c>
      <c r="K12" s="216">
        <f>'Data Input'!E36</f>
        <v>0</v>
      </c>
      <c r="L12" s="216">
        <f>'Data Input'!F36</f>
        <v>0</v>
      </c>
      <c r="M12" s="260">
        <f t="shared" si="6"/>
        <v>0</v>
      </c>
      <c r="N12" s="215" t="str">
        <f t="shared" si="1"/>
        <v> </v>
      </c>
      <c r="O12" s="214">
        <f t="shared" si="2"/>
        <v>0</v>
      </c>
      <c r="P12" s="119"/>
      <c r="Q12" s="315">
        <f>'Data Input'!S9</f>
        <v>5</v>
      </c>
      <c r="R12" s="316" t="str">
        <f>'Data Input'!T9</f>
        <v>Bermudagrass, hay</v>
      </c>
      <c r="S12" s="317" t="str">
        <f>'Data Input'!U9</f>
        <v>tons</v>
      </c>
      <c r="T12" s="463">
        <f>'Data Input'!Y9</f>
        <v>35</v>
      </c>
      <c r="U12" s="464">
        <f>'Data Input'!V9</f>
        <v>8</v>
      </c>
      <c r="V12" s="326"/>
      <c r="W12" s="326"/>
    </row>
    <row r="13" spans="1:23" ht="15">
      <c r="A13" s="213">
        <f>'Data Input'!A37</f>
        <v>0</v>
      </c>
      <c r="B13" s="445" t="str">
        <f t="shared" si="0"/>
        <v> </v>
      </c>
      <c r="C13" s="213">
        <f>'Data Input'!C37</f>
        <v>0</v>
      </c>
      <c r="D13" s="213">
        <f>'Data Input'!G37</f>
        <v>0</v>
      </c>
      <c r="E13" s="213">
        <f>'Data Input'!H37</f>
        <v>0</v>
      </c>
      <c r="F13" s="213">
        <f>'Data Input'!I37</f>
        <v>0</v>
      </c>
      <c r="G13" s="213">
        <f t="shared" si="3"/>
        <v>0</v>
      </c>
      <c r="H13" s="213">
        <f t="shared" si="4"/>
        <v>0</v>
      </c>
      <c r="I13" s="213">
        <f t="shared" si="5"/>
        <v>0</v>
      </c>
      <c r="J13" s="213">
        <f>'Data Input'!D37</f>
        <v>0</v>
      </c>
      <c r="K13" s="216">
        <f>'Data Input'!E37</f>
        <v>0</v>
      </c>
      <c r="L13" s="216">
        <f>'Data Input'!F37</f>
        <v>0</v>
      </c>
      <c r="M13" s="260">
        <f t="shared" si="6"/>
        <v>0</v>
      </c>
      <c r="N13" s="215" t="str">
        <f t="shared" si="1"/>
        <v> </v>
      </c>
      <c r="O13" s="214">
        <f t="shared" si="2"/>
        <v>0</v>
      </c>
      <c r="P13" s="119"/>
      <c r="Q13" s="315">
        <f>'Data Input'!S10</f>
        <v>6</v>
      </c>
      <c r="R13" s="316" t="str">
        <f>'Data Input'!T10</f>
        <v>Corn (grain)</v>
      </c>
      <c r="S13" s="317" t="str">
        <f>'Data Input'!U10</f>
        <v>tons</v>
      </c>
      <c r="T13" s="463">
        <f>'Data Input'!Y10</f>
        <v>48</v>
      </c>
      <c r="U13" s="464">
        <f>'Data Input'!V10</f>
        <v>5</v>
      </c>
      <c r="V13" s="326"/>
      <c r="W13" s="326"/>
    </row>
    <row r="14" spans="1:23" ht="15">
      <c r="A14" s="213">
        <f>'Data Input'!A38</f>
        <v>0</v>
      </c>
      <c r="B14" s="445" t="str">
        <f t="shared" si="0"/>
        <v> </v>
      </c>
      <c r="C14" s="213">
        <f>'Data Input'!C38</f>
        <v>0</v>
      </c>
      <c r="D14" s="213">
        <f>'Data Input'!G38</f>
        <v>0</v>
      </c>
      <c r="E14" s="213">
        <f>'Data Input'!H38</f>
        <v>0</v>
      </c>
      <c r="F14" s="213">
        <f>'Data Input'!I38</f>
        <v>0</v>
      </c>
      <c r="G14" s="213">
        <f t="shared" si="3"/>
        <v>0</v>
      </c>
      <c r="H14" s="213">
        <f t="shared" si="4"/>
        <v>0</v>
      </c>
      <c r="I14" s="213">
        <f t="shared" si="5"/>
        <v>0</v>
      </c>
      <c r="J14" s="213">
        <f>'Data Input'!D38</f>
        <v>0</v>
      </c>
      <c r="K14" s="216">
        <f>'Data Input'!E38</f>
        <v>0</v>
      </c>
      <c r="L14" s="216">
        <f>'Data Input'!F38</f>
        <v>0</v>
      </c>
      <c r="M14" s="260">
        <f t="shared" si="6"/>
        <v>0</v>
      </c>
      <c r="N14" s="215" t="str">
        <f t="shared" si="1"/>
        <v> </v>
      </c>
      <c r="O14" s="214">
        <f t="shared" si="2"/>
        <v>0</v>
      </c>
      <c r="P14" s="119"/>
      <c r="Q14" s="315">
        <f>'Data Input'!S11</f>
        <v>7</v>
      </c>
      <c r="R14" s="316" t="str">
        <f>'Data Input'!T11</f>
        <v>Corn (silage)</v>
      </c>
      <c r="S14" s="317" t="str">
        <f>'Data Input'!U11</f>
        <v>tons</v>
      </c>
      <c r="T14" s="463">
        <f>'Data Input'!Y11</f>
        <v>8.3</v>
      </c>
      <c r="U14" s="464">
        <f>'Data Input'!V11</f>
        <v>30</v>
      </c>
      <c r="V14" s="326"/>
      <c r="W14" s="326"/>
    </row>
    <row r="15" spans="1:23" ht="15">
      <c r="A15" s="213">
        <f>'Data Input'!A39</f>
        <v>0</v>
      </c>
      <c r="B15" s="445" t="str">
        <f t="shared" si="0"/>
        <v> </v>
      </c>
      <c r="C15" s="213">
        <f>'Data Input'!C39</f>
        <v>0</v>
      </c>
      <c r="D15" s="213">
        <f>'Data Input'!G39</f>
        <v>0</v>
      </c>
      <c r="E15" s="213">
        <f>'Data Input'!H39</f>
        <v>0</v>
      </c>
      <c r="F15" s="213">
        <f>'Data Input'!I39</f>
        <v>0</v>
      </c>
      <c r="G15" s="213">
        <f t="shared" si="3"/>
        <v>0</v>
      </c>
      <c r="H15" s="213">
        <f t="shared" si="4"/>
        <v>0</v>
      </c>
      <c r="I15" s="213">
        <f t="shared" si="5"/>
        <v>0</v>
      </c>
      <c r="J15" s="213">
        <f>'Data Input'!D39</f>
        <v>0</v>
      </c>
      <c r="K15" s="216">
        <f>'Data Input'!E39</f>
        <v>0</v>
      </c>
      <c r="L15" s="216">
        <f>'Data Input'!F39</f>
        <v>0</v>
      </c>
      <c r="M15" s="260">
        <f t="shared" si="6"/>
        <v>0</v>
      </c>
      <c r="N15" s="215" t="str">
        <f t="shared" si="1"/>
        <v> </v>
      </c>
      <c r="O15" s="214">
        <f t="shared" si="2"/>
        <v>0</v>
      </c>
      <c r="P15" s="119"/>
      <c r="Q15" s="315">
        <f>'Data Input'!S12</f>
        <v>8</v>
      </c>
      <c r="R15" s="316" t="str">
        <f>'Data Input'!T12</f>
        <v>Cotton</v>
      </c>
      <c r="S15" s="317" t="str">
        <f>'Data Input'!U12</f>
        <v>bale</v>
      </c>
      <c r="T15" s="463">
        <f>'Data Input'!Y12</f>
        <v>80</v>
      </c>
      <c r="U15" s="464">
        <f>'Data Input'!V12</f>
        <v>3</v>
      </c>
      <c r="V15" s="326"/>
      <c r="W15" s="326"/>
    </row>
    <row r="16" spans="1:23" ht="15">
      <c r="A16" s="213">
        <f>'Data Input'!A40</f>
        <v>0</v>
      </c>
      <c r="B16" s="445" t="str">
        <f t="shared" si="0"/>
        <v> </v>
      </c>
      <c r="C16" s="213">
        <f>'Data Input'!C40</f>
        <v>0</v>
      </c>
      <c r="D16" s="213">
        <f>'Data Input'!G40</f>
        <v>0</v>
      </c>
      <c r="E16" s="213">
        <f>'Data Input'!H40</f>
        <v>0</v>
      </c>
      <c r="F16" s="213">
        <f>'Data Input'!I40</f>
        <v>0</v>
      </c>
      <c r="G16" s="213">
        <f t="shared" si="3"/>
        <v>0</v>
      </c>
      <c r="H16" s="213">
        <f t="shared" si="4"/>
        <v>0</v>
      </c>
      <c r="I16" s="213">
        <f t="shared" si="5"/>
        <v>0</v>
      </c>
      <c r="J16" s="213">
        <f>'Data Input'!D40</f>
        <v>0</v>
      </c>
      <c r="K16" s="216">
        <f>'Data Input'!E40</f>
        <v>0</v>
      </c>
      <c r="L16" s="216">
        <f>'Data Input'!F40</f>
        <v>0</v>
      </c>
      <c r="M16" s="260">
        <f t="shared" si="6"/>
        <v>0</v>
      </c>
      <c r="N16" s="215" t="str">
        <f t="shared" si="1"/>
        <v> </v>
      </c>
      <c r="O16" s="214">
        <f t="shared" si="2"/>
        <v>0</v>
      </c>
      <c r="P16" s="119"/>
      <c r="Q16" s="315">
        <f>'Data Input'!S13</f>
        <v>9</v>
      </c>
      <c r="R16" s="316" t="str">
        <f>'Data Input'!T13</f>
        <v>Clover-grass, hay</v>
      </c>
      <c r="S16" s="317" t="str">
        <f>'Data Input'!U13</f>
        <v>tons</v>
      </c>
      <c r="T16" s="463">
        <f>'Data Input'!Y13</f>
        <v>38</v>
      </c>
      <c r="U16" s="464">
        <f>'Data Input'!V13</f>
        <v>6</v>
      </c>
      <c r="V16" s="326"/>
      <c r="W16" s="326"/>
    </row>
    <row r="17" spans="1:23" ht="15">
      <c r="A17" s="213">
        <f>'Data Input'!A41</f>
        <v>0</v>
      </c>
      <c r="B17" s="445" t="str">
        <f t="shared" si="0"/>
        <v> </v>
      </c>
      <c r="C17" s="213">
        <f>'Data Input'!C41</f>
        <v>0</v>
      </c>
      <c r="D17" s="213">
        <f>'Data Input'!G41</f>
        <v>0</v>
      </c>
      <c r="E17" s="213">
        <f>'Data Input'!H41</f>
        <v>0</v>
      </c>
      <c r="F17" s="213">
        <f>'Data Input'!I41</f>
        <v>0</v>
      </c>
      <c r="G17" s="213">
        <f t="shared" si="3"/>
        <v>0</v>
      </c>
      <c r="H17" s="213">
        <f t="shared" si="4"/>
        <v>0</v>
      </c>
      <c r="I17" s="213">
        <f t="shared" si="5"/>
        <v>0</v>
      </c>
      <c r="J17" s="213">
        <f>'Data Input'!D41</f>
        <v>0</v>
      </c>
      <c r="K17" s="216">
        <f>'Data Input'!E41</f>
        <v>0</v>
      </c>
      <c r="L17" s="216">
        <f>'Data Input'!F41</f>
        <v>0</v>
      </c>
      <c r="M17" s="260">
        <f t="shared" si="6"/>
        <v>0</v>
      </c>
      <c r="N17" s="215" t="str">
        <f t="shared" si="1"/>
        <v> </v>
      </c>
      <c r="O17" s="214">
        <f t="shared" si="2"/>
        <v>0</v>
      </c>
      <c r="P17" s="119"/>
      <c r="Q17" s="315">
        <f>'Data Input'!S14</f>
        <v>10</v>
      </c>
      <c r="R17" s="316" t="str">
        <f>'Data Input'!T14</f>
        <v>Oats (grain)</v>
      </c>
      <c r="S17" s="317" t="str">
        <f>'Data Input'!U14</f>
        <v>tons</v>
      </c>
      <c r="T17" s="463">
        <f>'Data Input'!Y14</f>
        <v>100</v>
      </c>
      <c r="U17" s="464">
        <f>'Data Input'!V14</f>
        <v>1.6</v>
      </c>
      <c r="V17" s="326"/>
      <c r="W17" s="326"/>
    </row>
    <row r="18" spans="1:23" ht="15">
      <c r="A18" s="213">
        <f>'Data Input'!A42</f>
        <v>0</v>
      </c>
      <c r="B18" s="445" t="str">
        <f t="shared" si="0"/>
        <v> </v>
      </c>
      <c r="C18" s="213">
        <f>'Data Input'!C42</f>
        <v>0</v>
      </c>
      <c r="D18" s="213">
        <f>'Data Input'!G42</f>
        <v>0</v>
      </c>
      <c r="E18" s="213">
        <f>'Data Input'!H42</f>
        <v>0</v>
      </c>
      <c r="F18" s="213">
        <f>'Data Input'!I42</f>
        <v>0</v>
      </c>
      <c r="G18" s="213">
        <f t="shared" si="3"/>
        <v>0</v>
      </c>
      <c r="H18" s="213">
        <f t="shared" si="4"/>
        <v>0</v>
      </c>
      <c r="I18" s="213">
        <f t="shared" si="5"/>
        <v>0</v>
      </c>
      <c r="J18" s="213">
        <f>'Data Input'!D42</f>
        <v>0</v>
      </c>
      <c r="K18" s="216">
        <f>'Data Input'!E42</f>
        <v>0</v>
      </c>
      <c r="L18" s="216">
        <f>'Data Input'!F42</f>
        <v>0</v>
      </c>
      <c r="M18" s="260">
        <f t="shared" si="6"/>
        <v>0</v>
      </c>
      <c r="N18" s="215" t="str">
        <f t="shared" si="1"/>
        <v> </v>
      </c>
      <c r="O18" s="214">
        <f t="shared" si="2"/>
        <v>0</v>
      </c>
      <c r="P18" s="119"/>
      <c r="Q18" s="315">
        <f>'Data Input'!S15</f>
        <v>11</v>
      </c>
      <c r="R18" s="316" t="str">
        <f>'Data Input'!T15</f>
        <v>Oats silage, soft dough</v>
      </c>
      <c r="S18" s="317" t="str">
        <f>'Data Input'!U15</f>
        <v>tons</v>
      </c>
      <c r="T18" s="463">
        <f>'Data Input'!Y15</f>
        <v>10</v>
      </c>
      <c r="U18" s="464">
        <f>'Data Input'!V15</f>
        <v>12</v>
      </c>
      <c r="V18" s="326"/>
      <c r="W18" s="326"/>
    </row>
    <row r="19" spans="1:23" ht="15">
      <c r="A19" s="213">
        <f>'Data Input'!A43</f>
        <v>0</v>
      </c>
      <c r="B19" s="445" t="str">
        <f t="shared" si="0"/>
        <v> </v>
      </c>
      <c r="C19" s="213">
        <f>'Data Input'!C43</f>
        <v>0</v>
      </c>
      <c r="D19" s="213">
        <f>'Data Input'!G43</f>
        <v>0</v>
      </c>
      <c r="E19" s="213">
        <f>'Data Input'!H43</f>
        <v>0</v>
      </c>
      <c r="F19" s="213">
        <f>'Data Input'!I43</f>
        <v>0</v>
      </c>
      <c r="G19" s="213">
        <f t="shared" si="3"/>
        <v>0</v>
      </c>
      <c r="H19" s="213">
        <f t="shared" si="4"/>
        <v>0</v>
      </c>
      <c r="I19" s="213">
        <f t="shared" si="5"/>
        <v>0</v>
      </c>
      <c r="J19" s="213">
        <f>'Data Input'!D43</f>
        <v>0</v>
      </c>
      <c r="K19" s="216">
        <f>'Data Input'!E43</f>
        <v>0</v>
      </c>
      <c r="L19" s="216">
        <f>'Data Input'!F43</f>
        <v>0</v>
      </c>
      <c r="M19" s="260">
        <f t="shared" si="6"/>
        <v>0</v>
      </c>
      <c r="N19" s="215" t="str">
        <f t="shared" si="1"/>
        <v> </v>
      </c>
      <c r="O19" s="214">
        <f t="shared" si="2"/>
        <v>0</v>
      </c>
      <c r="P19" s="119"/>
      <c r="Q19" s="315">
        <f>'Data Input'!S16</f>
        <v>12</v>
      </c>
      <c r="R19" s="316" t="str">
        <f>'Data Input'!T16</f>
        <v>Oats (hay)</v>
      </c>
      <c r="S19" s="317" t="str">
        <f>'Data Input'!U16</f>
        <v>tons</v>
      </c>
      <c r="T19" s="463">
        <f>'Data Input'!Y16</f>
        <v>40</v>
      </c>
      <c r="U19" s="464">
        <f>'Data Input'!V16</f>
        <v>4</v>
      </c>
      <c r="V19" s="326"/>
      <c r="W19" s="326"/>
    </row>
    <row r="20" spans="1:23" ht="15">
      <c r="A20" s="213">
        <f>'Data Input'!A44</f>
        <v>0</v>
      </c>
      <c r="B20" s="445" t="str">
        <f t="shared" si="0"/>
        <v> </v>
      </c>
      <c r="C20" s="213">
        <f>'Data Input'!C44</f>
        <v>0</v>
      </c>
      <c r="D20" s="213">
        <f>'Data Input'!G44</f>
        <v>0</v>
      </c>
      <c r="E20" s="213">
        <f>'Data Input'!H44</f>
        <v>0</v>
      </c>
      <c r="F20" s="213">
        <f>'Data Input'!I44</f>
        <v>0</v>
      </c>
      <c r="G20" s="213">
        <f t="shared" si="3"/>
        <v>0</v>
      </c>
      <c r="H20" s="213">
        <f t="shared" si="4"/>
        <v>0</v>
      </c>
      <c r="I20" s="213">
        <f t="shared" si="5"/>
        <v>0</v>
      </c>
      <c r="J20" s="213">
        <f>'Data Input'!D44</f>
        <v>0</v>
      </c>
      <c r="K20" s="216">
        <f>'Data Input'!E44</f>
        <v>0</v>
      </c>
      <c r="L20" s="216">
        <f>'Data Input'!F44</f>
        <v>0</v>
      </c>
      <c r="M20" s="260">
        <f t="shared" si="6"/>
        <v>0</v>
      </c>
      <c r="N20" s="215" t="str">
        <f t="shared" si="1"/>
        <v> </v>
      </c>
      <c r="O20" s="214">
        <f t="shared" si="2"/>
        <v>0</v>
      </c>
      <c r="P20" s="119"/>
      <c r="Q20" s="315">
        <f>'Data Input'!S17</f>
        <v>13</v>
      </c>
      <c r="R20" s="316" t="str">
        <f>'Data Input'!T17</f>
        <v>Tall Fescue, hay</v>
      </c>
      <c r="S20" s="317" t="str">
        <f>'Data Input'!U17</f>
        <v>tons</v>
      </c>
      <c r="T20" s="463">
        <f>'Data Input'!Y17</f>
        <v>32</v>
      </c>
      <c r="U20" s="464">
        <f>'Data Input'!V17</f>
        <v>6</v>
      </c>
      <c r="V20" s="326"/>
      <c r="W20" s="326"/>
    </row>
    <row r="21" spans="1:23" ht="15">
      <c r="A21" s="213">
        <f>'Data Input'!A45</f>
        <v>0</v>
      </c>
      <c r="B21" s="445" t="str">
        <f t="shared" si="0"/>
        <v> </v>
      </c>
      <c r="C21" s="213">
        <f>'Data Input'!C45</f>
        <v>0</v>
      </c>
      <c r="D21" s="213">
        <f>'Data Input'!G45</f>
        <v>0</v>
      </c>
      <c r="E21" s="213">
        <f>'Data Input'!H45</f>
        <v>0</v>
      </c>
      <c r="F21" s="213">
        <f>'Data Input'!I45</f>
        <v>0</v>
      </c>
      <c r="G21" s="213">
        <f t="shared" si="3"/>
        <v>0</v>
      </c>
      <c r="H21" s="213">
        <f t="shared" si="4"/>
        <v>0</v>
      </c>
      <c r="I21" s="213">
        <f t="shared" si="5"/>
        <v>0</v>
      </c>
      <c r="J21" s="213">
        <f>'Data Input'!D45</f>
        <v>0</v>
      </c>
      <c r="K21" s="216">
        <f>'Data Input'!E45</f>
        <v>0</v>
      </c>
      <c r="L21" s="216">
        <f>'Data Input'!F45</f>
        <v>0</v>
      </c>
      <c r="M21" s="260">
        <f t="shared" si="6"/>
        <v>0</v>
      </c>
      <c r="N21" s="215" t="str">
        <f t="shared" si="1"/>
        <v> </v>
      </c>
      <c r="O21" s="214">
        <f t="shared" si="2"/>
        <v>0</v>
      </c>
      <c r="P21" s="119"/>
      <c r="Q21" s="315">
        <f>'Data Input'!S18</f>
        <v>14</v>
      </c>
      <c r="R21" s="316" t="str">
        <f>'Data Input'!T18</f>
        <v>Safflower</v>
      </c>
      <c r="S21" s="317" t="str">
        <f>'Data Input'!U18</f>
        <v>tons</v>
      </c>
      <c r="T21" s="463">
        <f>'Data Input'!Y18</f>
        <v>100</v>
      </c>
      <c r="U21" s="464">
        <f>'Data Input'!V18</f>
        <v>2</v>
      </c>
      <c r="V21" s="326"/>
      <c r="W21" s="326"/>
    </row>
    <row r="22" spans="1:23" ht="15">
      <c r="A22" s="213">
        <f>'Data Input'!A46</f>
        <v>0</v>
      </c>
      <c r="B22" s="445" t="str">
        <f t="shared" si="0"/>
        <v> </v>
      </c>
      <c r="C22" s="213">
        <f>'Data Input'!C46</f>
        <v>0</v>
      </c>
      <c r="D22" s="213">
        <f>'Data Input'!G46</f>
        <v>0</v>
      </c>
      <c r="E22" s="213">
        <f>'Data Input'!H46</f>
        <v>0</v>
      </c>
      <c r="F22" s="213">
        <f>'Data Input'!I46</f>
        <v>0</v>
      </c>
      <c r="G22" s="213">
        <f t="shared" si="3"/>
        <v>0</v>
      </c>
      <c r="H22" s="213">
        <f t="shared" si="4"/>
        <v>0</v>
      </c>
      <c r="I22" s="213">
        <f t="shared" si="5"/>
        <v>0</v>
      </c>
      <c r="J22" s="213">
        <f>'Data Input'!D46</f>
        <v>0</v>
      </c>
      <c r="K22" s="216">
        <f>'Data Input'!E46</f>
        <v>0</v>
      </c>
      <c r="L22" s="216">
        <f>'Data Input'!F46</f>
        <v>0</v>
      </c>
      <c r="M22" s="260">
        <f t="shared" si="6"/>
        <v>0</v>
      </c>
      <c r="N22" s="215" t="str">
        <f t="shared" si="1"/>
        <v> </v>
      </c>
      <c r="O22" s="214">
        <f t="shared" si="2"/>
        <v>0</v>
      </c>
      <c r="P22" s="119"/>
      <c r="Q22" s="315">
        <f>'Data Input'!S19</f>
        <v>15</v>
      </c>
      <c r="R22" s="316" t="str">
        <f>'Data Input'!T19</f>
        <v>Sorghum</v>
      </c>
      <c r="S22" s="317" t="str">
        <f>'Data Input'!U19</f>
        <v>tons</v>
      </c>
      <c r="T22" s="463">
        <f>'Data Input'!Y19</f>
        <v>50</v>
      </c>
      <c r="U22" s="464">
        <f>'Data Input'!V19</f>
        <v>4</v>
      </c>
      <c r="V22" s="326"/>
      <c r="W22" s="326"/>
    </row>
    <row r="23" spans="1:23" ht="15">
      <c r="A23" s="213">
        <f>'Data Input'!A47</f>
        <v>0</v>
      </c>
      <c r="B23" s="445" t="str">
        <f t="shared" si="0"/>
        <v> </v>
      </c>
      <c r="C23" s="213">
        <f>'Data Input'!C47</f>
        <v>0</v>
      </c>
      <c r="D23" s="213">
        <f>'Data Input'!G47</f>
        <v>0</v>
      </c>
      <c r="E23" s="213">
        <f>'Data Input'!H47</f>
        <v>0</v>
      </c>
      <c r="F23" s="213">
        <f>'Data Input'!I47</f>
        <v>0</v>
      </c>
      <c r="G23" s="213">
        <f t="shared" si="3"/>
        <v>0</v>
      </c>
      <c r="H23" s="213">
        <f t="shared" si="4"/>
        <v>0</v>
      </c>
      <c r="I23" s="213">
        <f t="shared" si="5"/>
        <v>0</v>
      </c>
      <c r="J23" s="213">
        <f>'Data Input'!D47</f>
        <v>0</v>
      </c>
      <c r="K23" s="216">
        <f>'Data Input'!E47</f>
        <v>0</v>
      </c>
      <c r="L23" s="216">
        <f>'Data Input'!F47</f>
        <v>0</v>
      </c>
      <c r="M23" s="260">
        <f t="shared" si="6"/>
        <v>0</v>
      </c>
      <c r="N23" s="215" t="str">
        <f t="shared" si="1"/>
        <v> </v>
      </c>
      <c r="O23" s="214">
        <f t="shared" si="2"/>
        <v>0</v>
      </c>
      <c r="P23" s="119"/>
      <c r="Q23" s="315">
        <f>'Data Input'!S20</f>
        <v>16</v>
      </c>
      <c r="R23" s="316" t="str">
        <f>'Data Input'!T20</f>
        <v>Sudan silage</v>
      </c>
      <c r="S23" s="317" t="str">
        <f>'Data Input'!U20</f>
        <v>tons</v>
      </c>
      <c r="T23" s="463">
        <f>'Data Input'!Y20</f>
        <v>10.6</v>
      </c>
      <c r="U23" s="318" t="str">
        <f>'Data Input'!V20</f>
        <v>8/cutting</v>
      </c>
      <c r="V23" s="326"/>
      <c r="W23" s="326"/>
    </row>
    <row r="24" spans="1:23" ht="15">
      <c r="A24" s="213">
        <f>'Data Input'!A48</f>
        <v>0</v>
      </c>
      <c r="B24" s="445" t="str">
        <f t="shared" si="0"/>
        <v> </v>
      </c>
      <c r="C24" s="213">
        <f>'Data Input'!C48</f>
        <v>0</v>
      </c>
      <c r="D24" s="213">
        <f>'Data Input'!G48</f>
        <v>0</v>
      </c>
      <c r="E24" s="213">
        <f>'Data Input'!H48</f>
        <v>0</v>
      </c>
      <c r="F24" s="213">
        <f>'Data Input'!I48</f>
        <v>0</v>
      </c>
      <c r="G24" s="213">
        <f t="shared" si="3"/>
        <v>0</v>
      </c>
      <c r="H24" s="213">
        <f t="shared" si="4"/>
        <v>0</v>
      </c>
      <c r="I24" s="213">
        <f t="shared" si="5"/>
        <v>0</v>
      </c>
      <c r="J24" s="213">
        <f>'Data Input'!D48</f>
        <v>0</v>
      </c>
      <c r="K24" s="216">
        <f>'Data Input'!E48</f>
        <v>0</v>
      </c>
      <c r="L24" s="216">
        <f>'Data Input'!F48</f>
        <v>0</v>
      </c>
      <c r="M24" s="260">
        <f t="shared" si="6"/>
        <v>0</v>
      </c>
      <c r="N24" s="215" t="str">
        <f t="shared" si="1"/>
        <v> </v>
      </c>
      <c r="O24" s="214">
        <f t="shared" si="2"/>
        <v>0</v>
      </c>
      <c r="P24" s="119"/>
      <c r="Q24" s="315">
        <f>'Data Input'!S21</f>
        <v>17</v>
      </c>
      <c r="R24" s="316" t="str">
        <f>'Data Input'!T21</f>
        <v>Sudan hay</v>
      </c>
      <c r="S24" s="317" t="str">
        <f>'Data Input'!U21</f>
        <v>tons</v>
      </c>
      <c r="T24" s="463">
        <f>'Data Input'!Y21</f>
        <v>31.7</v>
      </c>
      <c r="U24" s="464">
        <f>'Data Input'!V21</f>
        <v>8</v>
      </c>
      <c r="V24" s="326"/>
      <c r="W24" s="326"/>
    </row>
    <row r="25" spans="1:23" ht="15">
      <c r="A25" s="213">
        <f>'Data Input'!A49</f>
        <v>0</v>
      </c>
      <c r="B25" s="445" t="str">
        <f t="shared" si="0"/>
        <v> </v>
      </c>
      <c r="C25" s="213">
        <f>'Data Input'!C49</f>
        <v>0</v>
      </c>
      <c r="D25" s="213">
        <f>'Data Input'!G49</f>
        <v>0</v>
      </c>
      <c r="E25" s="213">
        <f>'Data Input'!H49</f>
        <v>0</v>
      </c>
      <c r="F25" s="213">
        <f>'Data Input'!I49</f>
        <v>0</v>
      </c>
      <c r="G25" s="213">
        <f t="shared" si="3"/>
        <v>0</v>
      </c>
      <c r="H25" s="213">
        <f t="shared" si="4"/>
        <v>0</v>
      </c>
      <c r="I25" s="213">
        <f t="shared" si="5"/>
        <v>0</v>
      </c>
      <c r="J25" s="213">
        <f>'Data Input'!D49</f>
        <v>0</v>
      </c>
      <c r="K25" s="216">
        <f>'Data Input'!E49</f>
        <v>0</v>
      </c>
      <c r="L25" s="216">
        <f>'Data Input'!F49</f>
        <v>0</v>
      </c>
      <c r="M25" s="260">
        <f t="shared" si="6"/>
        <v>0</v>
      </c>
      <c r="N25" s="215" t="str">
        <f t="shared" si="1"/>
        <v> </v>
      </c>
      <c r="O25" s="214">
        <f t="shared" si="2"/>
        <v>0</v>
      </c>
      <c r="P25" s="119"/>
      <c r="Q25" s="315">
        <f>'Data Input'!S22</f>
        <v>18</v>
      </c>
      <c r="R25" s="316" t="str">
        <f>'Data Input'!T22</f>
        <v>Sugar Beets</v>
      </c>
      <c r="S25" s="317" t="str">
        <f>'Data Input'!U22</f>
        <v>tons</v>
      </c>
      <c r="T25" s="463">
        <f>'Data Input'!Y22</f>
        <v>8.5</v>
      </c>
      <c r="U25" s="464">
        <f>'Data Input'!V22</f>
        <v>30</v>
      </c>
      <c r="V25" s="326"/>
      <c r="W25" s="326"/>
    </row>
    <row r="26" spans="1:23" ht="15">
      <c r="A26" s="213">
        <f>'Data Input'!A50</f>
        <v>0</v>
      </c>
      <c r="B26" s="445" t="str">
        <f t="shared" si="0"/>
        <v> </v>
      </c>
      <c r="C26" s="213">
        <f>'Data Input'!C50</f>
        <v>0</v>
      </c>
      <c r="D26" s="213">
        <f>'Data Input'!G50</f>
        <v>0</v>
      </c>
      <c r="E26" s="213">
        <f>'Data Input'!H50</f>
        <v>0</v>
      </c>
      <c r="F26" s="213">
        <f>'Data Input'!I50</f>
        <v>0</v>
      </c>
      <c r="G26" s="213">
        <f t="shared" si="3"/>
        <v>0</v>
      </c>
      <c r="H26" s="213">
        <f t="shared" si="4"/>
        <v>0</v>
      </c>
      <c r="I26" s="213">
        <f t="shared" si="5"/>
        <v>0</v>
      </c>
      <c r="J26" s="213">
        <f>'Data Input'!D50</f>
        <v>0</v>
      </c>
      <c r="K26" s="216">
        <f>'Data Input'!E50</f>
        <v>0</v>
      </c>
      <c r="L26" s="216">
        <f>'Data Input'!F50</f>
        <v>0</v>
      </c>
      <c r="M26" s="260">
        <f t="shared" si="6"/>
        <v>0</v>
      </c>
      <c r="N26" s="215" t="str">
        <f t="shared" si="1"/>
        <v> </v>
      </c>
      <c r="O26" s="214">
        <f t="shared" si="2"/>
        <v>0</v>
      </c>
      <c r="P26" s="119"/>
      <c r="Q26" s="315">
        <f>'Data Input'!S23</f>
        <v>19</v>
      </c>
      <c r="R26" s="316" t="str">
        <f>'Data Input'!T23</f>
        <v>Triticale, boot stage</v>
      </c>
      <c r="S26" s="317" t="str">
        <f>'Data Input'!U23</f>
        <v>tons</v>
      </c>
      <c r="T26" s="463">
        <f>'Data Input'!Y23</f>
        <v>15</v>
      </c>
      <c r="U26" s="464">
        <f>'Data Input'!V23</f>
        <v>12</v>
      </c>
      <c r="V26" s="326"/>
      <c r="W26" s="326"/>
    </row>
    <row r="27" spans="1:23" ht="15">
      <c r="A27" s="213">
        <f>'Data Input'!A51</f>
        <v>0</v>
      </c>
      <c r="B27" s="445" t="str">
        <f t="shared" si="0"/>
        <v> </v>
      </c>
      <c r="C27" s="213">
        <f>'Data Input'!C51</f>
        <v>0</v>
      </c>
      <c r="D27" s="213">
        <f>'Data Input'!G51</f>
        <v>0</v>
      </c>
      <c r="E27" s="213">
        <f>'Data Input'!H51</f>
        <v>0</v>
      </c>
      <c r="F27" s="213">
        <f>'Data Input'!I51</f>
        <v>0</v>
      </c>
      <c r="G27" s="213">
        <f t="shared" si="3"/>
        <v>0</v>
      </c>
      <c r="H27" s="213">
        <f t="shared" si="4"/>
        <v>0</v>
      </c>
      <c r="I27" s="213">
        <f t="shared" si="5"/>
        <v>0</v>
      </c>
      <c r="J27" s="213">
        <f>'Data Input'!D51</f>
        <v>0</v>
      </c>
      <c r="K27" s="216">
        <f>'Data Input'!E51</f>
        <v>0</v>
      </c>
      <c r="L27" s="216">
        <f>'Data Input'!F51</f>
        <v>0</v>
      </c>
      <c r="M27" s="260">
        <f t="shared" si="6"/>
        <v>0</v>
      </c>
      <c r="N27" s="215" t="str">
        <f t="shared" si="1"/>
        <v> </v>
      </c>
      <c r="O27" s="214">
        <f t="shared" si="2"/>
        <v>0</v>
      </c>
      <c r="P27" s="119"/>
      <c r="Q27" s="315">
        <f>'Data Input'!S24</f>
        <v>20</v>
      </c>
      <c r="R27" s="316" t="str">
        <f>'Data Input'!T24</f>
        <v>Triticale, soft dough</v>
      </c>
      <c r="S27" s="317" t="str">
        <f>'Data Input'!U24</f>
        <v>tons</v>
      </c>
      <c r="T27" s="463">
        <f>'Data Input'!Y24</f>
        <v>10</v>
      </c>
      <c r="U27" s="464">
        <f>'Data Input'!V24</f>
        <v>22</v>
      </c>
      <c r="V27" s="326"/>
      <c r="W27" s="326"/>
    </row>
    <row r="28" spans="1:23" ht="15">
      <c r="A28" s="213">
        <f>'Data Input'!A52</f>
        <v>0</v>
      </c>
      <c r="B28" s="445" t="str">
        <f t="shared" si="0"/>
        <v> </v>
      </c>
      <c r="C28" s="213">
        <f>'Data Input'!C52</f>
        <v>0</v>
      </c>
      <c r="D28" s="213">
        <f>'Data Input'!G52</f>
        <v>0</v>
      </c>
      <c r="E28" s="213">
        <f>'Data Input'!H52</f>
        <v>0</v>
      </c>
      <c r="F28" s="213">
        <f>'Data Input'!I52</f>
        <v>0</v>
      </c>
      <c r="G28" s="213">
        <f>D28*C28/2000</f>
        <v>0</v>
      </c>
      <c r="H28" s="213">
        <f>C28*E28/2000</f>
        <v>0</v>
      </c>
      <c r="I28" s="213">
        <f>F28*C28/2000</f>
        <v>0</v>
      </c>
      <c r="J28" s="213">
        <f>'Data Input'!D52</f>
        <v>0</v>
      </c>
      <c r="K28" s="216">
        <f>'Data Input'!E52</f>
        <v>0</v>
      </c>
      <c r="L28" s="216">
        <f>'Data Input'!F52</f>
        <v>0</v>
      </c>
      <c r="M28" s="260">
        <f>+N28*J28</f>
        <v>0</v>
      </c>
      <c r="N28" s="215" t="str">
        <f>IF(A28=0," ",IF(AND(K28&lt;&gt;0,L28&lt;&gt;0),(1-K28)*L28*2000*0.16,VLOOKUP(A28,$Q$8:$U$34,4,FALSE)))</f>
        <v> </v>
      </c>
      <c r="O28" s="214">
        <f>C28*J28*N28/2000</f>
        <v>0</v>
      </c>
      <c r="P28" s="119"/>
      <c r="Q28" s="315">
        <f>'Data Input'!S25</f>
        <v>21</v>
      </c>
      <c r="R28" s="316" t="str">
        <f>'Data Input'!T25</f>
        <v>Wheat (grain)</v>
      </c>
      <c r="S28" s="317" t="str">
        <f>'Data Input'!U25</f>
        <v>tons</v>
      </c>
      <c r="T28" s="463">
        <f>'Data Input'!Y25</f>
        <v>58.3</v>
      </c>
      <c r="U28" s="464">
        <f>'Data Input'!V25</f>
        <v>3</v>
      </c>
      <c r="V28" s="326"/>
      <c r="W28" s="326"/>
    </row>
    <row r="29" spans="1:23" ht="15">
      <c r="A29" s="213">
        <f>'Data Input'!A53</f>
        <v>0</v>
      </c>
      <c r="B29" s="445" t="str">
        <f t="shared" si="0"/>
        <v> </v>
      </c>
      <c r="C29" s="213">
        <f>'Data Input'!C53</f>
        <v>0</v>
      </c>
      <c r="D29" s="213">
        <f>'Data Input'!G53</f>
        <v>0</v>
      </c>
      <c r="E29" s="213">
        <f>'Data Input'!H53</f>
        <v>0</v>
      </c>
      <c r="F29" s="213">
        <f>'Data Input'!I53</f>
        <v>0</v>
      </c>
      <c r="G29" s="213">
        <f>D29*C29/2000</f>
        <v>0</v>
      </c>
      <c r="H29" s="213">
        <f>C29*E29/2000</f>
        <v>0</v>
      </c>
      <c r="I29" s="213">
        <f>F29*C29/2000</f>
        <v>0</v>
      </c>
      <c r="J29" s="213">
        <f>'Data Input'!D53</f>
        <v>0</v>
      </c>
      <c r="K29" s="216">
        <f>'Data Input'!E53</f>
        <v>0</v>
      </c>
      <c r="L29" s="216">
        <f>'Data Input'!F53</f>
        <v>0</v>
      </c>
      <c r="M29" s="260">
        <f>+N29*J29</f>
        <v>0</v>
      </c>
      <c r="N29" s="215" t="str">
        <f>IF(A29=0," ",IF(AND(K29&lt;&gt;0,L29&lt;&gt;0),(1-K29)*L29*2000*0.16,VLOOKUP(A29,$Q$8:$U$34,4,FALSE)))</f>
        <v> </v>
      </c>
      <c r="O29" s="214">
        <f>C29*J29*N29/2000</f>
        <v>0</v>
      </c>
      <c r="P29" s="119"/>
      <c r="Q29" s="315">
        <f>'Data Input'!S26</f>
        <v>22</v>
      </c>
      <c r="R29" s="316" t="str">
        <f>'Data Input'!T26</f>
        <v>Wheat Silage, boot stage</v>
      </c>
      <c r="S29" s="317" t="str">
        <f>'Data Input'!U26</f>
        <v>tons</v>
      </c>
      <c r="T29" s="463">
        <f>'Data Input'!Y26</f>
        <v>16</v>
      </c>
      <c r="U29" s="464">
        <f>'Data Input'!V26</f>
        <v>10</v>
      </c>
      <c r="V29" s="326"/>
      <c r="W29" s="326"/>
    </row>
    <row r="30" spans="1:26" ht="15">
      <c r="A30" s="213">
        <f>'Data Input'!A54</f>
        <v>0</v>
      </c>
      <c r="B30" s="445" t="str">
        <f t="shared" si="0"/>
        <v> </v>
      </c>
      <c r="C30" s="213">
        <f>'Data Input'!C54</f>
        <v>0</v>
      </c>
      <c r="D30" s="213">
        <f>'Data Input'!G54</f>
        <v>0</v>
      </c>
      <c r="E30" s="213">
        <f>'Data Input'!H54</f>
        <v>0</v>
      </c>
      <c r="F30" s="213">
        <f>'Data Input'!I54</f>
        <v>0</v>
      </c>
      <c r="G30" s="213">
        <f>D30*C30/2000</f>
        <v>0</v>
      </c>
      <c r="H30" s="213">
        <f>C30*E30/2000</f>
        <v>0</v>
      </c>
      <c r="I30" s="213">
        <f>F30*C30/2000</f>
        <v>0</v>
      </c>
      <c r="J30" s="213">
        <f>'Data Input'!D54</f>
        <v>0</v>
      </c>
      <c r="K30" s="216">
        <f>'Data Input'!E54</f>
        <v>0</v>
      </c>
      <c r="L30" s="216">
        <f>'Data Input'!F54</f>
        <v>0</v>
      </c>
      <c r="M30" s="260">
        <f>+N30*J30</f>
        <v>0</v>
      </c>
      <c r="N30" s="215" t="str">
        <f>IF(A30=0," ",IF(AND(K30&lt;&gt;0,L30&lt;&gt;0),(1-K30)*L30*2000*0.16,VLOOKUP(A30,$Q$8:$U$34,4,FALSE)))</f>
        <v> </v>
      </c>
      <c r="O30" s="214">
        <f>C30*J30*N30/2000</f>
        <v>0</v>
      </c>
      <c r="P30" s="119"/>
      <c r="Q30" s="315">
        <f>'Data Input'!S27</f>
        <v>23</v>
      </c>
      <c r="R30" s="316" t="str">
        <f>'Data Input'!T27</f>
        <v>Wheat Silage, soft dough</v>
      </c>
      <c r="S30" s="317" t="str">
        <f>'Data Input'!U27</f>
        <v>tons</v>
      </c>
      <c r="T30" s="463">
        <f>'Data Input'!Y27</f>
        <v>10.6</v>
      </c>
      <c r="U30" s="464">
        <f>'Data Input'!V27</f>
        <v>18</v>
      </c>
      <c r="V30" s="326"/>
      <c r="W30" s="326"/>
      <c r="X30" s="67"/>
      <c r="Y30" s="67"/>
      <c r="Z30" s="67"/>
    </row>
    <row r="31" spans="1:26" ht="15">
      <c r="A31" s="213">
        <f>'Data Input'!A55</f>
        <v>0</v>
      </c>
      <c r="B31" s="445" t="str">
        <f t="shared" si="0"/>
        <v> </v>
      </c>
      <c r="C31" s="213">
        <f>'Data Input'!C55</f>
        <v>0</v>
      </c>
      <c r="D31" s="213">
        <f>'Data Input'!G55</f>
        <v>0</v>
      </c>
      <c r="E31" s="213">
        <f>'Data Input'!H55</f>
        <v>0</v>
      </c>
      <c r="F31" s="213">
        <f>'Data Input'!I55</f>
        <v>0</v>
      </c>
      <c r="G31" s="213">
        <f>D31*C31/2000</f>
        <v>0</v>
      </c>
      <c r="H31" s="213">
        <f>C31*E31/2000</f>
        <v>0</v>
      </c>
      <c r="I31" s="213">
        <f>F31*C31/2000</f>
        <v>0</v>
      </c>
      <c r="J31" s="213">
        <f>'Data Input'!D55</f>
        <v>0</v>
      </c>
      <c r="K31" s="216">
        <f>'Data Input'!E55</f>
        <v>0</v>
      </c>
      <c r="L31" s="216">
        <f>'Data Input'!F55</f>
        <v>0</v>
      </c>
      <c r="M31" s="260">
        <f>+N31*J31</f>
        <v>0</v>
      </c>
      <c r="N31" s="215" t="str">
        <f>IF(A31=0," ",IF(AND(K31&lt;&gt;0,L31&lt;&gt;0),(1-K31)*L31*2000*0.16,VLOOKUP(A31,$Q$8:$U$34,4,FALSE)))</f>
        <v> </v>
      </c>
      <c r="O31" s="214">
        <f>C31*J31*N31/2000</f>
        <v>0</v>
      </c>
      <c r="P31" s="119"/>
      <c r="Q31" s="315">
        <f>'Data Input'!S28</f>
        <v>24</v>
      </c>
      <c r="R31" s="316" t="str">
        <f>'Data Input'!T28</f>
        <v>Orchardgrass, hay</v>
      </c>
      <c r="S31" s="317" t="str">
        <f>'Data Input'!U28</f>
        <v>tons</v>
      </c>
      <c r="T31" s="463">
        <f>'Data Input'!Y28</f>
        <v>35</v>
      </c>
      <c r="U31" s="464">
        <f>'Data Input'!V28</f>
        <v>6</v>
      </c>
      <c r="V31" s="119"/>
      <c r="W31" s="119"/>
      <c r="X31" s="67"/>
      <c r="Y31" s="67"/>
      <c r="Z31" s="67"/>
    </row>
    <row r="32" spans="1:26" ht="15">
      <c r="A32" s="213">
        <f>'Data Input'!A56</f>
        <v>0</v>
      </c>
      <c r="B32" s="445" t="str">
        <f t="shared" si="0"/>
        <v> </v>
      </c>
      <c r="C32" s="213">
        <f>'Data Input'!C56</f>
        <v>0</v>
      </c>
      <c r="D32" s="213">
        <f>'Data Input'!G56</f>
        <v>0</v>
      </c>
      <c r="E32" s="213">
        <f>'Data Input'!H56</f>
        <v>0</v>
      </c>
      <c r="F32" s="213">
        <f>'Data Input'!I56</f>
        <v>0</v>
      </c>
      <c r="G32" s="213">
        <f>D32*C32/2000</f>
        <v>0</v>
      </c>
      <c r="H32" s="213">
        <f>C32*E32/2000</f>
        <v>0</v>
      </c>
      <c r="I32" s="213">
        <f>F32*C32/2000</f>
        <v>0</v>
      </c>
      <c r="J32" s="213">
        <f>'Data Input'!D56</f>
        <v>0</v>
      </c>
      <c r="K32" s="216">
        <f>'Data Input'!E56</f>
        <v>0</v>
      </c>
      <c r="L32" s="216">
        <f>'Data Input'!F56</f>
        <v>0</v>
      </c>
      <c r="M32" s="260">
        <f>+N32*J32</f>
        <v>0</v>
      </c>
      <c r="N32" s="215" t="str">
        <f>IF(A32=0," ",IF(AND(K32&lt;&gt;0,L32&lt;&gt;0),(1-K32)*L32*2000*0.16,VLOOKUP(A32,$Q$8:$U$34,4,FALSE)))</f>
        <v> </v>
      </c>
      <c r="O32" s="214">
        <f>C32*J32*N32/2000</f>
        <v>0</v>
      </c>
      <c r="P32" s="119"/>
      <c r="Q32" s="315">
        <f>'Data Input'!S29</f>
        <v>25</v>
      </c>
      <c r="R32" s="316" t="str">
        <f>'Data Input'!T29</f>
        <v>Ryegrass, hay</v>
      </c>
      <c r="S32" s="317" t="str">
        <f>'Data Input'!U29</f>
        <v>tons</v>
      </c>
      <c r="T32" s="463">
        <f>'Data Input'!Y29</f>
        <v>32</v>
      </c>
      <c r="U32" s="464">
        <f>'Data Input'!V29</f>
        <v>6</v>
      </c>
      <c r="V32" s="119"/>
      <c r="W32" s="119"/>
      <c r="X32" s="67"/>
      <c r="Y32" s="67"/>
      <c r="Z32" s="67"/>
    </row>
    <row r="33" spans="1:26" ht="15">
      <c r="A33" s="72"/>
      <c r="B33" s="67"/>
      <c r="G33" s="461"/>
      <c r="J33" s="67"/>
      <c r="K33" s="67"/>
      <c r="L33" s="67"/>
      <c r="M33" s="67"/>
      <c r="N33" s="479" t="s">
        <v>457</v>
      </c>
      <c r="O33" s="467">
        <f>SUM(O8:O32)</f>
        <v>0</v>
      </c>
      <c r="P33" s="119"/>
      <c r="Q33" s="315">
        <f>'Data Input'!S30</f>
        <v>26</v>
      </c>
      <c r="R33" s="316" t="str">
        <f>'Data Input'!T30</f>
        <v>Timothy, hay</v>
      </c>
      <c r="S33" s="317" t="str">
        <f>'Data Input'!U30</f>
        <v>tons</v>
      </c>
      <c r="T33" s="463">
        <f>'Data Input'!Y30</f>
        <v>35</v>
      </c>
      <c r="U33" s="464">
        <f>'Data Input'!V30</f>
        <v>6</v>
      </c>
      <c r="V33" s="119"/>
      <c r="W33" s="119"/>
      <c r="X33" s="67"/>
      <c r="Y33" s="67"/>
      <c r="Z33" s="67"/>
    </row>
    <row r="34" spans="1:26" ht="15.75" thickBot="1">
      <c r="A34" s="73"/>
      <c r="B34" s="67"/>
      <c r="J34" s="67"/>
      <c r="K34" s="67"/>
      <c r="L34" s="67"/>
      <c r="M34" s="67"/>
      <c r="N34" s="480" t="s">
        <v>441</v>
      </c>
      <c r="O34" s="468">
        <f>SUM(G8:G32)</f>
        <v>0</v>
      </c>
      <c r="P34" s="119"/>
      <c r="Q34" s="319">
        <f>'Data Input'!S31</f>
        <v>99</v>
      </c>
      <c r="R34" s="320" t="str">
        <f>'Data Input'!T31</f>
        <v>Other</v>
      </c>
      <c r="S34" s="321">
        <f>'Data Input'!U31</f>
        <v>0</v>
      </c>
      <c r="T34" s="465">
        <f>'Data Input'!Y31</f>
        <v>0</v>
      </c>
      <c r="U34" s="466">
        <f>'Data Input'!V31</f>
        <v>0</v>
      </c>
      <c r="V34" s="119"/>
      <c r="W34" s="119"/>
      <c r="X34" s="67"/>
      <c r="Y34" s="67"/>
      <c r="Z34" s="67"/>
    </row>
    <row r="35" spans="1:26" ht="15">
      <c r="A35" s="73"/>
      <c r="B35" s="67"/>
      <c r="C35" s="67"/>
      <c r="D35" s="67"/>
      <c r="E35" s="67"/>
      <c r="F35" s="67"/>
      <c r="G35" s="67"/>
      <c r="H35" s="67"/>
      <c r="I35" s="67"/>
      <c r="J35" s="67"/>
      <c r="K35" s="67"/>
      <c r="L35" s="72"/>
      <c r="M35" s="72"/>
      <c r="N35" s="480" t="s">
        <v>459</v>
      </c>
      <c r="O35" s="469">
        <f>' '!O24</f>
        <v>0</v>
      </c>
      <c r="P35" s="119"/>
      <c r="Q35" s="142"/>
      <c r="R35" s="138"/>
      <c r="S35" s="142"/>
      <c r="T35" s="451"/>
      <c r="U35" s="452"/>
      <c r="V35" s="119"/>
      <c r="W35" s="119"/>
      <c r="X35" s="67"/>
      <c r="Y35" s="67"/>
      <c r="Z35" s="67"/>
    </row>
    <row r="36" spans="1:26" ht="15">
      <c r="A36" s="73"/>
      <c r="B36" s="67"/>
      <c r="C36" s="67"/>
      <c r="D36" s="67"/>
      <c r="E36" s="67"/>
      <c r="F36" s="67"/>
      <c r="G36" s="67"/>
      <c r="H36" s="67"/>
      <c r="I36" s="67"/>
      <c r="J36" s="67"/>
      <c r="K36" s="67"/>
      <c r="L36" s="67"/>
      <c r="M36" s="67"/>
      <c r="N36" s="480" t="s">
        <v>460</v>
      </c>
      <c r="O36" s="469">
        <f>' '!O25</f>
        <v>0</v>
      </c>
      <c r="P36" s="119"/>
      <c r="Q36" s="119"/>
      <c r="R36" s="119"/>
      <c r="S36" s="119"/>
      <c r="T36" s="119"/>
      <c r="U36" s="119"/>
      <c r="V36" s="119"/>
      <c r="W36" s="119"/>
      <c r="X36" s="67"/>
      <c r="Y36" s="67"/>
      <c r="Z36" s="67"/>
    </row>
    <row r="37" spans="1:26" ht="15">
      <c r="A37" s="73"/>
      <c r="B37" s="67"/>
      <c r="C37" s="67"/>
      <c r="D37" s="67"/>
      <c r="E37" s="67"/>
      <c r="F37" s="67"/>
      <c r="G37" s="67"/>
      <c r="H37" s="67"/>
      <c r="I37" s="67"/>
      <c r="J37" s="67"/>
      <c r="K37" s="67"/>
      <c r="L37" s="72"/>
      <c r="M37" s="72"/>
      <c r="N37" s="480" t="s">
        <v>461</v>
      </c>
      <c r="O37" s="470">
        <f>+O36+O35</f>
        <v>0</v>
      </c>
      <c r="P37" s="119"/>
      <c r="Q37" s="119" t="s">
        <v>265</v>
      </c>
      <c r="R37" s="119"/>
      <c r="S37" s="119"/>
      <c r="T37" s="119"/>
      <c r="U37" s="119"/>
      <c r="V37" s="119"/>
      <c r="W37" s="119"/>
      <c r="X37" s="67"/>
      <c r="Y37" s="67"/>
      <c r="Z37" s="67"/>
    </row>
    <row r="38" spans="1:26" ht="15">
      <c r="A38" s="73"/>
      <c r="B38" s="67"/>
      <c r="C38" s="67"/>
      <c r="D38" s="67"/>
      <c r="E38" s="67"/>
      <c r="F38" s="67"/>
      <c r="G38" s="67"/>
      <c r="H38" s="67"/>
      <c r="I38" s="67"/>
      <c r="J38" s="67"/>
      <c r="K38" s="67"/>
      <c r="L38" s="72"/>
      <c r="M38" s="72"/>
      <c r="N38" s="480" t="s">
        <v>449</v>
      </c>
      <c r="O38" s="470">
        <f>SUM(I8:I32)</f>
        <v>0</v>
      </c>
      <c r="P38" s="119"/>
      <c r="Q38" s="119" t="s">
        <v>258</v>
      </c>
      <c r="R38" s="119"/>
      <c r="S38" s="119"/>
      <c r="T38" s="119"/>
      <c r="U38" s="119"/>
      <c r="V38" s="119"/>
      <c r="W38" s="119"/>
      <c r="X38" s="67"/>
      <c r="Y38" s="67"/>
      <c r="Z38" s="67"/>
    </row>
    <row r="39" spans="1:26" ht="15">
      <c r="A39" s="73"/>
      <c r="B39" s="67"/>
      <c r="C39" s="67"/>
      <c r="D39" s="67"/>
      <c r="E39" s="67"/>
      <c r="F39" s="67"/>
      <c r="G39" s="67"/>
      <c r="H39" s="67"/>
      <c r="I39" s="67"/>
      <c r="J39" s="67"/>
      <c r="K39" s="67"/>
      <c r="L39" s="72"/>
      <c r="M39" s="72"/>
      <c r="N39" s="480" t="s">
        <v>442</v>
      </c>
      <c r="O39" s="471">
        <f>SUM(H8:H32)</f>
        <v>0</v>
      </c>
      <c r="P39" s="119"/>
      <c r="Q39" s="119"/>
      <c r="R39" s="119"/>
      <c r="S39" s="119"/>
      <c r="T39" s="119"/>
      <c r="U39" s="119"/>
      <c r="V39" s="119"/>
      <c r="W39" s="119"/>
      <c r="X39" s="67"/>
      <c r="Y39" s="67"/>
      <c r="Z39" s="67"/>
    </row>
    <row r="40" spans="1:26" ht="15">
      <c r="A40" s="67"/>
      <c r="B40" s="67"/>
      <c r="C40" s="67"/>
      <c r="D40" s="67"/>
      <c r="E40" s="67"/>
      <c r="F40" s="67"/>
      <c r="G40" s="67"/>
      <c r="H40" s="67"/>
      <c r="I40" s="67"/>
      <c r="J40" s="67"/>
      <c r="K40" s="67"/>
      <c r="L40" s="67"/>
      <c r="M40" s="67"/>
      <c r="N40" s="480" t="s">
        <v>476</v>
      </c>
      <c r="O40" s="484">
        <f>'Data Input'!F25</f>
        <v>0</v>
      </c>
      <c r="P40" s="119"/>
      <c r="Q40" s="119"/>
      <c r="R40" s="119"/>
      <c r="S40" s="119"/>
      <c r="T40" s="119"/>
      <c r="U40" s="119"/>
      <c r="V40" s="119"/>
      <c r="W40" s="119"/>
      <c r="X40" s="67"/>
      <c r="Y40" s="67"/>
      <c r="Z40" s="67"/>
    </row>
    <row r="41" spans="1:26" ht="16.5" customHeight="1" thickBot="1">
      <c r="A41" s="67" t="s">
        <v>473</v>
      </c>
      <c r="B41" s="67"/>
      <c r="C41" s="67"/>
      <c r="D41" s="67"/>
      <c r="E41" s="67"/>
      <c r="F41" s="67"/>
      <c r="G41" s="67" t="s">
        <v>464</v>
      </c>
      <c r="H41" s="67"/>
      <c r="J41" s="67"/>
      <c r="K41" s="67"/>
      <c r="L41" s="67"/>
      <c r="M41" s="67"/>
      <c r="N41" s="270"/>
      <c r="O41" s="487"/>
      <c r="P41" s="119"/>
      <c r="Q41" s="119"/>
      <c r="R41" s="119"/>
      <c r="S41" s="119"/>
      <c r="T41" s="119"/>
      <c r="U41" s="119"/>
      <c r="V41" s="119"/>
      <c r="W41" s="119"/>
      <c r="X41" s="67"/>
      <c r="Y41" s="67"/>
      <c r="Z41" s="67"/>
    </row>
    <row r="42" spans="1:26" ht="17.25" thickBot="1" thickTop="1">
      <c r="A42" s="67"/>
      <c r="B42" s="270" t="s">
        <v>463</v>
      </c>
      <c r="C42" s="67"/>
      <c r="D42" s="67"/>
      <c r="E42" s="67"/>
      <c r="F42" s="67"/>
      <c r="G42" s="67" t="s">
        <v>465</v>
      </c>
      <c r="H42" s="67"/>
      <c r="J42" s="67"/>
      <c r="K42" s="67"/>
      <c r="L42" s="67"/>
      <c r="M42" s="67"/>
      <c r="N42" s="481" t="s">
        <v>462</v>
      </c>
      <c r="O42" s="475" t="e">
        <f>(O34+O38+O39+O40+O35+('Farm N Balance (EWS2-1)'!O36))/O33</f>
        <v>#DIV/0!</v>
      </c>
      <c r="P42" s="119"/>
      <c r="Q42" s="119"/>
      <c r="R42" s="119"/>
      <c r="S42" s="119"/>
      <c r="T42" s="119"/>
      <c r="U42" s="119"/>
      <c r="V42" s="119"/>
      <c r="W42" s="119"/>
      <c r="X42" s="67"/>
      <c r="Y42" s="67"/>
      <c r="Z42" s="67"/>
    </row>
    <row r="43" spans="1:26" ht="15.75" thickTop="1">
      <c r="A43" s="67"/>
      <c r="B43" s="270" t="s">
        <v>466</v>
      </c>
      <c r="C43" s="67"/>
      <c r="D43" s="67"/>
      <c r="E43" s="67"/>
      <c r="F43" s="67"/>
      <c r="G43" s="67" t="s">
        <v>467</v>
      </c>
      <c r="H43" s="67"/>
      <c r="J43" s="67"/>
      <c r="K43" s="67"/>
      <c r="L43" s="67"/>
      <c r="M43" s="67"/>
      <c r="N43" s="73"/>
      <c r="O43" s="72"/>
      <c r="P43" s="67"/>
      <c r="Q43" s="119"/>
      <c r="R43" s="119"/>
      <c r="S43" s="119"/>
      <c r="T43" s="119"/>
      <c r="U43" s="119"/>
      <c r="V43" s="67"/>
      <c r="W43" s="67"/>
      <c r="X43" s="67"/>
      <c r="Y43" s="67"/>
      <c r="Z43" s="67"/>
    </row>
    <row r="44" spans="1:26" ht="15">
      <c r="A44" s="67"/>
      <c r="B44" s="270" t="s">
        <v>468</v>
      </c>
      <c r="C44" s="67"/>
      <c r="D44" s="67"/>
      <c r="E44" s="67"/>
      <c r="F44" s="67"/>
      <c r="G44" s="67" t="s">
        <v>469</v>
      </c>
      <c r="H44" s="67"/>
      <c r="J44" s="67"/>
      <c r="K44" s="67"/>
      <c r="L44" s="67"/>
      <c r="M44" s="67"/>
      <c r="N44" s="73"/>
      <c r="O44" s="72"/>
      <c r="P44" s="67"/>
      <c r="Q44" s="119"/>
      <c r="R44" s="119"/>
      <c r="S44" s="119"/>
      <c r="T44" s="119"/>
      <c r="U44" s="119"/>
      <c r="V44" s="67"/>
      <c r="W44" s="67"/>
      <c r="X44" s="67"/>
      <c r="Y44" s="67"/>
      <c r="Z44" s="67"/>
    </row>
    <row r="45" spans="11:26" ht="15">
      <c r="K45" s="67"/>
      <c r="L45" s="67"/>
      <c r="M45" s="67"/>
      <c r="N45" s="73"/>
      <c r="O45" s="72"/>
      <c r="P45" s="67"/>
      <c r="Q45" s="119"/>
      <c r="R45" s="119"/>
      <c r="S45" s="119"/>
      <c r="T45" s="119"/>
      <c r="U45" s="119"/>
      <c r="V45" s="67"/>
      <c r="W45" s="67"/>
      <c r="X45" s="67"/>
      <c r="Y45" s="67"/>
      <c r="Z45" s="67"/>
    </row>
    <row r="46" spans="1:26" ht="15">
      <c r="A46" s="67"/>
      <c r="B46" s="67"/>
      <c r="C46" s="67"/>
      <c r="D46" s="67"/>
      <c r="E46" s="67"/>
      <c r="F46" s="67"/>
      <c r="G46" s="270"/>
      <c r="H46" s="67"/>
      <c r="I46" s="67"/>
      <c r="J46" s="67"/>
      <c r="K46" s="67"/>
      <c r="L46" s="67"/>
      <c r="M46" s="67"/>
      <c r="N46" s="73"/>
      <c r="O46" s="72"/>
      <c r="P46" s="67"/>
      <c r="Q46" s="119"/>
      <c r="R46" s="119"/>
      <c r="S46" s="119"/>
      <c r="T46" s="119"/>
      <c r="U46" s="119"/>
      <c r="V46" s="67"/>
      <c r="W46" s="67"/>
      <c r="X46" s="67"/>
      <c r="Y46" s="67"/>
      <c r="Z46" s="67"/>
    </row>
    <row r="47" spans="1:26" ht="15.75">
      <c r="A47" s="22"/>
      <c r="B47" s="21"/>
      <c r="C47" s="21"/>
      <c r="D47" s="21"/>
      <c r="E47" s="21"/>
      <c r="F47" s="476">
        <f>O23*$F$33*2000</f>
        <v>0</v>
      </c>
      <c r="G47" s="21"/>
      <c r="H47" s="478" t="s">
        <v>472</v>
      </c>
      <c r="I47" s="477">
        <f>'Data Input'!F28*'Farm N Balance (EWS2-1)'!O35*2000*0.5</f>
        <v>0</v>
      </c>
      <c r="L47" s="67"/>
      <c r="M47" s="67"/>
      <c r="N47" s="73"/>
      <c r="O47" s="72"/>
      <c r="P47" s="67"/>
      <c r="Q47" s="67"/>
      <c r="R47" s="67"/>
      <c r="S47" s="67"/>
      <c r="T47" s="67"/>
      <c r="U47" s="67"/>
      <c r="V47" s="67"/>
      <c r="W47" s="67"/>
      <c r="X47" s="67"/>
      <c r="Y47" s="67"/>
      <c r="Z47" s="67"/>
    </row>
    <row r="48" spans="1:26" ht="15.75">
      <c r="A48" s="22"/>
      <c r="B48" s="21"/>
      <c r="C48" s="21"/>
      <c r="D48" s="21"/>
      <c r="E48" s="21"/>
      <c r="F48" s="476">
        <f>O24*$F$33*2000</f>
        <v>0</v>
      </c>
      <c r="G48" s="21"/>
      <c r="H48" s="478" t="s">
        <v>471</v>
      </c>
      <c r="I48" s="477">
        <f>'Data Input'!F28*'Farm N Balance (EWS2-1)'!O36*2000*0.5</f>
        <v>0</v>
      </c>
      <c r="L48" s="67"/>
      <c r="M48" s="67"/>
      <c r="N48" s="73"/>
      <c r="O48" s="72"/>
      <c r="P48" s="67"/>
      <c r="Q48" s="67"/>
      <c r="R48" s="67"/>
      <c r="S48" s="67"/>
      <c r="T48" s="67"/>
      <c r="U48" s="67"/>
      <c r="V48" s="67"/>
      <c r="W48" s="67"/>
      <c r="X48" s="67"/>
      <c r="Y48" s="67"/>
      <c r="Z48" s="67"/>
    </row>
    <row r="49" spans="12:26" ht="15">
      <c r="L49" s="67"/>
      <c r="M49" s="67"/>
      <c r="N49" s="73"/>
      <c r="O49" s="72"/>
      <c r="P49" s="67"/>
      <c r="Q49" s="67"/>
      <c r="R49" s="67"/>
      <c r="S49" s="67"/>
      <c r="T49" s="67"/>
      <c r="U49" s="67"/>
      <c r="V49" s="67"/>
      <c r="W49" s="67"/>
      <c r="X49" s="67"/>
      <c r="Y49" s="67"/>
      <c r="Z49" s="67"/>
    </row>
    <row r="50" spans="12:26" ht="15">
      <c r="L50" s="67"/>
      <c r="M50" s="67"/>
      <c r="N50" s="73"/>
      <c r="O50" s="72"/>
      <c r="P50" s="67"/>
      <c r="Q50" s="67"/>
      <c r="R50" s="67"/>
      <c r="S50" s="67"/>
      <c r="T50" s="67"/>
      <c r="U50" s="67"/>
      <c r="V50" s="67"/>
      <c r="W50" s="67"/>
      <c r="X50" s="67"/>
      <c r="Y50" s="67"/>
      <c r="Z50" s="67"/>
    </row>
    <row r="51" spans="12:26" ht="15">
      <c r="L51" s="67"/>
      <c r="M51" s="67"/>
      <c r="N51" s="73"/>
      <c r="O51" s="72"/>
      <c r="P51" s="67"/>
      <c r="Q51" s="67"/>
      <c r="R51" s="67"/>
      <c r="S51" s="67"/>
      <c r="T51" s="67"/>
      <c r="U51" s="67"/>
      <c r="V51" s="67"/>
      <c r="W51" s="67"/>
      <c r="X51" s="67"/>
      <c r="Y51" s="67"/>
      <c r="Z51" s="67"/>
    </row>
    <row r="52" spans="12:26" ht="15">
      <c r="L52" s="67"/>
      <c r="M52" s="67"/>
      <c r="N52" s="73"/>
      <c r="O52" s="72"/>
      <c r="P52" s="67"/>
      <c r="Q52" s="67"/>
      <c r="R52" s="67"/>
      <c r="S52" s="67"/>
      <c r="T52" s="67"/>
      <c r="U52" s="67"/>
      <c r="V52" s="67"/>
      <c r="W52" s="67"/>
      <c r="X52" s="67"/>
      <c r="Y52" s="67"/>
      <c r="Z52" s="67"/>
    </row>
    <row r="53" spans="12:26" ht="15">
      <c r="L53" s="67"/>
      <c r="M53" s="67"/>
      <c r="N53" s="73"/>
      <c r="O53" s="72"/>
      <c r="P53" s="67"/>
      <c r="Q53" s="67"/>
      <c r="R53" s="67"/>
      <c r="S53" s="67"/>
      <c r="T53" s="67"/>
      <c r="U53" s="67"/>
      <c r="V53" s="67"/>
      <c r="W53" s="67"/>
      <c r="X53" s="67"/>
      <c r="Y53" s="67"/>
      <c r="Z53" s="67"/>
    </row>
    <row r="54" spans="12:26" ht="15">
      <c r="L54" s="67"/>
      <c r="M54" s="67"/>
      <c r="N54" s="73"/>
      <c r="O54" s="72"/>
      <c r="P54" s="67"/>
      <c r="Q54" s="67"/>
      <c r="R54" s="67"/>
      <c r="S54" s="67"/>
      <c r="T54" s="67"/>
      <c r="U54" s="67"/>
      <c r="V54" s="67"/>
      <c r="W54" s="67"/>
      <c r="X54" s="67"/>
      <c r="Y54" s="67"/>
      <c r="Z54" s="67"/>
    </row>
    <row r="55" spans="12:26" ht="15">
      <c r="L55" s="67"/>
      <c r="M55" s="67"/>
      <c r="N55" s="73"/>
      <c r="O55" s="72"/>
      <c r="P55" s="67"/>
      <c r="Q55" s="67"/>
      <c r="R55" s="67"/>
      <c r="S55" s="67"/>
      <c r="T55" s="67"/>
      <c r="U55" s="67"/>
      <c r="V55" s="67"/>
      <c r="W55" s="67"/>
      <c r="X55" s="67"/>
      <c r="Y55" s="67"/>
      <c r="Z55" s="67"/>
    </row>
    <row r="56" spans="12:23" ht="15">
      <c r="L56" s="67"/>
      <c r="M56" s="67"/>
      <c r="N56" s="73"/>
      <c r="O56" s="72"/>
      <c r="P56" s="67"/>
      <c r="Q56" s="67"/>
      <c r="R56" s="67"/>
      <c r="S56" s="67"/>
      <c r="T56" s="67"/>
      <c r="U56" s="67"/>
      <c r="V56" s="67"/>
      <c r="W56" s="67"/>
    </row>
    <row r="57" spans="12:21" ht="15">
      <c r="L57" s="67"/>
      <c r="M57" s="67"/>
      <c r="N57" s="73"/>
      <c r="O57" s="72"/>
      <c r="P57" s="67"/>
      <c r="Q57" s="67"/>
      <c r="R57" s="67"/>
      <c r="S57" s="67"/>
      <c r="T57" s="67"/>
      <c r="U57" s="67"/>
    </row>
    <row r="58" spans="12:21" ht="15">
      <c r="L58" s="67"/>
      <c r="M58" s="67"/>
      <c r="N58" s="73"/>
      <c r="O58" s="72"/>
      <c r="P58" s="67"/>
      <c r="Q58" s="67"/>
      <c r="R58" s="67"/>
      <c r="S58" s="67"/>
      <c r="T58" s="67"/>
      <c r="U58" s="67"/>
    </row>
    <row r="59" spans="14:21" ht="15">
      <c r="N59" s="73"/>
      <c r="O59" s="72"/>
      <c r="Q59" s="67"/>
      <c r="R59" s="67"/>
      <c r="S59" s="67"/>
      <c r="T59" s="67"/>
      <c r="U59" s="67"/>
    </row>
    <row r="60" spans="17:21" ht="15">
      <c r="Q60" s="67"/>
      <c r="R60" s="67"/>
      <c r="S60" s="67"/>
      <c r="T60" s="67"/>
      <c r="U60" s="67"/>
    </row>
  </sheetData>
  <sheetProtection sheet="1" objects="1" scenarios="1"/>
  <mergeCells count="11">
    <mergeCell ref="A3:B3"/>
    <mergeCell ref="C3:H3"/>
    <mergeCell ref="C4:G4"/>
    <mergeCell ref="A1:O1"/>
    <mergeCell ref="M6:N6"/>
    <mergeCell ref="D6:D7"/>
    <mergeCell ref="E6:E7"/>
    <mergeCell ref="G6:G7"/>
    <mergeCell ref="H6:H7"/>
    <mergeCell ref="F6:F7"/>
    <mergeCell ref="I6:I7"/>
  </mergeCells>
  <printOptions/>
  <pageMargins left="1" right="0.5" top="1" bottom="1" header="0.23" footer="0.2"/>
  <pageSetup fitToHeight="1" fitToWidth="1" horizontalDpi="600" verticalDpi="600" orientation="portrait" scale="71" r:id="rId3"/>
  <headerFooter alignWithMargins="0">
    <oddFooter>&amp;L&amp;T, &amp;D&amp;C&amp;9Version 3.2&amp;R&amp;A, Page &amp;P of &amp;N</oddFooter>
  </headerFooter>
  <colBreaks count="1" manualBreakCount="1">
    <brk id="15" min="3" max="43" man="1"/>
  </colBreaks>
  <legacyDrawing r:id="rId2"/>
</worksheet>
</file>

<file path=xl/worksheets/sheet4.xml><?xml version="1.0" encoding="utf-8"?>
<worksheet xmlns="http://schemas.openxmlformats.org/spreadsheetml/2006/main" xmlns:r="http://schemas.openxmlformats.org/officeDocument/2006/relationships">
  <sheetPr codeName="Sheet1" transitionEvaluation="1">
    <pageSetUpPr fitToPage="1"/>
  </sheetPr>
  <dimension ref="A1:T67"/>
  <sheetViews>
    <sheetView zoomScale="91" zoomScaleNormal="91" zoomScaleSheetLayoutView="91" workbookViewId="0" topLeftCell="A1">
      <selection activeCell="D15" sqref="D15"/>
    </sheetView>
  </sheetViews>
  <sheetFormatPr defaultColWidth="9.77734375" defaultRowHeight="15"/>
  <cols>
    <col min="1" max="1" width="10.77734375" style="22" customWidth="1"/>
    <col min="2" max="2" width="10.6640625" style="22" customWidth="1"/>
    <col min="3" max="3" width="5.6640625" style="22" customWidth="1"/>
    <col min="4" max="4" width="8.21484375" style="22" customWidth="1"/>
    <col min="5" max="5" width="10.10546875" style="22" customWidth="1"/>
    <col min="6" max="6" width="9.21484375" style="22" customWidth="1"/>
    <col min="7" max="7" width="8.10546875" style="22" customWidth="1"/>
    <col min="8" max="8" width="8.77734375" style="22" customWidth="1"/>
    <col min="9" max="9" width="8.88671875" style="22" customWidth="1"/>
    <col min="10" max="10" width="8.4453125" style="22" bestFit="1" customWidth="1"/>
    <col min="11" max="11" width="8.21484375" style="0" customWidth="1"/>
    <col min="12" max="12" width="8.77734375" style="0" customWidth="1"/>
    <col min="13" max="13" width="10.5546875" style="0" customWidth="1"/>
    <col min="14" max="14" width="8.5546875" style="0" customWidth="1"/>
    <col min="15" max="15" width="8.3359375" style="0" customWidth="1"/>
    <col min="16" max="16" width="8.5546875" style="0" customWidth="1"/>
    <col min="17" max="17" width="8.3359375" style="0" customWidth="1"/>
  </cols>
  <sheetData>
    <row r="1" spans="1:17" ht="18">
      <c r="A1" s="707" t="s">
        <v>252</v>
      </c>
      <c r="B1" s="707"/>
      <c r="C1" s="707"/>
      <c r="D1" s="707"/>
      <c r="E1" s="707"/>
      <c r="F1" s="707"/>
      <c r="G1" s="707"/>
      <c r="H1" s="707"/>
      <c r="I1" s="641" t="s">
        <v>303</v>
      </c>
      <c r="J1" s="641"/>
      <c r="K1" s="641"/>
      <c r="L1" s="641"/>
      <c r="M1" s="641"/>
      <c r="N1" s="641"/>
      <c r="O1" s="641"/>
      <c r="P1" s="641"/>
      <c r="Q1" s="641"/>
    </row>
    <row r="2" spans="3:20" ht="15" customHeight="1">
      <c r="C2" s="42"/>
      <c r="D2" s="42"/>
      <c r="E2" s="42"/>
      <c r="F2" s="42"/>
      <c r="G2" s="132"/>
      <c r="H2" s="42"/>
      <c r="I2" s="26"/>
      <c r="J2" s="27"/>
      <c r="K2" s="26"/>
      <c r="L2" s="26"/>
      <c r="M2" s="26"/>
      <c r="N2" s="26"/>
      <c r="O2" s="26"/>
      <c r="P2" s="28"/>
      <c r="Q2" s="28"/>
      <c r="S2" s="22"/>
      <c r="T2" s="22"/>
    </row>
    <row r="3" spans="1:20" ht="15">
      <c r="A3" s="138" t="s">
        <v>0</v>
      </c>
      <c r="B3" s="286">
        <f>'Farm N Balance (EWS2-1)'!C3</f>
        <v>0</v>
      </c>
      <c r="C3" s="294"/>
      <c r="D3" s="42"/>
      <c r="E3" t="s">
        <v>214</v>
      </c>
      <c r="F3" s="295">
        <f>+'Data Input'!H3</f>
        <v>0</v>
      </c>
      <c r="G3" s="296"/>
      <c r="H3" s="42"/>
      <c r="I3" s="138" t="s">
        <v>0</v>
      </c>
      <c r="J3" s="286">
        <f>'Farm N Balance (EWS2-1)'!C3</f>
        <v>0</v>
      </c>
      <c r="K3" s="297"/>
      <c r="L3" s="26"/>
      <c r="M3" t="s">
        <v>214</v>
      </c>
      <c r="N3" s="298">
        <f>+F3</f>
        <v>0</v>
      </c>
      <c r="O3" s="297"/>
      <c r="P3" s="28"/>
      <c r="Q3" s="28"/>
      <c r="S3" s="22"/>
      <c r="T3" s="22"/>
    </row>
    <row r="4" spans="1:20" ht="15.75" thickBot="1">
      <c r="A4" s="138" t="s">
        <v>1</v>
      </c>
      <c r="B4" s="162">
        <f>'Farm N Balance (EWS2-1)'!C4</f>
        <v>39541</v>
      </c>
      <c r="C4" s="42"/>
      <c r="D4" s="42"/>
      <c r="E4" t="s">
        <v>213</v>
      </c>
      <c r="F4" s="42"/>
      <c r="G4" s="132"/>
      <c r="H4" s="42"/>
      <c r="I4" s="138" t="s">
        <v>1</v>
      </c>
      <c r="J4" s="287">
        <f>'Farm N Balance (EWS2-1)'!C4</f>
        <v>39541</v>
      </c>
      <c r="K4" s="26"/>
      <c r="L4" s="26"/>
      <c r="M4" t="s">
        <v>213</v>
      </c>
      <c r="N4" s="299"/>
      <c r="O4" s="299"/>
      <c r="P4" s="28"/>
      <c r="Q4" s="28"/>
      <c r="S4" s="22"/>
      <c r="T4" s="22"/>
    </row>
    <row r="5" spans="1:17" ht="15">
      <c r="A5" s="43"/>
      <c r="B5" s="44"/>
      <c r="C5" s="44"/>
      <c r="D5" s="44"/>
      <c r="E5" s="44"/>
      <c r="F5" s="44"/>
      <c r="G5" s="44"/>
      <c r="H5" s="224"/>
      <c r="K5" s="29"/>
      <c r="L5" s="29"/>
      <c r="M5" s="29"/>
      <c r="P5" s="28"/>
      <c r="Q5" s="28"/>
    </row>
    <row r="6" spans="1:17" ht="15" customHeight="1">
      <c r="A6" s="704" t="s">
        <v>38</v>
      </c>
      <c r="B6" s="705"/>
      <c r="C6" s="705"/>
      <c r="D6" s="705"/>
      <c r="E6" s="705"/>
      <c r="F6" s="705"/>
      <c r="G6" s="705"/>
      <c r="H6" s="706"/>
      <c r="I6" s="26"/>
      <c r="J6" s="26"/>
      <c r="K6" s="28"/>
      <c r="L6" s="28"/>
      <c r="M6" s="28"/>
      <c r="N6" s="28"/>
      <c r="O6" s="28"/>
      <c r="P6" s="28"/>
      <c r="Q6" s="28"/>
    </row>
    <row r="7" spans="1:17" ht="15" customHeight="1">
      <c r="A7" s="53" t="s">
        <v>477</v>
      </c>
      <c r="B7" s="41"/>
      <c r="C7" s="41"/>
      <c r="D7" s="41"/>
      <c r="E7" s="41"/>
      <c r="F7" s="41"/>
      <c r="G7" s="41"/>
      <c r="H7" s="47"/>
      <c r="I7" s="122" t="s">
        <v>193</v>
      </c>
      <c r="J7" s="26"/>
      <c r="K7" s="28"/>
      <c r="L7" s="28"/>
      <c r="M7" s="28"/>
      <c r="N7" s="28"/>
      <c r="O7" s="229">
        <v>0.875</v>
      </c>
      <c r="P7" s="163"/>
      <c r="Q7" s="28"/>
    </row>
    <row r="8" spans="1:17" ht="15">
      <c r="A8" s="46" t="s">
        <v>181</v>
      </c>
      <c r="B8" s="41"/>
      <c r="C8" s="41"/>
      <c r="D8" s="41"/>
      <c r="E8" s="41"/>
      <c r="F8" s="41"/>
      <c r="G8" s="482">
        <v>3000</v>
      </c>
      <c r="H8" s="48" t="s">
        <v>112</v>
      </c>
      <c r="I8" s="138" t="s">
        <v>42</v>
      </c>
      <c r="J8" s="29"/>
      <c r="K8" s="29"/>
      <c r="L8" s="29"/>
      <c r="M8" s="29"/>
      <c r="N8" s="29"/>
      <c r="O8" s="217">
        <f>O9/O10</f>
        <v>1.3709677419354838</v>
      </c>
      <c r="P8" s="164" t="s">
        <v>43</v>
      </c>
      <c r="Q8" s="28"/>
    </row>
    <row r="9" spans="1:17" ht="15">
      <c r="A9" s="46" t="s">
        <v>182</v>
      </c>
      <c r="B9" s="41"/>
      <c r="C9" s="41"/>
      <c r="D9" s="41"/>
      <c r="E9" s="41"/>
      <c r="F9" s="41"/>
      <c r="G9" s="482">
        <v>2000</v>
      </c>
      <c r="H9" s="48" t="s">
        <v>112</v>
      </c>
      <c r="I9" s="138" t="s">
        <v>44</v>
      </c>
      <c r="J9" s="29"/>
      <c r="K9" s="29"/>
      <c r="L9" s="29"/>
      <c r="M9" s="29"/>
      <c r="N9" s="29"/>
      <c r="O9" s="230">
        <v>85</v>
      </c>
      <c r="P9" s="164" t="s">
        <v>45</v>
      </c>
      <c r="Q9" s="28"/>
    </row>
    <row r="10" spans="1:17" ht="15">
      <c r="A10" s="46" t="s">
        <v>183</v>
      </c>
      <c r="B10" s="41"/>
      <c r="C10" s="41"/>
      <c r="D10" s="41"/>
      <c r="E10" s="41"/>
      <c r="F10" s="41"/>
      <c r="G10" s="482">
        <v>425</v>
      </c>
      <c r="H10" s="48" t="s">
        <v>112</v>
      </c>
      <c r="I10" s="138" t="s">
        <v>46</v>
      </c>
      <c r="J10" s="29"/>
      <c r="K10" s="29"/>
      <c r="L10" s="29"/>
      <c r="M10" s="29"/>
      <c r="N10" s="29"/>
      <c r="O10" s="230">
        <v>62</v>
      </c>
      <c r="P10" s="164" t="s">
        <v>47</v>
      </c>
      <c r="Q10" s="28"/>
    </row>
    <row r="11" spans="1:17" ht="15">
      <c r="A11" s="46" t="s">
        <v>184</v>
      </c>
      <c r="B11" s="41"/>
      <c r="C11" s="41"/>
      <c r="D11" s="41"/>
      <c r="E11" s="41"/>
      <c r="F11" s="41"/>
      <c r="G11" s="482">
        <v>250</v>
      </c>
      <c r="H11" s="48" t="s">
        <v>112</v>
      </c>
      <c r="I11" s="138" t="s">
        <v>48</v>
      </c>
      <c r="J11" s="29"/>
      <c r="K11" s="29"/>
      <c r="L11" s="29"/>
      <c r="M11" s="29"/>
      <c r="N11" s="29"/>
      <c r="O11" s="230">
        <v>90</v>
      </c>
      <c r="P11" s="164"/>
      <c r="Q11" s="28"/>
    </row>
    <row r="12" spans="1:18" ht="15.75" thickBot="1">
      <c r="A12" s="49"/>
      <c r="B12" s="50"/>
      <c r="C12" s="50"/>
      <c r="D12" s="50"/>
      <c r="E12" s="50"/>
      <c r="F12" s="50"/>
      <c r="G12" s="50"/>
      <c r="H12" s="51"/>
      <c r="I12" s="138" t="s">
        <v>49</v>
      </c>
      <c r="J12" s="29"/>
      <c r="K12" s="29"/>
      <c r="L12" s="29"/>
      <c r="M12" s="29"/>
      <c r="N12" s="29"/>
      <c r="O12" s="230">
        <v>97</v>
      </c>
      <c r="P12" s="164"/>
      <c r="Q12" s="28"/>
      <c r="R12" s="22"/>
    </row>
    <row r="13" spans="1:17" ht="15">
      <c r="A13" s="43"/>
      <c r="B13" s="44"/>
      <c r="C13" s="44"/>
      <c r="D13" s="44"/>
      <c r="E13" s="44"/>
      <c r="F13" s="44"/>
      <c r="G13" s="44"/>
      <c r="H13" s="45"/>
      <c r="I13" s="138" t="s">
        <v>50</v>
      </c>
      <c r="J13" s="29"/>
      <c r="K13" s="29"/>
      <c r="L13" s="29"/>
      <c r="M13" s="29"/>
      <c r="N13" s="29"/>
      <c r="O13" s="230">
        <v>99.99</v>
      </c>
      <c r="P13" s="165"/>
      <c r="Q13" s="28"/>
    </row>
    <row r="14" spans="1:17" ht="15" customHeight="1">
      <c r="A14" s="704" t="s">
        <v>306</v>
      </c>
      <c r="B14" s="705"/>
      <c r="C14" s="705"/>
      <c r="D14" s="705"/>
      <c r="E14" s="705"/>
      <c r="F14" s="705"/>
      <c r="G14" s="705"/>
      <c r="H14" s="706"/>
      <c r="I14" s="138" t="s">
        <v>200</v>
      </c>
      <c r="J14" s="29"/>
      <c r="K14" s="29"/>
      <c r="L14" s="29"/>
      <c r="M14" s="29"/>
      <c r="N14" s="29"/>
      <c r="O14" s="231"/>
      <c r="P14" s="138" t="s">
        <v>84</v>
      </c>
      <c r="Q14" s="28"/>
    </row>
    <row r="15" spans="1:17" ht="15" customHeight="1">
      <c r="A15" s="46"/>
      <c r="B15" s="41"/>
      <c r="C15" s="41"/>
      <c r="D15" s="41"/>
      <c r="E15" s="41"/>
      <c r="F15" s="41"/>
      <c r="G15" s="41"/>
      <c r="H15" s="47"/>
      <c r="I15" s="618" t="s">
        <v>482</v>
      </c>
      <c r="J15" s="619"/>
      <c r="K15" s="620"/>
      <c r="L15" s="620"/>
      <c r="M15" s="620"/>
      <c r="N15" s="620"/>
      <c r="O15" s="492">
        <v>1</v>
      </c>
      <c r="P15" s="28"/>
      <c r="Q15" s="28"/>
    </row>
    <row r="16" spans="1:16" ht="15.75" thickBot="1">
      <c r="A16" s="46" t="s">
        <v>493</v>
      </c>
      <c r="B16" s="41"/>
      <c r="C16" s="41"/>
      <c r="D16" s="41"/>
      <c r="E16" s="41"/>
      <c r="F16" s="41"/>
      <c r="G16" s="41"/>
      <c r="H16" s="228"/>
      <c r="I16" s="493"/>
      <c r="J16" s="494"/>
      <c r="K16" s="25"/>
      <c r="L16" s="25"/>
      <c r="M16" s="25"/>
      <c r="N16" s="25"/>
      <c r="O16" s="495"/>
      <c r="P16" s="25"/>
    </row>
    <row r="17" spans="1:17" ht="15">
      <c r="A17" s="46"/>
      <c r="B17" s="41"/>
      <c r="C17" s="41"/>
      <c r="D17" s="41"/>
      <c r="E17" s="52" t="s">
        <v>289</v>
      </c>
      <c r="F17" s="52" t="s">
        <v>269</v>
      </c>
      <c r="G17" s="41"/>
      <c r="H17" s="47"/>
      <c r="I17" s="36"/>
      <c r="J17" s="37"/>
      <c r="K17" s="37"/>
      <c r="L17" s="37"/>
      <c r="M17" s="60" t="s">
        <v>111</v>
      </c>
      <c r="N17" s="301" t="s">
        <v>345</v>
      </c>
      <c r="O17" s="35"/>
      <c r="P17" s="35"/>
      <c r="Q17" s="34"/>
    </row>
    <row r="18" spans="1:17" ht="15">
      <c r="A18" s="268" t="s">
        <v>22</v>
      </c>
      <c r="B18" s="269" t="s">
        <v>25</v>
      </c>
      <c r="C18" s="41"/>
      <c r="D18" s="41"/>
      <c r="E18" s="229">
        <v>0.8</v>
      </c>
      <c r="F18" s="218">
        <f>1-E18</f>
        <v>0.19999999999999996</v>
      </c>
      <c r="G18" s="41"/>
      <c r="H18" s="226"/>
      <c r="I18" s="59" t="s">
        <v>156</v>
      </c>
      <c r="J18" s="40"/>
      <c r="K18" s="40"/>
      <c r="L18" s="40"/>
      <c r="M18" s="40"/>
      <c r="N18" s="40"/>
      <c r="O18" s="40"/>
      <c r="P18" s="40"/>
      <c r="Q18" s="32"/>
    </row>
    <row r="19" spans="1:17" ht="15">
      <c r="A19" s="268" t="s">
        <v>22</v>
      </c>
      <c r="B19" s="269" t="s">
        <v>26</v>
      </c>
      <c r="C19" s="41"/>
      <c r="D19" s="41"/>
      <c r="E19" s="229">
        <v>0.35</v>
      </c>
      <c r="F19" s="218">
        <f>1-E19</f>
        <v>0.65</v>
      </c>
      <c r="G19" s="41"/>
      <c r="H19" s="47"/>
      <c r="I19" s="58"/>
      <c r="J19" s="56"/>
      <c r="K19" s="56"/>
      <c r="L19" s="57" t="s">
        <v>51</v>
      </c>
      <c r="M19" s="57" t="s">
        <v>52</v>
      </c>
      <c r="N19" s="57" t="s">
        <v>51</v>
      </c>
      <c r="O19" s="57" t="s">
        <v>52</v>
      </c>
      <c r="P19" s="57" t="s">
        <v>51</v>
      </c>
      <c r="Q19" s="55" t="s">
        <v>52</v>
      </c>
    </row>
    <row r="20" spans="1:17" ht="15">
      <c r="A20" s="268" t="s">
        <v>23</v>
      </c>
      <c r="B20" s="269" t="s">
        <v>25</v>
      </c>
      <c r="C20" s="41"/>
      <c r="D20" s="227"/>
      <c r="E20" s="229">
        <v>0.15</v>
      </c>
      <c r="F20" s="218">
        <f>1-E20</f>
        <v>0.85</v>
      </c>
      <c r="G20" s="41"/>
      <c r="H20" s="47"/>
      <c r="I20" s="39"/>
      <c r="J20" s="57" t="s">
        <v>250</v>
      </c>
      <c r="K20" s="57" t="s">
        <v>250</v>
      </c>
      <c r="L20" s="57" t="s">
        <v>55</v>
      </c>
      <c r="M20" s="57" t="s">
        <v>55</v>
      </c>
      <c r="N20" s="57" t="s">
        <v>56</v>
      </c>
      <c r="O20" s="57" t="s">
        <v>56</v>
      </c>
      <c r="P20" s="57" t="s">
        <v>57</v>
      </c>
      <c r="Q20" s="55" t="s">
        <v>58</v>
      </c>
    </row>
    <row r="21" spans="1:17" ht="15">
      <c r="A21" s="268" t="s">
        <v>23</v>
      </c>
      <c r="B21" s="269" t="s">
        <v>13</v>
      </c>
      <c r="C21" s="41"/>
      <c r="D21" s="41"/>
      <c r="E21" s="229">
        <v>0.15</v>
      </c>
      <c r="F21" s="218">
        <f>1-E21</f>
        <v>0.85</v>
      </c>
      <c r="G21" s="41"/>
      <c r="H21" s="47"/>
      <c r="I21" s="39"/>
      <c r="J21" s="57" t="s">
        <v>53</v>
      </c>
      <c r="K21" s="57" t="s">
        <v>54</v>
      </c>
      <c r="L21" s="57" t="s">
        <v>59</v>
      </c>
      <c r="M21" s="57" t="s">
        <v>59</v>
      </c>
      <c r="N21" s="57" t="s">
        <v>59</v>
      </c>
      <c r="O21" s="57" t="s">
        <v>59</v>
      </c>
      <c r="P21" s="57" t="s">
        <v>59</v>
      </c>
      <c r="Q21" s="55" t="s">
        <v>59</v>
      </c>
    </row>
    <row r="22" spans="1:17" ht="15">
      <c r="A22" s="46"/>
      <c r="B22" s="41"/>
      <c r="C22" s="41"/>
      <c r="D22" s="41"/>
      <c r="E22" s="41"/>
      <c r="F22" s="41"/>
      <c r="G22" s="41"/>
      <c r="H22" s="47"/>
      <c r="I22" s="39" t="s">
        <v>251</v>
      </c>
      <c r="J22" s="54" t="s">
        <v>60</v>
      </c>
      <c r="K22" s="57" t="s">
        <v>60</v>
      </c>
      <c r="L22" s="57" t="s">
        <v>61</v>
      </c>
      <c r="M22" s="57" t="s">
        <v>60</v>
      </c>
      <c r="N22" s="57" t="s">
        <v>61</v>
      </c>
      <c r="O22" s="57" t="s">
        <v>60</v>
      </c>
      <c r="P22" s="57" t="s">
        <v>61</v>
      </c>
      <c r="Q22" s="55" t="s">
        <v>60</v>
      </c>
    </row>
    <row r="23" spans="1:17" ht="15">
      <c r="A23" s="46"/>
      <c r="B23" s="41"/>
      <c r="C23" s="41"/>
      <c r="D23" s="41"/>
      <c r="E23" s="41"/>
      <c r="F23" s="486">
        <v>0</v>
      </c>
      <c r="H23" s="47"/>
      <c r="I23" s="39" t="s">
        <v>62</v>
      </c>
      <c r="J23" s="232"/>
      <c r="K23" s="232"/>
      <c r="L23" s="230">
        <v>20</v>
      </c>
      <c r="M23" s="222">
        <f>$O$15*J23*L23/100</f>
        <v>0</v>
      </c>
      <c r="N23" s="230">
        <v>50</v>
      </c>
      <c r="O23" s="222">
        <f>$O$15*J23*N23/100</f>
        <v>0</v>
      </c>
      <c r="P23" s="230">
        <v>100</v>
      </c>
      <c r="Q23" s="223">
        <f>$O$15*J23*P23/100</f>
        <v>0</v>
      </c>
    </row>
    <row r="24" spans="1:17" ht="15" customHeight="1" thickBot="1">
      <c r="A24" s="496"/>
      <c r="B24" s="497"/>
      <c r="C24" s="497"/>
      <c r="D24" s="497"/>
      <c r="E24" s="497"/>
      <c r="F24" s="498"/>
      <c r="G24" s="497"/>
      <c r="H24" s="51"/>
      <c r="I24" s="39" t="s">
        <v>63</v>
      </c>
      <c r="J24" s="232"/>
      <c r="K24" s="232"/>
      <c r="L24" s="230">
        <v>20</v>
      </c>
      <c r="M24" s="222">
        <f aca="true" t="shared" si="0" ref="M24:M34">$O$15*J24*L24/100</f>
        <v>0</v>
      </c>
      <c r="N24" s="230">
        <v>50</v>
      </c>
      <c r="O24" s="222">
        <f aca="true" t="shared" si="1" ref="O24:O34">$O$15*J24*N24/100</f>
        <v>0</v>
      </c>
      <c r="P24" s="230">
        <v>100</v>
      </c>
      <c r="Q24" s="223">
        <f aca="true" t="shared" si="2" ref="Q24:Q34">$O$15*J24*P24/100</f>
        <v>0</v>
      </c>
    </row>
    <row r="25" spans="1:17" ht="15">
      <c r="A25" s="46"/>
      <c r="B25" s="41"/>
      <c r="C25" s="41"/>
      <c r="D25" s="41"/>
      <c r="E25" s="41"/>
      <c r="F25" s="41"/>
      <c r="G25" s="41"/>
      <c r="H25" s="47"/>
      <c r="I25" s="39" t="s">
        <v>64</v>
      </c>
      <c r="J25" s="232"/>
      <c r="K25" s="232"/>
      <c r="L25" s="230">
        <v>20</v>
      </c>
      <c r="M25" s="222">
        <f t="shared" si="0"/>
        <v>0</v>
      </c>
      <c r="N25" s="230">
        <v>50</v>
      </c>
      <c r="O25" s="222">
        <f t="shared" si="1"/>
        <v>0</v>
      </c>
      <c r="P25" s="230">
        <v>100</v>
      </c>
      <c r="Q25" s="223">
        <f t="shared" si="2"/>
        <v>0</v>
      </c>
    </row>
    <row r="26" spans="1:17" ht="15" customHeight="1">
      <c r="A26" s="704" t="s">
        <v>484</v>
      </c>
      <c r="B26" s="705"/>
      <c r="C26" s="705"/>
      <c r="D26" s="705"/>
      <c r="E26" s="705"/>
      <c r="F26" s="705"/>
      <c r="G26" s="705"/>
      <c r="H26" s="706"/>
      <c r="I26" s="39" t="s">
        <v>65</v>
      </c>
      <c r="J26" s="232"/>
      <c r="K26" s="232"/>
      <c r="L26" s="230">
        <v>20</v>
      </c>
      <c r="M26" s="222">
        <f t="shared" si="0"/>
        <v>0</v>
      </c>
      <c r="N26" s="230">
        <v>50</v>
      </c>
      <c r="O26" s="222">
        <f t="shared" si="1"/>
        <v>0</v>
      </c>
      <c r="P26" s="230">
        <v>100</v>
      </c>
      <c r="Q26" s="223">
        <f t="shared" si="2"/>
        <v>0</v>
      </c>
    </row>
    <row r="27" spans="1:17" ht="15.75">
      <c r="A27" s="53"/>
      <c r="B27" s="41"/>
      <c r="C27" s="41"/>
      <c r="D27" s="41"/>
      <c r="E27" s="41"/>
      <c r="F27" s="41"/>
      <c r="G27" s="41"/>
      <c r="H27" s="47"/>
      <c r="I27" s="39" t="s">
        <v>66</v>
      </c>
      <c r="J27" s="232"/>
      <c r="K27" s="232"/>
      <c r="L27" s="230">
        <v>20</v>
      </c>
      <c r="M27" s="222">
        <f t="shared" si="0"/>
        <v>0</v>
      </c>
      <c r="N27" s="230">
        <v>50</v>
      </c>
      <c r="O27" s="222">
        <f t="shared" si="1"/>
        <v>0</v>
      </c>
      <c r="P27" s="230">
        <v>100</v>
      </c>
      <c r="Q27" s="223">
        <f t="shared" si="2"/>
        <v>0</v>
      </c>
    </row>
    <row r="28" spans="1:18" ht="15">
      <c r="A28" s="46"/>
      <c r="B28" s="41"/>
      <c r="C28" s="41"/>
      <c r="D28" s="41"/>
      <c r="E28" s="41" t="s">
        <v>318</v>
      </c>
      <c r="F28" s="41" t="s">
        <v>319</v>
      </c>
      <c r="G28" s="41" t="s">
        <v>113</v>
      </c>
      <c r="H28" s="47"/>
      <c r="I28" s="39" t="s">
        <v>67</v>
      </c>
      <c r="J28" s="232"/>
      <c r="K28" s="232"/>
      <c r="L28" s="230">
        <v>20</v>
      </c>
      <c r="M28" s="222">
        <f t="shared" si="0"/>
        <v>0</v>
      </c>
      <c r="N28" s="230">
        <v>50</v>
      </c>
      <c r="O28" s="222">
        <f t="shared" si="1"/>
        <v>0</v>
      </c>
      <c r="P28" s="230">
        <v>100</v>
      </c>
      <c r="Q28" s="223">
        <f t="shared" si="2"/>
        <v>0</v>
      </c>
      <c r="R28" s="22"/>
    </row>
    <row r="29" spans="1:17" ht="15">
      <c r="A29" s="46" t="s">
        <v>15</v>
      </c>
      <c r="B29" s="41"/>
      <c r="C29" s="41"/>
      <c r="D29" s="52" t="s">
        <v>39</v>
      </c>
      <c r="E29" s="225">
        <v>0.72765</v>
      </c>
      <c r="F29" s="219">
        <f aca="true" t="shared" si="3" ref="F29:F35">E29*1.4</f>
        <v>1.0187100000000002</v>
      </c>
      <c r="G29" s="220">
        <f>+E29*' '!E9/1000</f>
        <v>1.01871</v>
      </c>
      <c r="H29" s="47"/>
      <c r="I29" s="39" t="s">
        <v>68</v>
      </c>
      <c r="J29" s="232"/>
      <c r="K29" s="232"/>
      <c r="L29" s="230">
        <v>20</v>
      </c>
      <c r="M29" s="222">
        <f t="shared" si="0"/>
        <v>0</v>
      </c>
      <c r="N29" s="230">
        <v>50</v>
      </c>
      <c r="O29" s="222">
        <f t="shared" si="1"/>
        <v>0</v>
      </c>
      <c r="P29" s="230">
        <v>100</v>
      </c>
      <c r="Q29" s="223">
        <f t="shared" si="2"/>
        <v>0</v>
      </c>
    </row>
    <row r="30" spans="1:19" ht="15">
      <c r="A30" s="46" t="s">
        <v>16</v>
      </c>
      <c r="B30" s="41"/>
      <c r="C30" s="41"/>
      <c r="D30" s="52" t="s">
        <v>39</v>
      </c>
      <c r="E30" s="225">
        <v>0.45</v>
      </c>
      <c r="F30" s="219">
        <f t="shared" si="3"/>
        <v>0.6300000000000001</v>
      </c>
      <c r="G30" s="220">
        <f>+E30*' '!E10/1000</f>
        <v>0.675</v>
      </c>
      <c r="H30" s="47"/>
      <c r="I30" s="39" t="s">
        <v>69</v>
      </c>
      <c r="J30" s="232"/>
      <c r="K30" s="232"/>
      <c r="L30" s="230">
        <v>20</v>
      </c>
      <c r="M30" s="222">
        <f t="shared" si="0"/>
        <v>0</v>
      </c>
      <c r="N30" s="230">
        <v>50</v>
      </c>
      <c r="O30" s="222">
        <f t="shared" si="1"/>
        <v>0</v>
      </c>
      <c r="P30" s="230">
        <v>100</v>
      </c>
      <c r="Q30" s="223">
        <f t="shared" si="2"/>
        <v>0</v>
      </c>
      <c r="S30" s="22"/>
    </row>
    <row r="31" spans="1:17" ht="15">
      <c r="A31" s="46" t="s">
        <v>17</v>
      </c>
      <c r="B31" s="41"/>
      <c r="C31" s="41"/>
      <c r="D31" s="52" t="s">
        <v>39</v>
      </c>
      <c r="E31" s="225">
        <v>0.45</v>
      </c>
      <c r="F31" s="219">
        <f t="shared" si="3"/>
        <v>0.6300000000000001</v>
      </c>
      <c r="G31" s="220">
        <f>+E31*' '!E11/1000</f>
        <v>0.495</v>
      </c>
      <c r="H31" s="47"/>
      <c r="I31" s="39" t="s">
        <v>70</v>
      </c>
      <c r="J31" s="232"/>
      <c r="K31" s="232"/>
      <c r="L31" s="230">
        <v>20</v>
      </c>
      <c r="M31" s="222">
        <f t="shared" si="0"/>
        <v>0</v>
      </c>
      <c r="N31" s="230">
        <v>50</v>
      </c>
      <c r="O31" s="222">
        <f t="shared" si="1"/>
        <v>0</v>
      </c>
      <c r="P31" s="230">
        <v>100</v>
      </c>
      <c r="Q31" s="223">
        <f t="shared" si="2"/>
        <v>0</v>
      </c>
    </row>
    <row r="32" spans="1:17" ht="15">
      <c r="A32" s="46" t="s">
        <v>18</v>
      </c>
      <c r="B32" s="41"/>
      <c r="C32" s="41"/>
      <c r="D32" s="52" t="s">
        <v>39</v>
      </c>
      <c r="E32" s="225">
        <v>0.45</v>
      </c>
      <c r="F32" s="219">
        <f t="shared" si="3"/>
        <v>0.6300000000000001</v>
      </c>
      <c r="G32" s="220">
        <f>+E32*' '!E12/1000</f>
        <v>0.34875</v>
      </c>
      <c r="H32" s="47"/>
      <c r="I32" s="39" t="s">
        <v>71</v>
      </c>
      <c r="J32" s="232"/>
      <c r="K32" s="232"/>
      <c r="L32" s="230">
        <v>20</v>
      </c>
      <c r="M32" s="222">
        <f t="shared" si="0"/>
        <v>0</v>
      </c>
      <c r="N32" s="230">
        <v>50</v>
      </c>
      <c r="O32" s="222">
        <f t="shared" si="1"/>
        <v>0</v>
      </c>
      <c r="P32" s="230">
        <v>100</v>
      </c>
      <c r="Q32" s="223">
        <f t="shared" si="2"/>
        <v>0</v>
      </c>
    </row>
    <row r="33" spans="1:17" ht="15">
      <c r="A33" s="46" t="s">
        <v>232</v>
      </c>
      <c r="B33" s="41"/>
      <c r="C33" s="41"/>
      <c r="D33" s="52" t="s">
        <v>39</v>
      </c>
      <c r="E33" s="225">
        <v>0.45</v>
      </c>
      <c r="F33" s="219">
        <f t="shared" si="3"/>
        <v>0.6300000000000001</v>
      </c>
      <c r="G33" s="220">
        <f>+E33*' '!E13/1000</f>
        <v>0.225</v>
      </c>
      <c r="H33" s="47"/>
      <c r="I33" s="39" t="s">
        <v>72</v>
      </c>
      <c r="J33" s="232"/>
      <c r="K33" s="232"/>
      <c r="L33" s="230">
        <v>20</v>
      </c>
      <c r="M33" s="222">
        <f t="shared" si="0"/>
        <v>0</v>
      </c>
      <c r="N33" s="230">
        <v>50</v>
      </c>
      <c r="O33" s="222">
        <f t="shared" si="1"/>
        <v>0</v>
      </c>
      <c r="P33" s="230">
        <v>100</v>
      </c>
      <c r="Q33" s="223">
        <f t="shared" si="2"/>
        <v>0</v>
      </c>
    </row>
    <row r="34" spans="1:17" ht="15">
      <c r="A34" s="300" t="s">
        <v>275</v>
      </c>
      <c r="B34" s="41"/>
      <c r="C34" s="41"/>
      <c r="D34" s="52" t="s">
        <v>39</v>
      </c>
      <c r="E34" s="225">
        <v>0.45</v>
      </c>
      <c r="F34" s="219">
        <f t="shared" si="3"/>
        <v>0.6300000000000001</v>
      </c>
      <c r="G34" s="220">
        <f>+E34*' '!E14/1000</f>
        <v>0.0675</v>
      </c>
      <c r="H34" s="47"/>
      <c r="I34" s="39" t="s">
        <v>73</v>
      </c>
      <c r="J34" s="232"/>
      <c r="K34" s="232"/>
      <c r="L34" s="230">
        <v>20</v>
      </c>
      <c r="M34" s="222">
        <f t="shared" si="0"/>
        <v>0</v>
      </c>
      <c r="N34" s="230">
        <v>50</v>
      </c>
      <c r="O34" s="222">
        <f t="shared" si="1"/>
        <v>0</v>
      </c>
      <c r="P34" s="230">
        <v>100</v>
      </c>
      <c r="Q34" s="223">
        <f t="shared" si="2"/>
        <v>0</v>
      </c>
    </row>
    <row r="35" spans="1:17" ht="15">
      <c r="A35" s="46" t="s">
        <v>40</v>
      </c>
      <c r="B35" s="41"/>
      <c r="C35" s="41"/>
      <c r="D35" s="52" t="s">
        <v>41</v>
      </c>
      <c r="E35" s="225">
        <v>1.2821</v>
      </c>
      <c r="F35" s="219">
        <f t="shared" si="3"/>
        <v>1.7949400000000002</v>
      </c>
      <c r="G35" s="221"/>
      <c r="H35" s="47"/>
      <c r="I35" s="39" t="s">
        <v>74</v>
      </c>
      <c r="J35" s="222">
        <f>SUM(J23:J34)</f>
        <v>0</v>
      </c>
      <c r="K35" s="222">
        <f>SUM(K23:K34)</f>
        <v>0</v>
      </c>
      <c r="L35" s="71"/>
      <c r="M35" s="222">
        <f>SUM(M23:M34)</f>
        <v>0</v>
      </c>
      <c r="N35" s="71"/>
      <c r="O35" s="222">
        <f>SUM(O23:O34)</f>
        <v>0</v>
      </c>
      <c r="P35" s="166"/>
      <c r="Q35" s="223">
        <f>SUM(Q23:Q34)</f>
        <v>0</v>
      </c>
    </row>
    <row r="36" spans="1:17" ht="15.75" thickBot="1">
      <c r="A36" s="49"/>
      <c r="B36" s="41"/>
      <c r="C36" s="41"/>
      <c r="D36" s="41"/>
      <c r="E36" s="41"/>
      <c r="F36" s="41"/>
      <c r="G36" s="41"/>
      <c r="H36" s="51"/>
      <c r="I36" s="185" t="s">
        <v>483</v>
      </c>
      <c r="J36" s="40"/>
      <c r="K36" s="40"/>
      <c r="L36" s="40"/>
      <c r="M36" s="40"/>
      <c r="N36" s="40"/>
      <c r="O36" s="40"/>
      <c r="P36" s="40"/>
      <c r="Q36" s="32"/>
    </row>
    <row r="37" spans="1:17" ht="15" customHeight="1" thickBot="1">
      <c r="A37" s="43"/>
      <c r="B37" s="44"/>
      <c r="C37" s="44"/>
      <c r="D37" s="44"/>
      <c r="E37" s="44"/>
      <c r="F37" s="44"/>
      <c r="G37" s="44"/>
      <c r="H37" s="45"/>
      <c r="I37" s="38" t="s">
        <v>75</v>
      </c>
      <c r="J37" s="31"/>
      <c r="K37" s="31"/>
      <c r="L37" s="31"/>
      <c r="M37" s="31" t="s">
        <v>76</v>
      </c>
      <c r="N37" s="31"/>
      <c r="O37" s="31"/>
      <c r="P37" s="31"/>
      <c r="Q37" s="33"/>
    </row>
    <row r="38" spans="1:17" ht="15" customHeight="1">
      <c r="A38" s="704" t="s">
        <v>231</v>
      </c>
      <c r="B38" s="705"/>
      <c r="C38" s="705"/>
      <c r="D38" s="705"/>
      <c r="E38" s="705"/>
      <c r="F38" s="705"/>
      <c r="G38" s="705"/>
      <c r="H38" s="706"/>
      <c r="I38" s="499"/>
      <c r="J38" s="499"/>
      <c r="K38" s="499"/>
      <c r="L38" s="499"/>
      <c r="M38" s="499"/>
      <c r="N38" s="499"/>
      <c r="O38" s="499"/>
      <c r="P38" s="499"/>
      <c r="Q38" s="499"/>
    </row>
    <row r="39" spans="1:17" ht="15" customHeight="1">
      <c r="A39" s="46"/>
      <c r="B39" s="41"/>
      <c r="C39" s="42"/>
      <c r="D39" s="42"/>
      <c r="E39" s="41"/>
      <c r="F39" s="41"/>
      <c r="G39" s="41"/>
      <c r="H39" s="47"/>
      <c r="I39" s="502"/>
      <c r="J39" s="502"/>
      <c r="K39" s="502"/>
      <c r="L39" s="502"/>
      <c r="M39" s="502"/>
      <c r="N39" s="502"/>
      <c r="O39" s="502"/>
      <c r="P39" s="502"/>
      <c r="Q39" s="503"/>
    </row>
    <row r="40" spans="1:17" ht="15">
      <c r="A40" s="46" t="s">
        <v>406</v>
      </c>
      <c r="B40" s="41"/>
      <c r="C40" s="41"/>
      <c r="D40" s="41"/>
      <c r="E40" s="41"/>
      <c r="F40" s="41"/>
      <c r="G40" s="428">
        <f>1-(1-G44)*(1-G46)</f>
        <v>0</v>
      </c>
      <c r="H40" s="48"/>
      <c r="I40" s="494"/>
      <c r="J40" s="494"/>
      <c r="K40" s="494"/>
      <c r="L40" s="494"/>
      <c r="M40" s="494"/>
      <c r="N40" s="494"/>
      <c r="O40" s="494"/>
      <c r="P40" s="494"/>
      <c r="Q40" s="494"/>
    </row>
    <row r="41" spans="1:17" ht="15">
      <c r="A41" s="46"/>
      <c r="B41" s="41"/>
      <c r="C41" s="41"/>
      <c r="D41" s="41"/>
      <c r="E41" s="41"/>
      <c r="F41" s="41"/>
      <c r="G41" s="282"/>
      <c r="H41" s="47"/>
      <c r="I41" s="494"/>
      <c r="J41" s="500"/>
      <c r="K41" s="494"/>
      <c r="L41" s="494"/>
      <c r="M41" s="501"/>
      <c r="N41" s="494"/>
      <c r="O41" s="494"/>
      <c r="P41" s="494"/>
      <c r="Q41" s="494"/>
    </row>
    <row r="42" spans="1:17" ht="15">
      <c r="A42" s="46" t="s">
        <v>407</v>
      </c>
      <c r="B42" s="41"/>
      <c r="C42" s="41"/>
      <c r="D42" s="41"/>
      <c r="E42" s="41"/>
      <c r="F42" s="41"/>
      <c r="G42" s="428">
        <f>1-((1-G50)*(1-G48))</f>
        <v>0</v>
      </c>
      <c r="H42" s="48"/>
      <c r="I42" s="494"/>
      <c r="J42" s="500"/>
      <c r="K42" s="494"/>
      <c r="L42" s="494"/>
      <c r="M42" s="501"/>
      <c r="N42" s="494"/>
      <c r="O42" s="494"/>
      <c r="P42" s="494"/>
      <c r="Q42" s="494"/>
    </row>
    <row r="43" spans="1:17" ht="15" customHeight="1">
      <c r="A43" s="46"/>
      <c r="B43" s="41"/>
      <c r="C43" s="41"/>
      <c r="D43" s="41"/>
      <c r="E43" s="41"/>
      <c r="F43" s="41"/>
      <c r="G43" s="41"/>
      <c r="H43" s="47"/>
      <c r="I43" s="494"/>
      <c r="J43" s="500"/>
      <c r="K43" s="494"/>
      <c r="L43" s="494"/>
      <c r="M43" s="501"/>
      <c r="N43" s="494"/>
      <c r="O43" s="494"/>
      <c r="P43" s="494"/>
      <c r="Q43" s="494"/>
    </row>
    <row r="44" spans="1:17" ht="15">
      <c r="A44" s="46" t="s">
        <v>408</v>
      </c>
      <c r="B44" s="41"/>
      <c r="C44" s="41"/>
      <c r="D44" s="41"/>
      <c r="E44" s="41"/>
      <c r="F44" s="41"/>
      <c r="G44" s="428">
        <v>0</v>
      </c>
      <c r="H44" s="47"/>
      <c r="I44" s="494"/>
      <c r="J44" s="500"/>
      <c r="K44" s="494"/>
      <c r="L44" s="494"/>
      <c r="M44" s="501"/>
      <c r="N44" s="494"/>
      <c r="O44" s="494"/>
      <c r="P44" s="494"/>
      <c r="Q44" s="494"/>
    </row>
    <row r="45" spans="1:17" ht="15">
      <c r="A45" s="46"/>
      <c r="B45" s="41"/>
      <c r="C45" s="41"/>
      <c r="D45" s="41"/>
      <c r="E45" s="41"/>
      <c r="F45" s="41"/>
      <c r="G45" s="473"/>
      <c r="H45" s="47"/>
      <c r="I45" s="494"/>
      <c r="J45" s="500"/>
      <c r="K45" s="494"/>
      <c r="L45" s="494"/>
      <c r="M45" s="501"/>
      <c r="N45" s="494"/>
      <c r="O45" s="494"/>
      <c r="P45" s="494"/>
      <c r="Q45" s="494"/>
    </row>
    <row r="46" spans="1:17" ht="15" customHeight="1">
      <c r="A46" s="46" t="s">
        <v>409</v>
      </c>
      <c r="B46" s="41"/>
      <c r="D46" s="41"/>
      <c r="F46" s="41"/>
      <c r="G46" s="428">
        <v>0</v>
      </c>
      <c r="H46" s="47"/>
      <c r="I46" s="494"/>
      <c r="J46" s="483"/>
      <c r="K46" s="494"/>
      <c r="L46" s="494"/>
      <c r="M46" s="501"/>
      <c r="N46" s="494"/>
      <c r="O46" s="494"/>
      <c r="P46" s="494"/>
      <c r="Q46" s="494"/>
    </row>
    <row r="47" spans="1:17" ht="15">
      <c r="A47" s="46"/>
      <c r="B47" s="41"/>
      <c r="D47" s="41"/>
      <c r="F47" s="41"/>
      <c r="G47" s="474"/>
      <c r="H47" s="47"/>
      <c r="I47" s="494"/>
      <c r="J47" s="500"/>
      <c r="K47" s="494"/>
      <c r="L47" s="494"/>
      <c r="M47" s="494"/>
      <c r="N47" s="494"/>
      <c r="O47" s="494"/>
      <c r="P47" s="494"/>
      <c r="Q47" s="494"/>
    </row>
    <row r="48" spans="1:17" ht="15">
      <c r="A48" s="46" t="s">
        <v>410</v>
      </c>
      <c r="C48" s="41"/>
      <c r="D48" s="41"/>
      <c r="E48" s="92"/>
      <c r="F48" s="41"/>
      <c r="G48" s="428">
        <v>0</v>
      </c>
      <c r="H48" s="47"/>
      <c r="I48" s="494"/>
      <c r="J48" s="494"/>
      <c r="K48" s="494"/>
      <c r="L48" s="494"/>
      <c r="M48" s="494"/>
      <c r="N48" s="494"/>
      <c r="O48" s="494"/>
      <c r="P48" s="494"/>
      <c r="Q48" s="494"/>
    </row>
    <row r="49" spans="1:17" ht="15">
      <c r="A49" s="46"/>
      <c r="C49" s="41"/>
      <c r="D49" s="41"/>
      <c r="E49" s="92"/>
      <c r="F49" s="41"/>
      <c r="G49" s="473"/>
      <c r="H49" s="47"/>
      <c r="I49" s="494"/>
      <c r="J49" s="494"/>
      <c r="K49" s="494"/>
      <c r="L49" s="494"/>
      <c r="M49" s="494"/>
      <c r="N49" s="494"/>
      <c r="O49" s="494"/>
      <c r="P49" s="494"/>
      <c r="Q49" s="494"/>
    </row>
    <row r="50" spans="1:17" ht="15">
      <c r="A50" s="46" t="s">
        <v>411</v>
      </c>
      <c r="B50" s="41"/>
      <c r="C50" s="41"/>
      <c r="D50" s="41"/>
      <c r="E50" s="41"/>
      <c r="F50" s="41"/>
      <c r="G50" s="428">
        <v>0</v>
      </c>
      <c r="H50" s="429"/>
      <c r="I50" s="494"/>
      <c r="J50" s="494"/>
      <c r="K50" s="494"/>
      <c r="L50" s="494"/>
      <c r="M50" s="494"/>
      <c r="N50" s="494"/>
      <c r="O50" s="494"/>
      <c r="P50" s="494"/>
      <c r="Q50" s="494"/>
    </row>
    <row r="51" spans="1:17" ht="15.75" thickBot="1">
      <c r="A51" s="49"/>
      <c r="B51" s="50"/>
      <c r="C51" s="50"/>
      <c r="D51" s="50"/>
      <c r="E51" s="50"/>
      <c r="F51" s="50"/>
      <c r="G51" s="50"/>
      <c r="H51" s="274"/>
      <c r="I51" s="494"/>
      <c r="J51" s="494"/>
      <c r="K51" s="494"/>
      <c r="L51" s="494"/>
      <c r="M51" s="494"/>
      <c r="N51" s="494"/>
      <c r="O51" s="494"/>
      <c r="P51" s="494"/>
      <c r="Q51" s="494"/>
    </row>
    <row r="52" spans="1:8" ht="15">
      <c r="A52" s="41"/>
      <c r="B52" s="41"/>
      <c r="C52" s="41"/>
      <c r="D52" s="41"/>
      <c r="E52" s="41"/>
      <c r="F52" s="41"/>
      <c r="G52" s="41"/>
      <c r="H52" s="41"/>
    </row>
    <row r="53" spans="1:6" ht="15">
      <c r="A53" s="21"/>
      <c r="B53" s="21"/>
      <c r="C53" s="21"/>
      <c r="D53" s="21"/>
      <c r="E53" s="21"/>
      <c r="F53" s="21"/>
    </row>
    <row r="54" spans="1:2" ht="15">
      <c r="A54" s="21"/>
      <c r="B54" s="21"/>
    </row>
    <row r="55" spans="1:7" ht="15.75">
      <c r="A55" s="23"/>
      <c r="B55" s="21"/>
      <c r="C55" s="21"/>
      <c r="D55" s="21"/>
      <c r="E55" s="21"/>
      <c r="F55" s="23"/>
      <c r="G55" s="24"/>
    </row>
    <row r="56" spans="1:2" ht="15.75">
      <c r="A56" s="23"/>
      <c r="B56" s="23"/>
    </row>
    <row r="58" spans="1:8" ht="15">
      <c r="A58" s="21"/>
      <c r="B58" s="21"/>
      <c r="C58" s="21"/>
      <c r="D58" s="21"/>
      <c r="E58" s="21"/>
      <c r="F58" s="21"/>
      <c r="G58" s="21"/>
      <c r="H58" s="21"/>
    </row>
    <row r="59" spans="1:8" ht="15">
      <c r="A59" s="21"/>
      <c r="B59" s="21"/>
      <c r="C59" s="21"/>
      <c r="D59" s="21"/>
      <c r="E59" s="21"/>
      <c r="F59" s="21"/>
      <c r="G59" s="21"/>
      <c r="H59" s="21"/>
    </row>
    <row r="66" spans="1:8" ht="15">
      <c r="A66" s="21"/>
      <c r="B66" s="21"/>
      <c r="C66" s="21"/>
      <c r="D66" s="21"/>
      <c r="E66" s="21"/>
      <c r="F66" s="21"/>
      <c r="G66" s="21"/>
      <c r="H66" s="21"/>
    </row>
    <row r="67" spans="1:8" ht="15">
      <c r="A67" s="21"/>
      <c r="B67" s="21"/>
      <c r="C67" s="21"/>
      <c r="D67" s="21"/>
      <c r="E67" s="21"/>
      <c r="F67" s="21"/>
      <c r="G67" s="21"/>
      <c r="H67" s="21"/>
    </row>
  </sheetData>
  <sheetProtection sheet="1" objects="1" scenarios="1"/>
  <mergeCells count="6">
    <mergeCell ref="A38:H38"/>
    <mergeCell ref="A6:H6"/>
    <mergeCell ref="I1:Q1"/>
    <mergeCell ref="A1:H1"/>
    <mergeCell ref="A14:H14"/>
    <mergeCell ref="A26:H26"/>
  </mergeCells>
  <printOptions/>
  <pageMargins left="1.01" right="0.28" top="0.25" bottom="0.2" header="0.5" footer="0.2"/>
  <pageSetup fitToWidth="2" fitToHeight="1" horizontalDpi="600" verticalDpi="600" orientation="portrait" scale="97" r:id="rId3"/>
  <headerFooter alignWithMargins="0">
    <oddFooter xml:space="preserve">&amp;L&amp;9&amp;T, &amp;D&amp;C&amp;9Version 3.2&amp;R&amp;9&amp;A, Page &amp;P of &amp;N  </oddFooter>
  </headerFooter>
  <rowBreaks count="1" manualBreakCount="1">
    <brk id="54" max="17" man="1"/>
  </rowBreaks>
  <colBreaks count="1" manualBreakCount="1">
    <brk id="8" max="50" man="1"/>
  </col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O17"/>
  <sheetViews>
    <sheetView workbookViewId="0" topLeftCell="A1">
      <selection activeCell="F20" sqref="F20"/>
    </sheetView>
  </sheetViews>
  <sheetFormatPr defaultColWidth="8.88671875" defaultRowHeight="15"/>
  <cols>
    <col min="1" max="1" width="21.6640625" style="0" customWidth="1"/>
    <col min="2" max="3" width="5.3359375" style="0" customWidth="1"/>
    <col min="4" max="4" width="5.88671875" style="0" customWidth="1"/>
    <col min="5" max="13" width="5.3359375" style="0" customWidth="1"/>
  </cols>
  <sheetData>
    <row r="1" spans="1:15" ht="34.5" customHeight="1" thickBot="1">
      <c r="A1" s="710" t="s">
        <v>392</v>
      </c>
      <c r="B1" s="710"/>
      <c r="C1" s="710"/>
      <c r="D1" s="710"/>
      <c r="E1" s="710"/>
      <c r="F1" s="710"/>
      <c r="G1" s="710"/>
      <c r="H1" s="710"/>
      <c r="I1" s="710"/>
      <c r="J1" s="710"/>
      <c r="K1" s="710"/>
      <c r="L1" s="710"/>
      <c r="M1" s="710"/>
      <c r="N1" s="710"/>
      <c r="O1" s="710"/>
    </row>
    <row r="2" spans="1:15" ht="21.75" customHeight="1">
      <c r="A2" s="716" t="s">
        <v>393</v>
      </c>
      <c r="B2" s="711" t="s">
        <v>394</v>
      </c>
      <c r="C2" s="712"/>
      <c r="D2" s="712"/>
      <c r="E2" s="712"/>
      <c r="F2" s="712"/>
      <c r="G2" s="712"/>
      <c r="H2" s="712"/>
      <c r="I2" s="712"/>
      <c r="J2" s="712"/>
      <c r="K2" s="712"/>
      <c r="L2" s="712"/>
      <c r="M2" s="713"/>
      <c r="N2" s="714" t="s">
        <v>395</v>
      </c>
      <c r="O2" s="708" t="s">
        <v>396</v>
      </c>
    </row>
    <row r="3" spans="1:15" ht="25.5" customHeight="1" thickBot="1">
      <c r="A3" s="717"/>
      <c r="B3" s="413" t="s">
        <v>397</v>
      </c>
      <c r="C3" s="414" t="s">
        <v>398</v>
      </c>
      <c r="D3" s="414" t="s">
        <v>64</v>
      </c>
      <c r="E3" s="414" t="s">
        <v>65</v>
      </c>
      <c r="F3" s="414" t="s">
        <v>66</v>
      </c>
      <c r="G3" s="414" t="s">
        <v>67</v>
      </c>
      <c r="H3" s="414" t="s">
        <v>68</v>
      </c>
      <c r="I3" s="414" t="s">
        <v>399</v>
      </c>
      <c r="J3" s="414" t="s">
        <v>400</v>
      </c>
      <c r="K3" s="414" t="s">
        <v>401</v>
      </c>
      <c r="L3" s="414" t="s">
        <v>402</v>
      </c>
      <c r="M3" s="415" t="s">
        <v>403</v>
      </c>
      <c r="N3" s="715"/>
      <c r="O3" s="709"/>
    </row>
    <row r="4" spans="1:15" ht="15">
      <c r="A4" s="430" t="s">
        <v>416</v>
      </c>
      <c r="B4" s="416">
        <v>22</v>
      </c>
      <c r="C4" s="417">
        <v>22</v>
      </c>
      <c r="D4" s="417">
        <v>18</v>
      </c>
      <c r="E4" s="417">
        <v>18</v>
      </c>
      <c r="F4" s="417">
        <v>18</v>
      </c>
      <c r="G4" s="417">
        <v>18</v>
      </c>
      <c r="H4" s="417">
        <v>18</v>
      </c>
      <c r="I4" s="417">
        <v>18</v>
      </c>
      <c r="J4" s="417">
        <v>18</v>
      </c>
      <c r="K4" s="417">
        <v>18</v>
      </c>
      <c r="L4" s="417">
        <v>20</v>
      </c>
      <c r="M4" s="417">
        <v>22</v>
      </c>
      <c r="N4" s="418">
        <f aca="true" t="shared" si="0" ref="N4:N9">SUM(B4:M4)/(12*24)</f>
        <v>0.7986111111111112</v>
      </c>
      <c r="O4" s="419">
        <f aca="true" t="shared" si="1" ref="O4:O9">IF(N4=0,0,(1-N4))</f>
        <v>0.20138888888888884</v>
      </c>
    </row>
    <row r="5" spans="1:15" ht="15">
      <c r="A5" s="430"/>
      <c r="B5" s="420"/>
      <c r="C5" s="421"/>
      <c r="D5" s="421"/>
      <c r="E5" s="421"/>
      <c r="F5" s="421"/>
      <c r="G5" s="421"/>
      <c r="H5" s="421"/>
      <c r="I5" s="421"/>
      <c r="J5" s="421"/>
      <c r="K5" s="421"/>
      <c r="L5" s="421"/>
      <c r="M5" s="421"/>
      <c r="N5" s="422">
        <f t="shared" si="0"/>
        <v>0</v>
      </c>
      <c r="O5" s="423">
        <f t="shared" si="1"/>
        <v>0</v>
      </c>
    </row>
    <row r="6" spans="1:15" ht="15">
      <c r="A6" s="430"/>
      <c r="B6" s="420"/>
      <c r="C6" s="421"/>
      <c r="D6" s="421"/>
      <c r="E6" s="421"/>
      <c r="F6" s="421"/>
      <c r="G6" s="421"/>
      <c r="H6" s="421"/>
      <c r="I6" s="421"/>
      <c r="J6" s="421"/>
      <c r="K6" s="421"/>
      <c r="L6" s="421"/>
      <c r="M6" s="421"/>
      <c r="N6" s="422">
        <f t="shared" si="0"/>
        <v>0</v>
      </c>
      <c r="O6" s="423">
        <f t="shared" si="1"/>
        <v>0</v>
      </c>
    </row>
    <row r="7" spans="1:15" ht="15">
      <c r="A7" s="431"/>
      <c r="B7" s="420"/>
      <c r="C7" s="421"/>
      <c r="D7" s="421"/>
      <c r="E7" s="421"/>
      <c r="F7" s="421"/>
      <c r="G7" s="421"/>
      <c r="H7" s="421"/>
      <c r="I7" s="421"/>
      <c r="J7" s="421"/>
      <c r="K7" s="421"/>
      <c r="L7" s="421"/>
      <c r="M7" s="421"/>
      <c r="N7" s="422">
        <f t="shared" si="0"/>
        <v>0</v>
      </c>
      <c r="O7" s="423">
        <f t="shared" si="1"/>
        <v>0</v>
      </c>
    </row>
    <row r="8" spans="1:15" ht="15">
      <c r="A8" s="430"/>
      <c r="B8" s="420"/>
      <c r="C8" s="421"/>
      <c r="D8" s="421"/>
      <c r="E8" s="421"/>
      <c r="F8" s="421"/>
      <c r="G8" s="421"/>
      <c r="H8" s="421"/>
      <c r="I8" s="421"/>
      <c r="J8" s="421"/>
      <c r="K8" s="421"/>
      <c r="L8" s="421"/>
      <c r="M8" s="421"/>
      <c r="N8" s="422">
        <f t="shared" si="0"/>
        <v>0</v>
      </c>
      <c r="O8" s="423">
        <f t="shared" si="1"/>
        <v>0</v>
      </c>
    </row>
    <row r="9" spans="1:15" ht="15.75" thickBot="1">
      <c r="A9" s="432"/>
      <c r="B9" s="424"/>
      <c r="C9" s="425"/>
      <c r="D9" s="425"/>
      <c r="E9" s="425"/>
      <c r="F9" s="425"/>
      <c r="G9" s="425"/>
      <c r="H9" s="425"/>
      <c r="I9" s="425"/>
      <c r="J9" s="425"/>
      <c r="K9" s="425"/>
      <c r="L9" s="425"/>
      <c r="M9" s="425"/>
      <c r="N9" s="426">
        <f t="shared" si="0"/>
        <v>0</v>
      </c>
      <c r="O9" s="427">
        <f t="shared" si="1"/>
        <v>0</v>
      </c>
    </row>
    <row r="11" ht="15">
      <c r="A11" t="s">
        <v>404</v>
      </c>
    </row>
    <row r="12" ht="15">
      <c r="A12" t="s">
        <v>417</v>
      </c>
    </row>
    <row r="13" ht="15">
      <c r="A13" t="s">
        <v>412</v>
      </c>
    </row>
    <row r="14" ht="15">
      <c r="A14" t="s">
        <v>413</v>
      </c>
    </row>
    <row r="15" ht="15">
      <c r="A15" t="s">
        <v>414</v>
      </c>
    </row>
    <row r="16" ht="15">
      <c r="A16" t="s">
        <v>405</v>
      </c>
    </row>
    <row r="17" ht="15">
      <c r="A17" t="s">
        <v>415</v>
      </c>
    </row>
  </sheetData>
  <sheetProtection sheet="1" objects="1" scenarios="1"/>
  <mergeCells count="5">
    <mergeCell ref="O2:O3"/>
    <mergeCell ref="A1:O1"/>
    <mergeCell ref="B2:M2"/>
    <mergeCell ref="N2:N3"/>
    <mergeCell ref="A2:A3"/>
  </mergeCells>
  <printOptions/>
  <pageMargins left="0.75" right="0.75" top="1.86" bottom="1" header="0.5" footer="0.5"/>
  <pageSetup fitToHeight="1" fitToWidth="1" horizontalDpi="600" verticalDpi="600" orientation="landscape" scale="97" r:id="rId1"/>
  <headerFooter alignWithMargins="0">
    <oddFooter>&amp;L&amp;9&amp;T, &amp;D&amp;C&amp;9Version 3.2&amp;R&amp;9&amp;A, Page &amp;P of &amp;N</oddFooter>
  </headerFooter>
</worksheet>
</file>

<file path=xl/worksheets/sheet6.xml><?xml version="1.0" encoding="utf-8"?>
<worksheet xmlns="http://schemas.openxmlformats.org/spreadsheetml/2006/main" xmlns:r="http://schemas.openxmlformats.org/officeDocument/2006/relationships">
  <sheetPr codeName="Sheet6" transitionEvaluation="1">
    <pageSetUpPr fitToPage="1"/>
  </sheetPr>
  <dimension ref="A1:DD587"/>
  <sheetViews>
    <sheetView showGridLines="0" showZeros="0" zoomScale="110" zoomScaleNormal="110" workbookViewId="0" topLeftCell="A1">
      <selection activeCell="A1" sqref="A1:G1"/>
    </sheetView>
  </sheetViews>
  <sheetFormatPr defaultColWidth="9.77734375" defaultRowHeight="15"/>
  <cols>
    <col min="1" max="1" width="9.88671875" style="0" customWidth="1"/>
    <col min="2" max="2" width="9.10546875" style="0" customWidth="1"/>
    <col min="3" max="3" width="8.88671875" style="0" customWidth="1"/>
    <col min="4" max="5" width="10.77734375" style="0" customWidth="1"/>
    <col min="6" max="6" width="9.88671875" style="0" customWidth="1"/>
    <col min="7" max="7" width="10.77734375" style="0" customWidth="1"/>
    <col min="10" max="10" width="12.3359375" style="0" customWidth="1"/>
    <col min="12" max="12" width="13.77734375" style="0" customWidth="1"/>
    <col min="14" max="14" width="8.5546875" style="0" customWidth="1"/>
    <col min="15" max="15" width="8.3359375" style="0" customWidth="1"/>
    <col min="16" max="16" width="8.88671875" style="0" customWidth="1"/>
    <col min="17" max="17" width="8.77734375" style="0" customWidth="1"/>
  </cols>
  <sheetData>
    <row r="1" spans="1:16" ht="18">
      <c r="A1" s="680" t="s">
        <v>216</v>
      </c>
      <c r="B1" s="680"/>
      <c r="C1" s="680"/>
      <c r="D1" s="680"/>
      <c r="E1" s="680"/>
      <c r="F1" s="680"/>
      <c r="G1" s="680"/>
      <c r="H1" s="341"/>
      <c r="I1" s="119" t="s">
        <v>0</v>
      </c>
      <c r="J1" s="342">
        <f>B3</f>
        <v>0</v>
      </c>
      <c r="K1" s="325"/>
      <c r="L1" s="288" t="s">
        <v>1</v>
      </c>
      <c r="M1" s="291">
        <f>'Data Input'!E3</f>
        <v>39541</v>
      </c>
      <c r="N1" s="1"/>
      <c r="O1" s="1"/>
      <c r="P1" s="1"/>
    </row>
    <row r="2" spans="1:16" ht="15" customHeight="1">
      <c r="A2" s="160"/>
      <c r="B2" s="160"/>
      <c r="C2" s="160"/>
      <c r="D2" s="160"/>
      <c r="E2" s="160"/>
      <c r="F2" s="160"/>
      <c r="G2" s="160"/>
      <c r="H2" s="160"/>
      <c r="I2" s="1"/>
      <c r="J2" s="1"/>
      <c r="K2" s="1"/>
      <c r="L2" s="1"/>
      <c r="M2" s="1"/>
      <c r="N2" s="1"/>
      <c r="O2" s="1"/>
      <c r="P2" s="1"/>
    </row>
    <row r="3" spans="1:16" ht="15.75">
      <c r="A3" s="119" t="s">
        <v>0</v>
      </c>
      <c r="B3" s="286">
        <f>'Data Input'!B3</f>
        <v>0</v>
      </c>
      <c r="C3" s="343"/>
      <c r="D3" s="1"/>
      <c r="E3" s="1" t="str">
        <f>+'Data Input'!G3</f>
        <v>Entered by:</v>
      </c>
      <c r="F3" s="342">
        <f>+'Data Input'!H3</f>
        <v>0</v>
      </c>
      <c r="G3" s="325"/>
      <c r="H3" s="1"/>
      <c r="I3" s="344" t="s">
        <v>157</v>
      </c>
      <c r="J3" s="1"/>
      <c r="K3" s="1"/>
      <c r="L3" s="1"/>
      <c r="M3" s="1"/>
      <c r="N3" s="1"/>
      <c r="O3" s="1"/>
      <c r="P3" s="1"/>
    </row>
    <row r="4" spans="1:16" ht="15" customHeight="1">
      <c r="A4" s="119" t="s">
        <v>1</v>
      </c>
      <c r="B4" s="453">
        <f>'Data Input'!E3</f>
        <v>39541</v>
      </c>
      <c r="C4" s="131"/>
      <c r="D4" s="1"/>
      <c r="E4" s="1" t="str">
        <f>+'Data Input'!G4</f>
        <v>Checked by:</v>
      </c>
      <c r="F4" s="345"/>
      <c r="G4" s="345"/>
      <c r="H4" s="1"/>
      <c r="I4" s="1"/>
      <c r="J4" s="1"/>
      <c r="K4" s="1"/>
      <c r="L4" s="1"/>
      <c r="M4" s="1"/>
      <c r="N4" s="1"/>
      <c r="O4" s="1"/>
      <c r="P4" s="1"/>
    </row>
    <row r="5" spans="1:16" ht="14.25" customHeight="1" thickBot="1">
      <c r="A5" s="1"/>
      <c r="B5" s="1"/>
      <c r="C5" s="1"/>
      <c r="D5" s="1"/>
      <c r="E5" s="1"/>
      <c r="F5" s="1"/>
      <c r="G5" s="1"/>
      <c r="H5" s="1"/>
      <c r="I5" s="1"/>
      <c r="J5" s="1"/>
      <c r="K5" s="1"/>
      <c r="L5" s="1"/>
      <c r="M5" s="1"/>
      <c r="N5" s="1"/>
      <c r="O5" s="1"/>
      <c r="P5" s="1"/>
    </row>
    <row r="6" spans="1:16" ht="18">
      <c r="A6" s="2" t="s">
        <v>2</v>
      </c>
      <c r="B6" s="1"/>
      <c r="C6" s="1"/>
      <c r="D6" s="346" t="s">
        <v>3</v>
      </c>
      <c r="E6" s="347" t="s">
        <v>320</v>
      </c>
      <c r="F6" s="1"/>
      <c r="G6" s="1"/>
      <c r="H6" s="1"/>
      <c r="I6" s="4"/>
      <c r="J6" s="5"/>
      <c r="K6" s="348" t="s">
        <v>9</v>
      </c>
      <c r="L6" s="349"/>
      <c r="M6" s="96" t="s">
        <v>10</v>
      </c>
      <c r="N6" s="6"/>
      <c r="O6" s="350" t="s">
        <v>114</v>
      </c>
      <c r="P6" s="6"/>
    </row>
    <row r="7" spans="1:16" ht="15" customHeight="1">
      <c r="A7" s="2" t="s">
        <v>6</v>
      </c>
      <c r="B7" s="1"/>
      <c r="C7" s="1"/>
      <c r="D7" s="351" t="s">
        <v>7</v>
      </c>
      <c r="E7" s="352" t="s">
        <v>8</v>
      </c>
      <c r="F7" s="1"/>
      <c r="G7" s="1"/>
      <c r="H7" s="1"/>
      <c r="I7" s="7"/>
      <c r="J7" s="21"/>
      <c r="K7" s="718" t="s">
        <v>117</v>
      </c>
      <c r="L7" s="719"/>
      <c r="M7" s="718" t="s">
        <v>118</v>
      </c>
      <c r="N7" s="719"/>
      <c r="O7" s="354" t="s">
        <v>4</v>
      </c>
      <c r="P7" s="355" t="s">
        <v>5</v>
      </c>
    </row>
    <row r="8" spans="1:108" ht="14.25" customHeight="1">
      <c r="A8" s="1"/>
      <c r="B8" s="1"/>
      <c r="C8" s="1"/>
      <c r="D8" s="95"/>
      <c r="E8" s="94"/>
      <c r="F8" s="1"/>
      <c r="G8" s="1"/>
      <c r="H8" s="1"/>
      <c r="I8" s="121" t="s">
        <v>12</v>
      </c>
      <c r="J8" s="21"/>
      <c r="K8" s="78" t="s">
        <v>289</v>
      </c>
      <c r="L8" s="75" t="s">
        <v>13</v>
      </c>
      <c r="M8" s="77" t="s">
        <v>289</v>
      </c>
      <c r="N8" s="75" t="s">
        <v>13</v>
      </c>
      <c r="O8" s="356" t="s">
        <v>11</v>
      </c>
      <c r="P8" s="353" t="s">
        <v>11</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6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ht="15">
      <c r="A9" s="1" t="s">
        <v>15</v>
      </c>
      <c r="B9" s="1"/>
      <c r="C9" s="1"/>
      <c r="D9" s="357">
        <f>'Data Input'!D7</f>
        <v>0</v>
      </c>
      <c r="E9" s="357">
        <f>'Data Input'!E7</f>
        <v>1400</v>
      </c>
      <c r="F9" s="1"/>
      <c r="G9" s="1"/>
      <c r="H9" s="1"/>
      <c r="I9" s="7" t="s">
        <v>15</v>
      </c>
      <c r="J9" s="21"/>
      <c r="K9" s="79">
        <f>$O$9*(Criteria!$F$23+((1-Criteria!$F$23)*((Criteria!$E$18*$D$20)+(Criteria!$E$19*$F$20)+(Criteria!$E$20*$E$20)+(Criteria!$E$21*$G$20))))</f>
        <v>0</v>
      </c>
      <c r="L9" s="81">
        <f>$O$9*(((1-Criteria!$F$23)*((Criteria!$F$18*$D$20)+(Criteria!$F$19*$F$20)+(Criteria!$F$20*$E$20)+(Criteria!$F$21*$G$20))))</f>
        <v>0</v>
      </c>
      <c r="M9" s="80">
        <f>$P$9*((1-Criteria!$F$23)*((Criteria!$E$18*$D$20)+(Criteria!$E$19*$F$20)+(Criteria!$E$20*$E$20)+(Criteria!$E$21*$G$20))+(Criteria!$F$23))</f>
        <v>0</v>
      </c>
      <c r="N9" s="81">
        <f>$P$9*((1-Criteria!$F$23)*((Criteria!$F$18*$D$20)+(Criteria!$F$19*$F$20)+(Criteria!$F$20*$E$20)+(Criteria!$F$21*$G$20)))</f>
        <v>0</v>
      </c>
      <c r="O9" s="80">
        <f>D9*E9*Criteria!$E$29/1000</f>
        <v>0</v>
      </c>
      <c r="P9" s="81">
        <f>D9*E9*Criteria!$E$35/1000</f>
        <v>0</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61"/>
      <c r="CI9" s="1"/>
      <c r="CJ9" s="1"/>
      <c r="CK9" s="61"/>
      <c r="CL9" s="1"/>
      <c r="CM9" s="61"/>
      <c r="CN9" s="1"/>
      <c r="CO9" s="61"/>
      <c r="CP9" s="1"/>
      <c r="CQ9" s="1"/>
      <c r="CR9" s="1"/>
      <c r="CS9" s="1"/>
      <c r="CT9" s="1"/>
      <c r="CU9" s="1"/>
      <c r="CV9" s="1"/>
      <c r="CW9" s="1"/>
      <c r="CX9" s="1"/>
      <c r="CY9" s="1"/>
      <c r="CZ9" s="1"/>
      <c r="DA9" s="1"/>
      <c r="DB9" s="1"/>
      <c r="DC9" s="1"/>
      <c r="DD9" s="1"/>
    </row>
    <row r="10" spans="1:108" ht="15">
      <c r="A10" s="1" t="s">
        <v>16</v>
      </c>
      <c r="B10" s="1"/>
      <c r="C10" s="1"/>
      <c r="D10" s="357">
        <f>'Data Input'!D8</f>
        <v>0</v>
      </c>
      <c r="E10" s="357">
        <f>'Data Input'!E8</f>
        <v>1500</v>
      </c>
      <c r="F10" s="1"/>
      <c r="G10" s="1"/>
      <c r="H10" s="1"/>
      <c r="I10" s="7" t="s">
        <v>16</v>
      </c>
      <c r="J10" s="21"/>
      <c r="K10" s="79">
        <f>$O$10*((Criteria!$E$18*$D$21)+(Criteria!$E$19*$F$21)+(Criteria!$E$20*$E$21)+(Criteria!$E$21*$G$21))</f>
        <v>0</v>
      </c>
      <c r="L10" s="81">
        <f>$O$10*((Criteria!$F$18*$D$21)+(Criteria!$F$19*$F$21)+(Criteria!$F$20*$E$21)+(Criteria!$F$21*$G$21))</f>
        <v>0</v>
      </c>
      <c r="M10" s="80">
        <f>$P$10*((Criteria!$E$18*$D$21)+(Criteria!$E$19*$F$21)+(Criteria!$E$20*$E$21)+(Criteria!$E$21*$G$21))</f>
        <v>0</v>
      </c>
      <c r="N10" s="81">
        <f>$P$10*((Criteria!$F$18*$D$21)+(Criteria!$F$19*$F$21)+(Criteria!$F$20*$E$21)+(Criteria!$F$21*$G$21))</f>
        <v>0</v>
      </c>
      <c r="O10" s="80">
        <f>D10*E10*Criteria!$E$30/1000</f>
        <v>0</v>
      </c>
      <c r="P10" s="81">
        <f>D10*E10*Criteria!$E$35/1000</f>
        <v>0</v>
      </c>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61"/>
      <c r="BV10" s="1"/>
      <c r="BW10" s="1"/>
      <c r="BX10" s="1"/>
      <c r="BY10" s="1"/>
      <c r="BZ10" s="1"/>
      <c r="CA10" s="1"/>
      <c r="CB10" s="1"/>
      <c r="CC10" s="1"/>
      <c r="CD10" s="1"/>
      <c r="CE10" s="1"/>
      <c r="CF10" s="1"/>
      <c r="CG10" s="1"/>
      <c r="CH10" s="61"/>
      <c r="CI10" s="1"/>
      <c r="CJ10" s="1"/>
      <c r="CK10" s="61"/>
      <c r="CL10" s="1"/>
      <c r="CM10" s="61"/>
      <c r="CN10" s="1"/>
      <c r="CO10" s="61"/>
      <c r="CP10" s="1"/>
      <c r="CQ10" s="1"/>
      <c r="CR10" s="1"/>
      <c r="CS10" s="1"/>
      <c r="CT10" s="1"/>
      <c r="CU10" s="1"/>
      <c r="CV10" s="1"/>
      <c r="CW10" s="1"/>
      <c r="CX10" s="1"/>
      <c r="CY10" s="1"/>
      <c r="CZ10" s="1"/>
      <c r="DA10" s="1"/>
      <c r="DB10" s="1"/>
      <c r="DC10" s="1"/>
      <c r="DD10" s="1"/>
    </row>
    <row r="11" spans="1:108" ht="15">
      <c r="A11" s="1" t="s">
        <v>17</v>
      </c>
      <c r="B11" s="1"/>
      <c r="C11" s="1"/>
      <c r="D11" s="357">
        <f>'Data Input'!D9</f>
        <v>0</v>
      </c>
      <c r="E11" s="357">
        <f>'Data Input'!E9</f>
        <v>1100</v>
      </c>
      <c r="F11" s="1"/>
      <c r="G11" s="1"/>
      <c r="H11" s="1"/>
      <c r="I11" s="7" t="s">
        <v>17</v>
      </c>
      <c r="J11" s="21"/>
      <c r="K11" s="79">
        <f>$O$11*((Criteria!$E$18*$D$22)+(Criteria!$E$19*$F$22)+(Criteria!$E$20*$E$22)+(Criteria!$E$21*$G$22))</f>
        <v>0</v>
      </c>
      <c r="L11" s="81">
        <f>$O$11*((Criteria!$F$18*$D$22)+(Criteria!$F$19*$F$22)+(Criteria!$F$20*$E$22)+(Criteria!$F$21*$G$22))</f>
        <v>0</v>
      </c>
      <c r="M11" s="80">
        <f>$P$11*((Criteria!$E$18*$D$22)+(Criteria!$E$19*$F$22)+(Criteria!$E$20*$E$22)+(Criteria!$E$21*$G$22))</f>
        <v>0</v>
      </c>
      <c r="N11" s="81">
        <f>$P$11*((Criteria!$F$18*$D$22)+(Criteria!$F$19*$F$22)+(Criteria!$F$20*$E$22)+(Criteria!$F$21*$G$22))</f>
        <v>0</v>
      </c>
      <c r="O11" s="80">
        <f>D11*E11*Criteria!$E$31/1000</f>
        <v>0</v>
      </c>
      <c r="P11" s="81">
        <f>D11*E11*Criteria!$E$35/1000</f>
        <v>0</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61"/>
      <c r="BV11" s="1"/>
      <c r="BW11" s="1"/>
      <c r="BX11" s="1"/>
      <c r="BY11" s="1"/>
      <c r="BZ11" s="1"/>
      <c r="CA11" s="1"/>
      <c r="CB11" s="1"/>
      <c r="CC11" s="1"/>
      <c r="CD11" s="1"/>
      <c r="CE11" s="1"/>
      <c r="CF11" s="1"/>
      <c r="CG11" s="1"/>
      <c r="CH11" s="61"/>
      <c r="CI11" s="1"/>
      <c r="CJ11" s="1"/>
      <c r="CK11" s="61"/>
      <c r="CL11" s="1"/>
      <c r="CM11" s="61"/>
      <c r="CN11" s="1"/>
      <c r="CO11" s="61"/>
      <c r="CP11" s="1"/>
      <c r="CQ11" s="1"/>
      <c r="CR11" s="1"/>
      <c r="CS11" s="1"/>
      <c r="CT11" s="1"/>
      <c r="CU11" s="1"/>
      <c r="CV11" s="1"/>
      <c r="CW11" s="1"/>
      <c r="CX11" s="1"/>
      <c r="CY11" s="1"/>
      <c r="CZ11" s="1"/>
      <c r="DA11" s="1"/>
      <c r="DB11" s="1"/>
      <c r="DC11" s="1"/>
      <c r="DD11" s="1"/>
    </row>
    <row r="12" spans="1:108" ht="15">
      <c r="A12" s="1" t="s">
        <v>18</v>
      </c>
      <c r="B12" s="1"/>
      <c r="C12" s="1"/>
      <c r="D12" s="357">
        <f>'Data Input'!D10</f>
        <v>0</v>
      </c>
      <c r="E12" s="357">
        <f>'Data Input'!E10</f>
        <v>775</v>
      </c>
      <c r="F12" s="1"/>
      <c r="G12" s="1"/>
      <c r="H12" s="1"/>
      <c r="I12" s="7" t="s">
        <v>18</v>
      </c>
      <c r="J12" s="21"/>
      <c r="K12" s="79">
        <f>$O$12*((Criteria!$E$18*$D$23)+(Criteria!$E$19*$F$23)+(Criteria!$E$20*$E$23)+(Criteria!$E$21*$G$23))</f>
        <v>0</v>
      </c>
      <c r="L12" s="81">
        <f>$O$12*((Criteria!$F$18*$D$23)+(Criteria!$F$19*$F$23)+(Criteria!$F$20*$E$23)+(Criteria!$F$21*$G$23))</f>
        <v>0</v>
      </c>
      <c r="M12" s="80">
        <f>$P$12*((Criteria!$E$18*$D$23)+(Criteria!$E$19*$F$23)+(Criteria!$E$20*$E$23)+(Criteria!$E$21*$G$23))</f>
        <v>0</v>
      </c>
      <c r="N12" s="81">
        <f>$P$12*((Criteria!$F$18*$D$23)+(Criteria!$F$19*$F$23)+(Criteria!$F$20*$E$23)+(Criteria!$F$21*$G$23))</f>
        <v>0</v>
      </c>
      <c r="O12" s="80">
        <f>D12*E12*Criteria!$E$32/1000</f>
        <v>0</v>
      </c>
      <c r="P12" s="81">
        <f>D12*E12*Criteria!$E$35/1000</f>
        <v>0</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61"/>
      <c r="CI12" s="1"/>
      <c r="CJ12" s="1"/>
      <c r="CK12" s="61"/>
      <c r="CL12" s="1"/>
      <c r="CM12" s="61"/>
      <c r="CN12" s="1"/>
      <c r="CO12" s="61"/>
      <c r="CP12" s="1"/>
      <c r="CQ12" s="1"/>
      <c r="CR12" s="1"/>
      <c r="CS12" s="1"/>
      <c r="CT12" s="1"/>
      <c r="CU12" s="1"/>
      <c r="CV12" s="1"/>
      <c r="CW12" s="1"/>
      <c r="CX12" s="1"/>
      <c r="CY12" s="1"/>
      <c r="CZ12" s="1"/>
      <c r="DA12" s="1"/>
      <c r="DB12" s="1"/>
      <c r="DC12" s="1"/>
      <c r="DD12" s="1"/>
    </row>
    <row r="13" spans="1:108" ht="15">
      <c r="A13" s="1" t="s">
        <v>232</v>
      </c>
      <c r="B13" s="1"/>
      <c r="C13" s="1"/>
      <c r="D13" s="357">
        <f>'Data Input'!D11</f>
        <v>0</v>
      </c>
      <c r="E13" s="357">
        <f>'Data Input'!E11</f>
        <v>500</v>
      </c>
      <c r="F13" s="1"/>
      <c r="G13" s="1"/>
      <c r="H13" s="1"/>
      <c r="I13" s="7" t="s">
        <v>232</v>
      </c>
      <c r="J13" s="21"/>
      <c r="K13" s="79">
        <f>$O$13*((Criteria!$E$18*$D$24)+(Criteria!$E$19*$F$24)+(Criteria!$E$20*$E$24)+(Criteria!$E$21*$G$24))</f>
        <v>0</v>
      </c>
      <c r="L13" s="81">
        <f>$O$13*((Criteria!$F$18*$D$24)+(Criteria!$F$19*$F$24)+(Criteria!$F$20*$E$24)+(Criteria!$F$21*$G$24))</f>
        <v>0</v>
      </c>
      <c r="M13" s="80">
        <f>$P$13*((Criteria!$E$18*$D$24)+(Criteria!$E$19*$F$24)+(Criteria!$E$20*$E$24)+(Criteria!$E$21*$G$24))</f>
        <v>0</v>
      </c>
      <c r="N13" s="81">
        <f>$P$13*((Criteria!$F$18*$D$24)+(Criteria!$F$19*$F$24)+(Criteria!$F$20*$E$24)+(Criteria!$F$21*$G$24))</f>
        <v>0</v>
      </c>
      <c r="O13" s="80">
        <f>D13*E13*Criteria!$E$33/1000</f>
        <v>0</v>
      </c>
      <c r="P13" s="81">
        <f>D13*E13*Criteria!$E$35/1000</f>
        <v>0</v>
      </c>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5.75" thickBot="1">
      <c r="A14" s="21" t="s">
        <v>275</v>
      </c>
      <c r="B14" s="1"/>
      <c r="C14" s="1"/>
      <c r="D14" s="357">
        <f>'Data Input'!D12</f>
        <v>0</v>
      </c>
      <c r="E14" s="357">
        <f>'Data Input'!E12</f>
        <v>150</v>
      </c>
      <c r="F14" s="1"/>
      <c r="G14" s="1"/>
      <c r="H14" s="1"/>
      <c r="I14" s="10" t="s">
        <v>275</v>
      </c>
      <c r="J14" s="11"/>
      <c r="K14" s="82">
        <f>$O$14*((Criteria!$E$18*$D$25)+(Criteria!$E$19*$F$25)+(Criteria!$E$20*$E$25)+(Criteria!$E$21*$G$25))</f>
        <v>0</v>
      </c>
      <c r="L14" s="84">
        <f>$O$14*((Criteria!$F$18*$D$25)+(Criteria!$F$19*$F$25)+(Criteria!$F$20*$E$25)+(Criteria!$F$21*$G$25))</f>
        <v>0</v>
      </c>
      <c r="M14" s="83">
        <f>$P$14*((Criteria!$E$18*$D$25)+(Criteria!$E$19*$F$25)+(Criteria!$E$20*$E$25)+(Criteria!$E$21*$G$25))</f>
        <v>0</v>
      </c>
      <c r="N14" s="84">
        <f>$P$14*((Criteria!$F$18*$D$25)+(Criteria!$F$19*$F$25)+(Criteria!$F$20*$E$25)+(Criteria!$F$21*$G$25))</f>
        <v>0</v>
      </c>
      <c r="O14" s="83">
        <f>D14*E14*Criteria!$E$34/1000</f>
        <v>0</v>
      </c>
      <c r="P14" s="84">
        <f>D14*E14*Criteria!$E$35/1000</f>
        <v>0</v>
      </c>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61"/>
      <c r="CU15" s="1"/>
      <c r="CV15" s="61"/>
      <c r="CW15" s="1"/>
      <c r="CX15" s="1"/>
      <c r="CY15" s="1"/>
      <c r="CZ15" s="1"/>
      <c r="DA15" s="1"/>
      <c r="DB15" s="1"/>
      <c r="DC15" s="1"/>
      <c r="DD15" s="1"/>
    </row>
    <row r="16" spans="1:108" ht="15">
      <c r="A16" s="1"/>
      <c r="B16" s="1"/>
      <c r="C16" s="1"/>
      <c r="D16" s="88" t="s">
        <v>19</v>
      </c>
      <c r="E16" s="89"/>
      <c r="F16" s="89"/>
      <c r="G16" s="90"/>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61"/>
      <c r="CU16" s="1"/>
      <c r="CV16" s="61"/>
      <c r="CW16" s="1"/>
      <c r="CX16" s="1"/>
      <c r="CY16" s="1"/>
      <c r="CZ16" s="1"/>
      <c r="DA16" s="1"/>
      <c r="DB16" s="1"/>
      <c r="DC16" s="1"/>
      <c r="DD16" s="1"/>
    </row>
    <row r="17" spans="1:108" ht="15" customHeight="1">
      <c r="A17" s="2" t="s">
        <v>20</v>
      </c>
      <c r="B17" s="1"/>
      <c r="C17" s="1"/>
      <c r="D17" s="91"/>
      <c r="E17" s="92" t="s">
        <v>21</v>
      </c>
      <c r="F17" s="21"/>
      <c r="G17" s="93"/>
      <c r="H17" s="1"/>
      <c r="I17" s="2" t="s">
        <v>116</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61"/>
      <c r="CU17" s="1"/>
      <c r="CV17" s="61"/>
      <c r="CW17" s="1"/>
      <c r="CX17" s="1"/>
      <c r="CY17" s="1"/>
      <c r="CZ17" s="1"/>
      <c r="DA17" s="1"/>
      <c r="DB17" s="1"/>
      <c r="DC17" s="1"/>
      <c r="DD17" s="1"/>
    </row>
    <row r="18" spans="1:108" ht="15" customHeight="1">
      <c r="A18" s="1"/>
      <c r="B18" s="1"/>
      <c r="C18" s="1"/>
      <c r="D18" s="265" t="str">
        <f>'Data Input'!D14</f>
        <v>Flushed</v>
      </c>
      <c r="E18" s="265" t="str">
        <f>'Data Input'!E14</f>
        <v>Scraped</v>
      </c>
      <c r="F18" s="265" t="str">
        <f>'Data Input'!F14</f>
        <v>Flushed</v>
      </c>
      <c r="G18" s="265" t="str">
        <f>'Data Input'!G14</f>
        <v>Scraped</v>
      </c>
      <c r="H18" s="1"/>
      <c r="I18" s="1" t="s">
        <v>294</v>
      </c>
      <c r="J18" s="1"/>
      <c r="K18" s="1"/>
      <c r="L18" s="1"/>
      <c r="M18" s="1"/>
      <c r="N18" s="1" t="s">
        <v>14</v>
      </c>
      <c r="O18" s="3">
        <f>SUM(K9:K14)*365/2000</f>
        <v>0</v>
      </c>
      <c r="P18" s="1" t="s">
        <v>24</v>
      </c>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61"/>
      <c r="CU18" s="1"/>
      <c r="CV18" s="61"/>
      <c r="CW18" s="1"/>
      <c r="CX18" s="1"/>
      <c r="CY18" s="1"/>
      <c r="CZ18" s="1"/>
      <c r="DA18" s="1"/>
      <c r="DB18" s="1"/>
      <c r="DC18" s="1"/>
      <c r="DD18" s="1"/>
    </row>
    <row r="19" spans="1:108" ht="13.5" customHeight="1">
      <c r="A19" s="1"/>
      <c r="B19" s="1"/>
      <c r="C19" s="1"/>
      <c r="D19" s="266" t="str">
        <f>'Data Input'!D15</f>
        <v>Freestall</v>
      </c>
      <c r="E19" s="266" t="str">
        <f>'Data Input'!E15</f>
        <v>Freestall</v>
      </c>
      <c r="F19" s="266" t="str">
        <f>'Data Input'!F15</f>
        <v>Lanes</v>
      </c>
      <c r="G19" s="266" t="str">
        <f>'Data Input'!G15</f>
        <v>Drylot</v>
      </c>
      <c r="H19" s="1"/>
      <c r="I19" s="1" t="s">
        <v>229</v>
      </c>
      <c r="J19" s="1"/>
      <c r="K19" s="1"/>
      <c r="L19" s="1"/>
      <c r="M19" s="1"/>
      <c r="N19" s="1" t="s">
        <v>14</v>
      </c>
      <c r="O19" s="3">
        <f>SUM(L9:L14)*365/2000</f>
        <v>0</v>
      </c>
      <c r="P19" s="1" t="s">
        <v>24</v>
      </c>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61"/>
      <c r="CU19" s="1"/>
      <c r="CV19" s="61"/>
      <c r="CW19" s="1"/>
      <c r="CX19" s="1"/>
      <c r="CY19" s="1"/>
      <c r="CZ19" s="1"/>
      <c r="DA19" s="1"/>
      <c r="DB19" s="1"/>
      <c r="DC19" s="1"/>
      <c r="DD19" s="1"/>
    </row>
    <row r="20" spans="1:108" ht="15">
      <c r="A20" s="1" t="s">
        <v>15</v>
      </c>
      <c r="B20" s="1"/>
      <c r="C20" s="1"/>
      <c r="D20" s="358">
        <f>'Data Input'!D16</f>
        <v>0</v>
      </c>
      <c r="E20" s="358">
        <f>'Data Input'!E16</f>
        <v>0</v>
      </c>
      <c r="F20" s="358">
        <f>'Data Input'!F16</f>
        <v>0</v>
      </c>
      <c r="G20" s="358">
        <f>'Data Input'!G16</f>
        <v>0</v>
      </c>
      <c r="H20" s="1"/>
      <c r="I20" s="1" t="s">
        <v>290</v>
      </c>
      <c r="J20" s="1"/>
      <c r="K20" s="1"/>
      <c r="L20" s="1"/>
      <c r="M20" s="1"/>
      <c r="N20" s="1" t="s">
        <v>14</v>
      </c>
      <c r="O20" s="3">
        <f>SUM(M9:M14)*365/2000</f>
        <v>0</v>
      </c>
      <c r="P20" s="1" t="s">
        <v>24</v>
      </c>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61"/>
      <c r="CU20" s="1"/>
      <c r="CV20" s="61"/>
      <c r="CW20" s="1"/>
      <c r="CX20" s="1"/>
      <c r="CY20" s="1"/>
      <c r="CZ20" s="1"/>
      <c r="DA20" s="1"/>
      <c r="DB20" s="1"/>
      <c r="DC20" s="1"/>
      <c r="DD20" s="1"/>
    </row>
    <row r="21" spans="1:108" ht="15">
      <c r="A21" s="1" t="s">
        <v>16</v>
      </c>
      <c r="B21" s="1"/>
      <c r="C21" s="1"/>
      <c r="D21" s="358">
        <f>'Data Input'!D17</f>
        <v>0</v>
      </c>
      <c r="E21" s="358">
        <f>'Data Input'!E17</f>
        <v>0</v>
      </c>
      <c r="F21" s="358">
        <f>'Data Input'!F17</f>
        <v>0</v>
      </c>
      <c r="G21" s="358">
        <f>'Data Input'!G17</f>
        <v>0</v>
      </c>
      <c r="H21" s="1"/>
      <c r="I21" s="1" t="s">
        <v>230</v>
      </c>
      <c r="J21" s="1"/>
      <c r="K21" s="1"/>
      <c r="L21" s="1"/>
      <c r="M21" s="1"/>
      <c r="N21" s="1" t="s">
        <v>14</v>
      </c>
      <c r="O21" s="3">
        <f>SUM(N9:N14)*365/2000</f>
        <v>0</v>
      </c>
      <c r="P21" s="1" t="s">
        <v>24</v>
      </c>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61"/>
      <c r="CU21" s="1"/>
      <c r="CV21" s="61"/>
      <c r="CW21" s="1"/>
      <c r="CX21" s="1"/>
      <c r="CY21" s="1"/>
      <c r="CZ21" s="1"/>
      <c r="DA21" s="1"/>
      <c r="DB21" s="1"/>
      <c r="DC21" s="1"/>
      <c r="DD21" s="1"/>
    </row>
    <row r="22" spans="1:108" ht="15">
      <c r="A22" s="1" t="s">
        <v>17</v>
      </c>
      <c r="B22" s="1"/>
      <c r="C22" s="1"/>
      <c r="D22" s="358">
        <f>'Data Input'!D18</f>
        <v>0</v>
      </c>
      <c r="E22" s="358">
        <f>'Data Input'!E18</f>
        <v>0</v>
      </c>
      <c r="F22" s="358">
        <f>'Data Input'!F18</f>
        <v>0</v>
      </c>
      <c r="G22" s="358">
        <f>'Data Input'!G18</f>
        <v>0</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61"/>
      <c r="CU22" s="1"/>
      <c r="CV22" s="61"/>
      <c r="CW22" s="1"/>
      <c r="CX22" s="1"/>
      <c r="CY22" s="1"/>
      <c r="CZ22" s="1"/>
      <c r="DA22" s="1"/>
      <c r="DB22" s="1"/>
      <c r="DC22" s="1"/>
      <c r="DD22" s="1"/>
    </row>
    <row r="23" spans="1:108" ht="15.75">
      <c r="A23" s="1" t="s">
        <v>18</v>
      </c>
      <c r="B23" s="1"/>
      <c r="C23" s="1"/>
      <c r="D23" s="358">
        <f>'Data Input'!D19</f>
        <v>0</v>
      </c>
      <c r="E23" s="358">
        <f>'Data Input'!E19</f>
        <v>0</v>
      </c>
      <c r="F23" s="358">
        <f>'Data Input'!F19</f>
        <v>0</v>
      </c>
      <c r="G23" s="358">
        <f>'Data Input'!G19</f>
        <v>0</v>
      </c>
      <c r="H23" s="1"/>
      <c r="I23" s="2" t="s">
        <v>458</v>
      </c>
      <c r="J23" s="1"/>
      <c r="K23" s="1"/>
      <c r="L23" s="1"/>
      <c r="M23" s="1"/>
      <c r="N23" s="3"/>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61"/>
      <c r="CU23" s="1"/>
      <c r="CV23" s="61"/>
      <c r="CW23" s="1"/>
      <c r="CX23" s="1"/>
      <c r="CY23" s="1"/>
      <c r="CZ23" s="1"/>
      <c r="DA23" s="1"/>
      <c r="DB23" s="1"/>
      <c r="DC23" s="1"/>
      <c r="DD23" s="1"/>
    </row>
    <row r="24" spans="1:108" ht="15">
      <c r="A24" s="1" t="s">
        <v>232</v>
      </c>
      <c r="B24" s="1"/>
      <c r="C24" s="1"/>
      <c r="D24" s="358">
        <f>'Data Input'!D20</f>
        <v>0</v>
      </c>
      <c r="E24" s="358">
        <f>'Data Input'!E20</f>
        <v>0</v>
      </c>
      <c r="F24" s="358">
        <f>'Data Input'!F20</f>
        <v>0</v>
      </c>
      <c r="G24" s="358">
        <f>'Data Input'!G20</f>
        <v>0</v>
      </c>
      <c r="H24" s="1"/>
      <c r="I24" s="1" t="s">
        <v>291</v>
      </c>
      <c r="J24" s="1"/>
      <c r="K24" s="1"/>
      <c r="L24" s="1"/>
      <c r="M24" s="1"/>
      <c r="N24" s="1" t="s">
        <v>14</v>
      </c>
      <c r="O24" s="3">
        <f>+(1-Criteria!G40)*O18*(1-F29)</f>
        <v>0</v>
      </c>
      <c r="P24" s="1" t="s">
        <v>24</v>
      </c>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61"/>
      <c r="CU24" s="1"/>
      <c r="CV24" s="61"/>
      <c r="CW24" s="1"/>
      <c r="CX24" s="1"/>
      <c r="CY24" s="1"/>
      <c r="CZ24" s="1"/>
      <c r="DA24" s="1"/>
      <c r="DB24" s="1"/>
      <c r="DC24" s="1"/>
      <c r="DD24" s="1"/>
    </row>
    <row r="25" spans="1:108" ht="15">
      <c r="A25" s="21" t="s">
        <v>275</v>
      </c>
      <c r="B25" s="1"/>
      <c r="C25" s="1"/>
      <c r="D25" s="358">
        <f>'Data Input'!D21</f>
        <v>0</v>
      </c>
      <c r="E25" s="358">
        <f>'Data Input'!E21</f>
        <v>0</v>
      </c>
      <c r="F25" s="358">
        <f>'Data Input'!F21</f>
        <v>0</v>
      </c>
      <c r="G25" s="358">
        <f>'Data Input'!G21</f>
        <v>0</v>
      </c>
      <c r="H25" s="1"/>
      <c r="I25" s="1" t="s">
        <v>27</v>
      </c>
      <c r="J25" s="1"/>
      <c r="K25" s="1"/>
      <c r="L25" s="1"/>
      <c r="M25" s="1"/>
      <c r="N25" s="1" t="s">
        <v>14</v>
      </c>
      <c r="O25" s="3">
        <f>(1-F28)*(1-Criteria!G42)*O19</f>
        <v>0</v>
      </c>
      <c r="P25" s="1" t="s">
        <v>24</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61"/>
      <c r="CU25" s="1"/>
      <c r="CV25" s="61"/>
      <c r="CW25" s="1"/>
      <c r="CX25" s="1"/>
      <c r="CY25" s="1"/>
      <c r="CZ25" s="1"/>
      <c r="DA25" s="1"/>
      <c r="DB25" s="1"/>
      <c r="DC25" s="1"/>
      <c r="DD25" s="1"/>
    </row>
    <row r="26" spans="1:108"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6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ht="15.75">
      <c r="A27" s="2" t="s">
        <v>28</v>
      </c>
      <c r="B27" s="1"/>
      <c r="C27" s="1"/>
      <c r="D27" s="1"/>
      <c r="E27" s="1"/>
      <c r="F27" s="1"/>
      <c r="G27" s="1"/>
      <c r="H27" s="1"/>
      <c r="I27" s="119" t="s">
        <v>292</v>
      </c>
      <c r="J27" s="119"/>
      <c r="K27" s="119"/>
      <c r="L27" s="119"/>
      <c r="M27" s="119"/>
      <c r="N27" s="119" t="s">
        <v>14</v>
      </c>
      <c r="O27" s="120">
        <f>O20*(1-F29)</f>
        <v>0</v>
      </c>
      <c r="P27" s="119" t="s">
        <v>24</v>
      </c>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6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ht="15">
      <c r="A28" s="1" t="s">
        <v>272</v>
      </c>
      <c r="B28" s="1"/>
      <c r="C28" s="1"/>
      <c r="D28" s="1"/>
      <c r="E28" s="1"/>
      <c r="F28" s="359">
        <f>'Data Input'!F23</f>
        <v>0</v>
      </c>
      <c r="G28" s="1"/>
      <c r="H28" s="1"/>
      <c r="I28" s="1" t="s">
        <v>115</v>
      </c>
      <c r="J28" s="1"/>
      <c r="K28" s="1"/>
      <c r="L28" s="1"/>
      <c r="M28" s="1"/>
      <c r="N28" s="1" t="s">
        <v>14</v>
      </c>
      <c r="O28" s="3">
        <f>(1-F28)*O21</f>
        <v>0</v>
      </c>
      <c r="P28" s="1" t="s">
        <v>24</v>
      </c>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6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5">
      <c r="A29" s="1" t="s">
        <v>30</v>
      </c>
      <c r="B29" s="1"/>
      <c r="C29" s="1"/>
      <c r="D29" s="1"/>
      <c r="E29" s="1"/>
      <c r="F29" s="359">
        <f>'Data Input'!F24</f>
        <v>0</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6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ht="15">
      <c r="A30" s="1"/>
      <c r="B30" s="1"/>
      <c r="C30" s="1"/>
      <c r="D30" s="1"/>
      <c r="E30" s="1"/>
      <c r="F30" s="412">
        <f>'Data Input'!F25</f>
        <v>0</v>
      </c>
      <c r="G30" s="1"/>
      <c r="H30" s="1"/>
      <c r="I30" s="1"/>
      <c r="J30" s="1"/>
      <c r="K30" s="1"/>
      <c r="L30" s="1"/>
      <c r="M30" s="1"/>
      <c r="N30" s="1"/>
      <c r="O30" s="1"/>
      <c r="P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row r="31" spans="1:108" ht="15">
      <c r="A31" s="1" t="s">
        <v>31</v>
      </c>
      <c r="B31" s="1"/>
      <c r="C31" s="1"/>
      <c r="D31" s="1"/>
      <c r="E31" s="1"/>
      <c r="F31" s="357">
        <f>'Data Input'!F26</f>
        <v>0</v>
      </c>
      <c r="G31" s="1" t="s">
        <v>32</v>
      </c>
      <c r="H31" s="1"/>
      <c r="I31" s="1"/>
      <c r="J31" s="1"/>
      <c r="K31" s="1"/>
      <c r="L31" s="1"/>
      <c r="M31" s="1"/>
      <c r="N31" s="1"/>
      <c r="O31" s="1"/>
      <c r="P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ht="15">
      <c r="A32" s="1" t="s">
        <v>33</v>
      </c>
      <c r="B32" s="1"/>
      <c r="C32" s="1"/>
      <c r="D32" s="1"/>
      <c r="E32" s="1"/>
      <c r="F32" s="357">
        <f>'Data Input'!F27</f>
        <v>0</v>
      </c>
      <c r="G32" s="1" t="s">
        <v>32</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6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row>
    <row r="33" spans="1:108" ht="15">
      <c r="A33" s="1" t="s">
        <v>34</v>
      </c>
      <c r="B33" s="1"/>
      <c r="C33" s="1"/>
      <c r="D33" s="1"/>
      <c r="E33" s="1"/>
      <c r="F33" s="360">
        <f>'Data Input'!F28</f>
        <v>0</v>
      </c>
      <c r="G33" s="1" t="s">
        <v>35</v>
      </c>
      <c r="H33" s="1"/>
      <c r="I33" s="1"/>
      <c r="J33" s="1"/>
      <c r="K33" s="1"/>
      <c r="L33" s="1"/>
      <c r="M33" s="1"/>
      <c r="N33" s="1"/>
      <c r="O33" s="1"/>
      <c r="P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ht="15">
      <c r="A34" s="1"/>
      <c r="B34" s="1"/>
      <c r="C34" s="1"/>
      <c r="D34" s="1"/>
      <c r="E34" s="1"/>
      <c r="F34" s="1"/>
      <c r="G34" s="1"/>
      <c r="H34" s="1"/>
      <c r="I34" s="1"/>
      <c r="J34" s="1"/>
      <c r="K34" s="1"/>
      <c r="L34" s="1"/>
      <c r="M34" s="1"/>
      <c r="N34" s="1"/>
      <c r="O34" s="1"/>
      <c r="P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row>
    <row r="35" spans="1:108" ht="27" customHeight="1" thickBot="1">
      <c r="A35" s="721" t="s">
        <v>308</v>
      </c>
      <c r="B35" s="721"/>
      <c r="C35" s="721"/>
      <c r="D35" s="721"/>
      <c r="E35" s="721"/>
      <c r="F35" s="721"/>
      <c r="G35" s="72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row>
    <row r="36" spans="1:108" ht="15.75" customHeight="1">
      <c r="A36" s="4"/>
      <c r="B36" s="5"/>
      <c r="C36" s="5"/>
      <c r="D36" s="5"/>
      <c r="E36" s="5"/>
      <c r="F36" s="5"/>
      <c r="G36" s="6"/>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row>
    <row r="37" spans="1:108" ht="15.75" customHeight="1">
      <c r="A37" s="7" t="s">
        <v>155</v>
      </c>
      <c r="B37" s="21"/>
      <c r="C37" s="21"/>
      <c r="D37" s="21"/>
      <c r="E37" s="21"/>
      <c r="F37" s="210">
        <f>((+F31*Criteria!G10)+(F32*Criteria!G11))/2000</f>
        <v>0</v>
      </c>
      <c r="G37" s="8" t="s">
        <v>24</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ht="15.75" customHeight="1">
      <c r="A38" s="7" t="s">
        <v>194</v>
      </c>
      <c r="B38" s="21"/>
      <c r="C38" s="21"/>
      <c r="D38" s="21"/>
      <c r="E38" s="21"/>
      <c r="F38" s="210">
        <f>O24+O25</f>
        <v>0</v>
      </c>
      <c r="G38" s="8" t="s">
        <v>24</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row>
    <row r="39" spans="1:108" ht="15.75" customHeight="1">
      <c r="A39" s="7"/>
      <c r="B39" s="21"/>
      <c r="C39" s="21"/>
      <c r="D39" s="21"/>
      <c r="E39" s="21"/>
      <c r="F39" s="21"/>
      <c r="G39" s="8"/>
      <c r="H39" s="1"/>
      <c r="I39" s="61"/>
      <c r="J39" s="61"/>
      <c r="K39" s="61"/>
      <c r="L39" s="61"/>
      <c r="M39" s="61"/>
      <c r="N39" s="6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row>
    <row r="40" spans="1:108" ht="15.75" customHeight="1">
      <c r="A40" s="7" t="s">
        <v>153</v>
      </c>
      <c r="B40" s="21"/>
      <c r="C40" s="21"/>
      <c r="D40" s="21"/>
      <c r="E40" s="21"/>
      <c r="F40" s="283" t="str">
        <f>IF(F37&gt;=F38,"in nitrogen balance","not in nitrogen balance")</f>
        <v>in nitrogen balance</v>
      </c>
      <c r="G40" s="8"/>
      <c r="H40" s="1"/>
      <c r="I40" s="61"/>
      <c r="J40" s="61"/>
      <c r="K40" s="61"/>
      <c r="L40" s="61"/>
      <c r="M40" s="61"/>
      <c r="N40" s="6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row>
    <row r="41" spans="1:108" ht="15.75" customHeight="1">
      <c r="A41" s="7"/>
      <c r="B41" s="21"/>
      <c r="C41" s="21"/>
      <c r="D41" s="21"/>
      <c r="E41" s="21"/>
      <c r="F41" s="211"/>
      <c r="G41" s="8"/>
      <c r="H41" s="1"/>
      <c r="I41" s="61"/>
      <c r="J41" s="61"/>
      <c r="K41" s="61"/>
      <c r="L41" s="61"/>
      <c r="M41" s="61"/>
      <c r="N41" s="6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row>
    <row r="42" spans="1:108" ht="15.75" customHeight="1">
      <c r="A42" s="7" t="s">
        <v>154</v>
      </c>
      <c r="B42" s="21"/>
      <c r="C42" s="21"/>
      <c r="D42" s="21"/>
      <c r="E42" s="21"/>
      <c r="F42" s="211">
        <f>(+Criteria!G8*F31+F32*Criteria!G9)/2000</f>
        <v>0</v>
      </c>
      <c r="G42" s="8" t="s">
        <v>24</v>
      </c>
      <c r="H42" s="1"/>
      <c r="I42" s="61"/>
      <c r="J42" s="61"/>
      <c r="K42" s="61"/>
      <c r="L42" s="61"/>
      <c r="M42" s="61"/>
      <c r="N42" s="6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row>
    <row r="43" spans="1:108" ht="15.75" customHeight="1">
      <c r="A43" s="7" t="s">
        <v>307</v>
      </c>
      <c r="B43" s="21"/>
      <c r="C43" s="21"/>
      <c r="D43" s="21"/>
      <c r="E43" s="21"/>
      <c r="F43" s="211">
        <f>O27+O28</f>
        <v>0</v>
      </c>
      <c r="G43" s="8" t="s">
        <v>24</v>
      </c>
      <c r="H43" s="1"/>
      <c r="I43" s="61"/>
      <c r="J43" s="61"/>
      <c r="K43" s="61"/>
      <c r="L43" s="61"/>
      <c r="M43" s="61"/>
      <c r="N43" s="6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row>
    <row r="44" spans="1:108" ht="15" customHeight="1">
      <c r="A44" s="7"/>
      <c r="B44" s="21"/>
      <c r="C44" s="21"/>
      <c r="D44" s="21"/>
      <c r="E44" s="21"/>
      <c r="F44" s="21"/>
      <c r="G44" s="8"/>
      <c r="H44" s="1"/>
      <c r="I44" s="61"/>
      <c r="J44" s="61"/>
      <c r="K44" s="61"/>
      <c r="L44" s="61"/>
      <c r="M44" s="61"/>
      <c r="N44" s="6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row>
    <row r="45" spans="1:108" ht="15.75" customHeight="1">
      <c r="A45" s="7" t="s">
        <v>153</v>
      </c>
      <c r="B45" s="21"/>
      <c r="C45" s="21"/>
      <c r="D45" s="21"/>
      <c r="E45" s="21"/>
      <c r="F45" s="110" t="str">
        <f>IF(F42&gt;=F43,"in salt balance","not in salt balance")</f>
        <v>in salt balance</v>
      </c>
      <c r="G45" s="8"/>
      <c r="H45" s="1"/>
      <c r="I45" s="61"/>
      <c r="J45" s="61"/>
      <c r="K45" s="61"/>
      <c r="L45" s="61"/>
      <c r="M45" s="61"/>
      <c r="N45" s="6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row>
    <row r="46" spans="1:108" ht="15.75" customHeight="1" thickBot="1">
      <c r="A46" s="10"/>
      <c r="B46" s="11"/>
      <c r="C46" s="11"/>
      <c r="D46" s="11"/>
      <c r="E46" s="11"/>
      <c r="F46" s="212"/>
      <c r="G46" s="74"/>
      <c r="H46" s="1"/>
      <c r="I46" s="61"/>
      <c r="J46" s="61"/>
      <c r="K46" s="61"/>
      <c r="L46" s="61"/>
      <c r="M46" s="61"/>
      <c r="N46" s="6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row>
    <row r="47" spans="1:108" ht="22.5" customHeight="1" thickBot="1">
      <c r="A47" s="720" t="s">
        <v>309</v>
      </c>
      <c r="B47" s="720"/>
      <c r="C47" s="720"/>
      <c r="D47" s="720"/>
      <c r="E47" s="720"/>
      <c r="F47" s="720"/>
      <c r="G47" s="720"/>
      <c r="H47" s="21"/>
      <c r="I47" s="1"/>
      <c r="J47" s="1"/>
      <c r="K47" s="1"/>
      <c r="L47" s="1"/>
      <c r="M47" s="1"/>
      <c r="N47" s="1"/>
      <c r="O47" s="1"/>
      <c r="P47" s="1"/>
      <c r="Q47" s="1"/>
      <c r="R47" s="1"/>
      <c r="S47" s="1"/>
      <c r="T47" s="1"/>
      <c r="U47" s="1"/>
      <c r="V47" s="1"/>
      <c r="W47" s="1"/>
      <c r="X47" s="1"/>
      <c r="Y47" s="1"/>
      <c r="Z47" s="1"/>
      <c r="AA47" s="1"/>
      <c r="AB47" s="1"/>
      <c r="AC47" s="1"/>
      <c r="AD47" s="1"/>
      <c r="AE47" s="1"/>
      <c r="AF47" s="1"/>
      <c r="AG47" s="1"/>
      <c r="AH47" s="9"/>
      <c r="AI47" s="1"/>
      <c r="AJ47" s="9"/>
      <c r="AK47" s="1"/>
      <c r="AL47" s="1"/>
      <c r="AM47" s="1"/>
      <c r="AN47" s="1"/>
      <c r="AO47" s="1"/>
      <c r="AP47" s="1"/>
      <c r="AQ47" s="1"/>
      <c r="AR47" s="9"/>
      <c r="AS47" s="1"/>
      <c r="AT47" s="1"/>
      <c r="AU47" s="1"/>
      <c r="AV47" s="9"/>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row>
    <row r="48" spans="1:108" ht="15">
      <c r="A48" s="4" t="s">
        <v>293</v>
      </c>
      <c r="B48" s="5"/>
      <c r="C48" s="5"/>
      <c r="D48" s="5"/>
      <c r="E48" s="5"/>
      <c r="F48" s="111">
        <f>O24*$F$33*2000</f>
        <v>0</v>
      </c>
      <c r="G48" s="6" t="s">
        <v>36</v>
      </c>
      <c r="H48" s="1"/>
      <c r="I48" s="1"/>
      <c r="J48" s="1"/>
      <c r="K48" s="1"/>
      <c r="L48" s="1"/>
      <c r="M48" s="1"/>
      <c r="N48" s="1"/>
      <c r="O48" s="1"/>
      <c r="P48" s="1"/>
      <c r="Q48" s="1"/>
      <c r="R48" s="1"/>
      <c r="S48" s="1"/>
      <c r="T48" s="1"/>
      <c r="U48" s="1"/>
      <c r="V48" s="1"/>
      <c r="W48" s="1"/>
      <c r="X48" s="1"/>
      <c r="Y48" s="1"/>
      <c r="Z48" s="1"/>
      <c r="AA48" s="1"/>
      <c r="AB48" s="1"/>
      <c r="AC48" s="1"/>
      <c r="AD48" s="1"/>
      <c r="AE48" s="1"/>
      <c r="AF48" s="1"/>
      <c r="AG48" s="1"/>
      <c r="AH48" s="9"/>
      <c r="AI48" s="1"/>
      <c r="AJ48" s="9"/>
      <c r="AK48" s="1"/>
      <c r="AL48" s="1"/>
      <c r="AM48" s="1"/>
      <c r="AN48" s="1"/>
      <c r="AO48" s="1"/>
      <c r="AP48" s="1"/>
      <c r="AQ48" s="1"/>
      <c r="AR48" s="9"/>
      <c r="AS48" s="1"/>
      <c r="AT48" s="1"/>
      <c r="AU48" s="1"/>
      <c r="AV48" s="9"/>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row>
    <row r="49" spans="1:108" ht="15.75" customHeight="1" thickBot="1">
      <c r="A49" s="10" t="s">
        <v>37</v>
      </c>
      <c r="B49" s="11"/>
      <c r="C49" s="11"/>
      <c r="D49" s="11"/>
      <c r="E49" s="11"/>
      <c r="F49" s="113">
        <f>O25*$F$33*2000</f>
        <v>0</v>
      </c>
      <c r="G49" s="74" t="s">
        <v>36</v>
      </c>
      <c r="H49" s="1"/>
      <c r="I49" s="1"/>
      <c r="J49" s="1"/>
      <c r="K49" s="1"/>
      <c r="L49" s="1"/>
      <c r="M49" s="1"/>
      <c r="N49" s="1"/>
      <c r="O49" s="1"/>
      <c r="P49" s="1"/>
      <c r="Q49" s="1"/>
      <c r="R49" s="1"/>
      <c r="S49" s="1"/>
      <c r="T49" s="1"/>
      <c r="U49" s="1"/>
      <c r="V49" s="1"/>
      <c r="W49" s="1"/>
      <c r="X49" s="1"/>
      <c r="Y49" s="1"/>
      <c r="Z49" s="1"/>
      <c r="AA49" s="1"/>
      <c r="AB49" s="1"/>
      <c r="AC49" s="1"/>
      <c r="AD49" s="1"/>
      <c r="AE49" s="1"/>
      <c r="AF49" s="1"/>
      <c r="AG49" s="1"/>
      <c r="AH49" s="9"/>
      <c r="AI49" s="1"/>
      <c r="AJ49" s="9"/>
      <c r="AK49" s="1"/>
      <c r="AL49" s="1"/>
      <c r="AM49" s="1"/>
      <c r="AN49" s="1"/>
      <c r="AO49" s="1"/>
      <c r="AP49" s="1"/>
      <c r="AQ49" s="1"/>
      <c r="AR49" s="9"/>
      <c r="AS49" s="1"/>
      <c r="AT49" s="1"/>
      <c r="AU49" s="1"/>
      <c r="AV49" s="9"/>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row>
    <row r="50" spans="1:108" ht="15.75" customHeight="1">
      <c r="A50" s="21"/>
      <c r="B50" s="21"/>
      <c r="C50" s="21"/>
      <c r="D50" s="21"/>
      <c r="E50" s="21"/>
      <c r="F50" s="21"/>
      <c r="G50" s="112"/>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9"/>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row>
    <row r="51" spans="1:108"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9"/>
      <c r="AK51" s="1"/>
      <c r="AL51" s="1"/>
      <c r="AM51" s="1"/>
      <c r="AN51" s="1"/>
      <c r="AO51" s="1"/>
      <c r="AP51" s="1"/>
      <c r="AQ51" s="1"/>
      <c r="AR51" s="9"/>
      <c r="AS51" s="1"/>
      <c r="AT51" s="1"/>
      <c r="AU51" s="1"/>
      <c r="AV51" s="9"/>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row>
    <row r="52" spans="1:108"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9"/>
      <c r="AK52" s="1"/>
      <c r="AL52" s="1"/>
      <c r="AM52" s="1"/>
      <c r="AN52" s="1"/>
      <c r="AO52" s="1"/>
      <c r="AP52" s="1"/>
      <c r="AQ52" s="1"/>
      <c r="AR52" s="9"/>
      <c r="AS52" s="1"/>
      <c r="AT52" s="1"/>
      <c r="AU52" s="1"/>
      <c r="AV52" s="9"/>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row>
    <row r="53" spans="1:108"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9"/>
      <c r="AK53" s="1"/>
      <c r="AL53" s="1"/>
      <c r="AM53" s="1"/>
      <c r="AN53" s="1"/>
      <c r="AO53" s="1"/>
      <c r="AP53" s="1"/>
      <c r="AQ53" s="1"/>
      <c r="AR53" s="9"/>
      <c r="AS53" s="1"/>
      <c r="AT53" s="1"/>
      <c r="AU53" s="1"/>
      <c r="AV53" s="9"/>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row>
    <row r="54" spans="1:108"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9"/>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row>
    <row r="55" spans="1:108"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9"/>
      <c r="AK55" s="1"/>
      <c r="AL55" s="1"/>
      <c r="AM55" s="1"/>
      <c r="AN55" s="1"/>
      <c r="AO55" s="1"/>
      <c r="AP55" s="1"/>
      <c r="AQ55" s="1"/>
      <c r="AR55" s="9"/>
      <c r="AS55" s="1"/>
      <c r="AT55" s="1"/>
      <c r="AU55" s="1"/>
      <c r="AV55" s="9"/>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row>
    <row r="56" spans="1:108"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9"/>
      <c r="AK56" s="1"/>
      <c r="AL56" s="1"/>
      <c r="AM56" s="1"/>
      <c r="AN56" s="1"/>
      <c r="AO56" s="1"/>
      <c r="AP56" s="1"/>
      <c r="AQ56" s="1"/>
      <c r="AR56" s="9"/>
      <c r="AS56" s="1"/>
      <c r="AT56" s="1"/>
      <c r="AU56" s="1"/>
      <c r="AV56" s="9"/>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row>
    <row r="57" spans="1:108"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9"/>
      <c r="AK57" s="1"/>
      <c r="AL57" s="1"/>
      <c r="AM57" s="1"/>
      <c r="AN57" s="1"/>
      <c r="AO57" s="1"/>
      <c r="AP57" s="1"/>
      <c r="AQ57" s="1"/>
      <c r="AR57" s="9"/>
      <c r="AS57" s="1"/>
      <c r="AT57" s="1"/>
      <c r="AU57" s="1"/>
      <c r="AV57" s="9"/>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row>
    <row r="58" spans="1:108"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9"/>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row>
    <row r="59" spans="1:108"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9"/>
      <c r="AK59" s="1"/>
      <c r="AL59" s="1"/>
      <c r="AM59" s="1"/>
      <c r="AN59" s="1"/>
      <c r="AO59" s="1"/>
      <c r="AP59" s="1"/>
      <c r="AQ59" s="1"/>
      <c r="AR59" s="9"/>
      <c r="AS59" s="1"/>
      <c r="AT59" s="1"/>
      <c r="AU59" s="1"/>
      <c r="AV59" s="9"/>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row>
    <row r="60" spans="1:108"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9"/>
      <c r="AK60" s="1"/>
      <c r="AL60" s="1"/>
      <c r="AM60" s="1"/>
      <c r="AN60" s="1"/>
      <c r="AO60" s="1"/>
      <c r="AP60" s="1"/>
      <c r="AQ60" s="1"/>
      <c r="AR60" s="9"/>
      <c r="AS60" s="1"/>
      <c r="AT60" s="1"/>
      <c r="AU60" s="1"/>
      <c r="AV60" s="9"/>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row>
    <row r="61" spans="1:108"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9"/>
      <c r="AK61" s="1"/>
      <c r="AL61" s="1"/>
      <c r="AM61" s="1"/>
      <c r="AN61" s="1"/>
      <c r="AO61" s="1"/>
      <c r="AP61" s="1"/>
      <c r="AQ61" s="1"/>
      <c r="AR61" s="9"/>
      <c r="AS61" s="1"/>
      <c r="AT61" s="1"/>
      <c r="AU61" s="1"/>
      <c r="AV61" s="9"/>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row>
    <row r="62" spans="1:108"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6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row>
    <row r="63" spans="1:108"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6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row>
    <row r="64" spans="1:108"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6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row>
    <row r="65" spans="1:108"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6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row>
    <row r="66" spans="1:108"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6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row>
    <row r="67" spans="1:108"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6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row>
    <row r="68" spans="1:108"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6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row>
    <row r="69" spans="1:108"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6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row>
    <row r="70" spans="1:108"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6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row>
    <row r="71" spans="1:108"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6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row>
    <row r="72" spans="1:108"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6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row>
    <row r="73" spans="1:108"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6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row>
    <row r="74" spans="1:108"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6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row>
    <row r="75" spans="1:108"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6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row>
    <row r="76" spans="1:108"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6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row>
    <row r="77" spans="1:108"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6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row>
    <row r="78" spans="1:108"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6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row>
    <row r="79" spans="1:108"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6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row>
    <row r="80" spans="1:108"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6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row>
    <row r="81" spans="1:108"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row>
    <row r="82" spans="1:108"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row>
    <row r="83" spans="1:108"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row>
    <row r="84" spans="1:108"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row>
    <row r="85" spans="1:108"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row>
    <row r="86" spans="1:108"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row>
    <row r="87" spans="1:108"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row>
    <row r="88" spans="1:108"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row>
    <row r="89" spans="1:108"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row>
    <row r="90" spans="1:108"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row>
    <row r="91" spans="1:108" ht="15">
      <c r="A91" s="1"/>
      <c r="B91" s="1"/>
      <c r="C91" s="1"/>
      <c r="D91" s="1"/>
      <c r="E91" s="1"/>
      <c r="F91" s="1"/>
      <c r="G91" s="1"/>
      <c r="H91" s="1"/>
      <c r="I91" s="61"/>
      <c r="J91" s="61"/>
      <c r="K91" s="61"/>
      <c r="L91" s="61"/>
      <c r="M91" s="61"/>
      <c r="N91" s="6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row>
    <row r="92" spans="1:108" ht="15">
      <c r="A92" s="1"/>
      <c r="B92" s="1"/>
      <c r="C92" s="1"/>
      <c r="D92" s="1"/>
      <c r="E92" s="1"/>
      <c r="F92" s="1"/>
      <c r="G92" s="1"/>
      <c r="H92" s="1"/>
      <c r="I92" s="61"/>
      <c r="J92" s="61"/>
      <c r="K92" s="61"/>
      <c r="L92" s="61"/>
      <c r="M92" s="61"/>
      <c r="N92" s="6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row>
    <row r="93" spans="1:108" ht="15">
      <c r="A93" s="1"/>
      <c r="B93" s="1"/>
      <c r="C93" s="1"/>
      <c r="D93" s="1"/>
      <c r="E93" s="1"/>
      <c r="F93" s="1"/>
      <c r="G93" s="1"/>
      <c r="H93" s="1"/>
      <c r="I93" s="61"/>
      <c r="J93" s="61"/>
      <c r="K93" s="61"/>
      <c r="L93" s="61"/>
      <c r="M93" s="61"/>
      <c r="N93" s="6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row>
    <row r="94" spans="1:108" ht="15">
      <c r="A94" s="1"/>
      <c r="B94" s="1"/>
      <c r="C94" s="1"/>
      <c r="D94" s="1"/>
      <c r="E94" s="1"/>
      <c r="F94" s="1"/>
      <c r="G94" s="1"/>
      <c r="H94" s="1"/>
      <c r="I94" s="61"/>
      <c r="J94" s="61"/>
      <c r="K94" s="61"/>
      <c r="L94" s="61"/>
      <c r="M94" s="61"/>
      <c r="N94" s="6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row>
    <row r="95" spans="1:108" ht="15">
      <c r="A95" s="1"/>
      <c r="B95" s="1"/>
      <c r="C95" s="1"/>
      <c r="D95" s="1"/>
      <c r="E95" s="1"/>
      <c r="F95" s="1"/>
      <c r="G95" s="1"/>
      <c r="H95" s="1"/>
      <c r="I95" s="61"/>
      <c r="J95" s="61"/>
      <c r="K95" s="61"/>
      <c r="L95" s="61"/>
      <c r="M95" s="61"/>
      <c r="N95" s="6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row>
    <row r="96" spans="1:108" ht="15">
      <c r="A96" s="1"/>
      <c r="B96" s="1"/>
      <c r="C96" s="1"/>
      <c r="D96" s="1"/>
      <c r="E96" s="1"/>
      <c r="F96" s="1"/>
      <c r="G96" s="1"/>
      <c r="H96" s="1"/>
      <c r="I96" s="61"/>
      <c r="J96" s="61"/>
      <c r="K96" s="61"/>
      <c r="L96" s="61"/>
      <c r="M96" s="61"/>
      <c r="N96" s="6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row>
    <row r="97" spans="1:108" ht="15">
      <c r="A97" s="1"/>
      <c r="B97" s="1"/>
      <c r="C97" s="1"/>
      <c r="D97" s="1"/>
      <c r="E97" s="1"/>
      <c r="F97" s="1"/>
      <c r="G97" s="1"/>
      <c r="H97" s="1"/>
      <c r="I97" s="61"/>
      <c r="J97" s="61"/>
      <c r="K97" s="61"/>
      <c r="L97" s="61"/>
      <c r="M97" s="61"/>
      <c r="N97" s="6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row>
    <row r="98" spans="1:108" ht="15">
      <c r="A98" s="1"/>
      <c r="B98" s="1"/>
      <c r="C98" s="1"/>
      <c r="D98" s="1"/>
      <c r="E98" s="1"/>
      <c r="F98" s="1"/>
      <c r="G98" s="1"/>
      <c r="H98" s="1"/>
      <c r="I98" s="61"/>
      <c r="J98" s="61"/>
      <c r="K98" s="61"/>
      <c r="L98" s="61"/>
      <c r="M98" s="61"/>
      <c r="N98" s="6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row>
    <row r="99" spans="1:108" ht="15">
      <c r="A99" s="1"/>
      <c r="B99" s="1"/>
      <c r="C99" s="1"/>
      <c r="D99" s="1"/>
      <c r="E99" s="1"/>
      <c r="F99" s="1"/>
      <c r="G99" s="1"/>
      <c r="H99" s="1"/>
      <c r="I99" s="61"/>
      <c r="J99" s="61"/>
      <c r="K99" s="61"/>
      <c r="L99" s="61"/>
      <c r="M99" s="61"/>
      <c r="N99" s="6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row>
    <row r="100" spans="1:108" ht="15">
      <c r="A100" s="1"/>
      <c r="B100" s="1"/>
      <c r="C100" s="1"/>
      <c r="D100" s="1"/>
      <c r="E100" s="1"/>
      <c r="F100" s="1"/>
      <c r="G100" s="1"/>
      <c r="H100" s="1"/>
      <c r="I100" s="61"/>
      <c r="J100" s="61"/>
      <c r="K100" s="61"/>
      <c r="L100" s="61"/>
      <c r="M100" s="61"/>
      <c r="N100" s="6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row>
    <row r="101" spans="1:108" ht="15">
      <c r="A101" s="1"/>
      <c r="B101" s="1"/>
      <c r="C101" s="1"/>
      <c r="D101" s="1"/>
      <c r="E101" s="1"/>
      <c r="F101" s="1"/>
      <c r="G101" s="1"/>
      <c r="H101" s="1"/>
      <c r="I101" s="61"/>
      <c r="J101" s="61"/>
      <c r="K101" s="61"/>
      <c r="L101" s="61"/>
      <c r="M101" s="61"/>
      <c r="N101" s="6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row>
    <row r="102" spans="1:108" ht="15">
      <c r="A102" s="1"/>
      <c r="B102" s="1"/>
      <c r="C102" s="1"/>
      <c r="D102" s="1"/>
      <c r="E102" s="1"/>
      <c r="F102" s="1"/>
      <c r="G102" s="1"/>
      <c r="H102" s="1"/>
      <c r="I102" s="61"/>
      <c r="J102" s="61"/>
      <c r="K102" s="61"/>
      <c r="L102" s="61"/>
      <c r="M102" s="61"/>
      <c r="N102" s="6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row>
    <row r="103" spans="1:108" ht="15">
      <c r="A103" s="1"/>
      <c r="B103" s="1"/>
      <c r="C103" s="1"/>
      <c r="D103" s="1"/>
      <c r="E103" s="1"/>
      <c r="F103" s="1"/>
      <c r="G103" s="1"/>
      <c r="H103" s="1"/>
      <c r="I103" s="61"/>
      <c r="J103" s="61"/>
      <c r="K103" s="61"/>
      <c r="L103" s="61"/>
      <c r="M103" s="61"/>
      <c r="N103" s="6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row>
    <row r="104" spans="1:108" ht="15">
      <c r="A104" s="1"/>
      <c r="B104" s="1"/>
      <c r="C104" s="1"/>
      <c r="D104" s="1"/>
      <c r="E104" s="1"/>
      <c r="F104" s="1"/>
      <c r="G104" s="1"/>
      <c r="H104" s="1"/>
      <c r="I104" s="61"/>
      <c r="J104" s="61"/>
      <c r="K104" s="61"/>
      <c r="L104" s="61"/>
      <c r="M104" s="61"/>
      <c r="N104" s="6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row>
    <row r="105" spans="1:108" ht="15">
      <c r="A105" s="1"/>
      <c r="B105" s="1"/>
      <c r="C105" s="1"/>
      <c r="D105" s="1"/>
      <c r="E105" s="1"/>
      <c r="F105" s="1"/>
      <c r="G105" s="1"/>
      <c r="H105" s="1"/>
      <c r="I105" s="61"/>
      <c r="J105" s="61"/>
      <c r="K105" s="61"/>
      <c r="L105" s="61"/>
      <c r="M105" s="61"/>
      <c r="N105" s="6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row>
    <row r="106" spans="1:108" ht="15">
      <c r="A106" s="1"/>
      <c r="B106" s="1"/>
      <c r="C106" s="1"/>
      <c r="D106" s="1"/>
      <c r="E106" s="1"/>
      <c r="F106" s="1"/>
      <c r="G106" s="1"/>
      <c r="H106" s="1"/>
      <c r="I106" s="61"/>
      <c r="J106" s="61"/>
      <c r="K106" s="61"/>
      <c r="L106" s="61"/>
      <c r="M106" s="61"/>
      <c r="N106" s="6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row>
    <row r="107" spans="1:108" ht="15">
      <c r="A107" s="1"/>
      <c r="B107" s="1"/>
      <c r="C107" s="1"/>
      <c r="D107" s="1"/>
      <c r="E107" s="1"/>
      <c r="F107" s="1"/>
      <c r="G107" s="1"/>
      <c r="H107" s="1"/>
      <c r="I107" s="61"/>
      <c r="J107" s="61"/>
      <c r="K107" s="61"/>
      <c r="L107" s="61"/>
      <c r="M107" s="61"/>
      <c r="N107" s="6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row>
    <row r="108" spans="1:108" ht="15">
      <c r="A108" s="1"/>
      <c r="B108" s="1"/>
      <c r="C108" s="1"/>
      <c r="D108" s="1"/>
      <c r="E108" s="1"/>
      <c r="F108" s="1"/>
      <c r="G108" s="1"/>
      <c r="H108" s="1"/>
      <c r="I108" s="61"/>
      <c r="J108" s="61"/>
      <c r="K108" s="61"/>
      <c r="L108" s="61"/>
      <c r="M108" s="61"/>
      <c r="N108" s="6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row>
    <row r="109" spans="1:108" ht="15">
      <c r="A109" s="1"/>
      <c r="B109" s="1"/>
      <c r="C109" s="1"/>
      <c r="D109" s="1"/>
      <c r="E109" s="1"/>
      <c r="F109" s="1"/>
      <c r="G109" s="1"/>
      <c r="H109" s="1"/>
      <c r="I109" s="61"/>
      <c r="J109" s="61"/>
      <c r="K109" s="61"/>
      <c r="L109" s="61"/>
      <c r="M109" s="61"/>
      <c r="N109" s="6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row>
    <row r="110" spans="1:108" ht="15">
      <c r="A110" s="1"/>
      <c r="B110" s="1"/>
      <c r="C110" s="1"/>
      <c r="D110" s="1"/>
      <c r="E110" s="1"/>
      <c r="F110" s="1"/>
      <c r="G110" s="1"/>
      <c r="H110" s="1"/>
      <c r="I110" s="61"/>
      <c r="J110" s="61"/>
      <c r="K110" s="61"/>
      <c r="L110" s="61"/>
      <c r="M110" s="61"/>
      <c r="N110" s="6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row>
    <row r="111" spans="1:108" ht="15">
      <c r="A111" s="1"/>
      <c r="B111" s="1"/>
      <c r="C111" s="1"/>
      <c r="D111" s="1"/>
      <c r="E111" s="1"/>
      <c r="F111" s="1"/>
      <c r="G111" s="1"/>
      <c r="H111" s="1"/>
      <c r="I111" s="61"/>
      <c r="J111" s="61"/>
      <c r="K111" s="61"/>
      <c r="L111" s="61"/>
      <c r="M111" s="61"/>
      <c r="N111" s="6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row>
    <row r="112" spans="1:108" ht="15">
      <c r="A112" s="1"/>
      <c r="B112" s="1"/>
      <c r="C112" s="1"/>
      <c r="D112" s="1"/>
      <c r="E112" s="1"/>
      <c r="F112" s="1"/>
      <c r="G112" s="1"/>
      <c r="H112" s="1"/>
      <c r="I112" s="61"/>
      <c r="J112" s="61"/>
      <c r="K112" s="61"/>
      <c r="L112" s="61"/>
      <c r="M112" s="61"/>
      <c r="N112" s="6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row>
    <row r="113" spans="1:108" ht="15">
      <c r="A113" s="1"/>
      <c r="B113" s="1"/>
      <c r="C113" s="1"/>
      <c r="D113" s="1"/>
      <c r="E113" s="1"/>
      <c r="F113" s="1"/>
      <c r="G113" s="1"/>
      <c r="H113" s="1"/>
      <c r="I113" s="61"/>
      <c r="J113" s="61"/>
      <c r="K113" s="61"/>
      <c r="L113" s="61"/>
      <c r="M113" s="61"/>
      <c r="N113" s="6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row>
    <row r="114" spans="1:108" ht="15">
      <c r="A114" s="1"/>
      <c r="B114" s="1"/>
      <c r="C114" s="1"/>
      <c r="D114" s="1"/>
      <c r="E114" s="1"/>
      <c r="F114" s="1"/>
      <c r="G114" s="1"/>
      <c r="H114" s="1"/>
      <c r="I114" s="61"/>
      <c r="J114" s="61"/>
      <c r="K114" s="61"/>
      <c r="L114" s="61"/>
      <c r="M114" s="61"/>
      <c r="N114" s="6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row>
    <row r="115" spans="1:108" ht="15">
      <c r="A115" s="1"/>
      <c r="B115" s="1"/>
      <c r="C115" s="1"/>
      <c r="D115" s="1"/>
      <c r="E115" s="1"/>
      <c r="F115" s="1"/>
      <c r="G115" s="1"/>
      <c r="H115" s="1"/>
      <c r="I115" s="61"/>
      <c r="J115" s="61"/>
      <c r="K115" s="61"/>
      <c r="L115" s="61"/>
      <c r="M115" s="61"/>
      <c r="N115" s="6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row>
    <row r="116" spans="1:108" ht="15">
      <c r="A116" s="1"/>
      <c r="B116" s="1"/>
      <c r="C116" s="1"/>
      <c r="D116" s="1"/>
      <c r="E116" s="1"/>
      <c r="F116" s="1"/>
      <c r="G116" s="1"/>
      <c r="H116" s="1"/>
      <c r="I116" s="61"/>
      <c r="J116" s="61"/>
      <c r="K116" s="61"/>
      <c r="L116" s="61"/>
      <c r="M116" s="61"/>
      <c r="N116" s="6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row>
    <row r="117" spans="1:108" ht="15">
      <c r="A117" s="1"/>
      <c r="B117" s="1"/>
      <c r="C117" s="1"/>
      <c r="D117" s="1"/>
      <c r="E117" s="1"/>
      <c r="F117" s="1"/>
      <c r="G117" s="1"/>
      <c r="H117" s="1"/>
      <c r="I117" s="61"/>
      <c r="J117" s="61"/>
      <c r="K117" s="61"/>
      <c r="L117" s="61"/>
      <c r="M117" s="61"/>
      <c r="N117" s="6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row>
    <row r="118" spans="1:108" ht="15">
      <c r="A118" s="1"/>
      <c r="B118" s="1"/>
      <c r="C118" s="1"/>
      <c r="D118" s="1"/>
      <c r="E118" s="1"/>
      <c r="F118" s="1"/>
      <c r="G118" s="1"/>
      <c r="H118" s="1"/>
      <c r="I118" s="61"/>
      <c r="J118" s="61"/>
      <c r="K118" s="61"/>
      <c r="L118" s="61"/>
      <c r="M118" s="61"/>
      <c r="N118" s="6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row>
    <row r="119" spans="1:108" ht="15">
      <c r="A119" s="1"/>
      <c r="B119" s="1"/>
      <c r="C119" s="1"/>
      <c r="D119" s="1"/>
      <c r="E119" s="1"/>
      <c r="F119" s="1"/>
      <c r="G119" s="1"/>
      <c r="H119" s="1"/>
      <c r="I119" s="61"/>
      <c r="J119" s="61"/>
      <c r="K119" s="61"/>
      <c r="L119" s="61"/>
      <c r="M119" s="61"/>
      <c r="N119" s="6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row>
    <row r="120" spans="1:108" ht="15">
      <c r="A120" s="1"/>
      <c r="B120" s="1"/>
      <c r="C120" s="1"/>
      <c r="D120" s="1"/>
      <c r="E120" s="1"/>
      <c r="F120" s="1"/>
      <c r="G120" s="1"/>
      <c r="H120" s="1"/>
      <c r="I120" s="61"/>
      <c r="J120" s="61"/>
      <c r="K120" s="61"/>
      <c r="L120" s="61"/>
      <c r="M120" s="61"/>
      <c r="N120" s="6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row>
    <row r="121" spans="1:108" ht="15">
      <c r="A121" s="1"/>
      <c r="B121" s="1"/>
      <c r="C121" s="1"/>
      <c r="D121" s="1"/>
      <c r="E121" s="1"/>
      <c r="F121" s="1"/>
      <c r="G121" s="1"/>
      <c r="H121" s="1"/>
      <c r="I121" s="61"/>
      <c r="J121" s="61"/>
      <c r="K121" s="61"/>
      <c r="L121" s="61"/>
      <c r="M121" s="61"/>
      <c r="N121" s="6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row>
    <row r="122" spans="1:108" ht="15">
      <c r="A122" s="1"/>
      <c r="B122" s="1"/>
      <c r="C122" s="1"/>
      <c r="D122" s="1"/>
      <c r="E122" s="1"/>
      <c r="F122" s="1"/>
      <c r="G122" s="1"/>
      <c r="H122" s="1"/>
      <c r="I122" s="61"/>
      <c r="J122" s="61"/>
      <c r="K122" s="61"/>
      <c r="L122" s="61"/>
      <c r="M122" s="61"/>
      <c r="N122" s="6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row>
    <row r="123" spans="1:108" ht="15">
      <c r="A123" s="1"/>
      <c r="B123" s="1"/>
      <c r="C123" s="1"/>
      <c r="D123" s="1"/>
      <c r="E123" s="1"/>
      <c r="F123" s="1"/>
      <c r="G123" s="1"/>
      <c r="H123" s="1"/>
      <c r="I123" s="61"/>
      <c r="J123" s="61"/>
      <c r="K123" s="61"/>
      <c r="L123" s="61"/>
      <c r="M123" s="61"/>
      <c r="N123" s="6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row>
    <row r="124" spans="1:108" ht="15">
      <c r="A124" s="1"/>
      <c r="B124" s="1"/>
      <c r="C124" s="1"/>
      <c r="D124" s="1"/>
      <c r="E124" s="1"/>
      <c r="F124" s="1"/>
      <c r="G124" s="1"/>
      <c r="H124" s="1"/>
      <c r="I124" s="61"/>
      <c r="J124" s="61"/>
      <c r="K124" s="61"/>
      <c r="L124" s="61"/>
      <c r="M124" s="61"/>
      <c r="N124" s="6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row>
    <row r="125" spans="1:108" ht="15">
      <c r="A125" s="1"/>
      <c r="B125" s="1"/>
      <c r="C125" s="1"/>
      <c r="D125" s="1"/>
      <c r="E125" s="1"/>
      <c r="F125" s="1"/>
      <c r="G125" s="1"/>
      <c r="H125" s="1"/>
      <c r="I125" s="61"/>
      <c r="J125" s="61"/>
      <c r="K125" s="61"/>
      <c r="L125" s="61"/>
      <c r="M125" s="61"/>
      <c r="N125" s="6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row>
    <row r="126" spans="1:108" ht="15">
      <c r="A126" s="1"/>
      <c r="B126" s="1"/>
      <c r="C126" s="1"/>
      <c r="D126" s="1"/>
      <c r="E126" s="1"/>
      <c r="F126" s="1"/>
      <c r="G126" s="1"/>
      <c r="H126" s="1"/>
      <c r="I126" s="61"/>
      <c r="J126" s="61"/>
      <c r="K126" s="61"/>
      <c r="L126" s="61"/>
      <c r="M126" s="61"/>
      <c r="N126" s="6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row>
    <row r="127" spans="1:108" ht="15">
      <c r="A127" s="1"/>
      <c r="B127" s="1"/>
      <c r="C127" s="1"/>
      <c r="D127" s="1"/>
      <c r="E127" s="1"/>
      <c r="F127" s="1"/>
      <c r="G127" s="1"/>
      <c r="H127" s="1"/>
      <c r="I127" s="61"/>
      <c r="J127" s="61"/>
      <c r="K127" s="61"/>
      <c r="L127" s="61"/>
      <c r="M127" s="61"/>
      <c r="N127" s="6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row>
    <row r="128" spans="1:108" ht="15">
      <c r="A128" s="1"/>
      <c r="B128" s="1"/>
      <c r="C128" s="1"/>
      <c r="D128" s="1"/>
      <c r="E128" s="1"/>
      <c r="F128" s="1"/>
      <c r="G128" s="1"/>
      <c r="H128" s="1"/>
      <c r="I128" s="61"/>
      <c r="J128" s="61"/>
      <c r="K128" s="61"/>
      <c r="L128" s="61"/>
      <c r="M128" s="61"/>
      <c r="N128" s="6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row>
    <row r="129" spans="1:108" ht="15">
      <c r="A129" s="1"/>
      <c r="B129" s="1"/>
      <c r="C129" s="1"/>
      <c r="D129" s="1"/>
      <c r="E129" s="1"/>
      <c r="F129" s="1"/>
      <c r="G129" s="1"/>
      <c r="H129" s="1"/>
      <c r="I129" s="61"/>
      <c r="J129" s="61"/>
      <c r="K129" s="61"/>
      <c r="L129" s="61"/>
      <c r="M129" s="61"/>
      <c r="N129" s="6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row>
    <row r="130" spans="1:108" ht="15">
      <c r="A130" s="1"/>
      <c r="B130" s="1"/>
      <c r="C130" s="1"/>
      <c r="D130" s="1"/>
      <c r="E130" s="1"/>
      <c r="F130" s="1"/>
      <c r="G130" s="1"/>
      <c r="H130" s="1"/>
      <c r="I130" s="61"/>
      <c r="J130" s="61"/>
      <c r="K130" s="61"/>
      <c r="L130" s="61"/>
      <c r="M130" s="61"/>
      <c r="N130" s="6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row>
    <row r="131" spans="1:108" ht="15">
      <c r="A131" s="1"/>
      <c r="B131" s="1"/>
      <c r="C131" s="1"/>
      <c r="D131" s="1"/>
      <c r="E131" s="1"/>
      <c r="F131" s="1"/>
      <c r="G131" s="1"/>
      <c r="H131" s="1"/>
      <c r="I131" s="61"/>
      <c r="J131" s="61"/>
      <c r="K131" s="61"/>
      <c r="L131" s="61"/>
      <c r="M131" s="61"/>
      <c r="N131" s="6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row>
    <row r="132" spans="1:108" ht="15">
      <c r="A132" s="1"/>
      <c r="B132" s="1"/>
      <c r="C132" s="1"/>
      <c r="D132" s="1"/>
      <c r="E132" s="1"/>
      <c r="F132" s="1"/>
      <c r="G132" s="1"/>
      <c r="H132" s="1"/>
      <c r="I132" s="61"/>
      <c r="J132" s="61"/>
      <c r="K132" s="61"/>
      <c r="L132" s="61"/>
      <c r="M132" s="61"/>
      <c r="N132" s="6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row>
    <row r="133" spans="1:108" ht="15">
      <c r="A133" s="1"/>
      <c r="B133" s="1"/>
      <c r="C133" s="1"/>
      <c r="D133" s="1"/>
      <c r="E133" s="1"/>
      <c r="F133" s="1"/>
      <c r="G133" s="1"/>
      <c r="H133" s="1"/>
      <c r="I133" s="61"/>
      <c r="J133" s="61"/>
      <c r="K133" s="61"/>
      <c r="L133" s="61"/>
      <c r="M133" s="61"/>
      <c r="N133" s="6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row>
    <row r="134" spans="1:108" ht="15">
      <c r="A134" s="1"/>
      <c r="B134" s="1"/>
      <c r="C134" s="1"/>
      <c r="D134" s="1"/>
      <c r="E134" s="1"/>
      <c r="F134" s="1"/>
      <c r="G134" s="1"/>
      <c r="H134" s="1"/>
      <c r="I134" s="61"/>
      <c r="J134" s="61"/>
      <c r="K134" s="61"/>
      <c r="L134" s="61"/>
      <c r="M134" s="61"/>
      <c r="N134" s="6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row>
    <row r="135" spans="1:108" ht="15">
      <c r="A135" s="1"/>
      <c r="B135" s="1"/>
      <c r="C135" s="1"/>
      <c r="D135" s="1"/>
      <c r="E135" s="1"/>
      <c r="F135" s="1"/>
      <c r="G135" s="1"/>
      <c r="H135" s="1"/>
      <c r="I135" s="61"/>
      <c r="J135" s="61"/>
      <c r="K135" s="61"/>
      <c r="L135" s="61"/>
      <c r="M135" s="61"/>
      <c r="N135" s="6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row>
    <row r="136" spans="1:108" ht="15">
      <c r="A136" s="1"/>
      <c r="B136" s="1"/>
      <c r="C136" s="1"/>
      <c r="D136" s="1"/>
      <c r="E136" s="1"/>
      <c r="F136" s="1"/>
      <c r="G136" s="1"/>
      <c r="H136" s="1"/>
      <c r="I136" s="61"/>
      <c r="J136" s="61"/>
      <c r="K136" s="61"/>
      <c r="L136" s="61"/>
      <c r="M136" s="61"/>
      <c r="N136" s="6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row>
    <row r="137" spans="1:108" ht="15">
      <c r="A137" s="1"/>
      <c r="B137" s="1"/>
      <c r="C137" s="1"/>
      <c r="D137" s="1"/>
      <c r="E137" s="1"/>
      <c r="F137" s="1"/>
      <c r="G137" s="1"/>
      <c r="H137" s="1"/>
      <c r="I137" s="61"/>
      <c r="J137" s="61"/>
      <c r="K137" s="61"/>
      <c r="L137" s="61"/>
      <c r="M137" s="61"/>
      <c r="N137" s="6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row>
    <row r="138" spans="1:108" ht="15">
      <c r="A138" s="1"/>
      <c r="B138" s="1"/>
      <c r="C138" s="1"/>
      <c r="D138" s="1"/>
      <c r="E138" s="1"/>
      <c r="F138" s="1"/>
      <c r="G138" s="1"/>
      <c r="H138" s="1"/>
      <c r="I138" s="61"/>
      <c r="J138" s="61"/>
      <c r="K138" s="61"/>
      <c r="L138" s="61"/>
      <c r="M138" s="61"/>
      <c r="N138" s="6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row>
    <row r="139" spans="1:108"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row>
    <row r="140" spans="1:108"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row>
    <row r="141" spans="1:108"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row>
    <row r="142" spans="1:108"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row>
    <row r="143" spans="1:108"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row>
    <row r="144" spans="1:108"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row>
    <row r="145" spans="1:108"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row>
    <row r="146" spans="1:108"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row>
    <row r="147" spans="1:108"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row>
    <row r="148" spans="1:108"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row>
    <row r="149" spans="1:108"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row>
    <row r="150" spans="1:108"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row>
    <row r="151" spans="1:108"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row>
    <row r="152" spans="1:108"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row>
    <row r="153" spans="1:108"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row>
    <row r="154" spans="1:108"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row>
    <row r="155" spans="1:108"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row>
    <row r="156" spans="1:108"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row>
    <row r="157" spans="1:108"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row>
    <row r="158" spans="1:108"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row>
    <row r="159" spans="1:108"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row>
    <row r="160" spans="1:108"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row>
    <row r="161" spans="1:108"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row>
    <row r="162" spans="1:108"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row>
    <row r="163" spans="1:108"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row>
    <row r="164" spans="1:108"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row>
    <row r="165" spans="1:108"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row>
    <row r="166" spans="1:108"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row>
    <row r="167" spans="1:108"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row>
    <row r="168" spans="1:108"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row>
    <row r="169" spans="1:108"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row>
    <row r="170" spans="1:108"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row>
    <row r="171" spans="1:108"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row>
    <row r="172" spans="1:108"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row>
    <row r="173" spans="1:108"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row>
    <row r="174" spans="1:108"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row>
    <row r="175" spans="1:108"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row>
    <row r="176" spans="1:108"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row>
    <row r="177" spans="1:108"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row>
    <row r="178" spans="1:108"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row>
    <row r="179" spans="1:108"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row>
    <row r="180" spans="1:108"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row>
    <row r="181" spans="1:108"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row>
    <row r="182" spans="1:108"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row>
    <row r="183" spans="1:108"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row>
    <row r="184" spans="1:108"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row>
    <row r="185" spans="1:108"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row>
    <row r="186" spans="1:108"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row>
    <row r="187" spans="1:108"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row>
    <row r="188" spans="1:73"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row>
    <row r="189" spans="1:73"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row>
    <row r="190" spans="1:73"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row>
    <row r="191" spans="1:73"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row>
    <row r="192" spans="1:73"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row>
    <row r="193" spans="1:73"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row>
    <row r="194" spans="1:73"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row>
    <row r="195" spans="1:73"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row>
    <row r="196" spans="1:73"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row>
    <row r="197" spans="1:73"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row>
    <row r="198" spans="1:73"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row>
    <row r="199" spans="1:73"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row>
    <row r="200" spans="1:73"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row>
    <row r="201" spans="1:73"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row>
    <row r="202" spans="1:73"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row>
    <row r="203" spans="1:73"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row>
    <row r="204" spans="1:73"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row>
    <row r="205" spans="1:73"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row>
    <row r="206" spans="1:73"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row>
    <row r="207" spans="1:73"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row>
    <row r="208" spans="1:73"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row>
    <row r="209" spans="1:73"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row>
    <row r="210" spans="1:73"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row>
    <row r="211" spans="1:73"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row>
    <row r="212" spans="1:73"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row>
    <row r="213" spans="1:73"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row>
    <row r="214" spans="1:73"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row>
    <row r="215" spans="1:73"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row>
    <row r="216" spans="1:73"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row>
    <row r="217" spans="1:73"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row>
    <row r="218" spans="1:73"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row>
    <row r="219" spans="1:73"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row>
    <row r="220" spans="1:73"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row>
    <row r="221" spans="1:73"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row>
    <row r="222" spans="1:73"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row>
    <row r="223" spans="1:73"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row>
    <row r="224" spans="1:73"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row>
    <row r="225" spans="1:73"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row>
    <row r="226" spans="1:73"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row>
    <row r="227" spans="1:73"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row>
    <row r="228" spans="1:73"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row>
    <row r="229" spans="1:73"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row>
    <row r="230" spans="1:73"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row>
    <row r="231" spans="1:73"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row>
    <row r="232" spans="1:73"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row>
    <row r="233" spans="1:73"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row>
    <row r="234" spans="1:73"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row>
    <row r="235" spans="1:73"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row>
    <row r="236" spans="1:73"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row>
    <row r="237" spans="1:73"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row>
    <row r="238" spans="1:73"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row>
    <row r="239" spans="1:73"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row>
    <row r="240" spans="1:73"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row>
    <row r="241" spans="1:73"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row>
    <row r="242" spans="1:73"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row>
    <row r="243" spans="1:73"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row>
    <row r="244" spans="1:73"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row>
    <row r="245" spans="1:73"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row>
    <row r="246" spans="1:73"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row>
    <row r="247" spans="1:73"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row>
    <row r="248" spans="1:73"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row>
    <row r="249" spans="1:73"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row>
    <row r="250" spans="1:73"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row>
    <row r="251" spans="1:73"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row>
    <row r="252" spans="1:73"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row>
    <row r="253" spans="1:73"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row>
    <row r="254" spans="1:73"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row>
    <row r="255" spans="1:73"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row>
    <row r="256" spans="1:73"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row>
    <row r="257" spans="1:73"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row>
    <row r="258" spans="1:73"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row>
    <row r="259" spans="1:73"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row>
    <row r="260" spans="1:73"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row>
    <row r="261" spans="1:73"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row>
    <row r="262" spans="1:73"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row>
    <row r="263" spans="1:73"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row>
    <row r="264" spans="1:73"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row>
    <row r="265" spans="1:73"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row>
    <row r="266" spans="1:73"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row>
    <row r="267" spans="1:73"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row>
    <row r="268" spans="1:73"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row>
    <row r="269" spans="1:73"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row>
    <row r="270" spans="1:73"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row>
    <row r="271" spans="1:73"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row>
    <row r="272" spans="1:73"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row>
    <row r="273" spans="1:73"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row>
    <row r="274" spans="1:73"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row>
    <row r="275" spans="1:73"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row>
    <row r="276" spans="1:73"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row>
    <row r="277" spans="1:73"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row>
    <row r="278" spans="1:73"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row>
    <row r="279" spans="1:73"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row>
    <row r="280" spans="1:73"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row>
    <row r="281" spans="1:73"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row>
    <row r="282" spans="1:73"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row>
    <row r="283" spans="1:73"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row>
    <row r="284" spans="1:73"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row>
    <row r="285" spans="1:73"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row>
    <row r="286" spans="1:73"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row>
    <row r="287" spans="1:73"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row>
    <row r="288" spans="1:73"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row>
    <row r="289" spans="1:73"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row>
    <row r="290" spans="1:73"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row>
    <row r="291" spans="1:73"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row>
    <row r="292" spans="1:73"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row>
    <row r="293" spans="1:73"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row>
    <row r="294" spans="1:73"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row>
    <row r="295" spans="1:73"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row>
    <row r="296" spans="1:73"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row>
    <row r="297" spans="1:73"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row>
    <row r="298" spans="1:73"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row>
    <row r="299" spans="1:73"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row>
    <row r="300" spans="1:73"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row>
    <row r="301" spans="1:73"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row>
    <row r="302" spans="1:73"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row>
    <row r="303" spans="1:73"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row>
    <row r="304" spans="1:73"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row>
    <row r="305" spans="1:73"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row>
    <row r="306" spans="1:73"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row>
    <row r="307" spans="1:73"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row>
    <row r="308" spans="1:73"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row>
    <row r="309" spans="1:73"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row>
    <row r="310" spans="1:73"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row>
    <row r="311" spans="1:73"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row>
    <row r="312" spans="1:73"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row>
    <row r="313" spans="1:73"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row>
    <row r="314" spans="1:73"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row>
    <row r="315" spans="1:73"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row>
    <row r="316" spans="1:73"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row>
    <row r="317" spans="1:73"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row>
    <row r="318" spans="1:73"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row>
    <row r="319" spans="1:73"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row>
    <row r="320" spans="1:73"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row>
    <row r="321" spans="1:73"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row>
    <row r="322" spans="1:73"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row>
    <row r="323" spans="1:73"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row>
    <row r="324" spans="1:73"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row>
    <row r="325" spans="1:73"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row>
    <row r="326" spans="1:73"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row>
    <row r="327" spans="1:73"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row>
    <row r="328" spans="1:73"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row>
    <row r="329" spans="1:73"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row>
    <row r="330" spans="1:73"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row>
    <row r="331" spans="1:73"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row>
    <row r="332" spans="1:73"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row>
    <row r="333" spans="1:73"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row>
    <row r="334" spans="1:73"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row>
    <row r="335" spans="1:73"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row>
    <row r="336" spans="1:73"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row>
    <row r="337" spans="1:73"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row>
    <row r="338" spans="1:73"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row>
    <row r="339" spans="1:73"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row>
    <row r="340" spans="1:73"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row>
    <row r="341" spans="1:73"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row>
    <row r="342" spans="1:73"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row>
    <row r="343" spans="1:73"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row>
    <row r="344" spans="1:73"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row>
    <row r="345" spans="1:73"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row>
    <row r="346" spans="1:73"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row>
    <row r="347" spans="1:73"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row>
    <row r="348" spans="1:73"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row>
    <row r="349" spans="1:73"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row>
    <row r="350" spans="1:73"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row>
    <row r="351" spans="1:73"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row>
    <row r="352" spans="1:73"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row>
    <row r="353" spans="1:73"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row>
    <row r="354" spans="1:73"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row>
    <row r="355" spans="1:73"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row>
    <row r="356" spans="1:73"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row>
    <row r="357" spans="1:73" ht="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row>
    <row r="358" spans="1:73" ht="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row>
    <row r="359" spans="1:73" ht="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row>
    <row r="360" spans="1:73" ht="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row>
    <row r="361" spans="1:73" ht="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row>
    <row r="362" spans="1:73" ht="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row>
    <row r="363" spans="1:73" ht="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row>
    <row r="364" spans="1:73" ht="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row>
    <row r="365" spans="1:73" ht="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row>
    <row r="366" spans="1:73" ht="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row>
    <row r="367" spans="1:73" ht="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row>
    <row r="368" spans="1:73" ht="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row>
    <row r="369" spans="1:73" ht="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row>
    <row r="370" spans="1:73" ht="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row>
    <row r="371" spans="1:73" ht="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row>
    <row r="372" spans="1:73" ht="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row>
    <row r="373" spans="1:73" ht="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row>
    <row r="374" spans="1:73" ht="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row>
    <row r="375" spans="1:73" ht="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row>
    <row r="376" spans="1:73" ht="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row>
    <row r="377" spans="1:73" ht="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row>
    <row r="378" spans="1:73" ht="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row>
    <row r="379" spans="1:73" ht="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row>
    <row r="380" spans="1:73" ht="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row>
    <row r="381" spans="1:73" ht="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row>
    <row r="382" spans="1:73" ht="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row>
    <row r="383" spans="1:73" ht="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row>
    <row r="384" spans="1:73" ht="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row>
    <row r="385" spans="1:73" ht="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row>
    <row r="386" spans="1:73" ht="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row>
    <row r="387" spans="1:73" ht="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row>
    <row r="388" spans="1:73" ht="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row>
    <row r="389" spans="1:73" ht="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row>
    <row r="390" spans="1:73" ht="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row>
    <row r="391" spans="1:73"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row>
    <row r="392" spans="1:73" ht="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row>
    <row r="393" spans="1:73" ht="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row>
    <row r="394" spans="1:73" ht="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row>
    <row r="395" spans="1:73" ht="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row>
    <row r="396" spans="1:73" ht="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row>
    <row r="397" spans="1:73" ht="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row>
    <row r="398" spans="1:73" ht="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row>
    <row r="399" spans="1:73" ht="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row>
    <row r="400" spans="1:73" ht="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row>
    <row r="401" spans="1:73" ht="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row>
    <row r="402" spans="1:73" ht="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row>
    <row r="403" spans="1:73" ht="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row>
    <row r="404" spans="1:73" ht="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row>
    <row r="405" spans="1:73" ht="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row>
    <row r="406" spans="1:73" ht="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row>
    <row r="407" spans="1:73" ht="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row>
    <row r="408" spans="1:73" ht="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row>
    <row r="409" spans="1:73" ht="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row>
    <row r="410" spans="1:73" ht="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row>
    <row r="411" spans="1:73" ht="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row>
    <row r="412" spans="1:73" ht="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row>
    <row r="413" spans="1:73" ht="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row>
    <row r="414" spans="1:73" ht="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row>
    <row r="415" spans="1:73" ht="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row>
    <row r="416" spans="1:73" ht="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row>
    <row r="417" spans="1:73" ht="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row>
    <row r="418" spans="1:73" ht="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row>
    <row r="419" spans="1:73" ht="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row>
    <row r="420" spans="1:73" ht="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row>
    <row r="421" spans="1:73" ht="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row>
    <row r="422" spans="1:73" ht="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row>
    <row r="423" spans="1:73" ht="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row>
    <row r="424" spans="1:73" ht="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row>
    <row r="425" spans="1:73" ht="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row>
    <row r="426" spans="1:73" ht="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row>
    <row r="427" spans="1:73" ht="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row>
    <row r="428" spans="1:73" ht="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row>
    <row r="429" spans="1:73" ht="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row>
    <row r="430" spans="1:73" ht="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row>
    <row r="431" spans="1:73" ht="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row>
    <row r="432" spans="1:73" ht="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row>
    <row r="433" spans="1:73" ht="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row>
    <row r="434" spans="1:73" ht="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row>
    <row r="435" spans="1:73" ht="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row>
    <row r="436" spans="1:73" ht="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row>
    <row r="437" spans="1:73" ht="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row>
    <row r="438" spans="1:73" ht="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row>
    <row r="439" spans="1:73" ht="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row>
    <row r="440" spans="1:73" ht="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row>
    <row r="441" spans="1:73" ht="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row>
    <row r="442" spans="1:73" ht="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row>
    <row r="443" spans="1:73" ht="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row>
    <row r="444" spans="1:73" ht="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row>
    <row r="445" spans="1:73" ht="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row>
    <row r="446" spans="1:73" ht="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row>
    <row r="447" spans="1:73" ht="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row>
    <row r="448" spans="1:73" ht="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row>
    <row r="449" spans="1:73" ht="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row>
    <row r="450" spans="1:73" ht="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row>
    <row r="451" spans="1:73" ht="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row>
    <row r="452" spans="1:73" ht="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row>
    <row r="453" spans="1:73" ht="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row>
    <row r="454" spans="1:73" ht="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row>
    <row r="455" spans="1:73" ht="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row>
    <row r="456" spans="1:73" ht="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row>
    <row r="457" spans="1:73" ht="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row>
    <row r="458" spans="1:73" ht="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row>
    <row r="459" spans="1:73" ht="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row>
    <row r="460" spans="1:73" ht="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row>
    <row r="461" spans="1:73" ht="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row>
    <row r="462" spans="1:73" ht="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row>
    <row r="463" spans="1:73" ht="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row>
    <row r="464" spans="1:73" ht="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row>
    <row r="465" spans="1:73" ht="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row>
    <row r="466" spans="1:73" ht="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row>
    <row r="467" spans="1:73" ht="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row>
    <row r="468" spans="1:73" ht="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row>
    <row r="469" spans="1:73" ht="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row>
    <row r="470" spans="1:73" ht="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row>
    <row r="471" spans="1:73" ht="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row>
    <row r="472" spans="1:73" ht="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row>
    <row r="473" spans="1:73" ht="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row>
    <row r="474" spans="1:73" ht="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row>
    <row r="475" spans="1:73" ht="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row>
    <row r="476" spans="1:73" ht="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row>
    <row r="477" spans="1:73" ht="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row>
    <row r="478" spans="1:73" ht="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row>
    <row r="479" spans="1:73" ht="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row>
    <row r="480" spans="1:73" ht="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row>
    <row r="481" spans="1:73" ht="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row>
    <row r="482" spans="1:73" ht="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row>
    <row r="483" spans="1:73" ht="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row>
    <row r="484" spans="1:73" ht="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row>
    <row r="485" spans="1:73" ht="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row>
    <row r="486" spans="1:73" ht="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row>
    <row r="487" spans="1:73" ht="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row>
    <row r="488" spans="1:73" ht="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row>
    <row r="489" spans="1:73" ht="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row>
    <row r="490" spans="1:73" ht="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row>
    <row r="491" spans="1:73" ht="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row>
    <row r="492" spans="1:73" ht="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row>
    <row r="493" spans="1:73" ht="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row>
    <row r="494" spans="1:73" ht="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row>
    <row r="495" spans="1:73" ht="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row>
    <row r="496" spans="1:73" ht="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row>
    <row r="497" spans="1:73" ht="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row>
    <row r="498" spans="1:73" ht="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row>
    <row r="499" spans="1:73" ht="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row>
    <row r="500" spans="1:73" ht="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row>
    <row r="501" spans="1:73" ht="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row>
    <row r="502" spans="1:73" ht="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row>
    <row r="503" spans="1:73" ht="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row>
    <row r="504" spans="1:73" ht="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row>
    <row r="505" spans="1:73" ht="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row>
    <row r="506" spans="1:73" ht="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row>
    <row r="507" spans="1:73" ht="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row>
    <row r="508" spans="1:73" ht="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row>
    <row r="509" spans="1:73" ht="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row>
    <row r="510" spans="1:73" ht="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row>
    <row r="511" spans="1:73" ht="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row>
    <row r="512" spans="1:73" ht="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row>
    <row r="513" spans="1:73" ht="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row>
    <row r="514" spans="1:73" ht="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row>
    <row r="515" spans="1:73" ht="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row>
    <row r="516" spans="1:73" ht="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row>
    <row r="517" spans="1:73" ht="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row>
    <row r="518" spans="1:73" ht="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row>
    <row r="519" spans="1:73" ht="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row>
    <row r="520" spans="1:73" ht="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row>
    <row r="521" spans="1:73" ht="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row>
    <row r="522" spans="1:73" ht="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row>
    <row r="523" spans="1:73" ht="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row>
    <row r="524" spans="1:73" ht="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row>
    <row r="525" spans="1:73" ht="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row>
    <row r="526" spans="1:73" ht="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row>
    <row r="527" spans="1:73" ht="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row>
    <row r="528" spans="1:73" ht="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row>
    <row r="529" spans="1:73" ht="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row>
    <row r="530" spans="1:73" ht="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row>
    <row r="531" spans="1:73" ht="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row>
    <row r="532" spans="1:73" ht="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row>
    <row r="533" spans="1:73" ht="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row>
    <row r="534" spans="1:73" ht="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row>
    <row r="535" spans="1:73" ht="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row>
    <row r="536" spans="1:73" ht="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row>
    <row r="537" spans="1:73" ht="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row>
    <row r="538" spans="1:73" ht="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row>
    <row r="539" spans="1:73" ht="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row>
    <row r="540" spans="1:73" ht="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row>
    <row r="541" spans="1:73" ht="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row>
    <row r="542" spans="1:73" ht="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row>
    <row r="543" spans="1:73" ht="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row>
    <row r="544" spans="1:73" ht="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row>
    <row r="545" spans="1:73" ht="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row>
    <row r="546" spans="1:73" ht="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row>
    <row r="547" spans="1:73" ht="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row>
    <row r="548" spans="1:73" ht="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row>
    <row r="549" spans="1:73" ht="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row>
    <row r="550" spans="1:73" ht="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row>
    <row r="551" spans="1:73" ht="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row>
    <row r="552" spans="1:73" ht="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row>
    <row r="553" spans="1:73" ht="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row>
    <row r="554" spans="1:73" ht="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row>
    <row r="555" spans="1:73" ht="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row>
    <row r="556" spans="1:73" ht="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row>
    <row r="557" spans="1:73" ht="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row>
    <row r="558" spans="1:73" ht="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row>
    <row r="559" spans="1:73" ht="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row>
    <row r="560" spans="1:73" ht="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row>
    <row r="561" spans="1:73" ht="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row>
    <row r="562" spans="1:73" ht="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row>
    <row r="563" spans="1:73" ht="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row>
    <row r="564" spans="1:73" ht="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row>
    <row r="565" spans="1:73" ht="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row>
    <row r="566" spans="1:73" ht="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row>
    <row r="567" spans="1:73" ht="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row>
    <row r="568" spans="1:73" ht="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row>
    <row r="569" spans="1:73" ht="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row>
    <row r="570" spans="1:73" ht="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row>
    <row r="571" spans="1:73" ht="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row>
    <row r="572" spans="1:73" ht="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row>
    <row r="573" spans="1:73" ht="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row>
    <row r="574" spans="1:73" ht="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row>
    <row r="575" spans="1:73" ht="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row>
    <row r="576" spans="1:73" ht="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row>
    <row r="577" spans="1:73" ht="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row>
    <row r="578" spans="1:73" ht="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row>
    <row r="579" spans="1:73" ht="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row>
    <row r="580" spans="1:73" ht="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row>
    <row r="581" spans="1:73" ht="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row>
    <row r="582" spans="1:73" ht="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row>
    <row r="583" spans="1:73" ht="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row>
    <row r="584" spans="1:73" ht="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row>
    <row r="585" spans="1:73" ht="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row>
    <row r="586" spans="1:73" ht="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row>
    <row r="587" spans="1:73" ht="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row>
  </sheetData>
  <sheetProtection sheet="1" objects="1" scenarios="1"/>
  <mergeCells count="5">
    <mergeCell ref="M7:N7"/>
    <mergeCell ref="A1:G1"/>
    <mergeCell ref="K7:L7"/>
    <mergeCell ref="A47:G47"/>
    <mergeCell ref="A35:G35"/>
  </mergeCells>
  <printOptions/>
  <pageMargins left="1.11" right="0.25" top="0.49" bottom="0.33" header="0.27" footer="0.2"/>
  <pageSetup fitToHeight="1" fitToWidth="1" horizontalDpi="600" verticalDpi="600" orientation="portrait" scale="95" r:id="rId3"/>
  <headerFooter alignWithMargins="0">
    <oddFooter>&amp;L&amp;9&amp;T&amp;C&amp;9Version 2.0&amp;R&amp;9Page &amp;P of &amp;N</oddFooter>
  </headerFooter>
  <colBreaks count="1" manualBreakCount="1">
    <brk id="8"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Fry, John White, Dave Krietemeyer, Scott Turner</dc:creator>
  <cp:keywords/>
  <dc:description/>
  <cp:lastModifiedBy>richard.cernansky</cp:lastModifiedBy>
  <cp:lastPrinted>2008-04-01T21:37:09Z</cp:lastPrinted>
  <dcterms:created xsi:type="dcterms:W3CDTF">1999-05-17T22:26:13Z</dcterms:created>
  <dcterms:modified xsi:type="dcterms:W3CDTF">2008-04-03T20:58:06Z</dcterms:modified>
  <cp:category/>
  <cp:version/>
  <cp:contentType/>
  <cp:contentStatus/>
</cp:coreProperties>
</file>