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980" windowWidth="7700" windowHeight="3420" activeTab="0"/>
  </bookViews>
  <sheets>
    <sheet name="Front page" sheetId="1" r:id="rId1"/>
    <sheet name="data-calc" sheetId="2" r:id="rId2"/>
  </sheets>
  <definedNames>
    <definedName name="_Fill" hidden="1">'data-calc'!$T$9:$T$20</definedName>
    <definedName name="_Regression_Int" localSheetId="1" hidden="1">1</definedName>
    <definedName name="DATA">'data-calc'!$B$2:$S$21</definedName>
    <definedName name="T">'Front page'!$F$3</definedName>
    <definedName name="TYPE">'Front page'!$C$3</definedName>
  </definedNames>
  <calcPr fullCalcOnLoad="1"/>
</workbook>
</file>

<file path=xl/sharedStrings.xml><?xml version="1.0" encoding="utf-8"?>
<sst xmlns="http://schemas.openxmlformats.org/spreadsheetml/2006/main" count="50" uniqueCount="39">
  <si>
    <t>Thermocouple calibrations to ITS-90, via Omega Inc.</t>
  </si>
  <si>
    <t>Input thermocouple type-v</t>
  </si>
  <si>
    <t>Temperature in ºC:</t>
  </si>
  <si>
    <t>K</t>
  </si>
  <si>
    <t>Output mV for junction with reference at 0ºC:</t>
  </si>
  <si>
    <t>Calibration Data:</t>
  </si>
  <si>
    <t>Evaluation of selected expansion:</t>
  </si>
  <si>
    <t>Method:</t>
  </si>
  <si>
    <t>Type</t>
  </si>
  <si>
    <t>B</t>
  </si>
  <si>
    <t>E</t>
  </si>
  <si>
    <t>J</t>
  </si>
  <si>
    <t>N</t>
  </si>
  <si>
    <t>R</t>
  </si>
  <si>
    <t>S</t>
  </si>
  <si>
    <t>T</t>
  </si>
  <si>
    <t>Result:</t>
  </si>
  <si>
    <t>Low T</t>
  </si>
  <si>
    <t>High T</t>
  </si>
  <si>
    <t>Power</t>
  </si>
  <si>
    <t>Coeff.</t>
  </si>
  <si>
    <t>Terms</t>
  </si>
  <si>
    <t>...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</si>
  <si>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</si>
  <si>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</si>
  <si>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</si>
  <si>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</si>
  <si>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</si>
  <si>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</si>
  <si>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</si>
  <si>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</si>
  <si>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</si>
  <si>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</si>
  <si>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</si>
  <si>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</si>
  <si>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</si>
  <si>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</si>
  <si>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</si>
  <si>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Method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</si>
</sst>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E+00_)"/>
    <numFmt numFmtId="166" formatCode="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3" sqref="F3"/>
    </sheetView>
  </sheetViews>
  <sheetFormatPr defaultColWidth="11.00390625" defaultRowHeight="12.75"/>
  <cols>
    <col min="1" max="16384" width="8.875" style="0" customWidth="1"/>
  </cols>
  <sheetData>
    <row r="1" ht="12">
      <c r="A1" s="1" t="s">
        <v>0</v>
      </c>
    </row>
    <row r="2" spans="1:5" ht="12">
      <c r="A2" s="1" t="s">
        <v>1</v>
      </c>
      <c r="E2" s="1" t="s">
        <v>2</v>
      </c>
    </row>
    <row r="3" spans="3:6" ht="12">
      <c r="C3" s="2" t="s">
        <v>3</v>
      </c>
      <c r="F3" s="3">
        <v>17</v>
      </c>
    </row>
    <row r="5" ht="12">
      <c r="A5" s="1" t="s">
        <v>4</v>
      </c>
    </row>
    <row r="6" spans="5:6" ht="12">
      <c r="E6" s="4">
        <f>HLOOKUP('data-calc'!U21,'data-calc'!V2:W3,2)/1000</f>
        <v>0.6773099914257577</v>
      </c>
      <c r="F6" s="5">
        <f>T('data-calc'!U8)</f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21"/>
  <sheetViews>
    <sheetView showGridLines="0" workbookViewId="0" topLeftCell="L1">
      <selection activeCell="L1" sqref="L1"/>
    </sheetView>
  </sheetViews>
  <sheetFormatPr defaultColWidth="10.875" defaultRowHeight="12.75"/>
  <cols>
    <col min="1" max="1" width="6.875" style="0" customWidth="1"/>
    <col min="2" max="16384" width="8.875" style="0" customWidth="1"/>
  </cols>
  <sheetData>
    <row r="1" spans="1:20" ht="12">
      <c r="A1" s="1" t="s">
        <v>5</v>
      </c>
      <c r="T1" s="6" t="s">
        <v>6</v>
      </c>
    </row>
    <row r="2" spans="2:23" ht="12">
      <c r="B2" s="5" t="str">
        <f>IF(AND(AND('Front page'!$F$3&gt;=B4,'Front page'!$F$3&lt;B5),'Front page'!$C$3=B3),"!"," ")</f>
        <v> </v>
      </c>
      <c r="C2" s="5" t="str">
        <f>IF(AND(AND('Front page'!$F$3&gt;=C4,'Front page'!$F$3&lt;C5),'Front page'!$C$3=C3),"!"," ")</f>
        <v> </v>
      </c>
      <c r="D2" s="5" t="str">
        <f>IF(AND(AND('Front page'!$F$3&gt;=D4,'Front page'!$F$3&lt;D5),'Front page'!$C$3=D3),"!"," ")</f>
        <v> </v>
      </c>
      <c r="E2" s="5" t="str">
        <f>IF(AND(AND('Front page'!$F$3&gt;=E4,'Front page'!$F$3&lt;E5),'Front page'!$C$3=E3),"!"," ")</f>
        <v> </v>
      </c>
      <c r="F2" s="5" t="str">
        <f>IF(AND(AND('Front page'!$F$3&gt;=F4,'Front page'!$F$3&lt;F5),'Front page'!$C$3=F3),"!"," ")</f>
        <v> </v>
      </c>
      <c r="G2" s="5" t="str">
        <f>IF(AND(AND('Front page'!$F$3&gt;=G4,'Front page'!$F$3&lt;G5),'Front page'!$C$3=G3),"!"," ")</f>
        <v> </v>
      </c>
      <c r="H2" s="5" t="str">
        <f>IF(AND(AND('Front page'!$F$3&gt;=H4,'Front page'!$F$3&lt;H5),'Front page'!$C$3=H3),"!"," ")</f>
        <v> </v>
      </c>
      <c r="I2" s="5" t="str">
        <f>IF(AND(AND('Front page'!$F$3&gt;=I4,'Front page'!$F$3&lt;I5),'Front page'!$C$3=I3),"!"," ")</f>
        <v>!</v>
      </c>
      <c r="J2" s="5" t="str">
        <f>IF(AND(AND('Front page'!$F$3&gt;=J4,'Front page'!$F$3&lt;J5),'Front page'!$C$3=J3),"!"," ")</f>
        <v> </v>
      </c>
      <c r="K2" s="5" t="str">
        <f>IF(AND(AND('Front page'!$F$3&gt;=K4,'Front page'!$F$3&lt;K5),'Front page'!$C$3=K3),"!"," ")</f>
        <v> </v>
      </c>
      <c r="L2" s="5" t="str">
        <f>IF(AND(AND('Front page'!$F$3&gt;=L4,'Front page'!$F$3&lt;L5),'Front page'!$C$3=L3),"!"," ")</f>
        <v> </v>
      </c>
      <c r="M2" s="5" t="str">
        <f>IF(AND(AND('Front page'!$F$3&gt;=M4,'Front page'!$F$3&lt;M5),'Front page'!$C$3=M3),"!"," ")</f>
        <v> </v>
      </c>
      <c r="N2" s="5" t="str">
        <f>IF(AND(AND('Front page'!$F$3&gt;=N4,'Front page'!$F$3&lt;N5),'Front page'!$C$3=N3),"!"," ")</f>
        <v> </v>
      </c>
      <c r="O2" s="5" t="str">
        <f>IF(AND(AND('Front page'!$F$3&gt;=O4,'Front page'!$F$3&lt;O5),'Front page'!$C$3=O3),"!"," ")</f>
        <v> </v>
      </c>
      <c r="P2" s="5" t="str">
        <f>IF(AND(AND('Front page'!$F$3&gt;=P4,'Front page'!$F$3&lt;P5),'Front page'!$C$3=P3),"!"," ")</f>
        <v> </v>
      </c>
      <c r="Q2" s="5" t="str">
        <f>IF(AND(AND('Front page'!$F$3&gt;=Q4,'Front page'!$F$3&lt;Q5),'Front page'!$C$3=Q3),"!"," ")</f>
        <v> </v>
      </c>
      <c r="R2" s="5" t="str">
        <f>IF(AND(AND('Front page'!$F$3&gt;=R4,'Front page'!$F$3&lt;R5),'Front page'!$C$3=R3),"!"," ")</f>
        <v> </v>
      </c>
      <c r="S2" s="5" t="str">
        <f>IF(AND(AND('Front page'!$F$3&gt;=S4,'Front page'!$F$3&lt;S5),'Front page'!$C$3=S3),"!"," ")</f>
        <v> </v>
      </c>
      <c r="U2" s="6" t="s">
        <v>7</v>
      </c>
      <c r="V2" s="5">
        <v>1</v>
      </c>
      <c r="W2" s="5">
        <v>2</v>
      </c>
    </row>
    <row r="3" spans="1:23" ht="12">
      <c r="A3" s="1" t="s">
        <v>8</v>
      </c>
      <c r="B3" s="6" t="s">
        <v>9</v>
      </c>
      <c r="C3" s="6" t="s">
        <v>9</v>
      </c>
      <c r="D3" s="6" t="s">
        <v>10</v>
      </c>
      <c r="E3" s="6" t="s">
        <v>10</v>
      </c>
      <c r="F3" s="6" t="s">
        <v>11</v>
      </c>
      <c r="G3" s="6" t="s">
        <v>11</v>
      </c>
      <c r="H3" s="6" t="s">
        <v>3</v>
      </c>
      <c r="I3" s="6" t="s">
        <v>3</v>
      </c>
      <c r="J3" s="6" t="s">
        <v>12</v>
      </c>
      <c r="K3" s="6" t="s">
        <v>12</v>
      </c>
      <c r="L3" s="6" t="s">
        <v>13</v>
      </c>
      <c r="M3" s="6" t="s">
        <v>13</v>
      </c>
      <c r="N3" s="6" t="s">
        <v>13</v>
      </c>
      <c r="O3" s="6" t="s">
        <v>14</v>
      </c>
      <c r="P3" s="6" t="s">
        <v>14</v>
      </c>
      <c r="Q3" s="6" t="s">
        <v>14</v>
      </c>
      <c r="R3" s="6" t="s">
        <v>15</v>
      </c>
      <c r="S3" s="6" t="s">
        <v>15</v>
      </c>
      <c r="U3" s="6" t="s">
        <v>16</v>
      </c>
      <c r="V3" s="4">
        <f>SUM(V6:V20)</f>
        <v>239087982362660.16</v>
      </c>
      <c r="W3" s="4">
        <f>SUM(W6:W16)</f>
        <v>677.3099914257576</v>
      </c>
    </row>
    <row r="4" spans="1:19" ht="12">
      <c r="A4" s="1" t="s">
        <v>17</v>
      </c>
      <c r="B4" s="5">
        <v>0</v>
      </c>
      <c r="C4" s="5">
        <v>630.615</v>
      </c>
      <c r="D4" s="5">
        <v>-270</v>
      </c>
      <c r="E4" s="5">
        <v>0</v>
      </c>
      <c r="F4" s="5">
        <v>-210</v>
      </c>
      <c r="G4" s="5">
        <v>760</v>
      </c>
      <c r="H4" s="5">
        <v>-270</v>
      </c>
      <c r="I4" s="5">
        <v>0</v>
      </c>
      <c r="J4" s="5">
        <v>-270</v>
      </c>
      <c r="K4" s="5">
        <v>0</v>
      </c>
      <c r="L4" s="5">
        <v>-50</v>
      </c>
      <c r="M4" s="5">
        <v>1064.18</v>
      </c>
      <c r="N4" s="5">
        <v>1664.5</v>
      </c>
      <c r="O4" s="5">
        <v>-50</v>
      </c>
      <c r="P4" s="5">
        <v>1064.18</v>
      </c>
      <c r="Q4" s="5">
        <v>1664.5</v>
      </c>
      <c r="R4" s="5">
        <v>-270</v>
      </c>
      <c r="S4" s="5">
        <v>0</v>
      </c>
    </row>
    <row r="5" spans="1:23" ht="12">
      <c r="A5" s="1" t="s">
        <v>18</v>
      </c>
      <c r="B5" s="5">
        <v>630.615</v>
      </c>
      <c r="C5" s="5">
        <v>1820</v>
      </c>
      <c r="D5" s="5">
        <v>0</v>
      </c>
      <c r="E5" s="5">
        <v>400</v>
      </c>
      <c r="F5" s="5">
        <v>760</v>
      </c>
      <c r="G5" s="5">
        <v>1200</v>
      </c>
      <c r="H5" s="5">
        <v>0</v>
      </c>
      <c r="I5" s="5">
        <v>1372</v>
      </c>
      <c r="J5" s="5">
        <v>0</v>
      </c>
      <c r="K5" s="5">
        <v>1300</v>
      </c>
      <c r="L5" s="5">
        <v>1064.18</v>
      </c>
      <c r="M5" s="5">
        <v>1664.5</v>
      </c>
      <c r="N5" s="5">
        <v>1768.1</v>
      </c>
      <c r="O5" s="5">
        <v>1064.18</v>
      </c>
      <c r="P5" s="5">
        <v>1664.5</v>
      </c>
      <c r="Q5" s="5">
        <v>1768.1</v>
      </c>
      <c r="R5" s="5">
        <v>0</v>
      </c>
      <c r="S5" s="5">
        <v>400</v>
      </c>
      <c r="T5" s="6" t="s">
        <v>19</v>
      </c>
      <c r="U5" s="6" t="s">
        <v>20</v>
      </c>
      <c r="V5" s="6" t="s">
        <v>21</v>
      </c>
      <c r="W5" s="1" t="s">
        <v>22</v>
      </c>
    </row>
    <row r="6" spans="1:23" ht="12">
      <c r="A6" s="1" t="s">
        <v>23</v>
      </c>
      <c r="B6" s="7">
        <v>0</v>
      </c>
      <c r="C6" s="7">
        <v>-3893.8168621</v>
      </c>
      <c r="D6" s="7">
        <v>0</v>
      </c>
      <c r="E6" s="7">
        <v>0</v>
      </c>
      <c r="F6" s="7">
        <v>0</v>
      </c>
      <c r="G6" s="7">
        <v>296456.25681</v>
      </c>
      <c r="H6" s="7">
        <v>0</v>
      </c>
      <c r="I6" s="7">
        <v>-17.600413686</v>
      </c>
      <c r="J6" s="7">
        <v>0</v>
      </c>
      <c r="K6" s="7">
        <v>0</v>
      </c>
      <c r="L6" s="7">
        <v>0</v>
      </c>
      <c r="M6" s="7">
        <v>2951.57925316</v>
      </c>
      <c r="N6" s="7">
        <v>152232.118209</v>
      </c>
      <c r="O6" s="7">
        <v>0</v>
      </c>
      <c r="P6" s="7">
        <v>1329.00445085</v>
      </c>
      <c r="Q6" s="7">
        <v>146628.232636</v>
      </c>
      <c r="R6" s="7">
        <v>0</v>
      </c>
      <c r="S6" s="7">
        <v>0</v>
      </c>
      <c r="T6" s="5">
        <v>0</v>
      </c>
      <c r="U6" s="7">
        <f>HLOOKUP("!",$B$2:$S$21,4+T6+1)</f>
        <v>-17.600413686</v>
      </c>
      <c r="V6" s="4">
        <f>($U6)</f>
        <v>-17.600413686</v>
      </c>
      <c r="W6" s="4">
        <f>($U6)</f>
        <v>-17.600413686</v>
      </c>
    </row>
    <row r="7" spans="1:23" ht="12">
      <c r="A7" s="1" t="s">
        <v>24</v>
      </c>
      <c r="B7" s="7">
        <v>-0.24650818346</v>
      </c>
      <c r="C7" s="7">
        <v>28.57174747</v>
      </c>
      <c r="D7" s="7">
        <v>58.665508708</v>
      </c>
      <c r="E7" s="7">
        <v>58.66550871</v>
      </c>
      <c r="F7" s="7">
        <v>50.381187815</v>
      </c>
      <c r="G7" s="7">
        <v>-1497.6127786</v>
      </c>
      <c r="H7" s="7">
        <v>39.450128025</v>
      </c>
      <c r="I7" s="7">
        <v>38.921204975</v>
      </c>
      <c r="J7" s="7">
        <v>26.159105962</v>
      </c>
      <c r="K7" s="7">
        <v>25.929394601</v>
      </c>
      <c r="L7" s="7">
        <v>5.28961729765</v>
      </c>
      <c r="M7" s="7">
        <v>-2.52061251332</v>
      </c>
      <c r="N7" s="7">
        <v>-268.819888545</v>
      </c>
      <c r="O7" s="7">
        <v>5.40313308631</v>
      </c>
      <c r="P7" s="7">
        <v>3.34509311344</v>
      </c>
      <c r="Q7" s="7">
        <v>-258.430516752</v>
      </c>
      <c r="R7" s="7">
        <v>38.748106364</v>
      </c>
      <c r="S7" s="7">
        <v>38.748106364</v>
      </c>
      <c r="T7" s="5">
        <v>1</v>
      </c>
      <c r="U7" s="7">
        <f>HLOOKUP("!",$B$2:$S$21,6)</f>
        <v>38.921204975</v>
      </c>
      <c r="V7" s="4">
        <f>($U7*'Front page'!$F$3)</f>
        <v>661.660484575</v>
      </c>
      <c r="W7" s="4">
        <f>($U7*'Front page'!$F$3)</f>
        <v>661.660484575</v>
      </c>
    </row>
    <row r="8" spans="1:23" ht="12">
      <c r="A8" s="1" t="s">
        <v>25</v>
      </c>
      <c r="B8" s="7">
        <v>0.0059040421171</v>
      </c>
      <c r="C8" s="7">
        <v>-0.084885104785</v>
      </c>
      <c r="D8" s="7">
        <v>0.045410977124</v>
      </c>
      <c r="E8" s="7">
        <v>0.045032275582</v>
      </c>
      <c r="F8" s="7">
        <v>0.03047583693</v>
      </c>
      <c r="G8" s="7">
        <v>3.1787103924</v>
      </c>
      <c r="H8" s="7">
        <v>0.023622373598</v>
      </c>
      <c r="I8" s="7">
        <v>0.018558770032</v>
      </c>
      <c r="J8" s="7">
        <v>0.010957484228</v>
      </c>
      <c r="K8" s="7">
        <v>0.01571014188</v>
      </c>
      <c r="L8" s="7">
        <v>0.0139166589782</v>
      </c>
      <c r="M8" s="7">
        <v>0.0159564501865</v>
      </c>
      <c r="N8" s="7">
        <v>0.171280280471</v>
      </c>
      <c r="O8" s="7">
        <v>0.012593428974</v>
      </c>
      <c r="P8" s="7">
        <v>0.00654805192818</v>
      </c>
      <c r="Q8" s="7">
        <v>0.163693574641</v>
      </c>
      <c r="R8" s="7">
        <v>0.044194434347</v>
      </c>
      <c r="S8" s="7">
        <v>0.03329222788</v>
      </c>
      <c r="T8" s="5">
        <v>2</v>
      </c>
      <c r="U8" s="7">
        <f>HLOOKUP("!",$B$2:$S$21,7)</f>
        <v>0.018558770032</v>
      </c>
      <c r="V8" s="4">
        <f>($U8*'Front page'!$F$3^$T8)</f>
        <v>5.363484539248</v>
      </c>
      <c r="W8" s="4">
        <f>($U8*'Front page'!$F$3^$T8)</f>
        <v>5.363484539248</v>
      </c>
    </row>
    <row r="9" spans="1:23" ht="12">
      <c r="A9" s="1" t="s">
        <v>26</v>
      </c>
      <c r="B9" s="7">
        <v>-1.3257931636E-06</v>
      </c>
      <c r="C9" s="7">
        <v>0.00015785280164</v>
      </c>
      <c r="D9" s="7">
        <v>-0.00077998048686</v>
      </c>
      <c r="E9" s="7">
        <v>2.8908407212E-05</v>
      </c>
      <c r="F9" s="7">
        <v>-8.568106572E-05</v>
      </c>
      <c r="G9" s="7">
        <v>-0.0031847686701</v>
      </c>
      <c r="H9" s="7">
        <v>-0.00032858906784</v>
      </c>
      <c r="I9" s="7">
        <v>-9.9457592874E-05</v>
      </c>
      <c r="J9" s="7">
        <v>-9.3841111554E-05</v>
      </c>
      <c r="K9" s="7">
        <v>4.3825627237E-05</v>
      </c>
      <c r="L9" s="7">
        <v>-2.38855693017E-05</v>
      </c>
      <c r="M9" s="7">
        <v>-7.64085947576E-06</v>
      </c>
      <c r="N9" s="7">
        <v>-3.45895706453E-05</v>
      </c>
      <c r="O9" s="7">
        <v>-2.32477968689E-05</v>
      </c>
      <c r="P9" s="7">
        <v>-1.64856259209E-06</v>
      </c>
      <c r="Q9" s="7">
        <v>-3.30439046987E-05</v>
      </c>
      <c r="R9" s="7">
        <v>0.00011844323105</v>
      </c>
      <c r="S9" s="7">
        <v>0.00020618243404</v>
      </c>
      <c r="T9" s="5">
        <v>3</v>
      </c>
      <c r="U9" s="7">
        <f>HLOOKUP("!",$B$2:$S$21,8)</f>
        <v>-9.9457592874E-05</v>
      </c>
      <c r="V9" s="4">
        <f>($U9*'Front page'!$F$3^$T9)</f>
        <v>-0.488635153789962</v>
      </c>
      <c r="W9" s="4">
        <f>($U9*'Front page'!$F$3^$T9)</f>
        <v>-0.488635153789962</v>
      </c>
    </row>
    <row r="10" spans="1:23" ht="12">
      <c r="A10" s="1" t="s">
        <v>27</v>
      </c>
      <c r="B10" s="7">
        <v>1.5668291901E-09</v>
      </c>
      <c r="C10" s="7">
        <v>-1.6835344864E-07</v>
      </c>
      <c r="D10" s="7">
        <v>-2.5800160843E-05</v>
      </c>
      <c r="E10" s="7">
        <v>-3.3056896652E-07</v>
      </c>
      <c r="F10" s="7">
        <v>1.3228195295E-07</v>
      </c>
      <c r="G10" s="7">
        <v>1.5720819004E-06</v>
      </c>
      <c r="H10" s="7">
        <v>-4.9904828777E-06</v>
      </c>
      <c r="I10" s="7">
        <v>3.1840945719E-07</v>
      </c>
      <c r="J10" s="7">
        <v>-4.6412039759E-08</v>
      </c>
      <c r="K10" s="7">
        <v>-2.5261169794E-07</v>
      </c>
      <c r="L10" s="7">
        <v>3.56916001063E-08</v>
      </c>
      <c r="M10" s="7">
        <v>2.05305291024E-09</v>
      </c>
      <c r="N10" s="7">
        <v>-9.34633971046E-12</v>
      </c>
      <c r="O10" s="7">
        <v>3.22028823036E-08</v>
      </c>
      <c r="P10" s="7">
        <v>1.29989605174E-11</v>
      </c>
      <c r="Q10" s="7">
        <v>-9.43223690612E-12</v>
      </c>
      <c r="R10" s="7">
        <v>2.0032973554E-05</v>
      </c>
      <c r="S10" s="7">
        <v>-2.1882256846E-06</v>
      </c>
      <c r="T10" s="5">
        <v>4</v>
      </c>
      <c r="U10" s="7">
        <f>HLOOKUP("!",$B$2:$S$21,9)</f>
        <v>3.1840945719E-07</v>
      </c>
      <c r="V10" s="4">
        <f>($U10*'Front page'!$F$3^$T10)</f>
        <v>0.02659387627396599</v>
      </c>
      <c r="W10" s="4">
        <f>($U10*'Front page'!$F$3^$T10)</f>
        <v>0.02659387627396599</v>
      </c>
    </row>
    <row r="11" spans="1:23" ht="12">
      <c r="A11" s="1" t="s">
        <v>28</v>
      </c>
      <c r="B11" s="7">
        <v>-1.694452924E-12</v>
      </c>
      <c r="C11" s="7">
        <v>1.1109794013E-10</v>
      </c>
      <c r="D11" s="7">
        <v>-5.9452583057E-07</v>
      </c>
      <c r="E11" s="7">
        <v>6.502440327E-10</v>
      </c>
      <c r="F11" s="7">
        <v>-1.7052958337E-10</v>
      </c>
      <c r="G11" s="7">
        <v>-3.0691369056E-10</v>
      </c>
      <c r="H11" s="7">
        <v>-6.7509059173E-08</v>
      </c>
      <c r="I11" s="7">
        <v>-5.6072844889E-10</v>
      </c>
      <c r="J11" s="7">
        <v>-2.6303357716E-09</v>
      </c>
      <c r="K11" s="7">
        <v>6.4311819339E-10</v>
      </c>
      <c r="L11" s="7">
        <v>-4.62347666298E-11</v>
      </c>
      <c r="M11" s="7">
        <v>-2.93359668173E-13</v>
      </c>
      <c r="N11" s="7"/>
      <c r="O11" s="7">
        <v>-3.31465196389E-11</v>
      </c>
      <c r="P11" s="7"/>
      <c r="Q11" s="7"/>
      <c r="R11" s="7">
        <v>9.0138019559E-07</v>
      </c>
      <c r="S11" s="7">
        <v>1.0996880928E-08</v>
      </c>
      <c r="T11" s="5">
        <v>5</v>
      </c>
      <c r="U11" s="7">
        <f>HLOOKUP("!",$B$2:$S$21,10)</f>
        <v>-5.6072844889E-10</v>
      </c>
      <c r="V11" s="4">
        <f>($U11*'Front page'!$F$3^$T11)</f>
        <v>-0.0007961542132556088</v>
      </c>
      <c r="W11" s="4">
        <f>($U11*'Front page'!$F$3^$T11)</f>
        <v>-0.0007961542132556088</v>
      </c>
    </row>
    <row r="12" spans="1:23" ht="12">
      <c r="A12" s="1" t="s">
        <v>29</v>
      </c>
      <c r="B12" s="7">
        <v>6.2290347094E-16</v>
      </c>
      <c r="C12" s="7">
        <v>-4.4515431033E-14</v>
      </c>
      <c r="D12" s="7">
        <v>-9.3214058667E-09</v>
      </c>
      <c r="E12" s="7">
        <v>-1.9197495504E-13</v>
      </c>
      <c r="F12" s="7">
        <v>2.0948090697E-13</v>
      </c>
      <c r="G12" s="7"/>
      <c r="H12" s="7">
        <v>-5.7410327428E-10</v>
      </c>
      <c r="I12" s="7">
        <v>5.6075059059E-13</v>
      </c>
      <c r="J12" s="7">
        <v>-2.2653438003E-11</v>
      </c>
      <c r="K12" s="7">
        <v>-1.0063471519E-12</v>
      </c>
      <c r="L12" s="7">
        <v>5.00777441034E-14</v>
      </c>
      <c r="M12" s="7"/>
      <c r="N12" s="7"/>
      <c r="O12" s="7">
        <v>2.55744251786E-14</v>
      </c>
      <c r="P12" s="7"/>
      <c r="Q12" s="7"/>
      <c r="R12" s="7">
        <v>2.2651156593E-08</v>
      </c>
      <c r="S12" s="7">
        <v>-3.0815758772E-11</v>
      </c>
      <c r="T12" s="5">
        <v>6</v>
      </c>
      <c r="U12" s="7">
        <f>HLOOKUP("!",$B$2:$S$21,11)</f>
        <v>5.6075059059E-13</v>
      </c>
      <c r="V12" s="4">
        <f>($U12*'Front page'!$F$3^$T12)</f>
        <v>1.3535156072156875E-05</v>
      </c>
      <c r="W12" s="4">
        <f>($U12*'Front page'!$F$3^$T12)</f>
        <v>1.3535156072156875E-05</v>
      </c>
    </row>
    <row r="13" spans="1:23" ht="12">
      <c r="A13" s="1" t="s">
        <v>30</v>
      </c>
      <c r="B13" s="7"/>
      <c r="C13" s="7">
        <v>9.8975640821E-18</v>
      </c>
      <c r="D13" s="7">
        <v>-1.0287605534E-10</v>
      </c>
      <c r="E13" s="7">
        <v>-1.2536600497E-15</v>
      </c>
      <c r="F13" s="7">
        <v>-1.2538395336E-16</v>
      </c>
      <c r="G13" s="7"/>
      <c r="H13" s="7">
        <v>-3.1088872894E-12</v>
      </c>
      <c r="I13" s="7">
        <v>-3.2020720003E-16</v>
      </c>
      <c r="J13" s="7">
        <v>-7.6089300791E-14</v>
      </c>
      <c r="K13" s="7">
        <v>9.9745338992E-16</v>
      </c>
      <c r="L13" s="7">
        <v>-3.73105886191E-17</v>
      </c>
      <c r="M13" s="7"/>
      <c r="N13" s="7"/>
      <c r="O13" s="7">
        <v>-1.25068871393E-17</v>
      </c>
      <c r="P13" s="7"/>
      <c r="Q13" s="7"/>
      <c r="R13" s="7">
        <v>3.6071154205E-10</v>
      </c>
      <c r="S13" s="7">
        <v>4.547913529E-14</v>
      </c>
      <c r="T13" s="5">
        <v>7</v>
      </c>
      <c r="U13" s="7">
        <f>HLOOKUP("!",$B$2:$S$21,12)</f>
        <v>-3.2020720003E-16</v>
      </c>
      <c r="V13" s="4">
        <f>($U13*'Front page'!$F$3^$T13)</f>
        <v>-1.3139339754535576E-07</v>
      </c>
      <c r="W13" s="4">
        <f>($U13*'Front page'!$F$3^$T13)</f>
        <v>-1.3139339754535576E-07</v>
      </c>
    </row>
    <row r="14" spans="1:23" ht="12">
      <c r="A14" s="1" t="s">
        <v>31</v>
      </c>
      <c r="B14" s="7"/>
      <c r="C14" s="7">
        <v>-9.3791330289E-22</v>
      </c>
      <c r="D14" s="7">
        <v>-8.0370123621E-13</v>
      </c>
      <c r="E14" s="7">
        <v>2.1489217569E-18</v>
      </c>
      <c r="F14" s="7">
        <v>1.5631725697E-20</v>
      </c>
      <c r="G14" s="7"/>
      <c r="H14" s="7">
        <v>-1.0451609365E-14</v>
      </c>
      <c r="I14" s="7">
        <v>9.7151147152E-20</v>
      </c>
      <c r="J14" s="7">
        <v>-9.3419667835E-17</v>
      </c>
      <c r="K14" s="7">
        <v>-6.0863245607E-19</v>
      </c>
      <c r="L14" s="7">
        <v>1.57716482367E-20</v>
      </c>
      <c r="M14" s="7"/>
      <c r="N14" s="7"/>
      <c r="O14" s="7">
        <v>2.71443176145E-21</v>
      </c>
      <c r="P14" s="7"/>
      <c r="Q14" s="7"/>
      <c r="R14" s="7">
        <v>3.8493939883E-12</v>
      </c>
      <c r="S14" s="7">
        <v>-2.7512901673E-17</v>
      </c>
      <c r="T14" s="5">
        <v>8</v>
      </c>
      <c r="U14" s="7">
        <f>HLOOKUP("!",$B$2:$S$21,13)</f>
        <v>9.7151147152E-20</v>
      </c>
      <c r="V14" s="4">
        <f>($U14*'Front page'!$F$3^$T14)</f>
        <v>6.7770283764725E-10</v>
      </c>
      <c r="W14" s="4">
        <f>($U14*'Front page'!$F$3^$T14)</f>
        <v>6.7770283764725E-10</v>
      </c>
    </row>
    <row r="15" spans="1:23" ht="12">
      <c r="A15" s="1" t="s">
        <v>32</v>
      </c>
      <c r="B15" s="7"/>
      <c r="C15" s="7"/>
      <c r="D15" s="7">
        <v>-4.3979497391E-15</v>
      </c>
      <c r="E15" s="7">
        <v>-1.4388041782E-21</v>
      </c>
      <c r="F15" s="7"/>
      <c r="G15" s="7"/>
      <c r="H15" s="7">
        <v>-1.9889266878E-17</v>
      </c>
      <c r="I15" s="7">
        <v>-1.2104721275E-23</v>
      </c>
      <c r="J15" s="7"/>
      <c r="K15" s="7">
        <v>2.0849229339E-22</v>
      </c>
      <c r="L15" s="7">
        <v>-2.81038625251E-24</v>
      </c>
      <c r="M15" s="7"/>
      <c r="N15" s="7"/>
      <c r="O15" s="7"/>
      <c r="P15" s="7"/>
      <c r="Q15" s="7"/>
      <c r="R15" s="7">
        <v>2.8213521925E-14</v>
      </c>
      <c r="S15" s="7"/>
      <c r="T15" s="5">
        <v>9</v>
      </c>
      <c r="U15" s="7">
        <f>HLOOKUP("!",$B$2:$S$21,14)</f>
        <v>-1.2104721275E-23</v>
      </c>
      <c r="V15" s="4">
        <f>($U15*'Front page'!$F$3^$T15)</f>
        <v>-1.4354731915903083E-12</v>
      </c>
      <c r="W15" s="4">
        <f>($U15*'Front page'!$F$3^$T15)</f>
        <v>-1.4354731915903083E-12</v>
      </c>
    </row>
    <row r="16" spans="1:23" ht="12">
      <c r="A16" s="1" t="s">
        <v>33</v>
      </c>
      <c r="B16" s="7"/>
      <c r="C16" s="7"/>
      <c r="D16" s="7">
        <v>-1.6414776355E-17</v>
      </c>
      <c r="E16" s="7">
        <v>3.5960899481E-25</v>
      </c>
      <c r="F16" s="7"/>
      <c r="G16" s="7"/>
      <c r="H16" s="7">
        <v>-1.6322697486E-20</v>
      </c>
      <c r="I16" s="7">
        <v>118.5976</v>
      </c>
      <c r="J16" s="7"/>
      <c r="K16" s="7">
        <v>-3.0682196151E-26</v>
      </c>
      <c r="L16" s="7"/>
      <c r="M16" s="7"/>
      <c r="N16" s="7"/>
      <c r="O16" s="7"/>
      <c r="P16" s="7"/>
      <c r="Q16" s="7"/>
      <c r="R16" s="7">
        <v>1.4251594779E-16</v>
      </c>
      <c r="S16" s="7"/>
      <c r="T16" s="5">
        <v>10</v>
      </c>
      <c r="U16" s="7">
        <f>HLOOKUP("!",$B$2:$S$21,15)</f>
        <v>118.5976</v>
      </c>
      <c r="V16" s="4">
        <f>($U16*'Front page'!$F$3^$T16)</f>
        <v>239092038207890.3</v>
      </c>
      <c r="W16" s="4">
        <f>(U16*EXP(W17))</f>
        <v>28.349260024799946</v>
      </c>
    </row>
    <row r="17" spans="1:23" ht="12">
      <c r="A17" s="1" t="s">
        <v>34</v>
      </c>
      <c r="B17" s="7"/>
      <c r="C17" s="7"/>
      <c r="D17" s="7">
        <v>-3.9673619516E-20</v>
      </c>
      <c r="E17" s="7"/>
      <c r="F17" s="7"/>
      <c r="G17" s="7"/>
      <c r="H17" s="7"/>
      <c r="I17" s="7">
        <v>-0.0001183432</v>
      </c>
      <c r="J17" s="7"/>
      <c r="K17" s="7"/>
      <c r="L17" s="7"/>
      <c r="M17" s="7"/>
      <c r="N17" s="7"/>
      <c r="O17" s="7"/>
      <c r="P17" s="7"/>
      <c r="Q17" s="7"/>
      <c r="R17" s="7">
        <v>4.8768662286E-19</v>
      </c>
      <c r="S17" s="7"/>
      <c r="T17" s="5">
        <v>11</v>
      </c>
      <c r="U17" s="7">
        <f>HLOOKUP("!",$B$2:$S$21,16)</f>
        <v>-0.0001183432</v>
      </c>
      <c r="V17" s="4">
        <f>($U17*'Front page'!$F$3^$T17)</f>
        <v>-4055845879.113474</v>
      </c>
      <c r="W17" s="7">
        <f>(U17*('Front page'!$F$3-126.9686)^2)</f>
        <v>-1.4311353218560612</v>
      </c>
    </row>
    <row r="18" spans="1:23" ht="12">
      <c r="A18" s="1" t="s">
        <v>35</v>
      </c>
      <c r="B18" s="7"/>
      <c r="C18" s="7"/>
      <c r="D18" s="7">
        <v>-5.5827328721E-23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1.079553927E-21</v>
      </c>
      <c r="S18" s="7"/>
      <c r="T18" s="5">
        <v>12</v>
      </c>
      <c r="U18" s="7">
        <f>HLOOKUP("!",$B$2:$S$21,17)</f>
        <v>0</v>
      </c>
      <c r="V18" s="4">
        <f>($U18*'Front page'!$F$3^$T18)</f>
        <v>0</v>
      </c>
      <c r="W18" s="7"/>
    </row>
    <row r="19" spans="1:23" ht="12">
      <c r="A19" s="1" t="s">
        <v>36</v>
      </c>
      <c r="B19" s="7"/>
      <c r="C19" s="7"/>
      <c r="D19" s="7">
        <v>-3.4657842013E-26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1.3945027062E-24</v>
      </c>
      <c r="S19" s="7"/>
      <c r="T19" s="5">
        <v>13</v>
      </c>
      <c r="U19" s="7">
        <f>HLOOKUP("!",$B$2:$S$21,18)</f>
        <v>0</v>
      </c>
      <c r="V19" s="4">
        <f>($U19*'Front page'!$F$3^$T19)</f>
        <v>0</v>
      </c>
      <c r="W19" s="7"/>
    </row>
    <row r="20" spans="1:23" ht="12">
      <c r="A20" s="1" t="s">
        <v>37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7.9795153927E-28</v>
      </c>
      <c r="S20" s="7"/>
      <c r="T20" s="5">
        <v>14</v>
      </c>
      <c r="U20" s="7">
        <f>HLOOKUP("!",$B$2:$S$21,19)</f>
        <v>0</v>
      </c>
      <c r="V20" s="4">
        <f>($U20*'Front page'!$F$3^$T20)</f>
        <v>0</v>
      </c>
      <c r="W20" s="7"/>
    </row>
    <row r="21" spans="1:21" ht="12">
      <c r="A21" s="6" t="s">
        <v>38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2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U21" s="8">
        <f>HLOOKUP("!",$B$2:$S$21,20)</f>
        <v>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Bellantoni</dc:creator>
  <cp:keywords/>
  <dc:description/>
  <cp:lastModifiedBy>Leo Bellantoni</cp:lastModifiedBy>
  <dcterms:created xsi:type="dcterms:W3CDTF">2003-04-30T17:43:26Z</dcterms:created>
  <dcterms:modified xsi:type="dcterms:W3CDTF">2003-04-30T17:43:26Z</dcterms:modified>
  <cp:category/>
  <cp:version/>
  <cp:contentType/>
  <cp:contentStatus/>
</cp:coreProperties>
</file>