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606" yWindow="405" windowWidth="7245" windowHeight="4620" tabRatio="601" firstSheet="11" activeTab="14"/>
  </bookViews>
  <sheets>
    <sheet name="Cover Sheet" sheetId="1" r:id="rId1"/>
    <sheet name="Effect on Loads" sheetId="2" r:id="rId2"/>
    <sheet name="Cost Shift Breakdown" sheetId="3" r:id="rId3"/>
    <sheet name="Sensitivity to %" sheetId="4" r:id="rId4"/>
    <sheet name="Results" sheetId="5" r:id="rId5"/>
    <sheet name="Fixed Revenues" sheetId="6" r:id="rId6"/>
    <sheet name="TDA Historical Volumes" sheetId="7" r:id="rId7"/>
    <sheet name="Change in Rev" sheetId="8" r:id="rId8"/>
    <sheet name="HLH-LLH Loads" sheetId="9" r:id="rId9"/>
    <sheet name="HLH Hyd Gen" sheetId="10" r:id="rId10"/>
    <sheet name="LLH Hyd Gen" sheetId="11" r:id="rId11"/>
    <sheet name="Thermal" sheetId="12" r:id="rId12"/>
    <sheet name="System Obligations" sheetId="13" r:id="rId13"/>
    <sheet name="Fed Hyd Ini" sheetId="14" r:id="rId14"/>
    <sheet name="HLH Tot Gen" sheetId="15" r:id="rId15"/>
    <sheet name="LLH Tot Gen" sheetId="16" r:id="rId16"/>
    <sheet name="HLH Slice Load" sheetId="17" r:id="rId17"/>
    <sheet name="LLH Slice Load" sheetId="18" r:id="rId18"/>
    <sheet name="HLH Prices" sheetId="19" r:id="rId19"/>
    <sheet name="LLH Prices" sheetId="20" r:id="rId20"/>
    <sheet name="Demand Change" sheetId="21" r:id="rId21"/>
  </sheets>
  <definedNames>
    <definedName name="Cost_Shift">'Results'!$K$35</definedName>
    <definedName name="Cost_Shift_Percent">'Results'!$K$36</definedName>
    <definedName name="Fixed_Impact">'Results'!$K$33</definedName>
    <definedName name="Load_Scenario">'Results'!$F$4</definedName>
    <definedName name="Losses">'HLH Tot Gen'!$S$2</definedName>
    <definedName name="Minimum_LLH_Generation">'Results'!#REF!</definedName>
    <definedName name="Optimize_Slice">'Results'!$F$3</definedName>
    <definedName name="_xlnm.Print_Area" localSheetId="7">'Change in Rev'!$A$1:$P$66</definedName>
    <definedName name="_xlnm.Print_Area" localSheetId="2">'Cost Shift Breakdown'!$A$1:$D$16</definedName>
    <definedName name="_xlnm.Print_Area" localSheetId="20">'Demand Change'!$A$1:$P$162</definedName>
    <definedName name="_xlnm.Print_Area" localSheetId="1">'Effect on Loads'!$A$1:$P$33</definedName>
    <definedName name="_xlnm.Print_Area" localSheetId="13">'Fed Hyd Ini'!$A$1:$O$52</definedName>
    <definedName name="_xlnm.Print_Area" localSheetId="5">'Fixed Revenues'!$A$1:$D$42</definedName>
    <definedName name="_xlnm.Print_Area" localSheetId="9">'HLH Hyd Gen'!$A$1:$O$52</definedName>
    <definedName name="_xlnm.Print_Area" localSheetId="18">'HLH Prices'!$A$1:$O$62</definedName>
    <definedName name="_xlnm.Print_Area" localSheetId="14">'HLH Tot Gen'!$A$1:$P$52</definedName>
    <definedName name="_xlnm.Print_Area" localSheetId="8">'HLH-LLH Loads'!$A$1:$AB$31</definedName>
    <definedName name="_xlnm.Print_Area" localSheetId="10">'LLH Hyd Gen'!$A$1:$O$52</definedName>
    <definedName name="_xlnm.Print_Area" localSheetId="19">'LLH Prices'!$A$1:$O$61</definedName>
    <definedName name="_xlnm.Print_Area" localSheetId="15">'LLH Tot Gen'!$A$1:$P$52</definedName>
    <definedName name="_xlnm.Print_Area" localSheetId="4">'Results'!$A$7:$M$41</definedName>
    <definedName name="_xlnm.Print_Area" localSheetId="3">'Sensitivity to %'!$A$1:$C$103</definedName>
    <definedName name="_xlnm.Print_Area" localSheetId="11">'Thermal'!$A$1:$O$6</definedName>
    <definedName name="_xlnm.Print_Titles" localSheetId="7">'Change in Rev'!$1:$2</definedName>
    <definedName name="_xlnm.Print_Titles" localSheetId="13">'Fed Hyd Ini'!$2:$2</definedName>
    <definedName name="_xlnm.Print_Titles" localSheetId="9">'HLH Hyd Gen'!$108:$109</definedName>
    <definedName name="_xlnm.Print_Titles" localSheetId="16">'HLH Slice Load'!$2:$2</definedName>
    <definedName name="_xlnm.Print_Titles" localSheetId="14">'HLH Tot Gen'!$2:$2</definedName>
    <definedName name="_xlnm.Print_Titles" localSheetId="10">'LLH Hyd Gen'!$168:$169</definedName>
    <definedName name="_xlnm.Print_Titles" localSheetId="17">'LLH Slice Load'!$2:$2</definedName>
    <definedName name="_xlnm.Print_Titles" localSheetId="15">'LLH Tot Gen'!$2:$2</definedName>
    <definedName name="_xlnm.Print_Titles" localSheetId="4">'Results'!$65:$67</definedName>
    <definedName name="_xlnm.Print_Titles" localSheetId="3">'Sensitivity to %'!$1:$3</definedName>
    <definedName name="Sensitivity">'Sensitivity to %'!$A$4</definedName>
    <definedName name="Slice_Pct" localSheetId="17">'LLH Slice Load'!#REF!</definedName>
    <definedName name="Slice_Sold">'Results'!$B$5</definedName>
    <definedName name="Variable_Impact">'Results'!$K$34</definedName>
    <definedName name="wrn.Total._.Report." hidden="1">{"Cover Sheet",#N/A,TRUE,"Demand Change";"Table1",#N/A,TRUE,"Demand Change";"Table 2",#N/A,TRUE,"Demand Change";"Table 3",#N/A,TRUE,"Demand Change";"Table 4",#N/A,TRUE,"Results";"Table 5",#N/A,TRUE,"Demand Change";"Table 6",#N/A,TRUE,"Demand Change";"Table 7",#N/A,TRUE,"Demand Change";"Table 8",#N/A,TRUE,"Demand Change";"Table 9",#N/A,TRUE,"HLH Hyd Gen";"Table 10",#N/A,TRUE,"Demand Change";"Table 11",#N/A,TRUE,"Demand Change";"Table Sys Oblig",#N/A,TRUE,"System Obligations";"Table 13",#N/A,TRUE,"Demand Change";"Table 14",#N/A,TRUE,"Demand Change";"Table 15",#N/A,TRUE,"Demand Change";"Table 16",#N/A,TRUE,"Demand Change";"Table 17",#N/A,TRUE,"Demand Change";"Table 18",#N/A,TRUE,"Demand Change";"Table 19",#N/A,TRUE,"Demand Change"}</definedName>
    <definedName name="Z_1F503427_2D42_11D2_83E8_00A024D7BD17_.wvu.PrintArea" localSheetId="4" hidden="1">'Results'!$A$6:$N$39</definedName>
    <definedName name="Z_1F503428_2D42_11D2_83E8_00A024D7BD17_.wvu.PrintArea" localSheetId="5" hidden="1">'Fixed Revenues'!$B$1:$D$25</definedName>
    <definedName name="Z_1F503428_2D42_11D2_83E8_00A024D7BD17_.wvu.PrintArea" localSheetId="4" hidden="1">'Results'!$A$6:$N$39</definedName>
    <definedName name="Z_979969E1_1186_11D4_BECA_00A0243B2C7B_.wvu.PrintArea" localSheetId="7" hidden="1">'Change in Rev'!$A$1:$P$66</definedName>
    <definedName name="Z_979969E1_1186_11D4_BECA_00A0243B2C7B_.wvu.PrintArea" localSheetId="2" hidden="1">'Cost Shift Breakdown'!$A$1:$D$16</definedName>
    <definedName name="Z_979969E1_1186_11D4_BECA_00A0243B2C7B_.wvu.PrintArea" localSheetId="20" hidden="1">'Demand Change'!$A$1:$P$162</definedName>
    <definedName name="Z_979969E1_1186_11D4_BECA_00A0243B2C7B_.wvu.PrintArea" localSheetId="1" hidden="1">'Effect on Loads'!$A$1:$P$33</definedName>
    <definedName name="Z_979969E1_1186_11D4_BECA_00A0243B2C7B_.wvu.PrintArea" localSheetId="13" hidden="1">'Fed Hyd Ini'!$A$1:$O$52</definedName>
    <definedName name="Z_979969E1_1186_11D4_BECA_00A0243B2C7B_.wvu.PrintArea" localSheetId="5" hidden="1">'Fixed Revenues'!$A$1:$D$42</definedName>
    <definedName name="Z_979969E1_1186_11D4_BECA_00A0243B2C7B_.wvu.PrintArea" localSheetId="9" hidden="1">'HLH Hyd Gen'!$A$1:$O$52</definedName>
    <definedName name="Z_979969E1_1186_11D4_BECA_00A0243B2C7B_.wvu.PrintArea" localSheetId="18" hidden="1">'HLH Prices'!$A$1:$O$62</definedName>
    <definedName name="Z_979969E1_1186_11D4_BECA_00A0243B2C7B_.wvu.PrintArea" localSheetId="14" hidden="1">'HLH Tot Gen'!$A$1:$P$52</definedName>
    <definedName name="Z_979969E1_1186_11D4_BECA_00A0243B2C7B_.wvu.PrintArea" localSheetId="8" hidden="1">'HLH-LLH Loads'!$A$1:$AB$31</definedName>
    <definedName name="Z_979969E1_1186_11D4_BECA_00A0243B2C7B_.wvu.PrintArea" localSheetId="10" hidden="1">'LLH Hyd Gen'!$A$1:$O$52</definedName>
    <definedName name="Z_979969E1_1186_11D4_BECA_00A0243B2C7B_.wvu.PrintArea" localSheetId="19" hidden="1">'LLH Prices'!$A$1:$O$61</definedName>
    <definedName name="Z_979969E1_1186_11D4_BECA_00A0243B2C7B_.wvu.PrintArea" localSheetId="15" hidden="1">'LLH Tot Gen'!$A$1:$P$52</definedName>
    <definedName name="Z_979969E1_1186_11D4_BECA_00A0243B2C7B_.wvu.PrintArea" localSheetId="4" hidden="1">'Results'!$A$7:$M$41</definedName>
    <definedName name="Z_979969E1_1186_11D4_BECA_00A0243B2C7B_.wvu.PrintArea" localSheetId="3" hidden="1">'Sensitivity to %'!$A$1:$C$103</definedName>
    <definedName name="Z_979969E1_1186_11D4_BECA_00A0243B2C7B_.wvu.PrintArea" localSheetId="11" hidden="1">'Thermal'!$A$1:$O$6</definedName>
    <definedName name="Z_979969E1_1186_11D4_BECA_00A0243B2C7B_.wvu.PrintTitles" localSheetId="7" hidden="1">'Change in Rev'!$1:$2</definedName>
    <definedName name="Z_979969E1_1186_11D4_BECA_00A0243B2C7B_.wvu.PrintTitles" localSheetId="13" hidden="1">'Fed Hyd Ini'!$2:$2</definedName>
    <definedName name="Z_979969E1_1186_11D4_BECA_00A0243B2C7B_.wvu.PrintTitles" localSheetId="9" hidden="1">'HLH Hyd Gen'!$108:$109</definedName>
    <definedName name="Z_979969E1_1186_11D4_BECA_00A0243B2C7B_.wvu.PrintTitles" localSheetId="16" hidden="1">'HLH Slice Load'!$2:$2</definedName>
    <definedName name="Z_979969E1_1186_11D4_BECA_00A0243B2C7B_.wvu.PrintTitles" localSheetId="14" hidden="1">'HLH Tot Gen'!$2:$2</definedName>
    <definedName name="Z_979969E1_1186_11D4_BECA_00A0243B2C7B_.wvu.PrintTitles" localSheetId="10" hidden="1">'LLH Hyd Gen'!$168:$169</definedName>
    <definedName name="Z_979969E1_1186_11D4_BECA_00A0243B2C7B_.wvu.PrintTitles" localSheetId="17" hidden="1">'LLH Slice Load'!$2:$2</definedName>
    <definedName name="Z_979969E1_1186_11D4_BECA_00A0243B2C7B_.wvu.PrintTitles" localSheetId="15" hidden="1">'LLH Tot Gen'!$2:$2</definedName>
    <definedName name="Z_979969E1_1186_11D4_BECA_00A0243B2C7B_.wvu.PrintTitles" localSheetId="4" hidden="1">'Results'!$65:$67</definedName>
    <definedName name="Z_979969E1_1186_11D4_BECA_00A0243B2C7B_.wvu.PrintTitles" localSheetId="3" hidden="1">'Sensitivity to %'!$1:$3</definedName>
    <definedName name="Z_B108E059_35B4_11D2_9276_444553540000_.wvu.PrintArea" localSheetId="5" hidden="1">'Fixed Revenues'!$B$1:$D$25</definedName>
    <definedName name="Z_B108E059_35B4_11D2_9276_444553540000_.wvu.PrintArea" localSheetId="4" hidden="1">'Results'!$A$6:$N$39</definedName>
    <definedName name="Z_DD7BFE93_32E4_11D2_83E8_00A024D7BD17_.wvu.PrintArea" localSheetId="5" hidden="1">'Fixed Revenues'!$B$1:$D$25</definedName>
    <definedName name="Z_DD7BFE93_32E4_11D2_83E8_00A024D7BD17_.wvu.PrintArea" localSheetId="4" hidden="1">'Results'!$A$6:$N$39</definedName>
    <definedName name="Z_FF9ACC79_4B3F_11D3_A9AB_00A024D7BCD8_.wvu.PrintArea" localSheetId="7" hidden="1">'Change in Rev'!$A$1:$P$66</definedName>
    <definedName name="Z_FF9ACC79_4B3F_11D3_A9AB_00A024D7BCD8_.wvu.PrintArea" localSheetId="2" hidden="1">'Cost Shift Breakdown'!$A$1:$D$16</definedName>
    <definedName name="Z_FF9ACC79_4B3F_11D3_A9AB_00A024D7BCD8_.wvu.PrintArea" localSheetId="20" hidden="1">'Demand Change'!$A$1:$P$162</definedName>
    <definedName name="Z_FF9ACC79_4B3F_11D3_A9AB_00A024D7BCD8_.wvu.PrintArea" localSheetId="1" hidden="1">'Effect on Loads'!$A$1:$P$33</definedName>
    <definedName name="Z_FF9ACC79_4B3F_11D3_A9AB_00A024D7BCD8_.wvu.PrintArea" localSheetId="5" hidden="1">'Fixed Revenues'!$A$1:$D$42</definedName>
    <definedName name="Z_FF9ACC79_4B3F_11D3_A9AB_00A024D7BCD8_.wvu.PrintArea" localSheetId="9" hidden="1">'HLH Hyd Gen'!$A$1:$O$52</definedName>
    <definedName name="Z_FF9ACC79_4B3F_11D3_A9AB_00A024D7BCD8_.wvu.PrintArea" localSheetId="18" hidden="1">'HLH Prices'!$A$1:$O$62</definedName>
    <definedName name="Z_FF9ACC79_4B3F_11D3_A9AB_00A024D7BCD8_.wvu.PrintArea" localSheetId="14" hidden="1">'HLH Tot Gen'!$A$1:$P$52</definedName>
    <definedName name="Z_FF9ACC79_4B3F_11D3_A9AB_00A024D7BCD8_.wvu.PrintArea" localSheetId="8" hidden="1">'HLH-LLH Loads'!$A$1:$K$20</definedName>
    <definedName name="Z_FF9ACC79_4B3F_11D3_A9AB_00A024D7BCD8_.wvu.PrintArea" localSheetId="10" hidden="1">'LLH Hyd Gen'!$A$1:$O$52</definedName>
    <definedName name="Z_FF9ACC79_4B3F_11D3_A9AB_00A024D7BCD8_.wvu.PrintArea" localSheetId="19" hidden="1">'LLH Prices'!$A$1:$O$61</definedName>
    <definedName name="Z_FF9ACC79_4B3F_11D3_A9AB_00A024D7BCD8_.wvu.PrintArea" localSheetId="15" hidden="1">'LLH Tot Gen'!$A$1:$P$52</definedName>
    <definedName name="Z_FF9ACC79_4B3F_11D3_A9AB_00A024D7BCD8_.wvu.PrintArea" localSheetId="4" hidden="1">'Results'!$A$7:$M$41</definedName>
    <definedName name="Z_FF9ACC79_4B3F_11D3_A9AB_00A024D7BCD8_.wvu.PrintArea" localSheetId="3" hidden="1">'Sensitivity to %'!$A$1:$C$103</definedName>
    <definedName name="Z_FF9ACC79_4B3F_11D3_A9AB_00A024D7BCD8_.wvu.PrintTitles" localSheetId="7" hidden="1">'Change in Rev'!$1:$2</definedName>
    <definedName name="Z_FF9ACC79_4B3F_11D3_A9AB_00A024D7BCD8_.wvu.PrintTitles" localSheetId="13" hidden="1">'Fed Hyd Ini'!$2:$2</definedName>
    <definedName name="Z_FF9ACC79_4B3F_11D3_A9AB_00A024D7BCD8_.wvu.PrintTitles" localSheetId="9" hidden="1">'HLH Hyd Gen'!$108:$109</definedName>
    <definedName name="Z_FF9ACC79_4B3F_11D3_A9AB_00A024D7BCD8_.wvu.PrintTitles" localSheetId="16" hidden="1">'HLH Slice Load'!$2:$2</definedName>
    <definedName name="Z_FF9ACC79_4B3F_11D3_A9AB_00A024D7BCD8_.wvu.PrintTitles" localSheetId="14" hidden="1">'HLH Tot Gen'!$2:$2</definedName>
    <definedName name="Z_FF9ACC79_4B3F_11D3_A9AB_00A024D7BCD8_.wvu.PrintTitles" localSheetId="10" hidden="1">'LLH Hyd Gen'!$168:$169</definedName>
    <definedName name="Z_FF9ACC79_4B3F_11D3_A9AB_00A024D7BCD8_.wvu.PrintTitles" localSheetId="17" hidden="1">'LLH Slice Load'!$2:$2</definedName>
    <definedName name="Z_FF9ACC79_4B3F_11D3_A9AB_00A024D7BCD8_.wvu.PrintTitles" localSheetId="15" hidden="1">'LLH Tot Gen'!$2:$2</definedName>
    <definedName name="Z_FF9ACC79_4B3F_11D3_A9AB_00A024D7BCD8_.wvu.PrintTitles" localSheetId="4" hidden="1">'Results'!$65:$67</definedName>
    <definedName name="Z_FF9ACC7A_4B3F_11D3_A9AB_00A024D7BCD8_.wvu.PrintArea" localSheetId="7" hidden="1">'Change in Rev'!$A$1:$P$66</definedName>
    <definedName name="Z_FF9ACC7A_4B3F_11D3_A9AB_00A024D7BCD8_.wvu.PrintArea" localSheetId="2" hidden="1">'Cost Shift Breakdown'!$A$1:$D$16</definedName>
    <definedName name="Z_FF9ACC7A_4B3F_11D3_A9AB_00A024D7BCD8_.wvu.PrintArea" localSheetId="20" hidden="1">'Demand Change'!$A$1:$P$162</definedName>
    <definedName name="Z_FF9ACC7A_4B3F_11D3_A9AB_00A024D7BCD8_.wvu.PrintArea" localSheetId="1" hidden="1">'Effect on Loads'!$A$1:$P$33</definedName>
    <definedName name="Z_FF9ACC7A_4B3F_11D3_A9AB_00A024D7BCD8_.wvu.PrintArea" localSheetId="5" hidden="1">'Fixed Revenues'!$A$1:$D$42</definedName>
    <definedName name="Z_FF9ACC7A_4B3F_11D3_A9AB_00A024D7BCD8_.wvu.PrintArea" localSheetId="9" hidden="1">'HLH Hyd Gen'!$A$1:$O$52</definedName>
    <definedName name="Z_FF9ACC7A_4B3F_11D3_A9AB_00A024D7BCD8_.wvu.PrintArea" localSheetId="18" hidden="1">'HLH Prices'!$A$1:$O$62</definedName>
    <definedName name="Z_FF9ACC7A_4B3F_11D3_A9AB_00A024D7BCD8_.wvu.PrintArea" localSheetId="14" hidden="1">'HLH Tot Gen'!$A$1:$P$52</definedName>
    <definedName name="Z_FF9ACC7A_4B3F_11D3_A9AB_00A024D7BCD8_.wvu.PrintArea" localSheetId="8" hidden="1">'HLH-LLH Loads'!$A$1:$K$20</definedName>
    <definedName name="Z_FF9ACC7A_4B3F_11D3_A9AB_00A024D7BCD8_.wvu.PrintArea" localSheetId="10" hidden="1">'LLH Hyd Gen'!$A$1:$O$52</definedName>
    <definedName name="Z_FF9ACC7A_4B3F_11D3_A9AB_00A024D7BCD8_.wvu.PrintArea" localSheetId="19" hidden="1">'LLH Prices'!$A$1:$O$61</definedName>
    <definedName name="Z_FF9ACC7A_4B3F_11D3_A9AB_00A024D7BCD8_.wvu.PrintArea" localSheetId="15" hidden="1">'LLH Tot Gen'!$A$1:$P$52</definedName>
    <definedName name="Z_FF9ACC7A_4B3F_11D3_A9AB_00A024D7BCD8_.wvu.PrintArea" localSheetId="4" hidden="1">'Results'!$A$7:$M$41</definedName>
    <definedName name="Z_FF9ACC7A_4B3F_11D3_A9AB_00A024D7BCD8_.wvu.PrintArea" localSheetId="3" hidden="1">'Sensitivity to %'!$A$1:$C$103</definedName>
    <definedName name="Z_FF9ACC7A_4B3F_11D3_A9AB_00A024D7BCD8_.wvu.PrintTitles" localSheetId="7" hidden="1">'Change in Rev'!$1:$2</definedName>
    <definedName name="Z_FF9ACC7A_4B3F_11D3_A9AB_00A024D7BCD8_.wvu.PrintTitles" localSheetId="13" hidden="1">'Fed Hyd Ini'!$2:$2</definedName>
    <definedName name="Z_FF9ACC7A_4B3F_11D3_A9AB_00A024D7BCD8_.wvu.PrintTitles" localSheetId="9" hidden="1">'HLH Hyd Gen'!$108:$109</definedName>
    <definedName name="Z_FF9ACC7A_4B3F_11D3_A9AB_00A024D7BCD8_.wvu.PrintTitles" localSheetId="16" hidden="1">'HLH Slice Load'!$2:$2</definedName>
    <definedName name="Z_FF9ACC7A_4B3F_11D3_A9AB_00A024D7BCD8_.wvu.PrintTitles" localSheetId="14" hidden="1">'HLH Tot Gen'!$2:$2</definedName>
    <definedName name="Z_FF9ACC7A_4B3F_11D3_A9AB_00A024D7BCD8_.wvu.PrintTitles" localSheetId="10" hidden="1">'LLH Hyd Gen'!$168:$169</definedName>
    <definedName name="Z_FF9ACC7A_4B3F_11D3_A9AB_00A024D7BCD8_.wvu.PrintTitles" localSheetId="17" hidden="1">'LLH Slice Load'!$2:$2</definedName>
    <definedName name="Z_FF9ACC7A_4B3F_11D3_A9AB_00A024D7BCD8_.wvu.PrintTitles" localSheetId="15" hidden="1">'LLH Tot Gen'!$2:$2</definedName>
    <definedName name="Z_FF9ACC7A_4B3F_11D3_A9AB_00A024D7BCD8_.wvu.PrintTitles" localSheetId="4" hidden="1">'Results'!$65:$67</definedName>
    <definedName name="Z_FF9ACC7B_4B3F_11D3_A9AB_00A024D7BCD8_.wvu.PrintArea" localSheetId="7" hidden="1">'Change in Rev'!$A$1:$P$66</definedName>
    <definedName name="Z_FF9ACC7B_4B3F_11D3_A9AB_00A024D7BCD8_.wvu.PrintArea" localSheetId="2" hidden="1">'Cost Shift Breakdown'!$A$1:$D$16</definedName>
    <definedName name="Z_FF9ACC7B_4B3F_11D3_A9AB_00A024D7BCD8_.wvu.PrintArea" localSheetId="20" hidden="1">'Demand Change'!$A$1:$P$162</definedName>
    <definedName name="Z_FF9ACC7B_4B3F_11D3_A9AB_00A024D7BCD8_.wvu.PrintArea" localSheetId="1" hidden="1">'Effect on Loads'!$A$1:$P$33</definedName>
    <definedName name="Z_FF9ACC7B_4B3F_11D3_A9AB_00A024D7BCD8_.wvu.PrintArea" localSheetId="5" hidden="1">'Fixed Revenues'!$A$1:$D$42</definedName>
    <definedName name="Z_FF9ACC7B_4B3F_11D3_A9AB_00A024D7BCD8_.wvu.PrintArea" localSheetId="9" hidden="1">'HLH Hyd Gen'!$A$1:$O$52</definedName>
    <definedName name="Z_FF9ACC7B_4B3F_11D3_A9AB_00A024D7BCD8_.wvu.PrintArea" localSheetId="18" hidden="1">'HLH Prices'!$A$1:$O$62</definedName>
    <definedName name="Z_FF9ACC7B_4B3F_11D3_A9AB_00A024D7BCD8_.wvu.PrintArea" localSheetId="14" hidden="1">'HLH Tot Gen'!$A$1:$P$52</definedName>
    <definedName name="Z_FF9ACC7B_4B3F_11D3_A9AB_00A024D7BCD8_.wvu.PrintArea" localSheetId="8" hidden="1">'HLH-LLH Loads'!$A$1:$K$20</definedName>
    <definedName name="Z_FF9ACC7B_4B3F_11D3_A9AB_00A024D7BCD8_.wvu.PrintArea" localSheetId="10" hidden="1">'LLH Hyd Gen'!$A$1:$O$52</definedName>
    <definedName name="Z_FF9ACC7B_4B3F_11D3_A9AB_00A024D7BCD8_.wvu.PrintArea" localSheetId="19" hidden="1">'LLH Prices'!$A$1:$O$61</definedName>
    <definedName name="Z_FF9ACC7B_4B3F_11D3_A9AB_00A024D7BCD8_.wvu.PrintArea" localSheetId="15" hidden="1">'LLH Tot Gen'!$A$1:$P$52</definedName>
    <definedName name="Z_FF9ACC7B_4B3F_11D3_A9AB_00A024D7BCD8_.wvu.PrintArea" localSheetId="4" hidden="1">'Results'!$A$7:$M$41</definedName>
    <definedName name="Z_FF9ACC7B_4B3F_11D3_A9AB_00A024D7BCD8_.wvu.PrintArea" localSheetId="3" hidden="1">'Sensitivity to %'!$A$1:$C$103</definedName>
    <definedName name="Z_FF9ACC7B_4B3F_11D3_A9AB_00A024D7BCD8_.wvu.PrintTitles" localSheetId="7" hidden="1">'Change in Rev'!$1:$2</definedName>
    <definedName name="Z_FF9ACC7B_4B3F_11D3_A9AB_00A024D7BCD8_.wvu.PrintTitles" localSheetId="13" hidden="1">'Fed Hyd Ini'!$2:$2</definedName>
    <definedName name="Z_FF9ACC7B_4B3F_11D3_A9AB_00A024D7BCD8_.wvu.PrintTitles" localSheetId="9" hidden="1">'HLH Hyd Gen'!$108:$109</definedName>
    <definedName name="Z_FF9ACC7B_4B3F_11D3_A9AB_00A024D7BCD8_.wvu.PrintTitles" localSheetId="16" hidden="1">'HLH Slice Load'!$2:$2</definedName>
    <definedName name="Z_FF9ACC7B_4B3F_11D3_A9AB_00A024D7BCD8_.wvu.PrintTitles" localSheetId="14" hidden="1">'HLH Tot Gen'!$2:$2</definedName>
    <definedName name="Z_FF9ACC7B_4B3F_11D3_A9AB_00A024D7BCD8_.wvu.PrintTitles" localSheetId="10" hidden="1">'LLH Hyd Gen'!$168:$169</definedName>
    <definedName name="Z_FF9ACC7B_4B3F_11D3_A9AB_00A024D7BCD8_.wvu.PrintTitles" localSheetId="17" hidden="1">'LLH Slice Load'!$2:$2</definedName>
    <definedName name="Z_FF9ACC7B_4B3F_11D3_A9AB_00A024D7BCD8_.wvu.PrintTitles" localSheetId="15" hidden="1">'LLH Tot Gen'!$2:$2</definedName>
    <definedName name="Z_FF9ACC7B_4B3F_11D3_A9AB_00A024D7BCD8_.wvu.PrintTitles" localSheetId="4" hidden="1">'Results'!$65:$67</definedName>
    <definedName name="Z_FF9ACC7C_4B3F_11D3_A9AB_00A024D7BCD8_.wvu.PrintArea" localSheetId="7" hidden="1">'Change in Rev'!$A$1:$P$66</definedName>
    <definedName name="Z_FF9ACC7C_4B3F_11D3_A9AB_00A024D7BCD8_.wvu.PrintArea" localSheetId="2" hidden="1">'Cost Shift Breakdown'!$A$1:$D$16</definedName>
    <definedName name="Z_FF9ACC7C_4B3F_11D3_A9AB_00A024D7BCD8_.wvu.PrintArea" localSheetId="20" hidden="1">'Demand Change'!$A$1:$P$162</definedName>
    <definedName name="Z_FF9ACC7C_4B3F_11D3_A9AB_00A024D7BCD8_.wvu.PrintArea" localSheetId="1" hidden="1">'Effect on Loads'!$A$1:$P$33</definedName>
    <definedName name="Z_FF9ACC7C_4B3F_11D3_A9AB_00A024D7BCD8_.wvu.PrintArea" localSheetId="5" hidden="1">'Fixed Revenues'!$A$1:$D$42</definedName>
    <definedName name="Z_FF9ACC7C_4B3F_11D3_A9AB_00A024D7BCD8_.wvu.PrintArea" localSheetId="9" hidden="1">'HLH Hyd Gen'!$A$1:$O$52</definedName>
    <definedName name="Z_FF9ACC7C_4B3F_11D3_A9AB_00A024D7BCD8_.wvu.PrintArea" localSheetId="18" hidden="1">'HLH Prices'!$A$1:$O$62</definedName>
    <definedName name="Z_FF9ACC7C_4B3F_11D3_A9AB_00A024D7BCD8_.wvu.PrintArea" localSheetId="14" hidden="1">'HLH Tot Gen'!$A$1:$P$52</definedName>
    <definedName name="Z_FF9ACC7C_4B3F_11D3_A9AB_00A024D7BCD8_.wvu.PrintArea" localSheetId="8" hidden="1">'HLH-LLH Loads'!$A$1:$K$20</definedName>
    <definedName name="Z_FF9ACC7C_4B3F_11D3_A9AB_00A024D7BCD8_.wvu.PrintArea" localSheetId="10" hidden="1">'LLH Hyd Gen'!$A$1:$O$52</definedName>
    <definedName name="Z_FF9ACC7C_4B3F_11D3_A9AB_00A024D7BCD8_.wvu.PrintArea" localSheetId="19" hidden="1">'LLH Prices'!$A$1:$O$61</definedName>
    <definedName name="Z_FF9ACC7C_4B3F_11D3_A9AB_00A024D7BCD8_.wvu.PrintArea" localSheetId="15" hidden="1">'LLH Tot Gen'!$A$1:$P$52</definedName>
    <definedName name="Z_FF9ACC7C_4B3F_11D3_A9AB_00A024D7BCD8_.wvu.PrintArea" localSheetId="4" hidden="1">'Results'!$A$7:$M$41</definedName>
    <definedName name="Z_FF9ACC7C_4B3F_11D3_A9AB_00A024D7BCD8_.wvu.PrintArea" localSheetId="3" hidden="1">'Sensitivity to %'!$A$1:$C$103</definedName>
    <definedName name="Z_FF9ACC7C_4B3F_11D3_A9AB_00A024D7BCD8_.wvu.PrintTitles" localSheetId="7" hidden="1">'Change in Rev'!$1:$2</definedName>
    <definedName name="Z_FF9ACC7C_4B3F_11D3_A9AB_00A024D7BCD8_.wvu.PrintTitles" localSheetId="13" hidden="1">'Fed Hyd Ini'!$2:$2</definedName>
    <definedName name="Z_FF9ACC7C_4B3F_11D3_A9AB_00A024D7BCD8_.wvu.PrintTitles" localSheetId="9" hidden="1">'HLH Hyd Gen'!$108:$109</definedName>
    <definedName name="Z_FF9ACC7C_4B3F_11D3_A9AB_00A024D7BCD8_.wvu.PrintTitles" localSheetId="16" hidden="1">'HLH Slice Load'!$2:$2</definedName>
    <definedName name="Z_FF9ACC7C_4B3F_11D3_A9AB_00A024D7BCD8_.wvu.PrintTitles" localSheetId="14" hidden="1">'HLH Tot Gen'!$2:$2</definedName>
    <definedName name="Z_FF9ACC7C_4B3F_11D3_A9AB_00A024D7BCD8_.wvu.PrintTitles" localSheetId="10" hidden="1">'LLH Hyd Gen'!$168:$169</definedName>
    <definedName name="Z_FF9ACC7C_4B3F_11D3_A9AB_00A024D7BCD8_.wvu.PrintTitles" localSheetId="17" hidden="1">'LLH Slice Load'!$2:$2</definedName>
    <definedName name="Z_FF9ACC7C_4B3F_11D3_A9AB_00A024D7BCD8_.wvu.PrintTitles" localSheetId="15" hidden="1">'LLH Tot Gen'!$2:$2</definedName>
    <definedName name="Z_FF9ACC7C_4B3F_11D3_A9AB_00A024D7BCD8_.wvu.PrintTitles" localSheetId="4" hidden="1">'Results'!$65:$67</definedName>
    <definedName name="Z_FF9ACC7C_4B3F_11D3_A9AB_00A024D7BCD8_.wvu.PrintTitles" localSheetId="3" hidden="1">'Sensitivity to %'!$1:$3</definedName>
    <definedName name="Z_FF9ACC7E_4B3F_11D3_A9AB_00A024D7BCD8_.wvu.PrintArea" localSheetId="7" hidden="1">'Change in Rev'!$A$1:$P$66</definedName>
    <definedName name="Z_FF9ACC7E_4B3F_11D3_A9AB_00A024D7BCD8_.wvu.PrintArea" localSheetId="2" hidden="1">'Cost Shift Breakdown'!$A$1:$D$16</definedName>
    <definedName name="Z_FF9ACC7E_4B3F_11D3_A9AB_00A024D7BCD8_.wvu.PrintArea" localSheetId="20" hidden="1">'Demand Change'!$A$1:$P$162</definedName>
    <definedName name="Z_FF9ACC7E_4B3F_11D3_A9AB_00A024D7BCD8_.wvu.PrintArea" localSheetId="1" hidden="1">'Effect on Loads'!$A$1:$P$33</definedName>
    <definedName name="Z_FF9ACC7E_4B3F_11D3_A9AB_00A024D7BCD8_.wvu.PrintArea" localSheetId="5" hidden="1">'Fixed Revenues'!$A$1:$D$42</definedName>
    <definedName name="Z_FF9ACC7E_4B3F_11D3_A9AB_00A024D7BCD8_.wvu.PrintArea" localSheetId="9" hidden="1">'HLH Hyd Gen'!$A$1:$O$52</definedName>
    <definedName name="Z_FF9ACC7E_4B3F_11D3_A9AB_00A024D7BCD8_.wvu.PrintArea" localSheetId="18" hidden="1">'HLH Prices'!$A$1:$O$62</definedName>
    <definedName name="Z_FF9ACC7E_4B3F_11D3_A9AB_00A024D7BCD8_.wvu.PrintArea" localSheetId="14" hidden="1">'HLH Tot Gen'!$A$1:$P$52</definedName>
    <definedName name="Z_FF9ACC7E_4B3F_11D3_A9AB_00A024D7BCD8_.wvu.PrintArea" localSheetId="8" hidden="1">'HLH-LLH Loads'!$A$1:$K$20</definedName>
    <definedName name="Z_FF9ACC7E_4B3F_11D3_A9AB_00A024D7BCD8_.wvu.PrintArea" localSheetId="10" hidden="1">'LLH Hyd Gen'!$A$1:$O$52</definedName>
    <definedName name="Z_FF9ACC7E_4B3F_11D3_A9AB_00A024D7BCD8_.wvu.PrintArea" localSheetId="19" hidden="1">'LLH Prices'!$A$1:$O$61</definedName>
    <definedName name="Z_FF9ACC7E_4B3F_11D3_A9AB_00A024D7BCD8_.wvu.PrintArea" localSheetId="15" hidden="1">'LLH Tot Gen'!$A$1:$P$52</definedName>
    <definedName name="Z_FF9ACC7E_4B3F_11D3_A9AB_00A024D7BCD8_.wvu.PrintArea" localSheetId="4" hidden="1">'Results'!$A$7:$M$41</definedName>
    <definedName name="Z_FF9ACC7E_4B3F_11D3_A9AB_00A024D7BCD8_.wvu.PrintArea" localSheetId="3" hidden="1">'Sensitivity to %'!$A$1:$C$103</definedName>
    <definedName name="Z_FF9ACC7E_4B3F_11D3_A9AB_00A024D7BCD8_.wvu.PrintTitles" localSheetId="7" hidden="1">'Change in Rev'!$1:$2</definedName>
    <definedName name="Z_FF9ACC7E_4B3F_11D3_A9AB_00A024D7BCD8_.wvu.PrintTitles" localSheetId="13" hidden="1">'Fed Hyd Ini'!$2:$2</definedName>
    <definedName name="Z_FF9ACC7E_4B3F_11D3_A9AB_00A024D7BCD8_.wvu.PrintTitles" localSheetId="9" hidden="1">'HLH Hyd Gen'!$108:$109</definedName>
    <definedName name="Z_FF9ACC7E_4B3F_11D3_A9AB_00A024D7BCD8_.wvu.PrintTitles" localSheetId="16" hidden="1">'HLH Slice Load'!$2:$2</definedName>
    <definedName name="Z_FF9ACC7E_4B3F_11D3_A9AB_00A024D7BCD8_.wvu.PrintTitles" localSheetId="14" hidden="1">'HLH Tot Gen'!$2:$2</definedName>
    <definedName name="Z_FF9ACC7E_4B3F_11D3_A9AB_00A024D7BCD8_.wvu.PrintTitles" localSheetId="10" hidden="1">'LLH Hyd Gen'!$168:$169</definedName>
    <definedName name="Z_FF9ACC7E_4B3F_11D3_A9AB_00A024D7BCD8_.wvu.PrintTitles" localSheetId="17" hidden="1">'LLH Slice Load'!$2:$2</definedName>
    <definedName name="Z_FF9ACC7E_4B3F_11D3_A9AB_00A024D7BCD8_.wvu.PrintTitles" localSheetId="15" hidden="1">'LLH Tot Gen'!$2:$2</definedName>
    <definedName name="Z_FF9ACC7E_4B3F_11D3_A9AB_00A024D7BCD8_.wvu.PrintTitles" localSheetId="4" hidden="1">'Results'!$65:$67</definedName>
    <definedName name="Z_FF9ACC7E_4B3F_11D3_A9AB_00A024D7BCD8_.wvu.PrintTitles" localSheetId="3" hidden="1">'Sensitivity to %'!$1:$3</definedName>
    <definedName name="Z_FF9ACC7F_4B3F_11D3_A9AB_00A024D7BCD8_.wvu.PrintArea" localSheetId="7" hidden="1">'Change in Rev'!$A$1:$P$66</definedName>
    <definedName name="Z_FF9ACC7F_4B3F_11D3_A9AB_00A024D7BCD8_.wvu.PrintArea" localSheetId="2" hidden="1">'Cost Shift Breakdown'!$A$1:$D$16</definedName>
    <definedName name="Z_FF9ACC7F_4B3F_11D3_A9AB_00A024D7BCD8_.wvu.PrintArea" localSheetId="20" hidden="1">'Demand Change'!$A$1:$P$162</definedName>
    <definedName name="Z_FF9ACC7F_4B3F_11D3_A9AB_00A024D7BCD8_.wvu.PrintArea" localSheetId="1" hidden="1">'Effect on Loads'!$A$1:$P$33</definedName>
    <definedName name="Z_FF9ACC7F_4B3F_11D3_A9AB_00A024D7BCD8_.wvu.PrintArea" localSheetId="5" hidden="1">'Fixed Revenues'!$A$1:$D$42</definedName>
    <definedName name="Z_FF9ACC7F_4B3F_11D3_A9AB_00A024D7BCD8_.wvu.PrintArea" localSheetId="9" hidden="1">'HLH Hyd Gen'!$A$1:$O$52</definedName>
    <definedName name="Z_FF9ACC7F_4B3F_11D3_A9AB_00A024D7BCD8_.wvu.PrintArea" localSheetId="18" hidden="1">'HLH Prices'!$A$1:$O$62</definedName>
    <definedName name="Z_FF9ACC7F_4B3F_11D3_A9AB_00A024D7BCD8_.wvu.PrintArea" localSheetId="14" hidden="1">'HLH Tot Gen'!$A$1:$P$52</definedName>
    <definedName name="Z_FF9ACC7F_4B3F_11D3_A9AB_00A024D7BCD8_.wvu.PrintArea" localSheetId="8" hidden="1">'HLH-LLH Loads'!$A$1:$K$20</definedName>
    <definedName name="Z_FF9ACC7F_4B3F_11D3_A9AB_00A024D7BCD8_.wvu.PrintArea" localSheetId="10" hidden="1">'LLH Hyd Gen'!$A$1:$O$52</definedName>
    <definedName name="Z_FF9ACC7F_4B3F_11D3_A9AB_00A024D7BCD8_.wvu.PrintArea" localSheetId="19" hidden="1">'LLH Prices'!$A$1:$O$61</definedName>
    <definedName name="Z_FF9ACC7F_4B3F_11D3_A9AB_00A024D7BCD8_.wvu.PrintArea" localSheetId="15" hidden="1">'LLH Tot Gen'!$A$1:$P$52</definedName>
    <definedName name="Z_FF9ACC7F_4B3F_11D3_A9AB_00A024D7BCD8_.wvu.PrintArea" localSheetId="4" hidden="1">'Results'!$A$7:$M$41</definedName>
    <definedName name="Z_FF9ACC7F_4B3F_11D3_A9AB_00A024D7BCD8_.wvu.PrintArea" localSheetId="3" hidden="1">'Sensitivity to %'!$A$1:$C$103</definedName>
    <definedName name="Z_FF9ACC7F_4B3F_11D3_A9AB_00A024D7BCD8_.wvu.PrintTitles" localSheetId="7" hidden="1">'Change in Rev'!$1:$2</definedName>
    <definedName name="Z_FF9ACC7F_4B3F_11D3_A9AB_00A024D7BCD8_.wvu.PrintTitles" localSheetId="13" hidden="1">'Fed Hyd Ini'!$2:$2</definedName>
    <definedName name="Z_FF9ACC7F_4B3F_11D3_A9AB_00A024D7BCD8_.wvu.PrintTitles" localSheetId="9" hidden="1">'HLH Hyd Gen'!$108:$109</definedName>
    <definedName name="Z_FF9ACC7F_4B3F_11D3_A9AB_00A024D7BCD8_.wvu.PrintTitles" localSheetId="16" hidden="1">'HLH Slice Load'!$2:$2</definedName>
    <definedName name="Z_FF9ACC7F_4B3F_11D3_A9AB_00A024D7BCD8_.wvu.PrintTitles" localSheetId="14" hidden="1">'HLH Tot Gen'!$2:$2</definedName>
    <definedName name="Z_FF9ACC7F_4B3F_11D3_A9AB_00A024D7BCD8_.wvu.PrintTitles" localSheetId="10" hidden="1">'LLH Hyd Gen'!$168:$169</definedName>
    <definedName name="Z_FF9ACC7F_4B3F_11D3_A9AB_00A024D7BCD8_.wvu.PrintTitles" localSheetId="17" hidden="1">'LLH Slice Load'!$2:$2</definedName>
    <definedName name="Z_FF9ACC7F_4B3F_11D3_A9AB_00A024D7BCD8_.wvu.PrintTitles" localSheetId="15" hidden="1">'LLH Tot Gen'!$2:$2</definedName>
    <definedName name="Z_FF9ACC7F_4B3F_11D3_A9AB_00A024D7BCD8_.wvu.PrintTitles" localSheetId="4" hidden="1">'Results'!$65:$67</definedName>
    <definedName name="Z_FF9ACC7F_4B3F_11D3_A9AB_00A024D7BCD8_.wvu.PrintTitles" localSheetId="3" hidden="1">'Sensitivity to %'!$1:$3</definedName>
    <definedName name="Z_FF9ACC80_4B3F_11D3_A9AB_00A024D7BCD8_.wvu.PrintArea" localSheetId="7" hidden="1">'Change in Rev'!$A$1:$P$66</definedName>
    <definedName name="Z_FF9ACC80_4B3F_11D3_A9AB_00A024D7BCD8_.wvu.PrintArea" localSheetId="2" hidden="1">'Cost Shift Breakdown'!$A$1:$D$16</definedName>
    <definedName name="Z_FF9ACC80_4B3F_11D3_A9AB_00A024D7BCD8_.wvu.PrintArea" localSheetId="20" hidden="1">'Demand Change'!$A$1:$P$162</definedName>
    <definedName name="Z_FF9ACC80_4B3F_11D3_A9AB_00A024D7BCD8_.wvu.PrintArea" localSheetId="1" hidden="1">'Effect on Loads'!$A$1:$P$33</definedName>
    <definedName name="Z_FF9ACC80_4B3F_11D3_A9AB_00A024D7BCD8_.wvu.PrintArea" localSheetId="5" hidden="1">'Fixed Revenues'!$A$1:$D$42</definedName>
    <definedName name="Z_FF9ACC80_4B3F_11D3_A9AB_00A024D7BCD8_.wvu.PrintArea" localSheetId="9" hidden="1">'HLH Hyd Gen'!$A$1:$O$52</definedName>
    <definedName name="Z_FF9ACC80_4B3F_11D3_A9AB_00A024D7BCD8_.wvu.PrintArea" localSheetId="18" hidden="1">'HLH Prices'!$A$1:$O$62</definedName>
    <definedName name="Z_FF9ACC80_4B3F_11D3_A9AB_00A024D7BCD8_.wvu.PrintArea" localSheetId="14" hidden="1">'HLH Tot Gen'!$A$1:$P$52</definedName>
    <definedName name="Z_FF9ACC80_4B3F_11D3_A9AB_00A024D7BCD8_.wvu.PrintArea" localSheetId="8" hidden="1">'HLH-LLH Loads'!$A$1:$K$20</definedName>
    <definedName name="Z_FF9ACC80_4B3F_11D3_A9AB_00A024D7BCD8_.wvu.PrintArea" localSheetId="10" hidden="1">'LLH Hyd Gen'!$A$1:$O$52</definedName>
    <definedName name="Z_FF9ACC80_4B3F_11D3_A9AB_00A024D7BCD8_.wvu.PrintArea" localSheetId="19" hidden="1">'LLH Prices'!$A$1:$O$61</definedName>
    <definedName name="Z_FF9ACC80_4B3F_11D3_A9AB_00A024D7BCD8_.wvu.PrintArea" localSheetId="15" hidden="1">'LLH Tot Gen'!$A$1:$P$52</definedName>
    <definedName name="Z_FF9ACC80_4B3F_11D3_A9AB_00A024D7BCD8_.wvu.PrintArea" localSheetId="4" hidden="1">'Results'!$A$7:$M$41</definedName>
    <definedName name="Z_FF9ACC80_4B3F_11D3_A9AB_00A024D7BCD8_.wvu.PrintArea" localSheetId="3" hidden="1">'Sensitivity to %'!$A$1:$C$103</definedName>
    <definedName name="Z_FF9ACC80_4B3F_11D3_A9AB_00A024D7BCD8_.wvu.PrintTitles" localSheetId="7" hidden="1">'Change in Rev'!$1:$2</definedName>
    <definedName name="Z_FF9ACC80_4B3F_11D3_A9AB_00A024D7BCD8_.wvu.PrintTitles" localSheetId="13" hidden="1">'Fed Hyd Ini'!$2:$2</definedName>
    <definedName name="Z_FF9ACC80_4B3F_11D3_A9AB_00A024D7BCD8_.wvu.PrintTitles" localSheetId="9" hidden="1">'HLH Hyd Gen'!$108:$109</definedName>
    <definedName name="Z_FF9ACC80_4B3F_11D3_A9AB_00A024D7BCD8_.wvu.PrintTitles" localSheetId="16" hidden="1">'HLH Slice Load'!$2:$2</definedName>
    <definedName name="Z_FF9ACC80_4B3F_11D3_A9AB_00A024D7BCD8_.wvu.PrintTitles" localSheetId="14" hidden="1">'HLH Tot Gen'!$2:$2</definedName>
    <definedName name="Z_FF9ACC80_4B3F_11D3_A9AB_00A024D7BCD8_.wvu.PrintTitles" localSheetId="10" hidden="1">'LLH Hyd Gen'!$168:$169</definedName>
    <definedName name="Z_FF9ACC80_4B3F_11D3_A9AB_00A024D7BCD8_.wvu.PrintTitles" localSheetId="17" hidden="1">'LLH Slice Load'!$2:$2</definedName>
    <definedName name="Z_FF9ACC80_4B3F_11D3_A9AB_00A024D7BCD8_.wvu.PrintTitles" localSheetId="15" hidden="1">'LLH Tot Gen'!$2:$2</definedName>
    <definedName name="Z_FF9ACC80_4B3F_11D3_A9AB_00A024D7BCD8_.wvu.PrintTitles" localSheetId="4" hidden="1">'Results'!$65:$67</definedName>
    <definedName name="Z_FF9ACC80_4B3F_11D3_A9AB_00A024D7BCD8_.wvu.PrintTitles" localSheetId="3" hidden="1">'Sensitivity to %'!$1:$3</definedName>
    <definedName name="Z_FF9ACC82_4B3F_11D3_A9AB_00A024D7BCD8_.wvu.PrintArea" localSheetId="7" hidden="1">'Change in Rev'!$A$1:$P$66</definedName>
    <definedName name="Z_FF9ACC82_4B3F_11D3_A9AB_00A024D7BCD8_.wvu.PrintArea" localSheetId="2" hidden="1">'Cost Shift Breakdown'!$A$1:$D$16</definedName>
    <definedName name="Z_FF9ACC82_4B3F_11D3_A9AB_00A024D7BCD8_.wvu.PrintArea" localSheetId="20" hidden="1">'Demand Change'!$A$1:$P$162</definedName>
    <definedName name="Z_FF9ACC82_4B3F_11D3_A9AB_00A024D7BCD8_.wvu.PrintArea" localSheetId="1" hidden="1">'Effect on Loads'!$A$1:$P$33</definedName>
    <definedName name="Z_FF9ACC82_4B3F_11D3_A9AB_00A024D7BCD8_.wvu.PrintArea" localSheetId="5" hidden="1">'Fixed Revenues'!$A$1:$D$42</definedName>
    <definedName name="Z_FF9ACC82_4B3F_11D3_A9AB_00A024D7BCD8_.wvu.PrintArea" localSheetId="9" hidden="1">'HLH Hyd Gen'!$A$1:$O$52</definedName>
    <definedName name="Z_FF9ACC82_4B3F_11D3_A9AB_00A024D7BCD8_.wvu.PrintArea" localSheetId="18" hidden="1">'HLH Prices'!$A$1:$O$62</definedName>
    <definedName name="Z_FF9ACC82_4B3F_11D3_A9AB_00A024D7BCD8_.wvu.PrintArea" localSheetId="14" hidden="1">'HLH Tot Gen'!$A$1:$P$52</definedName>
    <definedName name="Z_FF9ACC82_4B3F_11D3_A9AB_00A024D7BCD8_.wvu.PrintArea" localSheetId="8" hidden="1">'HLH-LLH Loads'!$A$1:$AB$31</definedName>
    <definedName name="Z_FF9ACC82_4B3F_11D3_A9AB_00A024D7BCD8_.wvu.PrintArea" localSheetId="10" hidden="1">'LLH Hyd Gen'!$A$1:$O$52</definedName>
    <definedName name="Z_FF9ACC82_4B3F_11D3_A9AB_00A024D7BCD8_.wvu.PrintArea" localSheetId="19" hidden="1">'LLH Prices'!$A$1:$O$61</definedName>
    <definedName name="Z_FF9ACC82_4B3F_11D3_A9AB_00A024D7BCD8_.wvu.PrintArea" localSheetId="15" hidden="1">'LLH Tot Gen'!$A$1:$P$52</definedName>
    <definedName name="Z_FF9ACC82_4B3F_11D3_A9AB_00A024D7BCD8_.wvu.PrintArea" localSheetId="4" hidden="1">'Results'!$A$7:$M$41</definedName>
    <definedName name="Z_FF9ACC82_4B3F_11D3_A9AB_00A024D7BCD8_.wvu.PrintArea" localSheetId="3" hidden="1">'Sensitivity to %'!$A$1:$C$103</definedName>
    <definedName name="Z_FF9ACC82_4B3F_11D3_A9AB_00A024D7BCD8_.wvu.PrintTitles" localSheetId="7" hidden="1">'Change in Rev'!$1:$2</definedName>
    <definedName name="Z_FF9ACC82_4B3F_11D3_A9AB_00A024D7BCD8_.wvu.PrintTitles" localSheetId="13" hidden="1">'Fed Hyd Ini'!$2:$2</definedName>
    <definedName name="Z_FF9ACC82_4B3F_11D3_A9AB_00A024D7BCD8_.wvu.PrintTitles" localSheetId="9" hidden="1">'HLH Hyd Gen'!$108:$109</definedName>
    <definedName name="Z_FF9ACC82_4B3F_11D3_A9AB_00A024D7BCD8_.wvu.PrintTitles" localSheetId="16" hidden="1">'HLH Slice Load'!$2:$2</definedName>
    <definedName name="Z_FF9ACC82_4B3F_11D3_A9AB_00A024D7BCD8_.wvu.PrintTitles" localSheetId="14" hidden="1">'HLH Tot Gen'!$2:$2</definedName>
    <definedName name="Z_FF9ACC82_4B3F_11D3_A9AB_00A024D7BCD8_.wvu.PrintTitles" localSheetId="10" hidden="1">'LLH Hyd Gen'!$168:$169</definedName>
    <definedName name="Z_FF9ACC82_4B3F_11D3_A9AB_00A024D7BCD8_.wvu.PrintTitles" localSheetId="17" hidden="1">'LLH Slice Load'!$2:$2</definedName>
    <definedName name="Z_FF9ACC82_4B3F_11D3_A9AB_00A024D7BCD8_.wvu.PrintTitles" localSheetId="15" hidden="1">'LLH Tot Gen'!$2:$2</definedName>
    <definedName name="Z_FF9ACC82_4B3F_11D3_A9AB_00A024D7BCD8_.wvu.PrintTitles" localSheetId="4" hidden="1">'Results'!$65:$67</definedName>
    <definedName name="Z_FF9ACC82_4B3F_11D3_A9AB_00A024D7BCD8_.wvu.PrintTitles" localSheetId="3" hidden="1">'Sensitivity to %'!$1:$3</definedName>
    <definedName name="Z_FF9ACC84_4B3F_11D3_A9AB_00A024D7BCD8_.wvu.PrintArea" localSheetId="7" hidden="1">'Change in Rev'!$A$1:$P$66</definedName>
    <definedName name="Z_FF9ACC84_4B3F_11D3_A9AB_00A024D7BCD8_.wvu.PrintArea" localSheetId="2" hidden="1">'Cost Shift Breakdown'!$A$1:$D$16</definedName>
    <definedName name="Z_FF9ACC84_4B3F_11D3_A9AB_00A024D7BCD8_.wvu.PrintArea" localSheetId="20" hidden="1">'Demand Change'!$A$1:$P$162</definedName>
    <definedName name="Z_FF9ACC84_4B3F_11D3_A9AB_00A024D7BCD8_.wvu.PrintArea" localSheetId="1" hidden="1">'Effect on Loads'!$A$1:$P$33</definedName>
    <definedName name="Z_FF9ACC84_4B3F_11D3_A9AB_00A024D7BCD8_.wvu.PrintArea" localSheetId="5" hidden="1">'Fixed Revenues'!$A$1:$D$42</definedName>
    <definedName name="Z_FF9ACC84_4B3F_11D3_A9AB_00A024D7BCD8_.wvu.PrintArea" localSheetId="9" hidden="1">'HLH Hyd Gen'!$A$1:$O$52</definedName>
    <definedName name="Z_FF9ACC84_4B3F_11D3_A9AB_00A024D7BCD8_.wvu.PrintArea" localSheetId="18" hidden="1">'HLH Prices'!$A$1:$O$62</definedName>
    <definedName name="Z_FF9ACC84_4B3F_11D3_A9AB_00A024D7BCD8_.wvu.PrintArea" localSheetId="14" hidden="1">'HLH Tot Gen'!$A$1:$P$52</definedName>
    <definedName name="Z_FF9ACC84_4B3F_11D3_A9AB_00A024D7BCD8_.wvu.PrintArea" localSheetId="8" hidden="1">'HLH-LLH Loads'!$A$1:$AB$31</definedName>
    <definedName name="Z_FF9ACC84_4B3F_11D3_A9AB_00A024D7BCD8_.wvu.PrintArea" localSheetId="10" hidden="1">'LLH Hyd Gen'!$A$1:$O$52</definedName>
    <definedName name="Z_FF9ACC84_4B3F_11D3_A9AB_00A024D7BCD8_.wvu.PrintArea" localSheetId="19" hidden="1">'LLH Prices'!$A$1:$O$61</definedName>
    <definedName name="Z_FF9ACC84_4B3F_11D3_A9AB_00A024D7BCD8_.wvu.PrintArea" localSheetId="15" hidden="1">'LLH Tot Gen'!$A$1:$P$52</definedName>
    <definedName name="Z_FF9ACC84_4B3F_11D3_A9AB_00A024D7BCD8_.wvu.PrintArea" localSheetId="4" hidden="1">'Results'!$A$7:$M$41</definedName>
    <definedName name="Z_FF9ACC84_4B3F_11D3_A9AB_00A024D7BCD8_.wvu.PrintArea" localSheetId="3" hidden="1">'Sensitivity to %'!$A$1:$C$103</definedName>
    <definedName name="Z_FF9ACC84_4B3F_11D3_A9AB_00A024D7BCD8_.wvu.PrintTitles" localSheetId="7" hidden="1">'Change in Rev'!$1:$2</definedName>
    <definedName name="Z_FF9ACC84_4B3F_11D3_A9AB_00A024D7BCD8_.wvu.PrintTitles" localSheetId="13" hidden="1">'Fed Hyd Ini'!$2:$2</definedName>
    <definedName name="Z_FF9ACC84_4B3F_11D3_A9AB_00A024D7BCD8_.wvu.PrintTitles" localSheetId="9" hidden="1">'HLH Hyd Gen'!$108:$109</definedName>
    <definedName name="Z_FF9ACC84_4B3F_11D3_A9AB_00A024D7BCD8_.wvu.PrintTitles" localSheetId="16" hidden="1">'HLH Slice Load'!$2:$2</definedName>
    <definedName name="Z_FF9ACC84_4B3F_11D3_A9AB_00A024D7BCD8_.wvu.PrintTitles" localSheetId="14" hidden="1">'HLH Tot Gen'!$2:$2</definedName>
    <definedName name="Z_FF9ACC84_4B3F_11D3_A9AB_00A024D7BCD8_.wvu.PrintTitles" localSheetId="10" hidden="1">'LLH Hyd Gen'!$168:$169</definedName>
    <definedName name="Z_FF9ACC84_4B3F_11D3_A9AB_00A024D7BCD8_.wvu.PrintTitles" localSheetId="17" hidden="1">'LLH Slice Load'!$2:$2</definedName>
    <definedName name="Z_FF9ACC84_4B3F_11D3_A9AB_00A024D7BCD8_.wvu.PrintTitles" localSheetId="15" hidden="1">'LLH Tot Gen'!$2:$2</definedName>
    <definedName name="Z_FF9ACC84_4B3F_11D3_A9AB_00A024D7BCD8_.wvu.PrintTitles" localSheetId="4" hidden="1">'Results'!$65:$67</definedName>
    <definedName name="Z_FF9ACC84_4B3F_11D3_A9AB_00A024D7BCD8_.wvu.PrintTitles" localSheetId="3" hidden="1">'Sensitivity to %'!$1:$3</definedName>
    <definedName name="Z_FF9ACC86_4B3F_11D3_A9AB_00A024D7BCD8_.wvu.PrintArea" localSheetId="7" hidden="1">'Change in Rev'!$A$1:$P$66</definedName>
    <definedName name="Z_FF9ACC86_4B3F_11D3_A9AB_00A024D7BCD8_.wvu.PrintArea" localSheetId="2" hidden="1">'Cost Shift Breakdown'!$A$1:$D$16</definedName>
    <definedName name="Z_FF9ACC86_4B3F_11D3_A9AB_00A024D7BCD8_.wvu.PrintArea" localSheetId="20" hidden="1">'Demand Change'!$A$1:$P$162</definedName>
    <definedName name="Z_FF9ACC86_4B3F_11D3_A9AB_00A024D7BCD8_.wvu.PrintArea" localSheetId="1" hidden="1">'Effect on Loads'!$A$1:$P$33</definedName>
    <definedName name="Z_FF9ACC86_4B3F_11D3_A9AB_00A024D7BCD8_.wvu.PrintArea" localSheetId="5" hidden="1">'Fixed Revenues'!$A$1:$D$42</definedName>
    <definedName name="Z_FF9ACC86_4B3F_11D3_A9AB_00A024D7BCD8_.wvu.PrintArea" localSheetId="9" hidden="1">'HLH Hyd Gen'!$A$1:$O$52</definedName>
    <definedName name="Z_FF9ACC86_4B3F_11D3_A9AB_00A024D7BCD8_.wvu.PrintArea" localSheetId="18" hidden="1">'HLH Prices'!$A$1:$O$62</definedName>
    <definedName name="Z_FF9ACC86_4B3F_11D3_A9AB_00A024D7BCD8_.wvu.PrintArea" localSheetId="14" hidden="1">'HLH Tot Gen'!$A$1:$P$52</definedName>
    <definedName name="Z_FF9ACC86_4B3F_11D3_A9AB_00A024D7BCD8_.wvu.PrintArea" localSheetId="8" hidden="1">'HLH-LLH Loads'!$A$1:$AB$31</definedName>
    <definedName name="Z_FF9ACC86_4B3F_11D3_A9AB_00A024D7BCD8_.wvu.PrintArea" localSheetId="10" hidden="1">'LLH Hyd Gen'!$A$1:$O$52</definedName>
    <definedName name="Z_FF9ACC86_4B3F_11D3_A9AB_00A024D7BCD8_.wvu.PrintArea" localSheetId="19" hidden="1">'LLH Prices'!$A$1:$O$61</definedName>
    <definedName name="Z_FF9ACC86_4B3F_11D3_A9AB_00A024D7BCD8_.wvu.PrintArea" localSheetId="15" hidden="1">'LLH Tot Gen'!$A$1:$P$52</definedName>
    <definedName name="Z_FF9ACC86_4B3F_11D3_A9AB_00A024D7BCD8_.wvu.PrintArea" localSheetId="4" hidden="1">'Results'!$A$7:$M$41</definedName>
    <definedName name="Z_FF9ACC86_4B3F_11D3_A9AB_00A024D7BCD8_.wvu.PrintArea" localSheetId="3" hidden="1">'Sensitivity to %'!$A$1:$C$103</definedName>
    <definedName name="Z_FF9ACC86_4B3F_11D3_A9AB_00A024D7BCD8_.wvu.PrintArea" localSheetId="11" hidden="1">'Thermal'!$A$1:$O$6</definedName>
    <definedName name="Z_FF9ACC86_4B3F_11D3_A9AB_00A024D7BCD8_.wvu.PrintTitles" localSheetId="7" hidden="1">'Change in Rev'!$1:$2</definedName>
    <definedName name="Z_FF9ACC86_4B3F_11D3_A9AB_00A024D7BCD8_.wvu.PrintTitles" localSheetId="13" hidden="1">'Fed Hyd Ini'!$2:$2</definedName>
    <definedName name="Z_FF9ACC86_4B3F_11D3_A9AB_00A024D7BCD8_.wvu.PrintTitles" localSheetId="9" hidden="1">'HLH Hyd Gen'!$108:$109</definedName>
    <definedName name="Z_FF9ACC86_4B3F_11D3_A9AB_00A024D7BCD8_.wvu.PrintTitles" localSheetId="16" hidden="1">'HLH Slice Load'!$2:$2</definedName>
    <definedName name="Z_FF9ACC86_4B3F_11D3_A9AB_00A024D7BCD8_.wvu.PrintTitles" localSheetId="14" hidden="1">'HLH Tot Gen'!$2:$2</definedName>
    <definedName name="Z_FF9ACC86_4B3F_11D3_A9AB_00A024D7BCD8_.wvu.PrintTitles" localSheetId="10" hidden="1">'LLH Hyd Gen'!$168:$169</definedName>
    <definedName name="Z_FF9ACC86_4B3F_11D3_A9AB_00A024D7BCD8_.wvu.PrintTitles" localSheetId="17" hidden="1">'LLH Slice Load'!$2:$2</definedName>
    <definedName name="Z_FF9ACC86_4B3F_11D3_A9AB_00A024D7BCD8_.wvu.PrintTitles" localSheetId="15" hidden="1">'LLH Tot Gen'!$2:$2</definedName>
    <definedName name="Z_FF9ACC86_4B3F_11D3_A9AB_00A024D7BCD8_.wvu.PrintTitles" localSheetId="4" hidden="1">'Results'!$65:$67</definedName>
    <definedName name="Z_FF9ACC86_4B3F_11D3_A9AB_00A024D7BCD8_.wvu.PrintTitles" localSheetId="3" hidden="1">'Sensitivity to %'!$1:$3</definedName>
    <definedName name="Z_FF9ACC87_4B3F_11D3_A9AB_00A024D7BCD8_.wvu.PrintArea" localSheetId="7" hidden="1">'Change in Rev'!$A$1:$P$66</definedName>
    <definedName name="Z_FF9ACC87_4B3F_11D3_A9AB_00A024D7BCD8_.wvu.PrintArea" localSheetId="2" hidden="1">'Cost Shift Breakdown'!$A$1:$D$16</definedName>
    <definedName name="Z_FF9ACC87_4B3F_11D3_A9AB_00A024D7BCD8_.wvu.PrintArea" localSheetId="20" hidden="1">'Demand Change'!$A$1:$P$162</definedName>
    <definedName name="Z_FF9ACC87_4B3F_11D3_A9AB_00A024D7BCD8_.wvu.PrintArea" localSheetId="1" hidden="1">'Effect on Loads'!$A$1:$P$33</definedName>
    <definedName name="Z_FF9ACC87_4B3F_11D3_A9AB_00A024D7BCD8_.wvu.PrintArea" localSheetId="13" hidden="1">'Fed Hyd Ini'!$A$1:$O$52</definedName>
    <definedName name="Z_FF9ACC87_4B3F_11D3_A9AB_00A024D7BCD8_.wvu.PrintArea" localSheetId="5" hidden="1">'Fixed Revenues'!$A$1:$D$42</definedName>
    <definedName name="Z_FF9ACC87_4B3F_11D3_A9AB_00A024D7BCD8_.wvu.PrintArea" localSheetId="9" hidden="1">'HLH Hyd Gen'!$A$1:$O$52</definedName>
    <definedName name="Z_FF9ACC87_4B3F_11D3_A9AB_00A024D7BCD8_.wvu.PrintArea" localSheetId="18" hidden="1">'HLH Prices'!$A$1:$O$62</definedName>
    <definedName name="Z_FF9ACC87_4B3F_11D3_A9AB_00A024D7BCD8_.wvu.PrintArea" localSheetId="14" hidden="1">'HLH Tot Gen'!$A$1:$P$52</definedName>
    <definedName name="Z_FF9ACC87_4B3F_11D3_A9AB_00A024D7BCD8_.wvu.PrintArea" localSheetId="8" hidden="1">'HLH-LLH Loads'!$A$1:$AB$31</definedName>
    <definedName name="Z_FF9ACC87_4B3F_11D3_A9AB_00A024D7BCD8_.wvu.PrintArea" localSheetId="10" hidden="1">'LLH Hyd Gen'!$A$1:$O$52</definedName>
    <definedName name="Z_FF9ACC87_4B3F_11D3_A9AB_00A024D7BCD8_.wvu.PrintArea" localSheetId="19" hidden="1">'LLH Prices'!$A$1:$O$61</definedName>
    <definedName name="Z_FF9ACC87_4B3F_11D3_A9AB_00A024D7BCD8_.wvu.PrintArea" localSheetId="15" hidden="1">'LLH Tot Gen'!$A$1:$P$52</definedName>
    <definedName name="Z_FF9ACC87_4B3F_11D3_A9AB_00A024D7BCD8_.wvu.PrintArea" localSheetId="4" hidden="1">'Results'!$A$7:$M$41</definedName>
    <definedName name="Z_FF9ACC87_4B3F_11D3_A9AB_00A024D7BCD8_.wvu.PrintArea" localSheetId="3" hidden="1">'Sensitivity to %'!$A$1:$C$103</definedName>
    <definedName name="Z_FF9ACC87_4B3F_11D3_A9AB_00A024D7BCD8_.wvu.PrintArea" localSheetId="11" hidden="1">'Thermal'!$A$1:$O$6</definedName>
    <definedName name="Z_FF9ACC87_4B3F_11D3_A9AB_00A024D7BCD8_.wvu.PrintTitles" localSheetId="7" hidden="1">'Change in Rev'!$1:$2</definedName>
    <definedName name="Z_FF9ACC87_4B3F_11D3_A9AB_00A024D7BCD8_.wvu.PrintTitles" localSheetId="13" hidden="1">'Fed Hyd Ini'!$2:$2</definedName>
    <definedName name="Z_FF9ACC87_4B3F_11D3_A9AB_00A024D7BCD8_.wvu.PrintTitles" localSheetId="9" hidden="1">'HLH Hyd Gen'!$108:$109</definedName>
    <definedName name="Z_FF9ACC87_4B3F_11D3_A9AB_00A024D7BCD8_.wvu.PrintTitles" localSheetId="16" hidden="1">'HLH Slice Load'!$2:$2</definedName>
    <definedName name="Z_FF9ACC87_4B3F_11D3_A9AB_00A024D7BCD8_.wvu.PrintTitles" localSheetId="14" hidden="1">'HLH Tot Gen'!$2:$2</definedName>
    <definedName name="Z_FF9ACC87_4B3F_11D3_A9AB_00A024D7BCD8_.wvu.PrintTitles" localSheetId="10" hidden="1">'LLH Hyd Gen'!$168:$169</definedName>
    <definedName name="Z_FF9ACC87_4B3F_11D3_A9AB_00A024D7BCD8_.wvu.PrintTitles" localSheetId="17" hidden="1">'LLH Slice Load'!$2:$2</definedName>
    <definedName name="Z_FF9ACC87_4B3F_11D3_A9AB_00A024D7BCD8_.wvu.PrintTitles" localSheetId="15" hidden="1">'LLH Tot Gen'!$2:$2</definedName>
    <definedName name="Z_FF9ACC87_4B3F_11D3_A9AB_00A024D7BCD8_.wvu.PrintTitles" localSheetId="4" hidden="1">'Results'!$65:$67</definedName>
    <definedName name="Z_FF9ACC87_4B3F_11D3_A9AB_00A024D7BCD8_.wvu.PrintTitles" localSheetId="3" hidden="1">'Sensitivity to %'!$1:$3</definedName>
    <definedName name="Z_FF9ACC88_4B3F_11D3_A9AB_00A024D7BCD8_.wvu.PrintArea" localSheetId="7" hidden="1">'Change in Rev'!$A$1:$P$66</definedName>
    <definedName name="Z_FF9ACC88_4B3F_11D3_A9AB_00A024D7BCD8_.wvu.PrintArea" localSheetId="2" hidden="1">'Cost Shift Breakdown'!$A$1:$D$16</definedName>
    <definedName name="Z_FF9ACC88_4B3F_11D3_A9AB_00A024D7BCD8_.wvu.PrintArea" localSheetId="20" hidden="1">'Demand Change'!$A$1:$P$162</definedName>
    <definedName name="Z_FF9ACC88_4B3F_11D3_A9AB_00A024D7BCD8_.wvu.PrintArea" localSheetId="1" hidden="1">'Effect on Loads'!$A$1:$P$33</definedName>
    <definedName name="Z_FF9ACC88_4B3F_11D3_A9AB_00A024D7BCD8_.wvu.PrintArea" localSheetId="13" hidden="1">'Fed Hyd Ini'!$A$1:$O$52</definedName>
    <definedName name="Z_FF9ACC88_4B3F_11D3_A9AB_00A024D7BCD8_.wvu.PrintArea" localSheetId="5" hidden="1">'Fixed Revenues'!$A$1:$D$42</definedName>
    <definedName name="Z_FF9ACC88_4B3F_11D3_A9AB_00A024D7BCD8_.wvu.PrintArea" localSheetId="9" hidden="1">'HLH Hyd Gen'!$A$1:$O$52</definedName>
    <definedName name="Z_FF9ACC88_4B3F_11D3_A9AB_00A024D7BCD8_.wvu.PrintArea" localSheetId="18" hidden="1">'HLH Prices'!$A$1:$O$62</definedName>
    <definedName name="Z_FF9ACC88_4B3F_11D3_A9AB_00A024D7BCD8_.wvu.PrintArea" localSheetId="14" hidden="1">'HLH Tot Gen'!$A$1:$P$52</definedName>
    <definedName name="Z_FF9ACC88_4B3F_11D3_A9AB_00A024D7BCD8_.wvu.PrintArea" localSheetId="8" hidden="1">'HLH-LLH Loads'!$A$1:$AB$31</definedName>
    <definedName name="Z_FF9ACC88_4B3F_11D3_A9AB_00A024D7BCD8_.wvu.PrintArea" localSheetId="10" hidden="1">'LLH Hyd Gen'!$A$1:$O$52</definedName>
    <definedName name="Z_FF9ACC88_4B3F_11D3_A9AB_00A024D7BCD8_.wvu.PrintArea" localSheetId="19" hidden="1">'LLH Prices'!$A$1:$O$61</definedName>
    <definedName name="Z_FF9ACC88_4B3F_11D3_A9AB_00A024D7BCD8_.wvu.PrintArea" localSheetId="15" hidden="1">'LLH Tot Gen'!$A$1:$P$52</definedName>
    <definedName name="Z_FF9ACC88_4B3F_11D3_A9AB_00A024D7BCD8_.wvu.PrintArea" localSheetId="4" hidden="1">'Results'!$A$7:$M$41</definedName>
    <definedName name="Z_FF9ACC88_4B3F_11D3_A9AB_00A024D7BCD8_.wvu.PrintArea" localSheetId="3" hidden="1">'Sensitivity to %'!$A$1:$C$103</definedName>
    <definedName name="Z_FF9ACC88_4B3F_11D3_A9AB_00A024D7BCD8_.wvu.PrintArea" localSheetId="11" hidden="1">'Thermal'!$A$1:$O$6</definedName>
    <definedName name="Z_FF9ACC88_4B3F_11D3_A9AB_00A024D7BCD8_.wvu.PrintTitles" localSheetId="7" hidden="1">'Change in Rev'!$1:$2</definedName>
    <definedName name="Z_FF9ACC88_4B3F_11D3_A9AB_00A024D7BCD8_.wvu.PrintTitles" localSheetId="13" hidden="1">'Fed Hyd Ini'!$2:$2</definedName>
    <definedName name="Z_FF9ACC88_4B3F_11D3_A9AB_00A024D7BCD8_.wvu.PrintTitles" localSheetId="9" hidden="1">'HLH Hyd Gen'!$108:$109</definedName>
    <definedName name="Z_FF9ACC88_4B3F_11D3_A9AB_00A024D7BCD8_.wvu.PrintTitles" localSheetId="16" hidden="1">'HLH Slice Load'!$2:$2</definedName>
    <definedName name="Z_FF9ACC88_4B3F_11D3_A9AB_00A024D7BCD8_.wvu.PrintTitles" localSheetId="14" hidden="1">'HLH Tot Gen'!$2:$2</definedName>
    <definedName name="Z_FF9ACC88_4B3F_11D3_A9AB_00A024D7BCD8_.wvu.PrintTitles" localSheetId="10" hidden="1">'LLH Hyd Gen'!$168:$169</definedName>
    <definedName name="Z_FF9ACC88_4B3F_11D3_A9AB_00A024D7BCD8_.wvu.PrintTitles" localSheetId="17" hidden="1">'LLH Slice Load'!$2:$2</definedName>
    <definedName name="Z_FF9ACC88_4B3F_11D3_A9AB_00A024D7BCD8_.wvu.PrintTitles" localSheetId="15" hidden="1">'LLH Tot Gen'!$2:$2</definedName>
    <definedName name="Z_FF9ACC88_4B3F_11D3_A9AB_00A024D7BCD8_.wvu.PrintTitles" localSheetId="4" hidden="1">'Results'!$65:$67</definedName>
    <definedName name="Z_FF9ACC88_4B3F_11D3_A9AB_00A024D7BCD8_.wvu.PrintTitles" localSheetId="3" hidden="1">'Sensitivity to %'!$1:$3</definedName>
    <definedName name="Z_FF9ACC89_4B3F_11D3_A9AB_00A024D7BCD8_.wvu.PrintArea" localSheetId="7" hidden="1">'Change in Rev'!$A$1:$P$66</definedName>
    <definedName name="Z_FF9ACC89_4B3F_11D3_A9AB_00A024D7BCD8_.wvu.PrintArea" localSheetId="2" hidden="1">'Cost Shift Breakdown'!$A$1:$D$16</definedName>
    <definedName name="Z_FF9ACC89_4B3F_11D3_A9AB_00A024D7BCD8_.wvu.PrintArea" localSheetId="20" hidden="1">'Demand Change'!$A$1:$P$162</definedName>
    <definedName name="Z_FF9ACC89_4B3F_11D3_A9AB_00A024D7BCD8_.wvu.PrintArea" localSheetId="1" hidden="1">'Effect on Loads'!$A$1:$P$33</definedName>
    <definedName name="Z_FF9ACC89_4B3F_11D3_A9AB_00A024D7BCD8_.wvu.PrintArea" localSheetId="13" hidden="1">'Fed Hyd Ini'!$A$1:$O$52</definedName>
    <definedName name="Z_FF9ACC89_4B3F_11D3_A9AB_00A024D7BCD8_.wvu.PrintArea" localSheetId="5" hidden="1">'Fixed Revenues'!$A$1:$D$42</definedName>
    <definedName name="Z_FF9ACC89_4B3F_11D3_A9AB_00A024D7BCD8_.wvu.PrintArea" localSheetId="9" hidden="1">'HLH Hyd Gen'!$A$1:$O$52</definedName>
    <definedName name="Z_FF9ACC89_4B3F_11D3_A9AB_00A024D7BCD8_.wvu.PrintArea" localSheetId="18" hidden="1">'HLH Prices'!$A$1:$O$62</definedName>
    <definedName name="Z_FF9ACC89_4B3F_11D3_A9AB_00A024D7BCD8_.wvu.PrintArea" localSheetId="14" hidden="1">'HLH Tot Gen'!$A$1:$P$52</definedName>
    <definedName name="Z_FF9ACC89_4B3F_11D3_A9AB_00A024D7BCD8_.wvu.PrintArea" localSheetId="8" hidden="1">'HLH-LLH Loads'!$A$1:$AB$31</definedName>
    <definedName name="Z_FF9ACC89_4B3F_11D3_A9AB_00A024D7BCD8_.wvu.PrintArea" localSheetId="10" hidden="1">'LLH Hyd Gen'!$A$1:$O$52</definedName>
    <definedName name="Z_FF9ACC89_4B3F_11D3_A9AB_00A024D7BCD8_.wvu.PrintArea" localSheetId="19" hidden="1">'LLH Prices'!$A$1:$O$61</definedName>
    <definedName name="Z_FF9ACC89_4B3F_11D3_A9AB_00A024D7BCD8_.wvu.PrintArea" localSheetId="15" hidden="1">'LLH Tot Gen'!$A$1:$P$52</definedName>
    <definedName name="Z_FF9ACC89_4B3F_11D3_A9AB_00A024D7BCD8_.wvu.PrintArea" localSheetId="4" hidden="1">'Results'!$A$7:$M$41</definedName>
    <definedName name="Z_FF9ACC89_4B3F_11D3_A9AB_00A024D7BCD8_.wvu.PrintArea" localSheetId="3" hidden="1">'Sensitivity to %'!$A$1:$C$103</definedName>
    <definedName name="Z_FF9ACC89_4B3F_11D3_A9AB_00A024D7BCD8_.wvu.PrintArea" localSheetId="11" hidden="1">'Thermal'!$A$1:$O$6</definedName>
    <definedName name="Z_FF9ACC89_4B3F_11D3_A9AB_00A024D7BCD8_.wvu.PrintTitles" localSheetId="7" hidden="1">'Change in Rev'!$1:$2</definedName>
    <definedName name="Z_FF9ACC89_4B3F_11D3_A9AB_00A024D7BCD8_.wvu.PrintTitles" localSheetId="13" hidden="1">'Fed Hyd Ini'!$2:$2</definedName>
    <definedName name="Z_FF9ACC89_4B3F_11D3_A9AB_00A024D7BCD8_.wvu.PrintTitles" localSheetId="9" hidden="1">'HLH Hyd Gen'!$108:$109</definedName>
    <definedName name="Z_FF9ACC89_4B3F_11D3_A9AB_00A024D7BCD8_.wvu.PrintTitles" localSheetId="16" hidden="1">'HLH Slice Load'!$2:$2</definedName>
    <definedName name="Z_FF9ACC89_4B3F_11D3_A9AB_00A024D7BCD8_.wvu.PrintTitles" localSheetId="14" hidden="1">'HLH Tot Gen'!$2:$2</definedName>
    <definedName name="Z_FF9ACC89_4B3F_11D3_A9AB_00A024D7BCD8_.wvu.PrintTitles" localSheetId="10" hidden="1">'LLH Hyd Gen'!$168:$169</definedName>
    <definedName name="Z_FF9ACC89_4B3F_11D3_A9AB_00A024D7BCD8_.wvu.PrintTitles" localSheetId="17" hidden="1">'LLH Slice Load'!$2:$2</definedName>
    <definedName name="Z_FF9ACC89_4B3F_11D3_A9AB_00A024D7BCD8_.wvu.PrintTitles" localSheetId="15" hidden="1">'LLH Tot Gen'!$2:$2</definedName>
    <definedName name="Z_FF9ACC89_4B3F_11D3_A9AB_00A024D7BCD8_.wvu.PrintTitles" localSheetId="4" hidden="1">'Results'!$65:$67</definedName>
    <definedName name="Z_FF9ACC89_4B3F_11D3_A9AB_00A024D7BCD8_.wvu.PrintTitles" localSheetId="3" hidden="1">'Sensitivity to %'!$1:$3</definedName>
    <definedName name="Z_FF9ACC8A_4B3F_11D3_A9AB_00A024D7BCD8_.wvu.PrintArea" localSheetId="7" hidden="1">'Change in Rev'!$A$1:$P$66</definedName>
    <definedName name="Z_FF9ACC8A_4B3F_11D3_A9AB_00A024D7BCD8_.wvu.PrintArea" localSheetId="2" hidden="1">'Cost Shift Breakdown'!$A$1:$D$16</definedName>
    <definedName name="Z_FF9ACC8A_4B3F_11D3_A9AB_00A024D7BCD8_.wvu.PrintArea" localSheetId="20" hidden="1">'Demand Change'!$A$1:$P$162</definedName>
    <definedName name="Z_FF9ACC8A_4B3F_11D3_A9AB_00A024D7BCD8_.wvu.PrintArea" localSheetId="1" hidden="1">'Effect on Loads'!$A$1:$P$33</definedName>
    <definedName name="Z_FF9ACC8A_4B3F_11D3_A9AB_00A024D7BCD8_.wvu.PrintArea" localSheetId="13" hidden="1">'Fed Hyd Ini'!$A$1:$O$52</definedName>
    <definedName name="Z_FF9ACC8A_4B3F_11D3_A9AB_00A024D7BCD8_.wvu.PrintArea" localSheetId="5" hidden="1">'Fixed Revenues'!$A$1:$D$42</definedName>
    <definedName name="Z_FF9ACC8A_4B3F_11D3_A9AB_00A024D7BCD8_.wvu.PrintArea" localSheetId="9" hidden="1">'HLH Hyd Gen'!$A$1:$O$52</definedName>
    <definedName name="Z_FF9ACC8A_4B3F_11D3_A9AB_00A024D7BCD8_.wvu.PrintArea" localSheetId="18" hidden="1">'HLH Prices'!$A$1:$O$62</definedName>
    <definedName name="Z_FF9ACC8A_4B3F_11D3_A9AB_00A024D7BCD8_.wvu.PrintArea" localSheetId="14" hidden="1">'HLH Tot Gen'!$A$1:$P$52</definedName>
    <definedName name="Z_FF9ACC8A_4B3F_11D3_A9AB_00A024D7BCD8_.wvu.PrintArea" localSheetId="8" hidden="1">'HLH-LLH Loads'!$A$1:$AB$31</definedName>
    <definedName name="Z_FF9ACC8A_4B3F_11D3_A9AB_00A024D7BCD8_.wvu.PrintArea" localSheetId="10" hidden="1">'LLH Hyd Gen'!$A$1:$O$52</definedName>
    <definedName name="Z_FF9ACC8A_4B3F_11D3_A9AB_00A024D7BCD8_.wvu.PrintArea" localSheetId="19" hidden="1">'LLH Prices'!$A$1:$O$61</definedName>
    <definedName name="Z_FF9ACC8A_4B3F_11D3_A9AB_00A024D7BCD8_.wvu.PrintArea" localSheetId="15" hidden="1">'LLH Tot Gen'!$A$1:$P$52</definedName>
    <definedName name="Z_FF9ACC8A_4B3F_11D3_A9AB_00A024D7BCD8_.wvu.PrintArea" localSheetId="4" hidden="1">'Results'!$A$7:$M$41</definedName>
    <definedName name="Z_FF9ACC8A_4B3F_11D3_A9AB_00A024D7BCD8_.wvu.PrintArea" localSheetId="3" hidden="1">'Sensitivity to %'!$A$1:$C$103</definedName>
    <definedName name="Z_FF9ACC8A_4B3F_11D3_A9AB_00A024D7BCD8_.wvu.PrintArea" localSheetId="11" hidden="1">'Thermal'!$A$1:$O$6</definedName>
    <definedName name="Z_FF9ACC8A_4B3F_11D3_A9AB_00A024D7BCD8_.wvu.PrintTitles" localSheetId="7" hidden="1">'Change in Rev'!$1:$2</definedName>
    <definedName name="Z_FF9ACC8A_4B3F_11D3_A9AB_00A024D7BCD8_.wvu.PrintTitles" localSheetId="13" hidden="1">'Fed Hyd Ini'!$2:$2</definedName>
    <definedName name="Z_FF9ACC8A_4B3F_11D3_A9AB_00A024D7BCD8_.wvu.PrintTitles" localSheetId="9" hidden="1">'HLH Hyd Gen'!$108:$109</definedName>
    <definedName name="Z_FF9ACC8A_4B3F_11D3_A9AB_00A024D7BCD8_.wvu.PrintTitles" localSheetId="16" hidden="1">'HLH Slice Load'!$2:$2</definedName>
    <definedName name="Z_FF9ACC8A_4B3F_11D3_A9AB_00A024D7BCD8_.wvu.PrintTitles" localSheetId="14" hidden="1">'HLH Tot Gen'!$2:$2</definedName>
    <definedName name="Z_FF9ACC8A_4B3F_11D3_A9AB_00A024D7BCD8_.wvu.PrintTitles" localSheetId="10" hidden="1">'LLH Hyd Gen'!$168:$169</definedName>
    <definedName name="Z_FF9ACC8A_4B3F_11D3_A9AB_00A024D7BCD8_.wvu.PrintTitles" localSheetId="17" hidden="1">'LLH Slice Load'!$2:$2</definedName>
    <definedName name="Z_FF9ACC8A_4B3F_11D3_A9AB_00A024D7BCD8_.wvu.PrintTitles" localSheetId="15" hidden="1">'LLH Tot Gen'!$2:$2</definedName>
    <definedName name="Z_FF9ACC8A_4B3F_11D3_A9AB_00A024D7BCD8_.wvu.PrintTitles" localSheetId="4" hidden="1">'Results'!$65:$67</definedName>
    <definedName name="Z_FF9ACC8A_4B3F_11D3_A9AB_00A024D7BCD8_.wvu.PrintTitles" localSheetId="3" hidden="1">'Sensitivity to %'!$1:$3</definedName>
    <definedName name="Z_FF9ACC8B_4B3F_11D3_A9AB_00A024D7BCD8_.wvu.PrintArea" localSheetId="7" hidden="1">'Change in Rev'!$A$1:$P$66</definedName>
    <definedName name="Z_FF9ACC8B_4B3F_11D3_A9AB_00A024D7BCD8_.wvu.PrintArea" localSheetId="2" hidden="1">'Cost Shift Breakdown'!$A$1:$D$16</definedName>
    <definedName name="Z_FF9ACC8B_4B3F_11D3_A9AB_00A024D7BCD8_.wvu.PrintArea" localSheetId="20" hidden="1">'Demand Change'!$A$1:$P$162</definedName>
    <definedName name="Z_FF9ACC8B_4B3F_11D3_A9AB_00A024D7BCD8_.wvu.PrintArea" localSheetId="1" hidden="1">'Effect on Loads'!$A$1:$P$33</definedName>
    <definedName name="Z_FF9ACC8B_4B3F_11D3_A9AB_00A024D7BCD8_.wvu.PrintArea" localSheetId="13" hidden="1">'Fed Hyd Ini'!$A$1:$O$52</definedName>
    <definedName name="Z_FF9ACC8B_4B3F_11D3_A9AB_00A024D7BCD8_.wvu.PrintArea" localSheetId="5" hidden="1">'Fixed Revenues'!$A$1:$D$42</definedName>
    <definedName name="Z_FF9ACC8B_4B3F_11D3_A9AB_00A024D7BCD8_.wvu.PrintArea" localSheetId="9" hidden="1">'HLH Hyd Gen'!$A$1:$O$52</definedName>
    <definedName name="Z_FF9ACC8B_4B3F_11D3_A9AB_00A024D7BCD8_.wvu.PrintArea" localSheetId="18" hidden="1">'HLH Prices'!$A$1:$O$62</definedName>
    <definedName name="Z_FF9ACC8B_4B3F_11D3_A9AB_00A024D7BCD8_.wvu.PrintArea" localSheetId="14" hidden="1">'HLH Tot Gen'!$A$1:$P$52</definedName>
    <definedName name="Z_FF9ACC8B_4B3F_11D3_A9AB_00A024D7BCD8_.wvu.PrintArea" localSheetId="8" hidden="1">'HLH-LLH Loads'!$A$1:$AB$31</definedName>
    <definedName name="Z_FF9ACC8B_4B3F_11D3_A9AB_00A024D7BCD8_.wvu.PrintArea" localSheetId="10" hidden="1">'LLH Hyd Gen'!$A$1:$O$52</definedName>
    <definedName name="Z_FF9ACC8B_4B3F_11D3_A9AB_00A024D7BCD8_.wvu.PrintArea" localSheetId="19" hidden="1">'LLH Prices'!$A$1:$O$61</definedName>
    <definedName name="Z_FF9ACC8B_4B3F_11D3_A9AB_00A024D7BCD8_.wvu.PrintArea" localSheetId="17" hidden="1">'LLH Slice Load'!$A$1:$P$53</definedName>
    <definedName name="Z_FF9ACC8B_4B3F_11D3_A9AB_00A024D7BCD8_.wvu.PrintArea" localSheetId="15" hidden="1">'LLH Tot Gen'!$A$1:$P$52</definedName>
    <definedName name="Z_FF9ACC8B_4B3F_11D3_A9AB_00A024D7BCD8_.wvu.PrintArea" localSheetId="4" hidden="1">'Results'!$A$7:$M$41</definedName>
    <definedName name="Z_FF9ACC8B_4B3F_11D3_A9AB_00A024D7BCD8_.wvu.PrintArea" localSheetId="3" hidden="1">'Sensitivity to %'!$A$1:$C$103</definedName>
    <definedName name="Z_FF9ACC8B_4B3F_11D3_A9AB_00A024D7BCD8_.wvu.PrintArea" localSheetId="11" hidden="1">'Thermal'!$A$1:$O$6</definedName>
    <definedName name="Z_FF9ACC8B_4B3F_11D3_A9AB_00A024D7BCD8_.wvu.PrintTitles" localSheetId="7" hidden="1">'Change in Rev'!$1:$2</definedName>
    <definedName name="Z_FF9ACC8B_4B3F_11D3_A9AB_00A024D7BCD8_.wvu.PrintTitles" localSheetId="13" hidden="1">'Fed Hyd Ini'!$2:$2</definedName>
    <definedName name="Z_FF9ACC8B_4B3F_11D3_A9AB_00A024D7BCD8_.wvu.PrintTitles" localSheetId="9" hidden="1">'HLH Hyd Gen'!$108:$109</definedName>
    <definedName name="Z_FF9ACC8B_4B3F_11D3_A9AB_00A024D7BCD8_.wvu.PrintTitles" localSheetId="16" hidden="1">'HLH Slice Load'!$2:$2</definedName>
    <definedName name="Z_FF9ACC8B_4B3F_11D3_A9AB_00A024D7BCD8_.wvu.PrintTitles" localSheetId="14" hidden="1">'HLH Tot Gen'!$2:$2</definedName>
    <definedName name="Z_FF9ACC8B_4B3F_11D3_A9AB_00A024D7BCD8_.wvu.PrintTitles" localSheetId="10" hidden="1">'LLH Hyd Gen'!$168:$169</definedName>
    <definedName name="Z_FF9ACC8B_4B3F_11D3_A9AB_00A024D7BCD8_.wvu.PrintTitles" localSheetId="17" hidden="1">'LLH Slice Load'!$2:$2</definedName>
    <definedName name="Z_FF9ACC8B_4B3F_11D3_A9AB_00A024D7BCD8_.wvu.PrintTitles" localSheetId="15" hidden="1">'LLH Tot Gen'!$2:$2</definedName>
    <definedName name="Z_FF9ACC8B_4B3F_11D3_A9AB_00A024D7BCD8_.wvu.PrintTitles" localSheetId="4" hidden="1">'Results'!$65:$67</definedName>
    <definedName name="Z_FF9ACC8B_4B3F_11D3_A9AB_00A024D7BCD8_.wvu.PrintTitles" localSheetId="3" hidden="1">'Sensitivity to %'!$1:$3</definedName>
    <definedName name="Z_FF9ACC8C_4B3F_11D3_A9AB_00A024D7BCD8_.wvu.PrintArea" localSheetId="7" hidden="1">'Change in Rev'!$A$1:$P$66</definedName>
    <definedName name="Z_FF9ACC8C_4B3F_11D3_A9AB_00A024D7BCD8_.wvu.PrintArea" localSheetId="2" hidden="1">'Cost Shift Breakdown'!$A$1:$D$16</definedName>
    <definedName name="Z_FF9ACC8C_4B3F_11D3_A9AB_00A024D7BCD8_.wvu.PrintArea" localSheetId="20" hidden="1">'Demand Change'!$A$1:$P$162</definedName>
    <definedName name="Z_FF9ACC8C_4B3F_11D3_A9AB_00A024D7BCD8_.wvu.PrintArea" localSheetId="1" hidden="1">'Effect on Loads'!$A$1:$P$33</definedName>
    <definedName name="Z_FF9ACC8C_4B3F_11D3_A9AB_00A024D7BCD8_.wvu.PrintArea" localSheetId="13" hidden="1">'Fed Hyd Ini'!$A$1:$O$52</definedName>
    <definedName name="Z_FF9ACC8C_4B3F_11D3_A9AB_00A024D7BCD8_.wvu.PrintArea" localSheetId="5" hidden="1">'Fixed Revenues'!$A$1:$D$42</definedName>
    <definedName name="Z_FF9ACC8C_4B3F_11D3_A9AB_00A024D7BCD8_.wvu.PrintArea" localSheetId="9" hidden="1">'HLH Hyd Gen'!$A$1:$O$52</definedName>
    <definedName name="Z_FF9ACC8C_4B3F_11D3_A9AB_00A024D7BCD8_.wvu.PrintArea" localSheetId="18" hidden="1">'HLH Prices'!$A$1:$O$62</definedName>
    <definedName name="Z_FF9ACC8C_4B3F_11D3_A9AB_00A024D7BCD8_.wvu.PrintArea" localSheetId="14" hidden="1">'HLH Tot Gen'!$A$1:$P$52</definedName>
    <definedName name="Z_FF9ACC8C_4B3F_11D3_A9AB_00A024D7BCD8_.wvu.PrintArea" localSheetId="8" hidden="1">'HLH-LLH Loads'!$A$1:$AB$31</definedName>
    <definedName name="Z_FF9ACC8C_4B3F_11D3_A9AB_00A024D7BCD8_.wvu.PrintArea" localSheetId="10" hidden="1">'LLH Hyd Gen'!$A$1:$O$52</definedName>
    <definedName name="Z_FF9ACC8C_4B3F_11D3_A9AB_00A024D7BCD8_.wvu.PrintArea" localSheetId="19" hidden="1">'LLH Prices'!$A$1:$O$61</definedName>
    <definedName name="Z_FF9ACC8C_4B3F_11D3_A9AB_00A024D7BCD8_.wvu.PrintArea" localSheetId="17" hidden="1">'LLH Slice Load'!$A$1:$P$53</definedName>
    <definedName name="Z_FF9ACC8C_4B3F_11D3_A9AB_00A024D7BCD8_.wvu.PrintArea" localSheetId="15" hidden="1">'LLH Tot Gen'!$A$1:$P$52</definedName>
    <definedName name="Z_FF9ACC8C_4B3F_11D3_A9AB_00A024D7BCD8_.wvu.PrintArea" localSheetId="4" hidden="1">'Results'!$A$7:$M$41</definedName>
    <definedName name="Z_FF9ACC8C_4B3F_11D3_A9AB_00A024D7BCD8_.wvu.PrintArea" localSheetId="3" hidden="1">'Sensitivity to %'!$A$1:$C$103</definedName>
    <definedName name="Z_FF9ACC8C_4B3F_11D3_A9AB_00A024D7BCD8_.wvu.PrintArea" localSheetId="11" hidden="1">'Thermal'!$A$1:$O$6</definedName>
    <definedName name="Z_FF9ACC8C_4B3F_11D3_A9AB_00A024D7BCD8_.wvu.PrintTitles" localSheetId="7" hidden="1">'Change in Rev'!$1:$2</definedName>
    <definedName name="Z_FF9ACC8C_4B3F_11D3_A9AB_00A024D7BCD8_.wvu.PrintTitles" localSheetId="13" hidden="1">'Fed Hyd Ini'!$2:$2</definedName>
    <definedName name="Z_FF9ACC8C_4B3F_11D3_A9AB_00A024D7BCD8_.wvu.PrintTitles" localSheetId="9" hidden="1">'HLH Hyd Gen'!$108:$109</definedName>
    <definedName name="Z_FF9ACC8C_4B3F_11D3_A9AB_00A024D7BCD8_.wvu.PrintTitles" localSheetId="16" hidden="1">'HLH Slice Load'!$2:$2</definedName>
    <definedName name="Z_FF9ACC8C_4B3F_11D3_A9AB_00A024D7BCD8_.wvu.PrintTitles" localSheetId="14" hidden="1">'HLH Tot Gen'!$2:$2</definedName>
    <definedName name="Z_FF9ACC8C_4B3F_11D3_A9AB_00A024D7BCD8_.wvu.PrintTitles" localSheetId="10" hidden="1">'LLH Hyd Gen'!$168:$169</definedName>
    <definedName name="Z_FF9ACC8C_4B3F_11D3_A9AB_00A024D7BCD8_.wvu.PrintTitles" localSheetId="17" hidden="1">'LLH Slice Load'!$2:$2</definedName>
    <definedName name="Z_FF9ACC8C_4B3F_11D3_A9AB_00A024D7BCD8_.wvu.PrintTitles" localSheetId="15" hidden="1">'LLH Tot Gen'!$2:$2</definedName>
    <definedName name="Z_FF9ACC8C_4B3F_11D3_A9AB_00A024D7BCD8_.wvu.PrintTitles" localSheetId="4" hidden="1">'Results'!$65:$67</definedName>
    <definedName name="Z_FF9ACC8C_4B3F_11D3_A9AB_00A024D7BCD8_.wvu.PrintTitles" localSheetId="3" hidden="1">'Sensitivity to %'!$1:$3</definedName>
    <definedName name="Z_FF9ACC8D_4B3F_11D3_A9AB_00A024D7BCD8_.wvu.PrintArea" localSheetId="7" hidden="1">'Change in Rev'!$A$1:$P$66</definedName>
    <definedName name="Z_FF9ACC8D_4B3F_11D3_A9AB_00A024D7BCD8_.wvu.PrintArea" localSheetId="2" hidden="1">'Cost Shift Breakdown'!$A$1:$D$16</definedName>
    <definedName name="Z_FF9ACC8D_4B3F_11D3_A9AB_00A024D7BCD8_.wvu.PrintArea" localSheetId="20" hidden="1">'Demand Change'!$A$1:$P$162</definedName>
    <definedName name="Z_FF9ACC8D_4B3F_11D3_A9AB_00A024D7BCD8_.wvu.PrintArea" localSheetId="1" hidden="1">'Effect on Loads'!$A$1:$P$33</definedName>
    <definedName name="Z_FF9ACC8D_4B3F_11D3_A9AB_00A024D7BCD8_.wvu.PrintArea" localSheetId="13" hidden="1">'Fed Hyd Ini'!$A$1:$O$52</definedName>
    <definedName name="Z_FF9ACC8D_4B3F_11D3_A9AB_00A024D7BCD8_.wvu.PrintArea" localSheetId="5" hidden="1">'Fixed Revenues'!$A$1:$D$42</definedName>
    <definedName name="Z_FF9ACC8D_4B3F_11D3_A9AB_00A024D7BCD8_.wvu.PrintArea" localSheetId="9" hidden="1">'HLH Hyd Gen'!$A$1:$O$52</definedName>
    <definedName name="Z_FF9ACC8D_4B3F_11D3_A9AB_00A024D7BCD8_.wvu.PrintArea" localSheetId="18" hidden="1">'HLH Prices'!$A$1:$O$62</definedName>
    <definedName name="Z_FF9ACC8D_4B3F_11D3_A9AB_00A024D7BCD8_.wvu.PrintArea" localSheetId="14" hidden="1">'HLH Tot Gen'!$A$1:$P$52</definedName>
    <definedName name="Z_FF9ACC8D_4B3F_11D3_A9AB_00A024D7BCD8_.wvu.PrintArea" localSheetId="8" hidden="1">'HLH-LLH Loads'!$A$1:$AB$31</definedName>
    <definedName name="Z_FF9ACC8D_4B3F_11D3_A9AB_00A024D7BCD8_.wvu.PrintArea" localSheetId="10" hidden="1">'LLH Hyd Gen'!$A$1:$O$52</definedName>
    <definedName name="Z_FF9ACC8D_4B3F_11D3_A9AB_00A024D7BCD8_.wvu.PrintArea" localSheetId="19" hidden="1">'LLH Prices'!$A$1:$O$61</definedName>
    <definedName name="Z_FF9ACC8D_4B3F_11D3_A9AB_00A024D7BCD8_.wvu.PrintArea" localSheetId="17" hidden="1">'LLH Slice Load'!$A$1:$P$53</definedName>
    <definedName name="Z_FF9ACC8D_4B3F_11D3_A9AB_00A024D7BCD8_.wvu.PrintArea" localSheetId="15" hidden="1">'LLH Tot Gen'!$A$1:$P$52</definedName>
    <definedName name="Z_FF9ACC8D_4B3F_11D3_A9AB_00A024D7BCD8_.wvu.PrintArea" localSheetId="4" hidden="1">'Results'!$A$7:$M$41</definedName>
    <definedName name="Z_FF9ACC8D_4B3F_11D3_A9AB_00A024D7BCD8_.wvu.PrintArea" localSheetId="3" hidden="1">'Sensitivity to %'!$A$1:$C$103</definedName>
    <definedName name="Z_FF9ACC8D_4B3F_11D3_A9AB_00A024D7BCD8_.wvu.PrintArea" localSheetId="11" hidden="1">'Thermal'!$A$1:$O$6</definedName>
    <definedName name="Z_FF9ACC8D_4B3F_11D3_A9AB_00A024D7BCD8_.wvu.PrintTitles" localSheetId="7" hidden="1">'Change in Rev'!$1:$2</definedName>
    <definedName name="Z_FF9ACC8D_4B3F_11D3_A9AB_00A024D7BCD8_.wvu.PrintTitles" localSheetId="13" hidden="1">'Fed Hyd Ini'!$2:$2</definedName>
    <definedName name="Z_FF9ACC8D_4B3F_11D3_A9AB_00A024D7BCD8_.wvu.PrintTitles" localSheetId="9" hidden="1">'HLH Hyd Gen'!$108:$109</definedName>
    <definedName name="Z_FF9ACC8D_4B3F_11D3_A9AB_00A024D7BCD8_.wvu.PrintTitles" localSheetId="16" hidden="1">'HLH Slice Load'!$2:$2</definedName>
    <definedName name="Z_FF9ACC8D_4B3F_11D3_A9AB_00A024D7BCD8_.wvu.PrintTitles" localSheetId="14" hidden="1">'HLH Tot Gen'!$2:$2</definedName>
    <definedName name="Z_FF9ACC8D_4B3F_11D3_A9AB_00A024D7BCD8_.wvu.PrintTitles" localSheetId="10" hidden="1">'LLH Hyd Gen'!$168:$169</definedName>
    <definedName name="Z_FF9ACC8D_4B3F_11D3_A9AB_00A024D7BCD8_.wvu.PrintTitles" localSheetId="17" hidden="1">'LLH Slice Load'!$2:$2</definedName>
    <definedName name="Z_FF9ACC8D_4B3F_11D3_A9AB_00A024D7BCD8_.wvu.PrintTitles" localSheetId="15" hidden="1">'LLH Tot Gen'!$2:$2</definedName>
    <definedName name="Z_FF9ACC8D_4B3F_11D3_A9AB_00A024D7BCD8_.wvu.PrintTitles" localSheetId="4" hidden="1">'Results'!$65:$67</definedName>
    <definedName name="Z_FF9ACC8D_4B3F_11D3_A9AB_00A024D7BCD8_.wvu.PrintTitles" localSheetId="3" hidden="1">'Sensitivity to %'!$1:$3</definedName>
    <definedName name="Z_FF9ACC8E_4B3F_11D3_A9AB_00A024D7BCD8_.wvu.PrintArea" localSheetId="7" hidden="1">'Change in Rev'!$A$1:$P$66</definedName>
    <definedName name="Z_FF9ACC8E_4B3F_11D3_A9AB_00A024D7BCD8_.wvu.PrintArea" localSheetId="2" hidden="1">'Cost Shift Breakdown'!$A$1:$D$16</definedName>
    <definedName name="Z_FF9ACC8E_4B3F_11D3_A9AB_00A024D7BCD8_.wvu.PrintArea" localSheetId="20" hidden="1">'Demand Change'!$A$1:$P$162</definedName>
    <definedName name="Z_FF9ACC8E_4B3F_11D3_A9AB_00A024D7BCD8_.wvu.PrintArea" localSheetId="1" hidden="1">'Effect on Loads'!$A$1:$P$33</definedName>
    <definedName name="Z_FF9ACC8E_4B3F_11D3_A9AB_00A024D7BCD8_.wvu.PrintArea" localSheetId="13" hidden="1">'Fed Hyd Ini'!$A$1:$O$52</definedName>
    <definedName name="Z_FF9ACC8E_4B3F_11D3_A9AB_00A024D7BCD8_.wvu.PrintArea" localSheetId="5" hidden="1">'Fixed Revenues'!$A$1:$D$42</definedName>
    <definedName name="Z_FF9ACC8E_4B3F_11D3_A9AB_00A024D7BCD8_.wvu.PrintArea" localSheetId="9" hidden="1">'HLH Hyd Gen'!$A$1:$O$52</definedName>
    <definedName name="Z_FF9ACC8E_4B3F_11D3_A9AB_00A024D7BCD8_.wvu.PrintArea" localSheetId="18" hidden="1">'HLH Prices'!$A$1:$O$62</definedName>
    <definedName name="Z_FF9ACC8E_4B3F_11D3_A9AB_00A024D7BCD8_.wvu.PrintArea" localSheetId="14" hidden="1">'HLH Tot Gen'!$A$1:$P$52</definedName>
    <definedName name="Z_FF9ACC8E_4B3F_11D3_A9AB_00A024D7BCD8_.wvu.PrintArea" localSheetId="8" hidden="1">'HLH-LLH Loads'!$A$1:$AB$31</definedName>
    <definedName name="Z_FF9ACC8E_4B3F_11D3_A9AB_00A024D7BCD8_.wvu.PrintArea" localSheetId="10" hidden="1">'LLH Hyd Gen'!$A$1:$O$52</definedName>
    <definedName name="Z_FF9ACC8E_4B3F_11D3_A9AB_00A024D7BCD8_.wvu.PrintArea" localSheetId="19" hidden="1">'LLH Prices'!$A$1:$O$61</definedName>
    <definedName name="Z_FF9ACC8E_4B3F_11D3_A9AB_00A024D7BCD8_.wvu.PrintArea" localSheetId="17" hidden="1">'LLH Slice Load'!$A$1:$P$53</definedName>
    <definedName name="Z_FF9ACC8E_4B3F_11D3_A9AB_00A024D7BCD8_.wvu.PrintArea" localSheetId="15" hidden="1">'LLH Tot Gen'!$A$1:$P$52</definedName>
    <definedName name="Z_FF9ACC8E_4B3F_11D3_A9AB_00A024D7BCD8_.wvu.PrintArea" localSheetId="4" hidden="1">'Results'!$A$7:$M$41</definedName>
    <definedName name="Z_FF9ACC8E_4B3F_11D3_A9AB_00A024D7BCD8_.wvu.PrintArea" localSheetId="3" hidden="1">'Sensitivity to %'!$A$1:$C$103</definedName>
    <definedName name="Z_FF9ACC8E_4B3F_11D3_A9AB_00A024D7BCD8_.wvu.PrintArea" localSheetId="11" hidden="1">'Thermal'!$A$1:$O$6</definedName>
    <definedName name="Z_FF9ACC8E_4B3F_11D3_A9AB_00A024D7BCD8_.wvu.PrintTitles" localSheetId="7" hidden="1">'Change in Rev'!$1:$2</definedName>
    <definedName name="Z_FF9ACC8E_4B3F_11D3_A9AB_00A024D7BCD8_.wvu.PrintTitles" localSheetId="13" hidden="1">'Fed Hyd Ini'!$2:$2</definedName>
    <definedName name="Z_FF9ACC8E_4B3F_11D3_A9AB_00A024D7BCD8_.wvu.PrintTitles" localSheetId="9" hidden="1">'HLH Hyd Gen'!$108:$109</definedName>
    <definedName name="Z_FF9ACC8E_4B3F_11D3_A9AB_00A024D7BCD8_.wvu.PrintTitles" localSheetId="16" hidden="1">'HLH Slice Load'!$2:$2</definedName>
    <definedName name="Z_FF9ACC8E_4B3F_11D3_A9AB_00A024D7BCD8_.wvu.PrintTitles" localSheetId="14" hidden="1">'HLH Tot Gen'!$2:$2</definedName>
    <definedName name="Z_FF9ACC8E_4B3F_11D3_A9AB_00A024D7BCD8_.wvu.PrintTitles" localSheetId="10" hidden="1">'LLH Hyd Gen'!$168:$169</definedName>
    <definedName name="Z_FF9ACC8E_4B3F_11D3_A9AB_00A024D7BCD8_.wvu.PrintTitles" localSheetId="17" hidden="1">'LLH Slice Load'!$2:$2</definedName>
    <definedName name="Z_FF9ACC8E_4B3F_11D3_A9AB_00A024D7BCD8_.wvu.PrintTitles" localSheetId="15" hidden="1">'LLH Tot Gen'!$2:$2</definedName>
    <definedName name="Z_FF9ACC8E_4B3F_11D3_A9AB_00A024D7BCD8_.wvu.PrintTitles" localSheetId="4" hidden="1">'Results'!$65:$67</definedName>
    <definedName name="Z_FF9ACC8E_4B3F_11D3_A9AB_00A024D7BCD8_.wvu.PrintTitles" localSheetId="3" hidden="1">'Sensitivity to %'!$1:$3</definedName>
    <definedName name="Z_FF9ACCA3_4B3F_11D3_A9AB_00A024D7BCD8_.wvu.PrintArea" localSheetId="7" hidden="1">'Change in Rev'!$A$1:$P$66</definedName>
    <definedName name="Z_FF9ACCA3_4B3F_11D3_A9AB_00A024D7BCD8_.wvu.PrintArea" localSheetId="2" hidden="1">'Cost Shift Breakdown'!$A$1:$D$16</definedName>
    <definedName name="Z_FF9ACCA3_4B3F_11D3_A9AB_00A024D7BCD8_.wvu.PrintArea" localSheetId="20" hidden="1">'Demand Change'!$A$1:$P$162</definedName>
    <definedName name="Z_FF9ACCA3_4B3F_11D3_A9AB_00A024D7BCD8_.wvu.PrintArea" localSheetId="1" hidden="1">'Effect on Loads'!$A$1:$P$33</definedName>
    <definedName name="Z_FF9ACCA3_4B3F_11D3_A9AB_00A024D7BCD8_.wvu.PrintArea" localSheetId="13" hidden="1">'Fed Hyd Ini'!$A$1:$O$52</definedName>
    <definedName name="Z_FF9ACCA3_4B3F_11D3_A9AB_00A024D7BCD8_.wvu.PrintArea" localSheetId="5" hidden="1">'Fixed Revenues'!$A$1:$D$42</definedName>
    <definedName name="Z_FF9ACCA3_4B3F_11D3_A9AB_00A024D7BCD8_.wvu.PrintArea" localSheetId="9" hidden="1">'HLH Hyd Gen'!$A$1:$O$52</definedName>
    <definedName name="Z_FF9ACCA3_4B3F_11D3_A9AB_00A024D7BCD8_.wvu.PrintArea" localSheetId="18" hidden="1">'HLH Prices'!$A$1:$O$62</definedName>
    <definedName name="Z_FF9ACCA3_4B3F_11D3_A9AB_00A024D7BCD8_.wvu.PrintArea" localSheetId="14" hidden="1">'HLH Tot Gen'!$A$1:$P$52</definedName>
    <definedName name="Z_FF9ACCA3_4B3F_11D3_A9AB_00A024D7BCD8_.wvu.PrintArea" localSheetId="8" hidden="1">'HLH-LLH Loads'!$A$1:$AB$31</definedName>
    <definedName name="Z_FF9ACCA3_4B3F_11D3_A9AB_00A024D7BCD8_.wvu.PrintArea" localSheetId="10" hidden="1">'LLH Hyd Gen'!$A$1:$O$52</definedName>
    <definedName name="Z_FF9ACCA3_4B3F_11D3_A9AB_00A024D7BCD8_.wvu.PrintArea" localSheetId="19" hidden="1">'LLH Prices'!$A$1:$O$61</definedName>
    <definedName name="Z_FF9ACCA3_4B3F_11D3_A9AB_00A024D7BCD8_.wvu.PrintArea" localSheetId="17" hidden="1">'LLH Slice Load'!$A$1:$P$53</definedName>
    <definedName name="Z_FF9ACCA3_4B3F_11D3_A9AB_00A024D7BCD8_.wvu.PrintArea" localSheetId="15" hidden="1">'LLH Tot Gen'!$A$1:$P$52</definedName>
    <definedName name="Z_FF9ACCA3_4B3F_11D3_A9AB_00A024D7BCD8_.wvu.PrintArea" localSheetId="4" hidden="1">'Results'!$A$7:$M$41</definedName>
    <definedName name="Z_FF9ACCA3_4B3F_11D3_A9AB_00A024D7BCD8_.wvu.PrintArea" localSheetId="3" hidden="1">'Sensitivity to %'!$A$1:$C$103</definedName>
    <definedName name="Z_FF9ACCA3_4B3F_11D3_A9AB_00A024D7BCD8_.wvu.PrintArea" localSheetId="11" hidden="1">'Thermal'!$A$1:$O$6</definedName>
    <definedName name="Z_FF9ACCA3_4B3F_11D3_A9AB_00A024D7BCD8_.wvu.PrintTitles" localSheetId="7" hidden="1">'Change in Rev'!$1:$2</definedName>
    <definedName name="Z_FF9ACCA3_4B3F_11D3_A9AB_00A024D7BCD8_.wvu.PrintTitles" localSheetId="13" hidden="1">'Fed Hyd Ini'!$2:$2</definedName>
    <definedName name="Z_FF9ACCA3_4B3F_11D3_A9AB_00A024D7BCD8_.wvu.PrintTitles" localSheetId="9" hidden="1">'HLH Hyd Gen'!$108:$109</definedName>
    <definedName name="Z_FF9ACCA3_4B3F_11D3_A9AB_00A024D7BCD8_.wvu.PrintTitles" localSheetId="16" hidden="1">'HLH Slice Load'!$2:$2</definedName>
    <definedName name="Z_FF9ACCA3_4B3F_11D3_A9AB_00A024D7BCD8_.wvu.PrintTitles" localSheetId="14" hidden="1">'HLH Tot Gen'!$2:$2</definedName>
    <definedName name="Z_FF9ACCA3_4B3F_11D3_A9AB_00A024D7BCD8_.wvu.PrintTitles" localSheetId="10" hidden="1">'LLH Hyd Gen'!$168:$169</definedName>
    <definedName name="Z_FF9ACCA3_4B3F_11D3_A9AB_00A024D7BCD8_.wvu.PrintTitles" localSheetId="17" hidden="1">'LLH Slice Load'!$2:$2</definedName>
    <definedName name="Z_FF9ACCA3_4B3F_11D3_A9AB_00A024D7BCD8_.wvu.PrintTitles" localSheetId="15" hidden="1">'LLH Tot Gen'!$2:$2</definedName>
    <definedName name="Z_FF9ACCA3_4B3F_11D3_A9AB_00A024D7BCD8_.wvu.PrintTitles" localSheetId="4" hidden="1">'Results'!$65:$67</definedName>
    <definedName name="Z_FF9ACCA3_4B3F_11D3_A9AB_00A024D7BCD8_.wvu.PrintTitles" localSheetId="3" hidden="1">'Sensitivity to %'!$1:$3</definedName>
    <definedName name="Z_FF9ACCB8_4B3F_11D3_A9AB_00A024D7BCD8_.wvu.PrintArea" localSheetId="7" hidden="1">'Change in Rev'!$A$1:$P$66</definedName>
    <definedName name="Z_FF9ACCB8_4B3F_11D3_A9AB_00A024D7BCD8_.wvu.PrintArea" localSheetId="2" hidden="1">'Cost Shift Breakdown'!$A$1:$D$16</definedName>
    <definedName name="Z_FF9ACCB8_4B3F_11D3_A9AB_00A024D7BCD8_.wvu.PrintArea" localSheetId="20" hidden="1">'Demand Change'!$A$1:$P$162</definedName>
    <definedName name="Z_FF9ACCB8_4B3F_11D3_A9AB_00A024D7BCD8_.wvu.PrintArea" localSheetId="1" hidden="1">'Effect on Loads'!$A$1:$P$33</definedName>
    <definedName name="Z_FF9ACCB8_4B3F_11D3_A9AB_00A024D7BCD8_.wvu.PrintArea" localSheetId="13" hidden="1">'Fed Hyd Ini'!$A$1:$O$52</definedName>
    <definedName name="Z_FF9ACCB8_4B3F_11D3_A9AB_00A024D7BCD8_.wvu.PrintArea" localSheetId="5" hidden="1">'Fixed Revenues'!$A$1:$D$42</definedName>
    <definedName name="Z_FF9ACCB8_4B3F_11D3_A9AB_00A024D7BCD8_.wvu.PrintArea" localSheetId="9" hidden="1">'HLH Hyd Gen'!$A$1:$O$52</definedName>
    <definedName name="Z_FF9ACCB8_4B3F_11D3_A9AB_00A024D7BCD8_.wvu.PrintArea" localSheetId="18" hidden="1">'HLH Prices'!$A$1:$O$62</definedName>
    <definedName name="Z_FF9ACCB8_4B3F_11D3_A9AB_00A024D7BCD8_.wvu.PrintArea" localSheetId="14" hidden="1">'HLH Tot Gen'!$A$1:$P$52</definedName>
    <definedName name="Z_FF9ACCB8_4B3F_11D3_A9AB_00A024D7BCD8_.wvu.PrintArea" localSheetId="8" hidden="1">'HLH-LLH Loads'!$A$1:$AB$31</definedName>
    <definedName name="Z_FF9ACCB8_4B3F_11D3_A9AB_00A024D7BCD8_.wvu.PrintArea" localSheetId="10" hidden="1">'LLH Hyd Gen'!$A$1:$O$52</definedName>
    <definedName name="Z_FF9ACCB8_4B3F_11D3_A9AB_00A024D7BCD8_.wvu.PrintArea" localSheetId="19" hidden="1">'LLH Prices'!$A$1:$O$61</definedName>
    <definedName name="Z_FF9ACCB8_4B3F_11D3_A9AB_00A024D7BCD8_.wvu.PrintArea" localSheetId="17" hidden="1">'LLH Slice Load'!$A$1:$P$53</definedName>
    <definedName name="Z_FF9ACCB8_4B3F_11D3_A9AB_00A024D7BCD8_.wvu.PrintArea" localSheetId="15" hidden="1">'LLH Tot Gen'!$A$1:$P$52</definedName>
    <definedName name="Z_FF9ACCB8_4B3F_11D3_A9AB_00A024D7BCD8_.wvu.PrintArea" localSheetId="4" hidden="1">'Results'!$A$7:$M$42</definedName>
    <definedName name="Z_FF9ACCB8_4B3F_11D3_A9AB_00A024D7BCD8_.wvu.PrintArea" localSheetId="3" hidden="1">'Sensitivity to %'!$A$1:$C$103</definedName>
    <definedName name="Z_FF9ACCB8_4B3F_11D3_A9AB_00A024D7BCD8_.wvu.PrintArea" localSheetId="11" hidden="1">'Thermal'!$A$1:$O$6</definedName>
    <definedName name="Z_FF9ACCB8_4B3F_11D3_A9AB_00A024D7BCD8_.wvu.PrintTitles" localSheetId="7" hidden="1">'Change in Rev'!$1:$2</definedName>
    <definedName name="Z_FF9ACCB8_4B3F_11D3_A9AB_00A024D7BCD8_.wvu.PrintTitles" localSheetId="13" hidden="1">'Fed Hyd Ini'!$2:$2</definedName>
    <definedName name="Z_FF9ACCB8_4B3F_11D3_A9AB_00A024D7BCD8_.wvu.PrintTitles" localSheetId="9" hidden="1">'HLH Hyd Gen'!$108:$109</definedName>
    <definedName name="Z_FF9ACCB8_4B3F_11D3_A9AB_00A024D7BCD8_.wvu.PrintTitles" localSheetId="16" hidden="1">'HLH Slice Load'!$2:$2</definedName>
    <definedName name="Z_FF9ACCB8_4B3F_11D3_A9AB_00A024D7BCD8_.wvu.PrintTitles" localSheetId="14" hidden="1">'HLH Tot Gen'!$2:$2</definedName>
    <definedName name="Z_FF9ACCB8_4B3F_11D3_A9AB_00A024D7BCD8_.wvu.PrintTitles" localSheetId="10" hidden="1">'LLH Hyd Gen'!$168:$169</definedName>
    <definedName name="Z_FF9ACCB8_4B3F_11D3_A9AB_00A024D7BCD8_.wvu.PrintTitles" localSheetId="17" hidden="1">'LLH Slice Load'!$2:$2</definedName>
    <definedName name="Z_FF9ACCB8_4B3F_11D3_A9AB_00A024D7BCD8_.wvu.PrintTitles" localSheetId="15" hidden="1">'LLH Tot Gen'!$2:$2</definedName>
    <definedName name="Z_FF9ACCB8_4B3F_11D3_A9AB_00A024D7BCD8_.wvu.PrintTitles" localSheetId="4" hidden="1">'Results'!$65:$67</definedName>
    <definedName name="Z_FF9ACCB8_4B3F_11D3_A9AB_00A024D7BCD8_.wvu.PrintTitles" localSheetId="3" hidden="1">'Sensitivity to %'!$1:$3</definedName>
  </definedNames>
  <calcPr fullCalcOnLoad="1"/>
</workbook>
</file>

<file path=xl/comments14.xml><?xml version="1.0" encoding="utf-8"?>
<comments xmlns="http://schemas.openxmlformats.org/spreadsheetml/2006/main">
  <authors>
    <author>Mesa, Philip A.</author>
  </authors>
  <commentList>
    <comment ref="A1" authorId="0">
      <text>
        <r>
          <rPr>
            <b/>
            <sz val="8"/>
            <rFont val="Tahoma"/>
            <family val="0"/>
          </rPr>
          <t>Mesa, Philip A.:</t>
        </r>
        <r>
          <rPr>
            <sz val="8"/>
            <rFont val="Tahoma"/>
            <family val="0"/>
          </rPr>
          <t xml:space="preserve">
Hydro Independants are already included in the HLH &amp; LLH Hydro Generation data so they are zeroed out here.</t>
        </r>
      </text>
    </comment>
  </commentList>
</comments>
</file>

<file path=xl/comments15.xml><?xml version="1.0" encoding="utf-8"?>
<comments xmlns="http://schemas.openxmlformats.org/spreadsheetml/2006/main">
  <authors>
    <author>Mesa, Philip A.</author>
    <author>Busse, Patty</author>
  </authors>
  <commentList>
    <comment ref="A11" authorId="0">
      <text>
        <r>
          <rPr>
            <b/>
            <sz val="8"/>
            <rFont val="Tahoma"/>
            <family val="0"/>
          </rPr>
          <t>Mesa, Philip A.:</t>
        </r>
        <r>
          <rPr>
            <sz val="8"/>
            <rFont val="Tahoma"/>
            <family val="0"/>
          </rPr>
          <t xml:space="preserve">
1937 establishes the Critical Inventory</t>
        </r>
      </text>
    </comment>
    <comment ref="R2" authorId="1">
      <text>
        <r>
          <rPr>
            <b/>
            <sz val="8"/>
            <rFont val="Tahoma"/>
            <family val="0"/>
          </rPr>
          <t>Busse, Patty:</t>
        </r>
        <r>
          <rPr>
            <sz val="8"/>
            <rFont val="Tahoma"/>
            <family val="0"/>
          </rPr>
          <t xml:space="preserve">
4/24/2000 
Transmission Losses are accounted for under System Obligations so they are zeroed out here.
</t>
        </r>
      </text>
    </comment>
  </commentList>
</comments>
</file>

<file path=xl/comments16.xml><?xml version="1.0" encoding="utf-8"?>
<comments xmlns="http://schemas.openxmlformats.org/spreadsheetml/2006/main">
  <authors>
    <author>Mesa, Philip A.</author>
  </authors>
  <commentList>
    <comment ref="A11" authorId="0">
      <text>
        <r>
          <rPr>
            <b/>
            <sz val="8"/>
            <rFont val="Tahoma"/>
            <family val="0"/>
          </rPr>
          <t>Mesa, Philip A.:</t>
        </r>
        <r>
          <rPr>
            <sz val="8"/>
            <rFont val="Tahoma"/>
            <family val="0"/>
          </rPr>
          <t xml:space="preserve">
1937 establishes the Critical Inventory</t>
        </r>
      </text>
    </comment>
  </commentList>
</comments>
</file>

<file path=xl/comments5.xml><?xml version="1.0" encoding="utf-8"?>
<comments xmlns="http://schemas.openxmlformats.org/spreadsheetml/2006/main">
  <authors>
    <author>Mesa, Philip A.</author>
  </authors>
  <commentList>
    <comment ref="B3" authorId="0">
      <text>
        <r>
          <rPr>
            <b/>
            <sz val="8"/>
            <rFont val="Tahoma"/>
            <family val="0"/>
          </rPr>
          <t>Mesa, Philip A.:</t>
        </r>
        <r>
          <rPr>
            <sz val="8"/>
            <rFont val="Tahoma"/>
            <family val="0"/>
          </rPr>
          <t xml:space="preserve">
1/10/2000 - Corrected error in calculation of annual total MW-Hrs of HLH Tot Gen.
2/14/2000 - Corrected error by subtracting out system obligations.  Added logic to subtract out losses from generation.  Updated inputs for Rate Case changes.
2/15/2000 - Updated inputs from Rate Case (Net Cost of Inventory Solution)
2/25/2000 - Updated inputs from Rate Case (PF rates, revenue numbers)
4/10/2000 - Updated inputs from Rate Case (PF rates, revenue numbers)
4/24/2000 - Updated inputs from Rate Case (Generation - system obligations)</t>
        </r>
      </text>
    </comment>
  </commentList>
</comments>
</file>

<file path=xl/comments6.xml><?xml version="1.0" encoding="utf-8"?>
<comments xmlns="http://schemas.openxmlformats.org/spreadsheetml/2006/main">
  <authors>
    <author>Mesa, Philip A.</author>
  </authors>
  <commentList>
    <comment ref="C3" authorId="0">
      <text>
        <r>
          <rPr>
            <b/>
            <sz val="8"/>
            <rFont val="Tahoma"/>
            <family val="0"/>
          </rPr>
          <t>Mesa, Philip A.:</t>
        </r>
        <r>
          <rPr>
            <sz val="8"/>
            <rFont val="Tahoma"/>
            <family val="0"/>
          </rPr>
          <t xml:space="preserve">
Data comes from "SUBSCRIPTION REVENUE CHECK" and is the 5 year average Load Variance revenues</t>
        </r>
      </text>
    </comment>
    <comment ref="C5" authorId="0">
      <text>
        <r>
          <rPr>
            <b/>
            <sz val="8"/>
            <rFont val="Tahoma"/>
            <family val="0"/>
          </rPr>
          <t>Mesa, Philip A.:</t>
        </r>
        <r>
          <rPr>
            <sz val="8"/>
            <rFont val="Tahoma"/>
            <family val="0"/>
          </rPr>
          <t xml:space="preserve">
Data comes from "SLICE COSTS" and is the 5 year average total PBL Revenue Requirement.</t>
        </r>
      </text>
    </comment>
    <comment ref="C6" authorId="0">
      <text>
        <r>
          <rPr>
            <b/>
            <sz val="8"/>
            <rFont val="Tahoma"/>
            <family val="0"/>
          </rPr>
          <t>Mesa, Philip A.:</t>
        </r>
        <r>
          <rPr>
            <sz val="8"/>
            <rFont val="Tahoma"/>
            <family val="0"/>
          </rPr>
          <t xml:space="preserve">
Data comes from "SLICE COSTS" and is the 5 year average total Revenue Credits.</t>
        </r>
      </text>
    </comment>
    <comment ref="C7" authorId="0">
      <text>
        <r>
          <rPr>
            <b/>
            <sz val="8"/>
            <rFont val="Tahoma"/>
            <family val="0"/>
          </rPr>
          <t>Mesa, Philip A.:</t>
        </r>
        <r>
          <rPr>
            <sz val="8"/>
            <rFont val="Tahoma"/>
            <family val="0"/>
          </rPr>
          <t xml:space="preserve">
Data comes from "SLICE COSTS" and is the 5 year average Net Cost of Inventory Solution.</t>
        </r>
      </text>
    </comment>
  </commentList>
</comments>
</file>

<file path=xl/sharedStrings.xml><?xml version="1.0" encoding="utf-8"?>
<sst xmlns="http://schemas.openxmlformats.org/spreadsheetml/2006/main" count="546" uniqueCount="213">
  <si>
    <t>HLH</t>
  </si>
  <si>
    <t>Aug I</t>
  </si>
  <si>
    <t>Aug II</t>
  </si>
  <si>
    <t>Sep</t>
  </si>
  <si>
    <t>Oct</t>
  </si>
  <si>
    <t>Nov</t>
  </si>
  <si>
    <t>Dec</t>
  </si>
  <si>
    <t>Jan</t>
  </si>
  <si>
    <t>Feb</t>
  </si>
  <si>
    <t>Mar</t>
  </si>
  <si>
    <t>Apr I</t>
  </si>
  <si>
    <t>Apr II</t>
  </si>
  <si>
    <t>May</t>
  </si>
  <si>
    <t>Jun</t>
  </si>
  <si>
    <t>Jul</t>
  </si>
  <si>
    <t>LLH</t>
  </si>
  <si>
    <t>Thermal</t>
  </si>
  <si>
    <t>Total</t>
  </si>
  <si>
    <t>HYD Ini</t>
  </si>
  <si>
    <t>Heavy Load Hours (HLH)</t>
  </si>
  <si>
    <t>Average load</t>
  </si>
  <si>
    <t>Year</t>
  </si>
  <si>
    <t>AUG1</t>
  </si>
  <si>
    <t>AUG2</t>
  </si>
  <si>
    <t>SEP</t>
  </si>
  <si>
    <t>OCT</t>
  </si>
  <si>
    <t>NOV</t>
  </si>
  <si>
    <t>DEC</t>
  </si>
  <si>
    <t>JAN</t>
  </si>
  <si>
    <t>FEB</t>
  </si>
  <si>
    <t>MAR</t>
  </si>
  <si>
    <t>APR1</t>
  </si>
  <si>
    <t>APR2</t>
  </si>
  <si>
    <t>MAY</t>
  </si>
  <si>
    <t>JUN</t>
  </si>
  <si>
    <t>JUL</t>
  </si>
  <si>
    <t>Water Year</t>
  </si>
  <si>
    <t>Load Forecast</t>
  </si>
  <si>
    <t>Light Load Hours (LLH)</t>
  </si>
  <si>
    <t>LLH Generation averaged over the LLH</t>
  </si>
  <si>
    <t>HLH Hydro Generation averaged over the HLH</t>
  </si>
  <si>
    <t>Total Hours</t>
  </si>
  <si>
    <t>TDA Historical Volumes (MAF)</t>
  </si>
  <si>
    <t>Sep-Mar</t>
  </si>
  <si>
    <t>Starting Date</t>
  </si>
  <si>
    <t>Total (MW-Hr)</t>
  </si>
  <si>
    <t>Average</t>
  </si>
  <si>
    <t>Average HLH Load</t>
  </si>
  <si>
    <t>Average LLH Load</t>
  </si>
  <si>
    <t>PF Rate</t>
  </si>
  <si>
    <t>mills</t>
  </si>
  <si>
    <t>Slice Percentage</t>
  </si>
  <si>
    <t>Demand Revenue</t>
  </si>
  <si>
    <t>Total Annual PF Load</t>
  </si>
  <si>
    <t>Annual Demand</t>
  </si>
  <si>
    <t>KW-Mo</t>
  </si>
  <si>
    <t xml:space="preserve"> per KW-Mo</t>
  </si>
  <si>
    <t>Decreased Subscription Sale</t>
  </si>
  <si>
    <t>Total Subscription Revenues Lost</t>
  </si>
  <si>
    <t>Increased Revenues from Slice</t>
  </si>
  <si>
    <t>MW-Hrs</t>
  </si>
  <si>
    <t>Total MW-Hrs</t>
  </si>
  <si>
    <t>Max</t>
  </si>
  <si>
    <t>Min</t>
  </si>
  <si>
    <t>50 Yr Average</t>
  </si>
  <si>
    <t>Max Value</t>
  </si>
  <si>
    <t>Min Value</t>
  </si>
  <si>
    <t>Database Criteria</t>
  </si>
  <si>
    <t>PF Revenue - HLH</t>
  </si>
  <si>
    <t>PF Revenue - LLH</t>
  </si>
  <si>
    <t>Version Number:</t>
  </si>
  <si>
    <t>Last Updated:</t>
  </si>
  <si>
    <t>Updated By:</t>
  </si>
  <si>
    <t>Philip Mesa (503) 230-7390</t>
  </si>
  <si>
    <t>Case 1</t>
  </si>
  <si>
    <t>Case 5</t>
  </si>
  <si>
    <t>Case 4</t>
  </si>
  <si>
    <t>Case 3</t>
  </si>
  <si>
    <t>Case 2</t>
  </si>
  <si>
    <t>Determination of total pre-Slice load</t>
  </si>
  <si>
    <t>MWs</t>
  </si>
  <si>
    <t>MW-Hr</t>
  </si>
  <si>
    <t>annual average</t>
  </si>
  <si>
    <t>total for the year</t>
  </si>
  <si>
    <t>Then multiply by the</t>
  </si>
  <si>
    <t>To get the</t>
  </si>
  <si>
    <t>Look-up Index</t>
  </si>
  <si>
    <t>Maximum Demand</t>
  </si>
  <si>
    <t>Identify Water Year</t>
  </si>
  <si>
    <t>with Max Cost</t>
  </si>
  <si>
    <t>Load Scenario Numbers</t>
  </si>
  <si>
    <t>Key Assumptions</t>
  </si>
  <si>
    <t>Impacts Included:</t>
  </si>
  <si>
    <t>Loads &amp; 
Operation:</t>
  </si>
  <si>
    <t>Fixed</t>
  </si>
  <si>
    <t>Variable</t>
  </si>
  <si>
    <t>APR</t>
  </si>
  <si>
    <t>AUG</t>
  </si>
  <si>
    <t>Case 6</t>
  </si>
  <si>
    <t>Apr</t>
  </si>
  <si>
    <t>Aug</t>
  </si>
  <si>
    <t>Assumptions:</t>
  </si>
  <si>
    <t>Demand Charge $/kW-Mo</t>
  </si>
  <si>
    <t>PNRR Used</t>
  </si>
  <si>
    <t>(This uses BPA rate case market price forecasts)</t>
  </si>
  <si>
    <t>Load Variance Charge  /1</t>
  </si>
  <si>
    <t>Share of Load Variance charge  /1</t>
  </si>
  <si>
    <t>Total Operating Expense  /2</t>
  </si>
  <si>
    <t>Revenue Credits  /3</t>
  </si>
  <si>
    <t>Net Cost of Inventory Solution  /4</t>
  </si>
  <si>
    <t>BPA Revenue Requirement (Slice)  /5</t>
  </si>
  <si>
    <t>Revenue received from Slice  /6</t>
  </si>
  <si>
    <t>Net Gain (Loss) of Fixed Revenues  /8</t>
  </si>
  <si>
    <t>HLH PF Rate ($/MW-Hr)</t>
  </si>
  <si>
    <t>LLH PF Rate ($/MW-Hr)</t>
  </si>
  <si>
    <t>Scenario:</t>
  </si>
  <si>
    <t>Assumed % of Slice System Inventory</t>
  </si>
  <si>
    <t>Start with Slice System Total Inventory</t>
  </si>
  <si>
    <t>Slice %</t>
  </si>
  <si>
    <t>Change in Net Revenues in $M</t>
  </si>
  <si>
    <t>Sensitivity Analysis</t>
  </si>
  <si>
    <t>$ millions</t>
  </si>
  <si>
    <t>% Slice Revenues</t>
  </si>
  <si>
    <t>PNRR Credited</t>
  </si>
  <si>
    <t>Subtotal</t>
  </si>
  <si>
    <t>Change in HLH deliveries in MW-Hrs (Slice case minus Non-Slice case)</t>
  </si>
  <si>
    <t>Change in LLH deliveries in MW-Hrs (Slice case minus Non-Slice case)</t>
  </si>
  <si>
    <t>Slice case minus Non-Slice case</t>
  </si>
  <si>
    <t>Additional Net Revenue Adjustment  /7</t>
  </si>
  <si>
    <t>Direct Annual Revenue Impacts 
(revenues from Slice minus decreased Subscription sales)</t>
  </si>
  <si>
    <t>Average Martket Prices for 2002 in Mills/KW-Hr</t>
  </si>
  <si>
    <t>Average Market Prices for 2002 in Mills/KW-Hr</t>
  </si>
  <si>
    <t>Light Load Hours</t>
  </si>
  <si>
    <t>Heavy Load Hours</t>
  </si>
  <si>
    <t>1  Non-Slice case Load (ave MWs)</t>
  </si>
  <si>
    <t>8      Percent of total Slice revenues</t>
  </si>
  <si>
    <t>Pre Slice Load</t>
  </si>
  <si>
    <t xml:space="preserve"> /1  Load variance charge from rate case - included as % Slice chosen in model</t>
  </si>
  <si>
    <t xml:space="preserve"> /7  Additional Net Revenue Adjustment is assumed equivalent to planned net revenues for risk</t>
  </si>
  <si>
    <t xml:space="preserve"> /5  Total Operating Expense less Revenue Credits plus Net Cost of Inventory Solution</t>
  </si>
  <si>
    <t>NOTES  (line numbers refer to Slice Product Costing Table)</t>
  </si>
  <si>
    <t>Assumptions for the Slice Evaluation</t>
  </si>
  <si>
    <t>4  Maximum Non-Slice Demand</t>
  </si>
  <si>
    <t>3  Maximum Slice Demand</t>
  </si>
  <si>
    <t>2  Annual Slice Delivery</t>
  </si>
  <si>
    <t>Calculation of credit for PNRR &amp; CRAC</t>
  </si>
  <si>
    <t>Annual PNRR with no CRAC</t>
  </si>
  <si>
    <t>Effective Demand Charge</t>
  </si>
  <si>
    <t>% Slice Sold:</t>
  </si>
  <si>
    <t>Change in BPA's Net Revenues from HLH &amp; LLH Slice power deliveries</t>
  </si>
  <si>
    <t>Identify years with max and min impacts</t>
  </si>
  <si>
    <t>HLH Shape</t>
  </si>
  <si>
    <t>LLH Shape</t>
  </si>
  <si>
    <t>Annual Net Requirement Load Served</t>
  </si>
  <si>
    <t>Shaped HLH load</t>
  </si>
  <si>
    <t>Shaped LLH load</t>
  </si>
  <si>
    <t>Total of BPA's Net Requirements Load from the Rate Case ('02)</t>
  </si>
  <si>
    <t>(HLH + LLH)</t>
  </si>
  <si>
    <t>Thermal and Miscellaneous Generation averaged over the Period (HLH &amp; LLH)</t>
  </si>
  <si>
    <t>Generation from Hydro Independants averaged over the Period (HLH &amp; LLH)</t>
  </si>
  <si>
    <t>Slice Power Deliveries averaged over the Period (HLH)</t>
  </si>
  <si>
    <t>Slice Power Deliveries averaged over the Period (LLH)</t>
  </si>
  <si>
    <t>Change in annual delivered energy in MW hours</t>
  </si>
  <si>
    <t>Rate Case Results</t>
  </si>
  <si>
    <t>Balancing Purchases</t>
  </si>
  <si>
    <t>Secondary Revenues</t>
  </si>
  <si>
    <t>Variable Impact</t>
  </si>
  <si>
    <t>Fixed Impact</t>
  </si>
  <si>
    <t>Linear Effect (#4 x #6)</t>
  </si>
  <si>
    <t>Net (#2 + #3)</t>
  </si>
  <si>
    <t>non-Linear cost shift (#8 - #7)</t>
  </si>
  <si>
    <t>Revenue cost shift (#12 - #11)</t>
  </si>
  <si>
    <t>50 Yr Ave Cost Shift (#9 + #13)</t>
  </si>
  <si>
    <t>All results are expressed on an annual average basis</t>
  </si>
  <si>
    <t>Cost Shift Results</t>
  </si>
  <si>
    <t>Non-Slice Load</t>
  </si>
  <si>
    <t>Slice Cost Shift Study</t>
  </si>
  <si>
    <t>with Max Benefit</t>
  </si>
  <si>
    <t>Benefit (Cost)</t>
  </si>
  <si>
    <t xml:space="preserve">Change in BPA's annual Net Revenues expressed in </t>
  </si>
  <si>
    <t>Effective PF Rate (Energy)</t>
  </si>
  <si>
    <t xml:space="preserve"> /6  PBL Slice Revenue Requirement times the Slice percentage chosen in the model</t>
  </si>
  <si>
    <t xml:space="preserve"> /8  Revenue received from Slice plus Projected True-up less Total Subscription Revenues Lost</t>
  </si>
  <si>
    <t>Canadian Entitlement Return</t>
  </si>
  <si>
    <t>Net System Obligation</t>
  </si>
  <si>
    <t>System Obligations (Positive is a reduction in Slice Capability)</t>
  </si>
  <si>
    <t>Losses</t>
  </si>
  <si>
    <t>Updated:</t>
  </si>
  <si>
    <t>Crit. Inventory:</t>
  </si>
  <si>
    <t>HLH Total</t>
  </si>
  <si>
    <t>Total (aMWs)</t>
  </si>
  <si>
    <t>Total Generation from Hydro, Themal, Misc. and Hydro Independants (less transmission losses) averaged over the Period (HLH)</t>
  </si>
  <si>
    <t>Total Generation from Hydro, Themal, Misc. and Hydro Independants (less transmission losses) averaged over the Period (LLH)</t>
  </si>
  <si>
    <t>'02 Rate Case</t>
  </si>
  <si>
    <t>Critical</t>
  </si>
  <si>
    <t>Total MW Hours</t>
  </si>
  <si>
    <t>Restoration</t>
  </si>
  <si>
    <t>NUG Resources</t>
  </si>
  <si>
    <t>James River Wuana</t>
  </si>
  <si>
    <t xml:space="preserve">NFD CER(CSPE) TO BPA     </t>
  </si>
  <si>
    <t xml:space="preserve">BPA TO NFD CSPE          </t>
  </si>
  <si>
    <t>BPA TO NFD        SUP CAP</t>
  </si>
  <si>
    <t>NFD TO BPA        SUP REP</t>
  </si>
  <si>
    <t xml:space="preserve">NFD CER(CAN) TO BPA      </t>
  </si>
  <si>
    <t>Transmission LOSSES</t>
  </si>
  <si>
    <t>Total HLH</t>
  </si>
  <si>
    <t>HLH System Obligations</t>
  </si>
  <si>
    <t>LLH System Obligations</t>
  </si>
  <si>
    <t>Total LLH System Obligations</t>
  </si>
  <si>
    <t>Total HLH System Obligations</t>
  </si>
  <si>
    <t xml:space="preserve"> /2  Total PBL Revenue Requirement (line 96)</t>
  </si>
  <si>
    <t xml:space="preserve"> /3  Revenue Credits (line 111)</t>
  </si>
  <si>
    <t xml:space="preserve"> /4   Net Cost of Inventory Solution (line 122)</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</si>
</sst>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0.0%"/>
    <numFmt numFmtId="168" formatCode="dd\-mmm\-yy"/>
    <numFmt numFmtId="169" formatCode="0.000"/>
    <numFmt numFmtId="170" formatCode="0.0000"/>
    <numFmt numFmtId="171" formatCode="0.00000"/>
    <numFmt numFmtId="172" formatCode="m/d/yy\ h:mm\ AM/PM"/>
    <numFmt numFmtId="173" formatCode="0.000_);\(0.000\)"/>
    <numFmt numFmtId="174" formatCode="_(&quot;$&quot;* #,##0.0_);_(&quot;$&quot;* \(#,##0.0\);_(&quot;$&quot;* &quot;-&quot;??_);_(@_)"/>
    <numFmt numFmtId="175" formatCode="_(&quot;$&quot;* #,##0_);_(&quot;$&quot;* \(#,##0\);_(&quot;$&quot;* &quot;-&quot;??_);_(@_)"/>
    <numFmt numFmtId="176" formatCode="_(&quot;$&quot;* #,##0.000_);_(&quot;$&quot;* \(#,##0.000\);_(&quot;$&quot;* &quot;-&quot;??_);_(@_)"/>
    <numFmt numFmtId="177" formatCode="&quot;$&quot;#,##0"/>
    <numFmt numFmtId="178" formatCode="&quot;$&quot;#,##0.00"/>
    <numFmt numFmtId="179" formatCode="&quot;$&quot;#,##0.0"/>
  </numFmts>
  <fonts count="28">
    <font>
      <sz val="10"/>
      <name val="Times New Roman"/>
      <family val="0"/>
    </font>
    <font>
      <b/>
      <sz val="10"/>
      <name val="Times New Roman"/>
      <family val="1"/>
    </font>
    <font>
      <sz val="10"/>
      <name val="Arial"/>
      <family val="0"/>
    </font>
    <font>
      <sz val="9"/>
      <name val="Times New Roman"/>
      <family val="0"/>
    </font>
    <font>
      <b/>
      <sz val="10"/>
      <name val="Arial"/>
      <family val="2"/>
    </font>
    <font>
      <sz val="14.5"/>
      <name val="Times New Roman"/>
      <family val="1"/>
    </font>
    <font>
      <sz val="10"/>
      <color indexed="10"/>
      <name val="Times New Roman"/>
      <family val="1"/>
    </font>
    <font>
      <sz val="5.75"/>
      <name val="Times New Roman"/>
      <family val="1"/>
    </font>
    <font>
      <vertAlign val="superscript"/>
      <sz val="5.75"/>
      <name val="Times New Roman"/>
      <family val="1"/>
    </font>
    <font>
      <sz val="8"/>
      <name val="Times New Roman"/>
      <family val="1"/>
    </font>
    <font>
      <b/>
      <sz val="5.75"/>
      <name val="Times New Roman"/>
      <family val="1"/>
    </font>
    <font>
      <b/>
      <sz val="14"/>
      <name val="Times New Roman"/>
      <family val="1"/>
    </font>
    <font>
      <b/>
      <u val="single"/>
      <sz val="10"/>
      <name val="Arial"/>
      <family val="2"/>
    </font>
    <font>
      <b/>
      <sz val="12"/>
      <name val="Times New Roman"/>
      <family val="1"/>
    </font>
    <font>
      <sz val="12"/>
      <name val="Times New Roman"/>
      <family val="1"/>
    </font>
    <font>
      <b/>
      <i/>
      <sz val="10"/>
      <name val="Arial"/>
      <family val="2"/>
    </font>
    <font>
      <b/>
      <sz val="12"/>
      <name val="Arial"/>
      <family val="2"/>
    </font>
    <font>
      <sz val="10"/>
      <color indexed="22"/>
      <name val="Times New Roman"/>
      <family val="1"/>
    </font>
    <font>
      <b/>
      <i/>
      <sz val="10"/>
      <name val="Times New Roman"/>
      <family val="1"/>
    </font>
    <font>
      <b/>
      <sz val="18"/>
      <name val="Times New Roman"/>
      <family val="1"/>
    </font>
    <font>
      <sz val="6"/>
      <name val="Arial"/>
      <family val="2"/>
    </font>
    <font>
      <b/>
      <sz val="8"/>
      <name val="Arial"/>
      <family val="2"/>
    </font>
    <font>
      <sz val="14"/>
      <name val="Times New Roman"/>
      <family val="1"/>
    </font>
    <font>
      <sz val="8"/>
      <name val="Tahoma"/>
      <family val="0"/>
    </font>
    <font>
      <b/>
      <sz val="8"/>
      <name val="Tahoma"/>
      <family val="0"/>
    </font>
    <font>
      <b/>
      <sz val="11"/>
      <name val="Times New Roman"/>
      <family val="1"/>
    </font>
    <font>
      <b/>
      <sz val="8"/>
      <name val="Times New Roman"/>
      <family val="1"/>
    </font>
    <font>
      <sz val="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medium"/>
      <top style="medium"/>
      <bottom>
        <color indexed="63"/>
      </bottom>
    </border>
    <border>
      <left style="thin"/>
      <right style="medium"/>
      <top>
        <color indexed="63"/>
      </top>
      <bottom>
        <color indexed="63"/>
      </bottom>
    </border>
    <border>
      <left style="medium"/>
      <right style="thin"/>
      <top style="thin"/>
      <bottom style="thin"/>
    </border>
    <border>
      <left style="medium"/>
      <right style="thin"/>
      <top style="thin"/>
      <bottom style="medium"/>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color indexed="63"/>
      </right>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medium"/>
      <right>
        <color indexed="63"/>
      </right>
      <top style="thin"/>
      <bottom style="thin"/>
    </border>
    <border>
      <left>
        <color indexed="63"/>
      </left>
      <right style="medium"/>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239">
    <xf numFmtId="0" fontId="0" fillId="0" borderId="0" xfId="0" applyAlignment="1">
      <alignment/>
    </xf>
    <xf numFmtId="1" fontId="0" fillId="0" borderId="0" xfId="0" applyNumberFormat="1" applyAlignment="1">
      <alignment/>
    </xf>
    <xf numFmtId="0" fontId="1" fillId="0" borderId="0" xfId="0" applyFont="1" applyAlignment="1">
      <alignment/>
    </xf>
    <xf numFmtId="9" fontId="0" fillId="0" borderId="0" xfId="22" applyAlignment="1">
      <alignment/>
    </xf>
    <xf numFmtId="0" fontId="2" fillId="0" borderId="0" xfId="19">
      <alignment/>
      <protection/>
    </xf>
    <xf numFmtId="1" fontId="2" fillId="0" borderId="0" xfId="19" applyNumberFormat="1">
      <alignment/>
      <protection/>
    </xf>
    <xf numFmtId="164" fontId="0" fillId="0" borderId="0" xfId="0" applyNumberFormat="1" applyAlignment="1">
      <alignment/>
    </xf>
    <xf numFmtId="0" fontId="0" fillId="0" borderId="0" xfId="0" applyAlignment="1">
      <alignment horizontal="center"/>
    </xf>
    <xf numFmtId="0" fontId="0" fillId="0" borderId="0" xfId="0" applyAlignment="1">
      <alignment horizontal="right"/>
    </xf>
    <xf numFmtId="175" fontId="0" fillId="0" borderId="0" xfId="17" applyNumberFormat="1" applyAlignment="1">
      <alignment/>
    </xf>
    <xf numFmtId="5" fontId="0" fillId="0" borderId="0" xfId="0" applyNumberFormat="1" applyAlignment="1">
      <alignment/>
    </xf>
    <xf numFmtId="0" fontId="0" fillId="0" borderId="0" xfId="0" applyAlignment="1">
      <alignment wrapText="1"/>
    </xf>
    <xf numFmtId="0" fontId="1" fillId="0" borderId="0" xfId="0" applyFont="1" applyAlignment="1">
      <alignment horizontal="right"/>
    </xf>
    <xf numFmtId="0" fontId="2" fillId="0" borderId="0" xfId="19" applyFont="1">
      <alignment/>
      <protection/>
    </xf>
    <xf numFmtId="14" fontId="2" fillId="0" borderId="0" xfId="19" applyNumberFormat="1">
      <alignment/>
      <protection/>
    </xf>
    <xf numFmtId="1" fontId="2" fillId="0" borderId="0" xfId="19" applyNumberFormat="1" applyFont="1">
      <alignment/>
      <protection/>
    </xf>
    <xf numFmtId="164" fontId="0" fillId="0" borderId="1" xfId="0" applyNumberFormat="1" applyBorder="1" applyAlignment="1">
      <alignment/>
    </xf>
    <xf numFmtId="164" fontId="0" fillId="0" borderId="2" xfId="0" applyNumberFormat="1" applyBorder="1" applyAlignment="1">
      <alignment/>
    </xf>
    <xf numFmtId="164" fontId="0" fillId="0" borderId="3" xfId="0" applyNumberFormat="1" applyBorder="1" applyAlignment="1">
      <alignment/>
    </xf>
    <xf numFmtId="164" fontId="0" fillId="0" borderId="4" xfId="0" applyNumberFormat="1" applyBorder="1" applyAlignment="1">
      <alignment/>
    </xf>
    <xf numFmtId="164" fontId="0" fillId="0" borderId="0" xfId="0" applyNumberFormat="1" applyBorder="1" applyAlignment="1">
      <alignment/>
    </xf>
    <xf numFmtId="1" fontId="0" fillId="0" borderId="0" xfId="0" applyNumberFormat="1" applyBorder="1" applyAlignment="1">
      <alignment/>
    </xf>
    <xf numFmtId="164" fontId="0" fillId="0" borderId="5" xfId="0" applyNumberFormat="1" applyBorder="1" applyAlignment="1">
      <alignment/>
    </xf>
    <xf numFmtId="175" fontId="0" fillId="0" borderId="1" xfId="17" applyNumberFormat="1" applyBorder="1" applyAlignment="1">
      <alignment/>
    </xf>
    <xf numFmtId="175" fontId="0" fillId="0" borderId="2" xfId="17" applyNumberFormat="1" applyBorder="1" applyAlignment="1">
      <alignment/>
    </xf>
    <xf numFmtId="175" fontId="0" fillId="0" borderId="3" xfId="17" applyNumberFormat="1" applyBorder="1" applyAlignment="1">
      <alignment/>
    </xf>
    <xf numFmtId="175" fontId="0" fillId="0" borderId="5" xfId="17" applyNumberFormat="1" applyFont="1" applyBorder="1" applyAlignment="1">
      <alignment/>
    </xf>
    <xf numFmtId="5" fontId="0" fillId="0" borderId="6" xfId="0" applyNumberFormat="1" applyBorder="1" applyAlignment="1">
      <alignment/>
    </xf>
    <xf numFmtId="14" fontId="0" fillId="0" borderId="0" xfId="0" applyNumberFormat="1" applyAlignment="1">
      <alignment/>
    </xf>
    <xf numFmtId="2" fontId="0" fillId="0" borderId="0" xfId="0" applyNumberFormat="1" applyBorder="1" applyAlignment="1">
      <alignment/>
    </xf>
    <xf numFmtId="5" fontId="0" fillId="0" borderId="1" xfId="0" applyNumberFormat="1" applyBorder="1" applyAlignment="1">
      <alignment/>
    </xf>
    <xf numFmtId="0" fontId="0" fillId="0" borderId="7" xfId="0" applyBorder="1" applyAlignment="1">
      <alignment/>
    </xf>
    <xf numFmtId="0" fontId="0" fillId="0" borderId="0" xfId="0" applyBorder="1" applyAlignment="1">
      <alignment/>
    </xf>
    <xf numFmtId="0" fontId="1" fillId="0" borderId="0" xfId="0" applyFont="1" applyBorder="1" applyAlignment="1">
      <alignment horizontal="right"/>
    </xf>
    <xf numFmtId="0" fontId="0" fillId="0" borderId="8" xfId="0" applyBorder="1" applyAlignment="1">
      <alignment/>
    </xf>
    <xf numFmtId="0" fontId="0" fillId="0" borderId="9" xfId="0" applyBorder="1" applyAlignment="1">
      <alignment/>
    </xf>
    <xf numFmtId="0" fontId="1" fillId="0" borderId="0" xfId="0" applyFont="1" applyAlignment="1">
      <alignment horizontal="center"/>
    </xf>
    <xf numFmtId="0" fontId="2" fillId="0" borderId="0" xfId="19" applyBorder="1">
      <alignment/>
      <protection/>
    </xf>
    <xf numFmtId="0" fontId="2" fillId="0" borderId="10" xfId="19" applyBorder="1">
      <alignment/>
      <protection/>
    </xf>
    <xf numFmtId="0" fontId="2" fillId="0" borderId="7" xfId="19" applyFont="1" applyBorder="1" applyAlignment="1">
      <alignment horizontal="right"/>
      <protection/>
    </xf>
    <xf numFmtId="165" fontId="2" fillId="0" borderId="0" xfId="15" applyNumberFormat="1" applyBorder="1" applyAlignment="1">
      <alignment/>
    </xf>
    <xf numFmtId="0" fontId="2" fillId="0" borderId="10" xfId="19" applyFont="1" applyBorder="1">
      <alignment/>
      <protection/>
    </xf>
    <xf numFmtId="165" fontId="2" fillId="0" borderId="0" xfId="19" applyNumberFormat="1" applyBorder="1" applyAlignment="1">
      <alignment horizontal="right"/>
      <protection/>
    </xf>
    <xf numFmtId="0" fontId="15" fillId="0" borderId="7" xfId="19" applyFont="1" applyBorder="1">
      <alignment/>
      <protection/>
    </xf>
    <xf numFmtId="9" fontId="2" fillId="0" borderId="0" xfId="22" applyFont="1" applyFill="1" applyBorder="1" applyAlignment="1">
      <alignment/>
    </xf>
    <xf numFmtId="0" fontId="2" fillId="0" borderId="8" xfId="19" applyFont="1" applyBorder="1" applyAlignment="1">
      <alignment horizontal="right"/>
      <protection/>
    </xf>
    <xf numFmtId="0" fontId="2" fillId="0" borderId="11" xfId="19" applyFont="1" applyBorder="1">
      <alignment/>
      <protection/>
    </xf>
    <xf numFmtId="0" fontId="4" fillId="0" borderId="0" xfId="19" applyFont="1" applyAlignment="1">
      <alignment vertical="top"/>
      <protection/>
    </xf>
    <xf numFmtId="0" fontId="1" fillId="0" borderId="7" xfId="0" applyFont="1" applyBorder="1" applyAlignment="1">
      <alignment horizontal="left" wrapText="1"/>
    </xf>
    <xf numFmtId="0" fontId="1" fillId="0" borderId="0" xfId="0" applyFont="1" applyBorder="1" applyAlignment="1">
      <alignment horizontal="center" wrapText="1"/>
    </xf>
    <xf numFmtId="0" fontId="1" fillId="0" borderId="10" xfId="0" applyFont="1" applyBorder="1" applyAlignment="1">
      <alignment horizontal="center" wrapText="1"/>
    </xf>
    <xf numFmtId="7" fontId="0" fillId="0" borderId="0" xfId="17" applyNumberFormat="1" applyBorder="1" applyAlignment="1">
      <alignment/>
    </xf>
    <xf numFmtId="0" fontId="0" fillId="0" borderId="10" xfId="0" applyBorder="1" applyAlignment="1">
      <alignment/>
    </xf>
    <xf numFmtId="5" fontId="0" fillId="0" borderId="0" xfId="0" applyNumberFormat="1" applyBorder="1" applyAlignment="1">
      <alignment/>
    </xf>
    <xf numFmtId="5" fontId="0" fillId="0" borderId="0" xfId="17" applyNumberFormat="1" applyBorder="1" applyAlignment="1">
      <alignment/>
    </xf>
    <xf numFmtId="0" fontId="1" fillId="0" borderId="7" xfId="0" applyFont="1" applyBorder="1" applyAlignment="1">
      <alignment/>
    </xf>
    <xf numFmtId="0" fontId="0" fillId="0" borderId="7" xfId="0" applyBorder="1" applyAlignment="1">
      <alignment wrapText="1"/>
    </xf>
    <xf numFmtId="0" fontId="0" fillId="0" borderId="11" xfId="0" applyBorder="1" applyAlignment="1">
      <alignment/>
    </xf>
    <xf numFmtId="2" fontId="0" fillId="0" borderId="0" xfId="0" applyNumberFormat="1" applyBorder="1" applyAlignment="1">
      <alignment horizontal="left"/>
    </xf>
    <xf numFmtId="14" fontId="0" fillId="0" borderId="0" xfId="0" applyNumberFormat="1" applyBorder="1" applyAlignment="1">
      <alignment horizontal="left"/>
    </xf>
    <xf numFmtId="0" fontId="0" fillId="0" borderId="0" xfId="0" applyBorder="1" applyAlignment="1">
      <alignment horizontal="left"/>
    </xf>
    <xf numFmtId="0" fontId="1" fillId="0" borderId="7" xfId="0" applyFont="1" applyBorder="1" applyAlignment="1">
      <alignment horizontal="right"/>
    </xf>
    <xf numFmtId="0" fontId="1" fillId="0" borderId="8" xfId="0" applyFont="1" applyBorder="1" applyAlignment="1">
      <alignment horizontal="right"/>
    </xf>
    <xf numFmtId="0" fontId="1" fillId="0" borderId="0" xfId="0" applyFont="1" applyBorder="1" applyAlignment="1">
      <alignment horizontal="right" wrapText="1"/>
    </xf>
    <xf numFmtId="0" fontId="1" fillId="0" borderId="10" xfId="0" applyFont="1" applyBorder="1" applyAlignment="1">
      <alignment horizontal="right" wrapText="1"/>
    </xf>
    <xf numFmtId="0" fontId="0" fillId="0" borderId="0" xfId="0" applyBorder="1" applyAlignment="1">
      <alignment horizontal="right"/>
    </xf>
    <xf numFmtId="164" fontId="0" fillId="0" borderId="12" xfId="0" applyNumberFormat="1" applyBorder="1" applyAlignment="1">
      <alignment/>
    </xf>
    <xf numFmtId="164" fontId="0" fillId="0" borderId="10" xfId="0" applyNumberFormat="1" applyBorder="1" applyAlignment="1">
      <alignment/>
    </xf>
    <xf numFmtId="164" fontId="0" fillId="0" borderId="13" xfId="0" applyNumberFormat="1" applyBorder="1" applyAlignment="1">
      <alignment/>
    </xf>
    <xf numFmtId="0" fontId="17" fillId="0" borderId="0" xfId="0" applyFont="1" applyAlignment="1">
      <alignment/>
    </xf>
    <xf numFmtId="44" fontId="0" fillId="0" borderId="0" xfId="17" applyAlignment="1">
      <alignment/>
    </xf>
    <xf numFmtId="7" fontId="0" fillId="0" borderId="0" xfId="0" applyNumberFormat="1" applyAlignment="1">
      <alignment/>
    </xf>
    <xf numFmtId="2" fontId="0" fillId="0" borderId="0" xfId="0" applyNumberFormat="1" applyAlignment="1">
      <alignment/>
    </xf>
    <xf numFmtId="0" fontId="0" fillId="0" borderId="0" xfId="17" applyNumberFormat="1" applyAlignment="1">
      <alignment/>
    </xf>
    <xf numFmtId="0" fontId="0" fillId="0" borderId="0" xfId="0" applyNumberFormat="1" applyAlignment="1">
      <alignment/>
    </xf>
    <xf numFmtId="9" fontId="0" fillId="0" borderId="0" xfId="0" applyNumberFormat="1" applyBorder="1" applyAlignment="1">
      <alignment/>
    </xf>
    <xf numFmtId="9" fontId="0" fillId="0" borderId="10" xfId="0" applyNumberFormat="1" applyBorder="1" applyAlignment="1">
      <alignment/>
    </xf>
    <xf numFmtId="0" fontId="0" fillId="0" borderId="7" xfId="0" applyFont="1" applyBorder="1" applyAlignment="1">
      <alignment horizontal="left" wrapText="1"/>
    </xf>
    <xf numFmtId="0" fontId="2" fillId="0" borderId="7" xfId="19" applyFont="1" applyBorder="1" applyAlignment="1">
      <alignment horizontal="right" wrapText="1"/>
      <protection/>
    </xf>
    <xf numFmtId="0" fontId="1" fillId="0" borderId="0" xfId="0" applyFont="1" applyAlignment="1">
      <alignment horizontal="centerContinuous"/>
    </xf>
    <xf numFmtId="167" fontId="0" fillId="0" borderId="2" xfId="22" applyNumberFormat="1" applyBorder="1" applyAlignment="1">
      <alignment/>
    </xf>
    <xf numFmtId="167" fontId="0" fillId="0" borderId="4" xfId="22" applyNumberFormat="1" applyBorder="1" applyAlignment="1">
      <alignment/>
    </xf>
    <xf numFmtId="167" fontId="0" fillId="0" borderId="5" xfId="22" applyNumberFormat="1" applyBorder="1" applyAlignment="1">
      <alignment/>
    </xf>
    <xf numFmtId="10" fontId="0" fillId="0" borderId="0" xfId="22" applyNumberFormat="1" applyAlignment="1">
      <alignment/>
    </xf>
    <xf numFmtId="0" fontId="13" fillId="0" borderId="0" xfId="0" applyFont="1" applyBorder="1" applyAlignment="1">
      <alignment horizontal="centerContinuous"/>
    </xf>
    <xf numFmtId="167" fontId="0" fillId="0" borderId="10" xfId="22" applyNumberFormat="1" applyBorder="1" applyAlignment="1">
      <alignment/>
    </xf>
    <xf numFmtId="175" fontId="0" fillId="0" borderId="10" xfId="0" applyNumberFormat="1" applyBorder="1" applyAlignment="1">
      <alignment/>
    </xf>
    <xf numFmtId="175" fontId="0" fillId="0" borderId="11" xfId="0" applyNumberFormat="1" applyBorder="1" applyAlignment="1">
      <alignment/>
    </xf>
    <xf numFmtId="175" fontId="0" fillId="0" borderId="13" xfId="0" applyNumberFormat="1" applyBorder="1" applyAlignment="1">
      <alignment/>
    </xf>
    <xf numFmtId="175" fontId="0" fillId="0" borderId="12" xfId="0" applyNumberFormat="1" applyBorder="1" applyAlignment="1">
      <alignment/>
    </xf>
    <xf numFmtId="9" fontId="0" fillId="0" borderId="0" xfId="0" applyNumberFormat="1" applyAlignment="1">
      <alignment/>
    </xf>
    <xf numFmtId="0" fontId="0" fillId="0" borderId="7" xfId="0" applyBorder="1" applyAlignment="1">
      <alignment horizontal="left"/>
    </xf>
    <xf numFmtId="0" fontId="11" fillId="0" borderId="0" xfId="0" applyFont="1" applyBorder="1" applyAlignment="1">
      <alignment horizontal="center"/>
    </xf>
    <xf numFmtId="0" fontId="0" fillId="0" borderId="0" xfId="0" applyBorder="1" applyAlignment="1">
      <alignment horizontal="centerContinuous"/>
    </xf>
    <xf numFmtId="10" fontId="0" fillId="0" borderId="2" xfId="0" applyNumberFormat="1" applyBorder="1" applyAlignment="1">
      <alignment/>
    </xf>
    <xf numFmtId="10" fontId="0" fillId="0" borderId="4" xfId="0" applyNumberFormat="1" applyBorder="1" applyAlignment="1">
      <alignment/>
    </xf>
    <xf numFmtId="178" fontId="0" fillId="0" borderId="14" xfId="0" applyNumberFormat="1" applyBorder="1" applyAlignment="1">
      <alignment/>
    </xf>
    <xf numFmtId="178" fontId="0" fillId="0" borderId="15" xfId="0" applyNumberFormat="1" applyBorder="1" applyAlignment="1">
      <alignment/>
    </xf>
    <xf numFmtId="10" fontId="0" fillId="0" borderId="5" xfId="0" applyNumberFormat="1" applyBorder="1" applyAlignment="1">
      <alignment/>
    </xf>
    <xf numFmtId="178" fontId="0" fillId="0" borderId="6" xfId="0" applyNumberFormat="1" applyBorder="1" applyAlignment="1">
      <alignment/>
    </xf>
    <xf numFmtId="0" fontId="0" fillId="0" borderId="0" xfId="0" applyAlignment="1">
      <alignment horizontal="left"/>
    </xf>
    <xf numFmtId="1" fontId="1" fillId="0" borderId="0" xfId="0" applyNumberFormat="1" applyFont="1" applyAlignment="1">
      <alignment horizontal="right"/>
    </xf>
    <xf numFmtId="0" fontId="0" fillId="0" borderId="0" xfId="0" applyBorder="1" applyAlignment="1" applyProtection="1">
      <alignment/>
      <protection locked="0"/>
    </xf>
    <xf numFmtId="0" fontId="6" fillId="0" borderId="0" xfId="0" applyFont="1" applyFill="1" applyBorder="1" applyAlignment="1">
      <alignment/>
    </xf>
    <xf numFmtId="1" fontId="0" fillId="0" borderId="10" xfId="0" applyNumberFormat="1" applyBorder="1" applyAlignment="1">
      <alignment/>
    </xf>
    <xf numFmtId="0" fontId="13" fillId="0" borderId="16" xfId="0" applyFont="1" applyBorder="1" applyAlignment="1">
      <alignment horizontal="left"/>
    </xf>
    <xf numFmtId="0" fontId="11" fillId="0" borderId="17" xfId="0" applyFont="1" applyBorder="1" applyAlignment="1">
      <alignment horizontal="center"/>
    </xf>
    <xf numFmtId="0" fontId="11" fillId="0" borderId="18" xfId="0" applyFont="1" applyBorder="1" applyAlignment="1">
      <alignment horizontal="center"/>
    </xf>
    <xf numFmtId="0" fontId="15" fillId="0" borderId="7" xfId="19" applyFont="1" applyBorder="1" applyAlignment="1">
      <alignment horizontal="left" wrapText="1"/>
      <protection/>
    </xf>
    <xf numFmtId="167" fontId="0" fillId="0" borderId="0" xfId="0" applyNumberFormat="1" applyBorder="1" applyAlignment="1">
      <alignment/>
    </xf>
    <xf numFmtId="0" fontId="1" fillId="0" borderId="0" xfId="0" applyFont="1" applyBorder="1" applyAlignment="1">
      <alignment/>
    </xf>
    <xf numFmtId="9" fontId="0" fillId="0" borderId="0" xfId="22" applyBorder="1" applyAlignment="1">
      <alignment/>
    </xf>
    <xf numFmtId="164" fontId="0" fillId="0" borderId="11" xfId="0" applyNumberFormat="1" applyBorder="1" applyAlignment="1">
      <alignment/>
    </xf>
    <xf numFmtId="165" fontId="0" fillId="0" borderId="7" xfId="15" applyNumberFormat="1" applyBorder="1" applyAlignment="1">
      <alignment/>
    </xf>
    <xf numFmtId="165" fontId="0" fillId="0" borderId="8" xfId="15" applyNumberFormat="1" applyBorder="1" applyAlignment="1">
      <alignment/>
    </xf>
    <xf numFmtId="0" fontId="0" fillId="0" borderId="7" xfId="0" applyBorder="1" applyAlignment="1">
      <alignment horizontal="right"/>
    </xf>
    <xf numFmtId="0" fontId="0" fillId="0" borderId="8" xfId="0" applyBorder="1" applyAlignment="1">
      <alignment horizontal="right"/>
    </xf>
    <xf numFmtId="175" fontId="0" fillId="0" borderId="19" xfId="17" applyNumberFormat="1" applyBorder="1" applyAlignment="1">
      <alignment/>
    </xf>
    <xf numFmtId="0" fontId="0" fillId="0" borderId="0" xfId="0" applyAlignment="1">
      <alignment horizontal="center" wrapText="1"/>
    </xf>
    <xf numFmtId="0" fontId="0" fillId="0" borderId="14" xfId="0" applyBorder="1" applyAlignment="1">
      <alignment horizontal="center"/>
    </xf>
    <xf numFmtId="1" fontId="2" fillId="0" borderId="9" xfId="19" applyNumberFormat="1" applyBorder="1">
      <alignment/>
      <protection/>
    </xf>
    <xf numFmtId="0" fontId="1" fillId="2" borderId="20" xfId="0" applyFont="1" applyFill="1" applyBorder="1" applyAlignment="1">
      <alignment horizontal="right"/>
    </xf>
    <xf numFmtId="0" fontId="1" fillId="2" borderId="0" xfId="0" applyFont="1" applyFill="1" applyAlignment="1">
      <alignment/>
    </xf>
    <xf numFmtId="0" fontId="1" fillId="2" borderId="21" xfId="0" applyFont="1" applyFill="1" applyBorder="1" applyAlignment="1">
      <alignment/>
    </xf>
    <xf numFmtId="0" fontId="1" fillId="2" borderId="22" xfId="0" applyFont="1" applyFill="1" applyBorder="1" applyAlignment="1">
      <alignment horizontal="right"/>
    </xf>
    <xf numFmtId="167" fontId="6" fillId="3" borderId="9" xfId="22" applyNumberFormat="1" applyFont="1" applyFill="1" applyBorder="1" applyAlignment="1">
      <alignment/>
    </xf>
    <xf numFmtId="1" fontId="0" fillId="3" borderId="0" xfId="0" applyNumberFormat="1" applyFill="1" applyAlignment="1">
      <alignment/>
    </xf>
    <xf numFmtId="49" fontId="1" fillId="0" borderId="0" xfId="0" applyNumberFormat="1" applyFont="1" applyFill="1" applyAlignment="1">
      <alignment wrapText="1"/>
    </xf>
    <xf numFmtId="0" fontId="1" fillId="0" borderId="0" xfId="0" applyFont="1" applyFill="1" applyAlignment="1">
      <alignment/>
    </xf>
    <xf numFmtId="1" fontId="27" fillId="0" borderId="0" xfId="0" applyNumberFormat="1" applyFont="1" applyFill="1" applyAlignment="1">
      <alignment/>
    </xf>
    <xf numFmtId="1" fontId="0" fillId="0" borderId="0" xfId="0" applyNumberFormat="1" applyFill="1" applyAlignment="1">
      <alignment/>
    </xf>
    <xf numFmtId="0" fontId="0" fillId="0" borderId="0" xfId="0" applyFill="1" applyAlignment="1">
      <alignment/>
    </xf>
    <xf numFmtId="0" fontId="0" fillId="0" borderId="21" xfId="0" applyFill="1" applyBorder="1" applyAlignment="1">
      <alignment horizontal="right"/>
    </xf>
    <xf numFmtId="0" fontId="0" fillId="0" borderId="0" xfId="0" applyFill="1" applyAlignment="1">
      <alignment horizontal="right"/>
    </xf>
    <xf numFmtId="0" fontId="0" fillId="0" borderId="20" xfId="0" applyFill="1" applyBorder="1" applyAlignment="1">
      <alignment horizontal="right"/>
    </xf>
    <xf numFmtId="0" fontId="0" fillId="0" borderId="22" xfId="0" applyFill="1" applyBorder="1" applyAlignment="1">
      <alignment horizontal="right"/>
    </xf>
    <xf numFmtId="0" fontId="0" fillId="0" borderId="21" xfId="0" applyFill="1" applyBorder="1" applyAlignment="1">
      <alignment/>
    </xf>
    <xf numFmtId="0" fontId="0" fillId="0" borderId="20" xfId="0" applyFill="1" applyBorder="1" applyAlignment="1">
      <alignment/>
    </xf>
    <xf numFmtId="0" fontId="0" fillId="0" borderId="22" xfId="0" applyFill="1" applyBorder="1" applyAlignment="1">
      <alignment/>
    </xf>
    <xf numFmtId="4" fontId="0" fillId="0" borderId="0" xfId="0" applyNumberFormat="1" applyFill="1" applyAlignment="1">
      <alignment/>
    </xf>
    <xf numFmtId="2" fontId="0" fillId="0" borderId="0" xfId="0" applyNumberFormat="1" applyFill="1" applyAlignment="1">
      <alignment/>
    </xf>
    <xf numFmtId="2" fontId="0" fillId="0" borderId="0" xfId="0" applyNumberFormat="1" applyFill="1" applyBorder="1" applyAlignment="1">
      <alignment/>
    </xf>
    <xf numFmtId="0" fontId="0" fillId="0" borderId="0" xfId="0" applyFill="1" applyAlignment="1">
      <alignment horizontal="centerContinuous"/>
    </xf>
    <xf numFmtId="0" fontId="0" fillId="0" borderId="0" xfId="0" applyFill="1" applyAlignment="1">
      <alignment horizontal="left"/>
    </xf>
    <xf numFmtId="0" fontId="2" fillId="0" borderId="0" xfId="19" applyFill="1">
      <alignment/>
      <protection/>
    </xf>
    <xf numFmtId="0" fontId="1" fillId="0" borderId="21" xfId="0" applyFont="1" applyFill="1" applyBorder="1" applyAlignment="1">
      <alignment horizontal="right"/>
    </xf>
    <xf numFmtId="0" fontId="1" fillId="0" borderId="20" xfId="0" applyFont="1" applyFill="1" applyBorder="1" applyAlignment="1">
      <alignment horizontal="right"/>
    </xf>
    <xf numFmtId="0" fontId="1" fillId="0" borderId="22" xfId="0" applyFont="1" applyFill="1" applyBorder="1" applyAlignment="1">
      <alignment horizontal="right" wrapText="1"/>
    </xf>
    <xf numFmtId="0" fontId="1" fillId="0" borderId="21" xfId="0" applyFont="1" applyFill="1" applyBorder="1" applyAlignment="1">
      <alignment/>
    </xf>
    <xf numFmtId="0" fontId="1" fillId="0" borderId="20" xfId="0" applyFont="1" applyFill="1" applyBorder="1" applyAlignment="1">
      <alignment/>
    </xf>
    <xf numFmtId="0" fontId="1" fillId="0" borderId="22" xfId="0" applyFont="1" applyFill="1" applyBorder="1" applyAlignment="1">
      <alignment wrapText="1"/>
    </xf>
    <xf numFmtId="0" fontId="0" fillId="0" borderId="23" xfId="0" applyFill="1" applyBorder="1" applyAlignment="1">
      <alignment horizontal="right"/>
    </xf>
    <xf numFmtId="1" fontId="0" fillId="0" borderId="23" xfId="0" applyNumberFormat="1" applyFill="1" applyBorder="1" applyAlignment="1">
      <alignment/>
    </xf>
    <xf numFmtId="10" fontId="1" fillId="0" borderId="0" xfId="0" applyNumberFormat="1" applyFont="1" applyFill="1" applyAlignment="1">
      <alignment/>
    </xf>
    <xf numFmtId="0" fontId="1" fillId="0" borderId="22" xfId="0" applyFont="1" applyFill="1" applyBorder="1" applyAlignment="1">
      <alignment horizontal="right"/>
    </xf>
    <xf numFmtId="0" fontId="21" fillId="0" borderId="0" xfId="0" applyFont="1" applyFill="1" applyAlignment="1">
      <alignment/>
    </xf>
    <xf numFmtId="164" fontId="0" fillId="0" borderId="0" xfId="0" applyNumberFormat="1" applyFill="1" applyAlignment="1">
      <alignment/>
    </xf>
    <xf numFmtId="0" fontId="1" fillId="0" borderId="0" xfId="0" applyFont="1" applyFill="1" applyAlignment="1">
      <alignment horizontal="right"/>
    </xf>
    <xf numFmtId="1" fontId="4" fillId="0" borderId="0" xfId="19" applyNumberFormat="1" applyFont="1" applyFill="1" applyAlignment="1">
      <alignment horizontal="right"/>
      <protection/>
    </xf>
    <xf numFmtId="0" fontId="2" fillId="0" borderId="0" xfId="19" applyFont="1" applyFill="1" applyAlignment="1">
      <alignment horizontal="right"/>
      <protection/>
    </xf>
    <xf numFmtId="14" fontId="2" fillId="0" borderId="0" xfId="19" applyNumberFormat="1" applyFill="1">
      <alignment/>
      <protection/>
    </xf>
    <xf numFmtId="1" fontId="2" fillId="0" borderId="0" xfId="19" applyNumberFormat="1" applyFill="1">
      <alignment/>
      <protection/>
    </xf>
    <xf numFmtId="0" fontId="2" fillId="0" borderId="0" xfId="19" applyFill="1" applyAlignment="1">
      <alignment horizontal="right"/>
      <protection/>
    </xf>
    <xf numFmtId="0" fontId="12" fillId="0" borderId="0" xfId="19" applyFont="1" applyFill="1" applyAlignment="1">
      <alignment wrapText="1"/>
      <protection/>
    </xf>
    <xf numFmtId="0" fontId="4" fillId="0" borderId="0" xfId="19" applyFont="1" applyFill="1" applyAlignment="1">
      <alignment wrapText="1"/>
      <protection/>
    </xf>
    <xf numFmtId="0" fontId="2" fillId="0" borderId="0" xfId="19" applyFont="1" applyFill="1">
      <alignment/>
      <protection/>
    </xf>
    <xf numFmtId="10" fontId="2" fillId="0" borderId="0" xfId="22" applyNumberFormat="1" applyFill="1" applyAlignment="1">
      <alignment/>
    </xf>
    <xf numFmtId="43" fontId="2" fillId="0" borderId="0" xfId="15" applyFill="1" applyAlignment="1">
      <alignment/>
    </xf>
    <xf numFmtId="3" fontId="0" fillId="0" borderId="0" xfId="0" applyNumberFormat="1" applyFill="1" applyBorder="1" applyAlignment="1">
      <alignment/>
    </xf>
    <xf numFmtId="3" fontId="2" fillId="0" borderId="0" xfId="19" applyNumberFormat="1" applyFill="1">
      <alignment/>
      <protection/>
    </xf>
    <xf numFmtId="5" fontId="0" fillId="0" borderId="0" xfId="17" applyNumberFormat="1" applyFill="1" applyAlignment="1">
      <alignment/>
    </xf>
    <xf numFmtId="5" fontId="0" fillId="0" borderId="0" xfId="0" applyNumberFormat="1" applyFill="1" applyAlignment="1">
      <alignment/>
    </xf>
    <xf numFmtId="5" fontId="0" fillId="0" borderId="0" xfId="17" applyNumberFormat="1" applyFont="1" applyFill="1" applyBorder="1" applyAlignment="1">
      <alignment/>
    </xf>
    <xf numFmtId="0" fontId="0" fillId="0" borderId="0" xfId="0" applyFill="1" applyBorder="1" applyAlignment="1">
      <alignment/>
    </xf>
    <xf numFmtId="5" fontId="0" fillId="0" borderId="0" xfId="17" applyNumberFormat="1" applyFont="1" applyFill="1" applyBorder="1" applyAlignment="1">
      <alignment/>
    </xf>
    <xf numFmtId="5" fontId="0" fillId="0" borderId="0" xfId="17" applyNumberFormat="1" applyFill="1" applyBorder="1" applyAlignment="1">
      <alignment/>
    </xf>
    <xf numFmtId="5" fontId="0" fillId="0" borderId="1" xfId="17" applyNumberFormat="1" applyFill="1" applyBorder="1" applyAlignment="1">
      <alignment/>
    </xf>
    <xf numFmtId="175" fontId="0" fillId="0" borderId="24" xfId="17" applyNumberFormat="1" applyFill="1" applyBorder="1" applyAlignment="1">
      <alignment/>
    </xf>
    <xf numFmtId="9" fontId="0" fillId="0" borderId="25" xfId="22" applyFill="1" applyBorder="1" applyAlignment="1">
      <alignment/>
    </xf>
    <xf numFmtId="0" fontId="26" fillId="0" borderId="26" xfId="0" applyFont="1" applyFill="1" applyBorder="1" applyAlignment="1">
      <alignment horizontal="right" vertical="top" wrapText="1"/>
    </xf>
    <xf numFmtId="0" fontId="26" fillId="0" borderId="26" xfId="0" applyFont="1" applyFill="1" applyBorder="1" applyAlignment="1">
      <alignment horizontal="right" vertical="top"/>
    </xf>
    <xf numFmtId="0" fontId="26" fillId="0" borderId="26" xfId="0" applyFont="1" applyFill="1" applyBorder="1" applyAlignment="1">
      <alignment horizontal="right"/>
    </xf>
    <xf numFmtId="0" fontId="26" fillId="0" borderId="27" xfId="0" applyFont="1" applyFill="1" applyBorder="1" applyAlignment="1">
      <alignment horizontal="right"/>
    </xf>
    <xf numFmtId="0" fontId="0" fillId="0" borderId="23" xfId="0" applyFill="1" applyBorder="1" applyAlignment="1">
      <alignment/>
    </xf>
    <xf numFmtId="164" fontId="0" fillId="0" borderId="0" xfId="0" applyNumberFormat="1" applyFill="1" applyBorder="1" applyAlignment="1">
      <alignment/>
    </xf>
    <xf numFmtId="164" fontId="0" fillId="0" borderId="1" xfId="0" applyNumberFormat="1" applyFill="1" applyBorder="1" applyAlignment="1">
      <alignment/>
    </xf>
    <xf numFmtId="0" fontId="1" fillId="0" borderId="28" xfId="0" applyFont="1" applyFill="1" applyBorder="1" applyAlignment="1">
      <alignment/>
    </xf>
    <xf numFmtId="0" fontId="0" fillId="0" borderId="13" xfId="0" applyFont="1" applyFill="1" applyBorder="1" applyAlignment="1">
      <alignment/>
    </xf>
    <xf numFmtId="0" fontId="1" fillId="0" borderId="8" xfId="0" applyFont="1" applyFill="1" applyBorder="1" applyAlignment="1">
      <alignment/>
    </xf>
    <xf numFmtId="0" fontId="0" fillId="0" borderId="11" xfId="0" applyFont="1" applyFill="1" applyBorder="1" applyAlignment="1">
      <alignment/>
    </xf>
    <xf numFmtId="0" fontId="11" fillId="0" borderId="0" xfId="0" applyFont="1" applyAlignment="1">
      <alignment horizontal="center"/>
    </xf>
    <xf numFmtId="0" fontId="14" fillId="0" borderId="0" xfId="0" applyFont="1" applyAlignment="1" quotePrefix="1">
      <alignment horizontal="center"/>
    </xf>
    <xf numFmtId="14" fontId="14" fillId="0" borderId="0" xfId="0" applyNumberFormat="1" applyFont="1" applyAlignment="1" quotePrefix="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175" fontId="0" fillId="0" borderId="1" xfId="17" applyNumberFormat="1" applyFont="1" applyBorder="1" applyAlignment="1">
      <alignment horizontal="center"/>
    </xf>
    <xf numFmtId="0" fontId="22" fillId="0" borderId="29" xfId="0" applyFont="1" applyBorder="1" applyAlignment="1">
      <alignment horizontal="center"/>
    </xf>
    <xf numFmtId="0" fontId="22" fillId="0" borderId="31" xfId="0" applyFont="1" applyBorder="1" applyAlignment="1">
      <alignment horizontal="center"/>
    </xf>
    <xf numFmtId="0" fontId="22" fillId="0" borderId="30" xfId="0" applyFont="1" applyBorder="1" applyAlignment="1">
      <alignment horizontal="center"/>
    </xf>
    <xf numFmtId="0" fontId="0" fillId="0" borderId="32"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0" fillId="0" borderId="21" xfId="0" applyFill="1" applyBorder="1" applyAlignment="1">
      <alignment horizontal="center" wrapText="1"/>
    </xf>
    <xf numFmtId="0" fontId="0" fillId="0" borderId="22" xfId="0" applyFill="1" applyBorder="1" applyAlignment="1">
      <alignment horizontal="center" wrapText="1"/>
    </xf>
    <xf numFmtId="0" fontId="19" fillId="0" borderId="23" xfId="0" applyFont="1" applyBorder="1" applyAlignment="1">
      <alignment horizontal="center"/>
    </xf>
    <xf numFmtId="14" fontId="9" fillId="0" borderId="33" xfId="0" applyNumberFormat="1" applyFont="1" applyFill="1" applyBorder="1" applyAlignment="1">
      <alignment horizontal="left"/>
    </xf>
    <xf numFmtId="0" fontId="9" fillId="0" borderId="33" xfId="0" applyFont="1" applyFill="1" applyBorder="1" applyAlignment="1">
      <alignment horizontal="left"/>
    </xf>
    <xf numFmtId="0" fontId="9" fillId="0" borderId="34" xfId="0" applyFont="1" applyFill="1" applyBorder="1" applyAlignment="1">
      <alignment horizontal="left"/>
    </xf>
    <xf numFmtId="0" fontId="13" fillId="2" borderId="35" xfId="0" applyFont="1" applyFill="1" applyBorder="1" applyAlignment="1">
      <alignment horizontal="center"/>
    </xf>
    <xf numFmtId="0" fontId="13" fillId="2" borderId="36" xfId="0" applyFont="1" applyFill="1" applyBorder="1" applyAlignment="1">
      <alignment horizontal="center"/>
    </xf>
    <xf numFmtId="0" fontId="13" fillId="2" borderId="37" xfId="0" applyFont="1" applyFill="1" applyBorder="1" applyAlignment="1">
      <alignment horizontal="center"/>
    </xf>
    <xf numFmtId="0" fontId="18" fillId="0" borderId="16" xfId="0" applyFont="1" applyBorder="1" applyAlignment="1">
      <alignment horizontal="center" wrapText="1"/>
    </xf>
    <xf numFmtId="0" fontId="18" fillId="0" borderId="17" xfId="0" applyFont="1" applyBorder="1" applyAlignment="1">
      <alignment horizontal="center" wrapText="1"/>
    </xf>
    <xf numFmtId="0" fontId="9" fillId="0" borderId="23" xfId="0" applyFont="1" applyFill="1" applyBorder="1" applyAlignment="1">
      <alignment horizontal="left" vertical="top" wrapText="1"/>
    </xf>
    <xf numFmtId="0" fontId="9" fillId="0" borderId="38" xfId="0" applyFont="1" applyFill="1" applyBorder="1" applyAlignment="1">
      <alignment horizontal="left" vertical="top" wrapText="1"/>
    </xf>
    <xf numFmtId="1" fontId="9" fillId="0" borderId="23" xfId="0" applyNumberFormat="1" applyFont="1" applyFill="1" applyBorder="1" applyAlignment="1">
      <alignment horizontal="left"/>
    </xf>
    <xf numFmtId="1" fontId="9" fillId="0" borderId="38" xfId="0" applyNumberFormat="1" applyFont="1" applyFill="1" applyBorder="1" applyAlignment="1">
      <alignment horizontal="left"/>
    </xf>
    <xf numFmtId="0" fontId="1" fillId="0" borderId="39" xfId="0" applyFont="1" applyFill="1" applyBorder="1" applyAlignment="1">
      <alignment horizontal="center"/>
    </xf>
    <xf numFmtId="0" fontId="1" fillId="0" borderId="20" xfId="0" applyFont="1" applyFill="1" applyBorder="1" applyAlignment="1">
      <alignment horizontal="center"/>
    </xf>
    <xf numFmtId="0" fontId="1" fillId="0" borderId="40" xfId="0" applyFont="1" applyFill="1" applyBorder="1" applyAlignment="1">
      <alignment horizontal="center"/>
    </xf>
    <xf numFmtId="0" fontId="0" fillId="0" borderId="28" xfId="0" applyBorder="1" applyAlignment="1">
      <alignment horizontal="left"/>
    </xf>
    <xf numFmtId="0" fontId="0" fillId="0" borderId="1" xfId="0" applyBorder="1" applyAlignment="1">
      <alignment horizontal="left"/>
    </xf>
    <xf numFmtId="0" fontId="1" fillId="0" borderId="29" xfId="0" applyFont="1" applyFill="1" applyBorder="1" applyAlignment="1">
      <alignment horizontal="center" wrapText="1"/>
    </xf>
    <xf numFmtId="0" fontId="1" fillId="0" borderId="31" xfId="0" applyFont="1" applyFill="1" applyBorder="1" applyAlignment="1">
      <alignment horizontal="center" wrapText="1"/>
    </xf>
    <xf numFmtId="0" fontId="1" fillId="0" borderId="30" xfId="0" applyFont="1" applyFill="1" applyBorder="1" applyAlignment="1">
      <alignment horizontal="center" wrapText="1"/>
    </xf>
    <xf numFmtId="0" fontId="11" fillId="0" borderId="35" xfId="0" applyFont="1" applyBorder="1" applyAlignment="1">
      <alignment horizontal="center"/>
    </xf>
    <xf numFmtId="0" fontId="11" fillId="0" borderId="37" xfId="0" applyFont="1" applyBorder="1" applyAlignment="1">
      <alignment horizontal="center"/>
    </xf>
    <xf numFmtId="0" fontId="11" fillId="0" borderId="0" xfId="0" applyFont="1" applyFill="1" applyAlignment="1">
      <alignment horizontal="center"/>
    </xf>
    <xf numFmtId="0" fontId="11" fillId="0" borderId="0" xfId="0" applyFont="1" applyFill="1" applyAlignment="1">
      <alignment/>
    </xf>
    <xf numFmtId="0" fontId="1" fillId="0" borderId="0" xfId="0" applyFont="1" applyAlignment="1">
      <alignment horizontal="center"/>
    </xf>
    <xf numFmtId="1" fontId="4" fillId="0" borderId="0" xfId="19" applyNumberFormat="1" applyFont="1" applyAlignment="1">
      <alignment horizontal="left" vertical="top" wrapText="1"/>
      <protection/>
    </xf>
    <xf numFmtId="0" fontId="16" fillId="2" borderId="29" xfId="19" applyFont="1" applyFill="1" applyBorder="1" applyAlignment="1">
      <alignment horizontal="center"/>
      <protection/>
    </xf>
    <xf numFmtId="0" fontId="16" fillId="2" borderId="31" xfId="19" applyFont="1" applyFill="1" applyBorder="1" applyAlignment="1">
      <alignment horizontal="center"/>
      <protection/>
    </xf>
    <xf numFmtId="0" fontId="16" fillId="2" borderId="30" xfId="19" applyFont="1" applyFill="1" applyBorder="1" applyAlignment="1">
      <alignment horizontal="center"/>
      <protection/>
    </xf>
    <xf numFmtId="0" fontId="2" fillId="0" borderId="0" xfId="19" applyFont="1" applyFill="1" applyAlignment="1">
      <alignment horizontal="center"/>
      <protection/>
    </xf>
    <xf numFmtId="0" fontId="0" fillId="0" borderId="0" xfId="0" applyFill="1" applyAlignment="1">
      <alignment horizontal="center"/>
    </xf>
    <xf numFmtId="0" fontId="25" fillId="0" borderId="0" xfId="0" applyFont="1" applyAlignment="1">
      <alignment horizontal="center"/>
    </xf>
    <xf numFmtId="0" fontId="1" fillId="0" borderId="1" xfId="0" applyFont="1" applyBorder="1" applyAlignment="1">
      <alignment horizontal="center"/>
    </xf>
    <xf numFmtId="0" fontId="1" fillId="0" borderId="0" xfId="0" applyFont="1" applyFill="1" applyAlignment="1">
      <alignment horizontal="center"/>
    </xf>
  </cellXfs>
  <cellStyles count="9">
    <cellStyle name="Normal" xfId="0"/>
    <cellStyle name="Comma" xfId="15"/>
    <cellStyle name="Comma [0]" xfId="16"/>
    <cellStyle name="Currency" xfId="17"/>
    <cellStyle name="Currency [0]" xfId="18"/>
    <cellStyle name="Normal_Book2" xfId="19"/>
    <cellStyle name="Normal_Energy" xfId="20"/>
    <cellStyle name="Normal_HLH percen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imes New Roman"/>
                <a:ea typeface="Times New Roman"/>
                <a:cs typeface="Times New Roman"/>
              </a:rPr>
              <a:t>
Slice of the System - Financial Impacts</a:t>
            </a:r>
          </a:p>
        </c:rich>
      </c:tx>
      <c:layout>
        <c:manualLayout>
          <c:xMode val="factor"/>
          <c:yMode val="factor"/>
          <c:x val="0.00925"/>
          <c:y val="0"/>
        </c:manualLayout>
      </c:layout>
      <c:spPr>
        <a:noFill/>
        <a:ln>
          <a:noFill/>
        </a:ln>
      </c:spPr>
    </c:title>
    <c:plotArea>
      <c:layout>
        <c:manualLayout>
          <c:xMode val="edge"/>
          <c:yMode val="edge"/>
          <c:x val="0.09725"/>
          <c:y val="0.11875"/>
          <c:w val="0.71625"/>
          <c:h val="0.73675"/>
        </c:manualLayout>
      </c:layout>
      <c:scatterChart>
        <c:scatterStyle val="lineMarker"/>
        <c:varyColors val="0"/>
        <c:ser>
          <c:idx val="0"/>
          <c:order val="0"/>
          <c:tx>
            <c:strRef>
              <c:f>Results!$D$4</c:f>
              <c:strCache>
                <c:ptCount val="1"/>
                <c:pt idx="0">
                  <c:v>Non-Slice case load shaped to BPA's Aggregate PF load, Slice percentage is 15%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dispEq val="0"/>
            <c:dispRSqr val="1"/>
            <c:trendlineLbl>
              <c:layout>
                <c:manualLayout>
                  <c:x val="0"/>
                  <c:y val="0"/>
                </c:manualLayout>
              </c:layout>
              <c:txPr>
                <a:bodyPr vert="horz" rot="0" anchor="ctr"/>
                <a:lstStyle/>
                <a:p>
                  <a:pPr algn="ctr">
                    <a:defRPr lang="en-US" cap="none" sz="575" b="0" i="0" u="none" baseline="0">
                      <a:latin typeface="Times New Roman"/>
                      <a:ea typeface="Times New Roman"/>
                      <a:cs typeface="Times New Roman"/>
                    </a:defRPr>
                  </a:pPr>
                </a:p>
              </c:txPr>
              <c:numFmt formatCode="General"/>
            </c:trendlineLbl>
          </c:trendline>
          <c:xVal>
            <c:numRef>
              <c:f>'TDA Historical Volumes'!$I$3:$I$52</c:f>
              <c:numCache>
                <c:ptCount val="50"/>
                <c:pt idx="0">
                  <c:v>30.334</c:v>
                </c:pt>
                <c:pt idx="1">
                  <c:v>27.335</c:v>
                </c:pt>
                <c:pt idx="2">
                  <c:v>27.640000000000004</c:v>
                </c:pt>
                <c:pt idx="3">
                  <c:v>33.841</c:v>
                </c:pt>
                <c:pt idx="4">
                  <c:v>36.434</c:v>
                </c:pt>
                <c:pt idx="5">
                  <c:v>65.404</c:v>
                </c:pt>
                <c:pt idx="6">
                  <c:v>37.957</c:v>
                </c:pt>
                <c:pt idx="7">
                  <c:v>29.067</c:v>
                </c:pt>
                <c:pt idx="8">
                  <c:v>24.673000000000002</c:v>
                </c:pt>
                <c:pt idx="9">
                  <c:v>39.677</c:v>
                </c:pt>
                <c:pt idx="10">
                  <c:v>33.41</c:v>
                </c:pt>
                <c:pt idx="11">
                  <c:v>37.003</c:v>
                </c:pt>
                <c:pt idx="12">
                  <c:v>36.795</c:v>
                </c:pt>
                <c:pt idx="13">
                  <c:v>47.293</c:v>
                </c:pt>
                <c:pt idx="14">
                  <c:v>40.913000000000004</c:v>
                </c:pt>
                <c:pt idx="15">
                  <c:v>29.916999999999998</c:v>
                </c:pt>
                <c:pt idx="16">
                  <c:v>32.382999999999996</c:v>
                </c:pt>
                <c:pt idx="17">
                  <c:v>38.824</c:v>
                </c:pt>
                <c:pt idx="18">
                  <c:v>46.4</c:v>
                </c:pt>
                <c:pt idx="19">
                  <c:v>46.353</c:v>
                </c:pt>
                <c:pt idx="20">
                  <c:v>40.269999999999996</c:v>
                </c:pt>
                <c:pt idx="21">
                  <c:v>42.214</c:v>
                </c:pt>
                <c:pt idx="22">
                  <c:v>58.005</c:v>
                </c:pt>
                <c:pt idx="23">
                  <c:v>44.742000000000004</c:v>
                </c:pt>
                <c:pt idx="24">
                  <c:v>36.964999999999996</c:v>
                </c:pt>
                <c:pt idx="25">
                  <c:v>40.82600000000001</c:v>
                </c:pt>
                <c:pt idx="26">
                  <c:v>38.85900000000001</c:v>
                </c:pt>
                <c:pt idx="27">
                  <c:v>52.851</c:v>
                </c:pt>
                <c:pt idx="28">
                  <c:v>42.168</c:v>
                </c:pt>
                <c:pt idx="29">
                  <c:v>39.918</c:v>
                </c:pt>
                <c:pt idx="30">
                  <c:v>46.836999999999996</c:v>
                </c:pt>
                <c:pt idx="31">
                  <c:v>55.05799999999999</c:v>
                </c:pt>
                <c:pt idx="32">
                  <c:v>42.404999999999994</c:v>
                </c:pt>
                <c:pt idx="33">
                  <c:v>34.385</c:v>
                </c:pt>
                <c:pt idx="34">
                  <c:v>46.584999999999994</c:v>
                </c:pt>
                <c:pt idx="35">
                  <c:v>32.554</c:v>
                </c:pt>
                <c:pt idx="36">
                  <c:v>56.369</c:v>
                </c:pt>
                <c:pt idx="37">
                  <c:v>38.859</c:v>
                </c:pt>
                <c:pt idx="38">
                  <c:v>38.118</c:v>
                </c:pt>
                <c:pt idx="39">
                  <c:v>45.059</c:v>
                </c:pt>
                <c:pt idx="40">
                  <c:v>49.306</c:v>
                </c:pt>
                <c:pt idx="41">
                  <c:v>40.480000000000004</c:v>
                </c:pt>
                <c:pt idx="42">
                  <c:v>47.153000000000006</c:v>
                </c:pt>
                <c:pt idx="43">
                  <c:v>55.188</c:v>
                </c:pt>
                <c:pt idx="44">
                  <c:v>38.21600000000001</c:v>
                </c:pt>
                <c:pt idx="45">
                  <c:v>58.451</c:v>
                </c:pt>
                <c:pt idx="46">
                  <c:v>36.932</c:v>
                </c:pt>
                <c:pt idx="47">
                  <c:v>53.43</c:v>
                </c:pt>
                <c:pt idx="48">
                  <c:v>33.031</c:v>
                </c:pt>
                <c:pt idx="49">
                  <c:v>41.38</c:v>
                </c:pt>
              </c:numCache>
            </c:numRef>
          </c:xVal>
          <c:yVal>
            <c:numRef>
              <c:f>'Change in Rev'!$P$3:$P$52</c:f>
              <c:numCache>
                <c:ptCount val="50"/>
                <c:pt idx="0">
                  <c:v>73.11209560229094</c:v>
                </c:pt>
                <c:pt idx="1">
                  <c:v>77.11234397912239</c:v>
                </c:pt>
                <c:pt idx="2">
                  <c:v>93.91925561358039</c:v>
                </c:pt>
                <c:pt idx="3">
                  <c:v>59.89300966429262</c:v>
                </c:pt>
                <c:pt idx="4">
                  <c:v>7.980931054758628</c:v>
                </c:pt>
                <c:pt idx="5">
                  <c:v>-57.82102894524621</c:v>
                </c:pt>
                <c:pt idx="6">
                  <c:v>19.12075643091667</c:v>
                </c:pt>
                <c:pt idx="7">
                  <c:v>48.77821989107369</c:v>
                </c:pt>
                <c:pt idx="8">
                  <c:v>87.72064340262361</c:v>
                </c:pt>
                <c:pt idx="9">
                  <c:v>1.8557783644692165</c:v>
                </c:pt>
                <c:pt idx="10">
                  <c:v>38.36251198787578</c:v>
                </c:pt>
                <c:pt idx="11">
                  <c:v>28.36410353519048</c:v>
                </c:pt>
                <c:pt idx="12">
                  <c:v>54.706306786910666</c:v>
                </c:pt>
                <c:pt idx="13">
                  <c:v>3.2782128292137287</c:v>
                </c:pt>
                <c:pt idx="14">
                  <c:v>-14.947819674949912</c:v>
                </c:pt>
                <c:pt idx="15">
                  <c:v>69.85861993816894</c:v>
                </c:pt>
                <c:pt idx="16">
                  <c:v>84.67708368694386</c:v>
                </c:pt>
                <c:pt idx="17">
                  <c:v>-1.666446350130343</c:v>
                </c:pt>
                <c:pt idx="18">
                  <c:v>-26.76716615820216</c:v>
                </c:pt>
                <c:pt idx="19">
                  <c:v>-18.680873985334884</c:v>
                </c:pt>
                <c:pt idx="20">
                  <c:v>-0.7775861874866763</c:v>
                </c:pt>
                <c:pt idx="21">
                  <c:v>3.0050845900209424</c:v>
                </c:pt>
                <c:pt idx="22">
                  <c:v>-52.638247013019196</c:v>
                </c:pt>
                <c:pt idx="23">
                  <c:v>-23.672984965502337</c:v>
                </c:pt>
                <c:pt idx="24">
                  <c:v>14.259485642009793</c:v>
                </c:pt>
                <c:pt idx="25">
                  <c:v>-16.364140572065907</c:v>
                </c:pt>
                <c:pt idx="26">
                  <c:v>5.762095365239617</c:v>
                </c:pt>
                <c:pt idx="27">
                  <c:v>-42.21871695255783</c:v>
                </c:pt>
                <c:pt idx="28">
                  <c:v>-0.11991353482819989</c:v>
                </c:pt>
                <c:pt idx="29">
                  <c:v>14.385889347379418</c:v>
                </c:pt>
                <c:pt idx="30">
                  <c:v>-24.971281040641344</c:v>
                </c:pt>
                <c:pt idx="31">
                  <c:v>-50.547521474254296</c:v>
                </c:pt>
                <c:pt idx="32">
                  <c:v>-6.806544117296355</c:v>
                </c:pt>
                <c:pt idx="33">
                  <c:v>12.410180090276</c:v>
                </c:pt>
                <c:pt idx="34">
                  <c:v>-19.339949793210877</c:v>
                </c:pt>
                <c:pt idx="35">
                  <c:v>12.72953388534799</c:v>
                </c:pt>
                <c:pt idx="36">
                  <c:v>-47.24912824540294</c:v>
                </c:pt>
                <c:pt idx="37">
                  <c:v>-14.971201484946135</c:v>
                </c:pt>
                <c:pt idx="38">
                  <c:v>-4.165264178709464</c:v>
                </c:pt>
                <c:pt idx="39">
                  <c:v>-16.674425736501362</c:v>
                </c:pt>
                <c:pt idx="40">
                  <c:v>-43.33393846220832</c:v>
                </c:pt>
                <c:pt idx="41">
                  <c:v>11.294681738110683</c:v>
                </c:pt>
                <c:pt idx="42">
                  <c:v>-13.367947447708616</c:v>
                </c:pt>
                <c:pt idx="43">
                  <c:v>-31.235589330447738</c:v>
                </c:pt>
                <c:pt idx="44">
                  <c:v>15.164430950633331</c:v>
                </c:pt>
                <c:pt idx="45">
                  <c:v>-27.778119048139814</c:v>
                </c:pt>
                <c:pt idx="46">
                  <c:v>-11.125032676306574</c:v>
                </c:pt>
                <c:pt idx="47">
                  <c:v>-45.97175558142095</c:v>
                </c:pt>
                <c:pt idx="48">
                  <c:v>50.16421361602862</c:v>
                </c:pt>
                <c:pt idx="49">
                  <c:v>11.897241066480262</c:v>
                </c:pt>
              </c:numCache>
            </c:numRef>
          </c:yVal>
          <c:smooth val="0"/>
        </c:ser>
        <c:ser>
          <c:idx val="1"/>
          <c:order val="1"/>
          <c:tx>
            <c:strRef>
              <c:f>Results!$D$2</c:f>
              <c:strCache>
                <c:ptCount val="1"/>
                <c:pt idx="0">
                  <c:v>Annual financial impact ($78 million fixed + variable impact based on water year)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'TDA Historical Volumes'!$I$3:$I$52</c:f>
              <c:numCache>
                <c:ptCount val="50"/>
                <c:pt idx="0">
                  <c:v>30.334</c:v>
                </c:pt>
                <c:pt idx="1">
                  <c:v>27.335</c:v>
                </c:pt>
                <c:pt idx="2">
                  <c:v>27.640000000000004</c:v>
                </c:pt>
                <c:pt idx="3">
                  <c:v>33.841</c:v>
                </c:pt>
                <c:pt idx="4">
                  <c:v>36.434</c:v>
                </c:pt>
                <c:pt idx="5">
                  <c:v>65.404</c:v>
                </c:pt>
                <c:pt idx="6">
                  <c:v>37.957</c:v>
                </c:pt>
                <c:pt idx="7">
                  <c:v>29.067</c:v>
                </c:pt>
                <c:pt idx="8">
                  <c:v>24.673000000000002</c:v>
                </c:pt>
                <c:pt idx="9">
                  <c:v>39.677</c:v>
                </c:pt>
                <c:pt idx="10">
                  <c:v>33.41</c:v>
                </c:pt>
                <c:pt idx="11">
                  <c:v>37.003</c:v>
                </c:pt>
                <c:pt idx="12">
                  <c:v>36.795</c:v>
                </c:pt>
                <c:pt idx="13">
                  <c:v>47.293</c:v>
                </c:pt>
                <c:pt idx="14">
                  <c:v>40.913000000000004</c:v>
                </c:pt>
                <c:pt idx="15">
                  <c:v>29.916999999999998</c:v>
                </c:pt>
                <c:pt idx="16">
                  <c:v>32.382999999999996</c:v>
                </c:pt>
                <c:pt idx="17">
                  <c:v>38.824</c:v>
                </c:pt>
                <c:pt idx="18">
                  <c:v>46.4</c:v>
                </c:pt>
                <c:pt idx="19">
                  <c:v>46.353</c:v>
                </c:pt>
                <c:pt idx="20">
                  <c:v>40.269999999999996</c:v>
                </c:pt>
                <c:pt idx="21">
                  <c:v>42.214</c:v>
                </c:pt>
                <c:pt idx="22">
                  <c:v>58.005</c:v>
                </c:pt>
                <c:pt idx="23">
                  <c:v>44.742000000000004</c:v>
                </c:pt>
                <c:pt idx="24">
                  <c:v>36.964999999999996</c:v>
                </c:pt>
                <c:pt idx="25">
                  <c:v>40.82600000000001</c:v>
                </c:pt>
                <c:pt idx="26">
                  <c:v>38.85900000000001</c:v>
                </c:pt>
                <c:pt idx="27">
                  <c:v>52.851</c:v>
                </c:pt>
                <c:pt idx="28">
                  <c:v>42.168</c:v>
                </c:pt>
                <c:pt idx="29">
                  <c:v>39.918</c:v>
                </c:pt>
                <c:pt idx="30">
                  <c:v>46.836999999999996</c:v>
                </c:pt>
                <c:pt idx="31">
                  <c:v>55.05799999999999</c:v>
                </c:pt>
                <c:pt idx="32">
                  <c:v>42.404999999999994</c:v>
                </c:pt>
                <c:pt idx="33">
                  <c:v>34.385</c:v>
                </c:pt>
                <c:pt idx="34">
                  <c:v>46.584999999999994</c:v>
                </c:pt>
                <c:pt idx="35">
                  <c:v>32.554</c:v>
                </c:pt>
                <c:pt idx="36">
                  <c:v>56.369</c:v>
                </c:pt>
                <c:pt idx="37">
                  <c:v>38.859</c:v>
                </c:pt>
                <c:pt idx="38">
                  <c:v>38.118</c:v>
                </c:pt>
                <c:pt idx="39">
                  <c:v>45.059</c:v>
                </c:pt>
                <c:pt idx="40">
                  <c:v>49.306</c:v>
                </c:pt>
                <c:pt idx="41">
                  <c:v>40.480000000000004</c:v>
                </c:pt>
                <c:pt idx="42">
                  <c:v>47.153000000000006</c:v>
                </c:pt>
                <c:pt idx="43">
                  <c:v>55.188</c:v>
                </c:pt>
                <c:pt idx="44">
                  <c:v>38.21600000000001</c:v>
                </c:pt>
                <c:pt idx="45">
                  <c:v>58.451</c:v>
                </c:pt>
                <c:pt idx="46">
                  <c:v>36.932</c:v>
                </c:pt>
                <c:pt idx="47">
                  <c:v>53.43</c:v>
                </c:pt>
                <c:pt idx="48">
                  <c:v>33.031</c:v>
                </c:pt>
                <c:pt idx="49">
                  <c:v>41.38</c:v>
                </c:pt>
              </c:numCache>
            </c:numRef>
          </c:xVal>
          <c:yVal>
            <c:numRef>
              <c:f>Results!$P$27</c:f>
              <c:numCache/>
            </c:numRef>
          </c:yVal>
          <c:smooth val="0"/>
        </c:ser>
        <c:ser>
          <c:idx val="2"/>
          <c:order val="2"/>
          <c:tx>
            <c:v>Critical Water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'TDA Historical Volumes'!$I$11</c:f>
              <c:numCache>
                <c:ptCount val="1"/>
                <c:pt idx="0">
                  <c:v>24.673000000000002</c:v>
                </c:pt>
              </c:numCache>
            </c:numRef>
          </c:xVal>
          <c:yVal>
            <c:numRef>
              <c:f>'Change in Rev'!$P$11</c:f>
              <c:numCache>
                <c:ptCount val="1"/>
                <c:pt idx="0">
                  <c:v>87.72064340262361</c:v>
                </c:pt>
              </c:numCache>
            </c:numRef>
          </c:yVal>
          <c:smooth val="0"/>
        </c:ser>
        <c:axId val="55266486"/>
        <c:axId val="27636327"/>
      </c:scatterChart>
      <c:valAx>
        <c:axId val="55266486"/>
        <c:scaling>
          <c:orientation val="minMax"/>
          <c:min val="20"/>
        </c:scaling>
        <c:axPos val="b"/>
        <c:title>
          <c:tx>
            <c:rich>
              <a:bodyPr vert="horz" rot="0" anchor="ctr"/>
              <a:lstStyle/>
              <a:p>
                <a:pPr algn="ctr">
                  <a:defRPr/>
                </a:pPr>
                <a:r>
                  <a:rPr lang="en-US" cap="none" sz="575" b="0" i="0" u="none" baseline="0">
                    <a:latin typeface="Times New Roman"/>
                    <a:ea typeface="Times New Roman"/>
                    <a:cs typeface="Times New Roman"/>
                  </a:rPr>
                  <a:t>TDA Sep-Mar Historical Volume (MAF)</a:t>
                </a:r>
              </a:p>
            </c:rich>
          </c:tx>
          <c:layout/>
          <c:overlay val="0"/>
          <c:spPr>
            <a:noFill/>
            <a:ln>
              <a:noFill/>
            </a:ln>
          </c:spPr>
        </c:title>
        <c:delete val="0"/>
        <c:numFmt formatCode="General" sourceLinked="1"/>
        <c:majorTickMark val="out"/>
        <c:minorTickMark val="none"/>
        <c:tickLblPos val="nextTo"/>
        <c:spPr>
          <a:ln w="25400">
            <a:solidFill/>
          </a:ln>
        </c:spPr>
        <c:txPr>
          <a:bodyPr/>
          <a:lstStyle/>
          <a:p>
            <a:pPr>
              <a:defRPr lang="en-US" cap="none" sz="575" b="1" i="0" u="none" baseline="0">
                <a:latin typeface="Times New Roman"/>
                <a:ea typeface="Times New Roman"/>
                <a:cs typeface="Times New Roman"/>
              </a:defRPr>
            </a:pPr>
          </a:p>
        </c:txPr>
        <c:crossAx val="27636327"/>
        <c:crossesAt val="0"/>
        <c:crossBetween val="midCat"/>
        <c:dispUnits/>
      </c:valAx>
      <c:valAx>
        <c:axId val="27636327"/>
        <c:scaling>
          <c:orientation val="minMax"/>
        </c:scaling>
        <c:axPos val="l"/>
        <c:title>
          <c:tx>
            <c:rich>
              <a:bodyPr vert="horz" rot="-5400000" anchor="ctr"/>
              <a:lstStyle/>
              <a:p>
                <a:pPr algn="ctr">
                  <a:defRPr/>
                </a:pPr>
                <a:r>
                  <a:rPr lang="en-US" cap="none" sz="575" b="0" i="0" u="none" baseline="0">
                    <a:latin typeface="Times New Roman"/>
                    <a:ea typeface="Times New Roman"/>
                    <a:cs typeface="Times New Roman"/>
                  </a:rPr>
                  <a:t>Relative Benefit (Cost) in $Millions</a:t>
                </a:r>
              </a:p>
            </c:rich>
          </c:tx>
          <c:layout/>
          <c:overlay val="0"/>
          <c:spPr>
            <a:noFill/>
            <a:ln>
              <a:noFill/>
            </a:ln>
          </c:spPr>
        </c:title>
        <c:majorGridlines>
          <c:spPr>
            <a:ln w="12700">
              <a:solidFill/>
            </a:ln>
          </c:spPr>
        </c:majorGridlines>
        <c:delete val="0"/>
        <c:numFmt formatCode="General" sourceLinked="1"/>
        <c:majorTickMark val="out"/>
        <c:minorTickMark val="none"/>
        <c:tickLblPos val="nextTo"/>
        <c:txPr>
          <a:bodyPr/>
          <a:lstStyle/>
          <a:p>
            <a:pPr>
              <a:defRPr lang="en-US" cap="none" sz="575" b="0" i="0" u="none" baseline="0">
                <a:latin typeface="Times New Roman"/>
                <a:ea typeface="Times New Roman"/>
                <a:cs typeface="Times New Roman"/>
              </a:defRPr>
            </a:pPr>
          </a:p>
        </c:txPr>
        <c:crossAx val="55266486"/>
        <c:crossesAt val="0"/>
        <c:crossBetween val="midCat"/>
        <c:dispUnits/>
      </c:valAx>
      <c:spPr>
        <a:solidFill>
          <a:srgbClr val="C0C0C0"/>
        </a:solidFill>
        <a:ln w="12700">
          <a:solidFill>
            <a:srgbClr val="808080"/>
          </a:solidFill>
        </a:ln>
      </c:spPr>
    </c:plotArea>
    <c:legend>
      <c:legendPos val="r"/>
      <c:legendEntry>
        <c:idx val="3"/>
        <c:delete val="1"/>
      </c:legendEntry>
      <c:layout>
        <c:manualLayout>
          <c:xMode val="edge"/>
          <c:yMode val="edge"/>
          <c:x val="0.82125"/>
          <c:y val="0.06425"/>
          <c:w val="0.177"/>
          <c:h val="0.7935"/>
        </c:manualLayout>
      </c:layout>
      <c:overlay val="0"/>
      <c:spPr>
        <a:ln w="3175">
          <a:noFill/>
        </a:ln>
      </c:spPr>
      <c:txPr>
        <a:bodyPr vert="horz" rot="0"/>
        <a:lstStyle/>
        <a:p>
          <a:pPr>
            <a:defRPr lang="en-US" cap="none" sz="800" b="0" i="0" u="none" baseline="0">
              <a:latin typeface="Times New Roman"/>
              <a:ea typeface="Times New Roman"/>
              <a:cs typeface="Times New Roman"/>
            </a:defRPr>
          </a:pPr>
        </a:p>
      </c:txPr>
    </c:legend>
    <c:plotVisOnly val="1"/>
    <c:dispBlanksAs val="gap"/>
    <c:showDLblsOverMax val="0"/>
  </c:chart>
  <c:spPr>
    <a:ln w="3175">
      <a:noFill/>
    </a:ln>
  </c:spPr>
  <c:txPr>
    <a:bodyPr vert="horz" rot="0"/>
    <a:lstStyle/>
    <a:p>
      <a:pPr>
        <a:defRPr lang="en-US" cap="none" sz="1450" b="0" i="0" u="none" baseline="0">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
Change in Customer's HLH Load on BPA due to Slice</a:t>
            </a:r>
          </a:p>
        </c:rich>
      </c:tx>
      <c:layout>
        <c:manualLayout>
          <c:xMode val="factor"/>
          <c:yMode val="factor"/>
          <c:x val="0.00225"/>
          <c:y val="-0.015"/>
        </c:manualLayout>
      </c:layout>
      <c:spPr>
        <a:noFill/>
        <a:ln>
          <a:noFill/>
        </a:ln>
      </c:spPr>
    </c:title>
    <c:plotArea>
      <c:layout>
        <c:manualLayout>
          <c:xMode val="edge"/>
          <c:yMode val="edge"/>
          <c:x val="0.0785"/>
          <c:y val="0.11575"/>
          <c:w val="0.82875"/>
          <c:h val="0.743"/>
        </c:manualLayout>
      </c:layout>
      <c:lineChart>
        <c:grouping val="standard"/>
        <c:varyColors val="0"/>
        <c:ser>
          <c:idx val="1"/>
          <c:order val="0"/>
          <c:tx>
            <c:strRef>
              <c:f>'Effect on Loads'!$B$5</c:f>
              <c:strCache>
                <c:ptCount val="1"/>
                <c:pt idx="0">
                  <c:v>'1931 Water' Slice Load</c:v>
                </c:pt>
              </c:strCache>
            </c:strRef>
          </c:tx>
          <c:extLst>
            <c:ext xmlns:c14="http://schemas.microsoft.com/office/drawing/2007/8/2/chart" uri="{6F2FDCE9-48DA-4B69-8628-5D25D57E5C99}">
              <c14:invertSolidFillFmt>
                <c14:spPr>
                  <a:solidFill>
                    <a:srgbClr val="000000"/>
                  </a:solidFill>
                </c14:spPr>
              </c14:invertSolidFillFmt>
            </c:ext>
          </c:extLst>
          <c:cat>
            <c:strRef>
              <c:f>'Effect on Loads'!$C$3:$P$3</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'Effect on Loads'!$C$8:$P$8</c:f>
              <c:numCache>
                <c:ptCount val="14"/>
                <c:pt idx="0">
                  <c:v>442.9058280122322</c:v>
                </c:pt>
                <c:pt idx="1">
                  <c:v>321.7079657946904</c:v>
                </c:pt>
                <c:pt idx="2">
                  <c:v>-102.9954926477194</c:v>
                </c:pt>
                <c:pt idx="3">
                  <c:v>160.05433372090522</c:v>
                </c:pt>
                <c:pt idx="4">
                  <c:v>59.57106376924298</c:v>
                </c:pt>
                <c:pt idx="5">
                  <c:v>-21.45597488983981</c:v>
                </c:pt>
                <c:pt idx="6">
                  <c:v>-609.9504345372657</c:v>
                </c:pt>
                <c:pt idx="7">
                  <c:v>-707.8416856810305</c:v>
                </c:pt>
                <c:pt idx="8">
                  <c:v>-375.1354356718589</c:v>
                </c:pt>
                <c:pt idx="9">
                  <c:v>66.54954457389681</c:v>
                </c:pt>
                <c:pt idx="10">
                  <c:v>-173.80507965158313</c:v>
                </c:pt>
                <c:pt idx="11">
                  <c:v>818.2023127396791</c:v>
                </c:pt>
                <c:pt idx="12">
                  <c:v>544.3708741650331</c:v>
                </c:pt>
                <c:pt idx="13">
                  <c:v>731.8087284626881</c:v>
                </c:pt>
              </c:numCache>
            </c:numRef>
          </c:val>
          <c:smooth val="0"/>
        </c:ser>
        <c:ser>
          <c:idx val="0"/>
          <c:order val="2"/>
          <c:tx>
            <c:v>50 Yr Average</c:v>
          </c:tx>
          <c:extLst>
            <c:ext xmlns:c14="http://schemas.microsoft.com/office/drawing/2007/8/2/chart" uri="{6F2FDCE9-48DA-4B69-8628-5D25D57E5C99}">
              <c14:invertSolidFillFmt>
                <c14:spPr>
                  <a:solidFill>
                    <a:srgbClr val="000000"/>
                  </a:solidFill>
                </c14:spPr>
              </c14:invertSolidFillFmt>
            </c:ext>
          </c:extLst>
          <c:val>
            <c:numRef>
              <c:f>'Effect on Loads'!$C$10:$P$10</c:f>
              <c:numCache>
                <c:ptCount val="14"/>
                <c:pt idx="0">
                  <c:v>647.9511681418053</c:v>
                </c:pt>
                <c:pt idx="1">
                  <c:v>423.4911540296089</c:v>
                </c:pt>
                <c:pt idx="2">
                  <c:v>79.02570714390026</c:v>
                </c:pt>
                <c:pt idx="3">
                  <c:v>371.0220406389809</c:v>
                </c:pt>
                <c:pt idx="4">
                  <c:v>40.06025203138938</c:v>
                </c:pt>
                <c:pt idx="5">
                  <c:v>63.02991876646365</c:v>
                </c:pt>
                <c:pt idx="6">
                  <c:v>333.6068988651223</c:v>
                </c:pt>
                <c:pt idx="7">
                  <c:v>189.79526375061482</c:v>
                </c:pt>
                <c:pt idx="8">
                  <c:v>202.0540566109985</c:v>
                </c:pt>
                <c:pt idx="9">
                  <c:v>349.54165037835924</c:v>
                </c:pt>
                <c:pt idx="10">
                  <c:v>338.6912019817903</c:v>
                </c:pt>
                <c:pt idx="11">
                  <c:v>1043.035996089735</c:v>
                </c:pt>
                <c:pt idx="12">
                  <c:v>1168.952994750438</c:v>
                </c:pt>
                <c:pt idx="13">
                  <c:v>951.5350966079266</c:v>
                </c:pt>
              </c:numCache>
            </c:numRef>
          </c:val>
          <c:smooth val="0"/>
        </c:ser>
        <c:ser>
          <c:idx val="4"/>
          <c:order val="3"/>
          <c:tx>
            <c:strRef>
              <c:f>'Effect on Loads'!$B$6</c:f>
              <c:strCache>
                <c:ptCount val="1"/>
                <c:pt idx="0">
                  <c:v>'1934 Water' Slice Load</c:v>
                </c:pt>
              </c:strCache>
            </c:strRef>
          </c:tx>
          <c:extLst>
            <c:ext xmlns:c14="http://schemas.microsoft.com/office/drawing/2007/8/2/chart" uri="{6F2FDCE9-48DA-4B69-8628-5D25D57E5C99}">
              <c14:invertSolidFillFmt>
                <c14:spPr>
                  <a:solidFill>
                    <a:srgbClr val="000000"/>
                  </a:solidFill>
                </c14:spPr>
              </c14:invertSolidFillFmt>
            </c:ext>
          </c:extLst>
          <c:cat>
            <c:strRef>
              <c:f>'Effect on Loads'!$C$3:$P$3</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'Effect on Loads'!$C$9:$P$9</c:f>
              <c:numCache>
                <c:ptCount val="14"/>
                <c:pt idx="0">
                  <c:v>818.3364138372058</c:v>
                </c:pt>
                <c:pt idx="1">
                  <c:v>835.4513010665073</c:v>
                </c:pt>
                <c:pt idx="2">
                  <c:v>156.52499476453886</c:v>
                </c:pt>
                <c:pt idx="3">
                  <c:v>559.0844907861427</c:v>
                </c:pt>
                <c:pt idx="4">
                  <c:v>420.0270590978664</c:v>
                </c:pt>
                <c:pt idx="5">
                  <c:v>811.6250955450296</c:v>
                </c:pt>
                <c:pt idx="6">
                  <c:v>972.2563577600788</c:v>
                </c:pt>
                <c:pt idx="7">
                  <c:v>597.8965211370135</c:v>
                </c:pt>
                <c:pt idx="8">
                  <c:v>568.1545702595722</c:v>
                </c:pt>
                <c:pt idx="9">
                  <c:v>838.0975543764466</c:v>
                </c:pt>
                <c:pt idx="10">
                  <c:v>757.9105888313038</c:v>
                </c:pt>
                <c:pt idx="11">
                  <c:v>1106.3596298123475</c:v>
                </c:pt>
                <c:pt idx="12">
                  <c:v>731.6088884380935</c:v>
                </c:pt>
                <c:pt idx="13">
                  <c:v>479.647355033007</c:v>
                </c:pt>
              </c:numCache>
            </c:numRef>
          </c:val>
          <c:smooth val="0"/>
        </c:ser>
        <c:marker val="1"/>
        <c:axId val="47400352"/>
        <c:axId val="23949985"/>
      </c:lineChart>
      <c:lineChart>
        <c:grouping val="standard"/>
        <c:varyColors val="0"/>
        <c:ser>
          <c:idx val="2"/>
          <c:order val="1"/>
          <c:tx>
            <c:v>HLH Price (50 Yr Ave)</c:v>
          </c:tx>
          <c:extLst>
            <c:ext xmlns:c14="http://schemas.microsoft.com/office/drawing/2007/8/2/chart" uri="{6F2FDCE9-48DA-4B69-8628-5D25D57E5C99}">
              <c14:invertSolidFillFmt>
                <c14:spPr>
                  <a:solidFill>
                    <a:srgbClr val="000000"/>
                  </a:solidFill>
                </c14:spPr>
              </c14:invertSolidFillFmt>
            </c:ext>
          </c:extLst>
          <c:val>
            <c:numRef>
              <c:f>'HLH Prices'!$B$54:$O$54</c:f>
              <c:numCache>
                <c:ptCount val="14"/>
                <c:pt idx="0">
                  <c:v>57.389831161499025</c:v>
                </c:pt>
                <c:pt idx="1">
                  <c:v>57.389831161499025</c:v>
                </c:pt>
                <c:pt idx="2">
                  <c:v>43.64635097503662</c:v>
                </c:pt>
                <c:pt idx="3">
                  <c:v>31.649324990844725</c:v>
                </c:pt>
                <c:pt idx="4">
                  <c:v>42.58473724365234</c:v>
                </c:pt>
                <c:pt idx="5">
                  <c:v>44.00097183227539</c:v>
                </c:pt>
                <c:pt idx="6">
                  <c:v>39.80143882751465</c:v>
                </c:pt>
                <c:pt idx="7">
                  <c:v>38.467829360961915</c:v>
                </c:pt>
                <c:pt idx="8">
                  <c:v>36.0733676147461</c:v>
                </c:pt>
                <c:pt idx="9">
                  <c:v>27.72112602233887</c:v>
                </c:pt>
                <c:pt idx="10">
                  <c:v>27.72112602233887</c:v>
                </c:pt>
                <c:pt idx="11">
                  <c:v>25.12467388153076</c:v>
                </c:pt>
                <c:pt idx="12">
                  <c:v>26.489986877441407</c:v>
                </c:pt>
                <c:pt idx="13">
                  <c:v>42.27837669372558</c:v>
                </c:pt>
              </c:numCache>
            </c:numRef>
          </c:val>
          <c:smooth val="0"/>
        </c:ser>
        <c:marker val="1"/>
        <c:axId val="14223274"/>
        <c:axId val="60900603"/>
      </c:lineChart>
      <c:catAx>
        <c:axId val="47400352"/>
        <c:scaling>
          <c:orientation val="minMax"/>
        </c:scaling>
        <c:axPos val="b"/>
        <c:title>
          <c:tx>
            <c:rich>
              <a:bodyPr vert="horz" rot="0" anchor="ctr"/>
              <a:lstStyle/>
              <a:p>
                <a:pPr algn="ctr">
                  <a:defRPr/>
                </a:pPr>
                <a:r>
                  <a:rPr lang="en-US" cap="none" sz="600" b="0" i="0" u="none" baseline="0"/>
                  <a:t>Periods</a:t>
                </a:r>
              </a:p>
            </c:rich>
          </c:tx>
          <c:layout/>
          <c:overlay val="0"/>
          <c:spPr>
            <a:noFill/>
            <a:ln>
              <a:noFill/>
            </a:ln>
          </c:spPr>
        </c:title>
        <c:delete val="0"/>
        <c:numFmt formatCode="General" sourceLinked="1"/>
        <c:majorTickMark val="cross"/>
        <c:minorTickMark val="none"/>
        <c:tickLblPos val="nextTo"/>
        <c:txPr>
          <a:bodyPr/>
          <a:lstStyle/>
          <a:p>
            <a:pPr>
              <a:defRPr lang="en-US" cap="none" sz="600" b="0" i="0" u="none" baseline="0"/>
            </a:pPr>
          </a:p>
        </c:txPr>
        <c:crossAx val="23949985"/>
        <c:crosses val="autoZero"/>
        <c:auto val="0"/>
        <c:lblOffset val="100"/>
        <c:noMultiLvlLbl val="0"/>
      </c:catAx>
      <c:valAx>
        <c:axId val="23949985"/>
        <c:scaling>
          <c:orientation val="minMax"/>
          <c:max val="1500"/>
        </c:scaling>
        <c:axPos val="l"/>
        <c:title>
          <c:tx>
            <c:rich>
              <a:bodyPr vert="horz" rot="-5400000" anchor="ctr"/>
              <a:lstStyle/>
              <a:p>
                <a:pPr algn="ctr">
                  <a:defRPr/>
                </a:pPr>
                <a:r>
                  <a:rPr lang="en-US" cap="none" sz="600" b="0" i="0" u="none" baseline="0"/>
                  <a:t>aMWs</a:t>
                </a:r>
              </a:p>
            </c:rich>
          </c:tx>
          <c:layout/>
          <c:overlay val="0"/>
          <c:spPr>
            <a:noFill/>
            <a:ln>
              <a:noFill/>
            </a:ln>
          </c:spPr>
        </c:title>
        <c:delete val="0"/>
        <c:numFmt formatCode="General" sourceLinked="1"/>
        <c:majorTickMark val="in"/>
        <c:minorTickMark val="none"/>
        <c:tickLblPos val="nextTo"/>
        <c:txPr>
          <a:bodyPr/>
          <a:lstStyle/>
          <a:p>
            <a:pPr>
              <a:defRPr lang="en-US" cap="none" sz="600" b="0" i="0" u="none" baseline="0"/>
            </a:pPr>
          </a:p>
        </c:txPr>
        <c:crossAx val="47400352"/>
        <c:crossesAt val="1"/>
        <c:crossBetween val="between"/>
        <c:dispUnits/>
      </c:valAx>
      <c:catAx>
        <c:axId val="14223274"/>
        <c:scaling>
          <c:orientation val="minMax"/>
        </c:scaling>
        <c:axPos val="b"/>
        <c:delete val="1"/>
        <c:majorTickMark val="in"/>
        <c:minorTickMark val="none"/>
        <c:tickLblPos val="nextTo"/>
        <c:crossAx val="60900603"/>
        <c:crosses val="autoZero"/>
        <c:auto val="0"/>
        <c:lblOffset val="100"/>
        <c:noMultiLvlLbl val="0"/>
      </c:catAx>
      <c:valAx>
        <c:axId val="60900603"/>
        <c:scaling>
          <c:orientation val="minMax"/>
          <c:max val="200"/>
          <c:min val="0"/>
        </c:scaling>
        <c:axPos val="l"/>
        <c:title>
          <c:tx>
            <c:rich>
              <a:bodyPr vert="horz" rot="-5400000" anchor="ctr"/>
              <a:lstStyle/>
              <a:p>
                <a:pPr algn="ctr">
                  <a:defRPr/>
                </a:pPr>
                <a:r>
                  <a:rPr lang="en-US" cap="none" sz="600" b="0" i="0" u="none" baseline="0"/>
                  <a:t>Price in Mills/KWHr</a:t>
                </a:r>
              </a:p>
            </c:rich>
          </c:tx>
          <c:layout/>
          <c:overlay val="0"/>
          <c:spPr>
            <a:noFill/>
            <a:ln>
              <a:noFill/>
            </a:ln>
          </c:spPr>
        </c:title>
        <c:delete val="0"/>
        <c:numFmt formatCode="0" sourceLinked="0"/>
        <c:majorTickMark val="in"/>
        <c:minorTickMark val="none"/>
        <c:tickLblPos val="nextTo"/>
        <c:txPr>
          <a:bodyPr/>
          <a:lstStyle/>
          <a:p>
            <a:pPr>
              <a:defRPr lang="en-US" cap="none" sz="600" b="0" i="0" u="none" baseline="0"/>
            </a:pPr>
          </a:p>
        </c:txPr>
        <c:crossAx val="14223274"/>
        <c:crosses val="max"/>
        <c:crossBetween val="between"/>
        <c:dispUnits/>
      </c:valAx>
      <c:spPr>
        <a:solidFill>
          <a:srgbClr val="C0C0C0"/>
        </a:solidFill>
        <a:ln w="12700">
          <a:solidFill>
            <a:srgbClr val="808080"/>
          </a:solidFill>
        </a:ln>
      </c:spPr>
    </c:plotArea>
    <c:legend>
      <c:legendPos val="r"/>
      <c:layout>
        <c:manualLayout>
          <c:xMode val="edge"/>
          <c:yMode val="edge"/>
          <c:x val="0.53675"/>
          <c:y val="0.765"/>
        </c:manualLayout>
      </c:layout>
      <c:overlay val="0"/>
      <c:txPr>
        <a:bodyPr vert="horz" rot="0"/>
        <a:lstStyle/>
        <a:p>
          <a:pPr>
            <a:defRPr lang="en-US" cap="none" sz="6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t>
Change in Customer's LLH Load on BPA due to Slice</a:t>
            </a:r>
          </a:p>
        </c:rich>
      </c:tx>
      <c:layout>
        <c:manualLayout>
          <c:xMode val="factor"/>
          <c:yMode val="factor"/>
          <c:x val="0.00225"/>
          <c:y val="-0.015"/>
        </c:manualLayout>
      </c:layout>
      <c:spPr>
        <a:noFill/>
        <a:ln>
          <a:noFill/>
        </a:ln>
      </c:spPr>
    </c:title>
    <c:plotArea>
      <c:layout>
        <c:manualLayout>
          <c:xMode val="edge"/>
          <c:yMode val="edge"/>
          <c:x val="0.0785"/>
          <c:y val="0.11575"/>
          <c:w val="0.82875"/>
          <c:h val="0.743"/>
        </c:manualLayout>
      </c:layout>
      <c:lineChart>
        <c:grouping val="standard"/>
        <c:varyColors val="0"/>
        <c:ser>
          <c:idx val="1"/>
          <c:order val="0"/>
          <c:tx>
            <c:strRef>
              <c:f>'Effect on Loads'!$B$5</c:f>
              <c:strCache>
                <c:ptCount val="1"/>
                <c:pt idx="0">
                  <c:v>'1931 Water' Slice Load</c:v>
                </c:pt>
              </c:strCache>
            </c:strRef>
          </c:tx>
          <c:extLst>
            <c:ext xmlns:c14="http://schemas.microsoft.com/office/drawing/2007/8/2/chart" uri="{6F2FDCE9-48DA-4B69-8628-5D25D57E5C99}">
              <c14:invertSolidFillFmt>
                <c14:spPr>
                  <a:solidFill>
                    <a:srgbClr val="000000"/>
                  </a:solidFill>
                </c14:spPr>
              </c14:invertSolidFillFmt>
            </c:ext>
          </c:extLst>
          <c:cat>
            <c:strRef>
              <c:f>'Effect on Loads'!$C$3:$P$3</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'Effect on Loads'!$C$17:$P$17</c:f>
              <c:numCache>
                <c:ptCount val="14"/>
                <c:pt idx="0">
                  <c:v>312.5938219994931</c:v>
                </c:pt>
                <c:pt idx="1">
                  <c:v>299.8006194176023</c:v>
                </c:pt>
                <c:pt idx="2">
                  <c:v>-140.82362410554765</c:v>
                </c:pt>
                <c:pt idx="3">
                  <c:v>13.9734373409118</c:v>
                </c:pt>
                <c:pt idx="4">
                  <c:v>-72.51304826078228</c:v>
                </c:pt>
                <c:pt idx="5">
                  <c:v>-164.47297556066053</c:v>
                </c:pt>
                <c:pt idx="6">
                  <c:v>-668.9972842474618</c:v>
                </c:pt>
                <c:pt idx="7">
                  <c:v>-648.1538144750081</c:v>
                </c:pt>
                <c:pt idx="8">
                  <c:v>-364.8500040932463</c:v>
                </c:pt>
                <c:pt idx="9">
                  <c:v>94.15696640573196</c:v>
                </c:pt>
                <c:pt idx="10">
                  <c:v>-144.02901067794494</c:v>
                </c:pt>
                <c:pt idx="11">
                  <c:v>374.28756895416984</c:v>
                </c:pt>
                <c:pt idx="12">
                  <c:v>326.3609552000572</c:v>
                </c:pt>
                <c:pt idx="13">
                  <c:v>463.1723985675126</c:v>
                </c:pt>
              </c:numCache>
            </c:numRef>
          </c:val>
          <c:smooth val="0"/>
        </c:ser>
        <c:ser>
          <c:idx val="0"/>
          <c:order val="2"/>
          <c:tx>
            <c:v>50 Yr Average</c:v>
          </c:tx>
          <c:extLst>
            <c:ext xmlns:c14="http://schemas.microsoft.com/office/drawing/2007/8/2/chart" uri="{6F2FDCE9-48DA-4B69-8628-5D25D57E5C99}">
              <c14:invertSolidFillFmt>
                <c14:spPr>
                  <a:solidFill>
                    <a:srgbClr val="000000"/>
                  </a:solidFill>
                </c14:spPr>
              </c14:invertSolidFillFmt>
            </c:ext>
          </c:extLst>
          <c:val>
            <c:numRef>
              <c:f>'Effect on Loads'!$C$19:$P$19</c:f>
              <c:numCache>
                <c:ptCount val="14"/>
                <c:pt idx="0">
                  <c:v>467.16106030907713</c:v>
                </c:pt>
                <c:pt idx="1">
                  <c:v>344.10659748594253</c:v>
                </c:pt>
                <c:pt idx="2">
                  <c:v>-48.2426242695127</c:v>
                </c:pt>
                <c:pt idx="3">
                  <c:v>136.02897570867447</c:v>
                </c:pt>
                <c:pt idx="4">
                  <c:v>-64.75127673477289</c:v>
                </c:pt>
                <c:pt idx="5">
                  <c:v>-70.66870342207801</c:v>
                </c:pt>
                <c:pt idx="6">
                  <c:v>-31.377214131267692</c:v>
                </c:pt>
                <c:pt idx="7">
                  <c:v>-72.15247664859771</c:v>
                </c:pt>
                <c:pt idx="8">
                  <c:v>-60.67274664385559</c:v>
                </c:pt>
                <c:pt idx="9">
                  <c:v>384.8596891837842</c:v>
                </c:pt>
                <c:pt idx="10">
                  <c:v>321.31700614880924</c:v>
                </c:pt>
                <c:pt idx="11">
                  <c:v>773.6869221428284</c:v>
                </c:pt>
                <c:pt idx="12">
                  <c:v>876.4452296789988</c:v>
                </c:pt>
                <c:pt idx="13">
                  <c:v>729.1172136974802</c:v>
                </c:pt>
              </c:numCache>
            </c:numRef>
          </c:val>
          <c:smooth val="0"/>
        </c:ser>
        <c:ser>
          <c:idx val="4"/>
          <c:order val="3"/>
          <c:tx>
            <c:strRef>
              <c:f>'Effect on Loads'!$B$6</c:f>
              <c:strCache>
                <c:ptCount val="1"/>
                <c:pt idx="0">
                  <c:v>'1934 Water' Slice Load</c:v>
                </c:pt>
              </c:strCache>
            </c:strRef>
          </c:tx>
          <c:extLst>
            <c:ext xmlns:c14="http://schemas.microsoft.com/office/drawing/2007/8/2/chart" uri="{6F2FDCE9-48DA-4B69-8628-5D25D57E5C99}">
              <c14:invertSolidFillFmt>
                <c14:spPr>
                  <a:solidFill>
                    <a:srgbClr val="000000"/>
                  </a:solidFill>
                </c14:spPr>
              </c14:invertSolidFillFmt>
            </c:ext>
          </c:extLst>
          <c:cat>
            <c:strRef>
              <c:f>'Effect on Loads'!$C$3:$P$3</c:f>
              <c:strCache>
                <c:ptCount val="14"/>
                <c:pt idx="0">
                  <c:v>Aug I</c:v>
                </c:pt>
                <c:pt idx="1">
                  <c:v>Aug II</c:v>
                </c:pt>
                <c:pt idx="2">
                  <c:v>Sep</c:v>
                </c:pt>
                <c:pt idx="3">
                  <c:v>Oct</c:v>
                </c:pt>
                <c:pt idx="4">
                  <c:v>Nov</c:v>
                </c:pt>
                <c:pt idx="5">
                  <c:v>Dec</c:v>
                </c:pt>
                <c:pt idx="6">
                  <c:v>Jan</c:v>
                </c:pt>
                <c:pt idx="7">
                  <c:v>Feb</c:v>
                </c:pt>
                <c:pt idx="8">
                  <c:v>Mar</c:v>
                </c:pt>
                <c:pt idx="9">
                  <c:v>Apr I</c:v>
                </c:pt>
                <c:pt idx="10">
                  <c:v>Apr II</c:v>
                </c:pt>
                <c:pt idx="11">
                  <c:v>May</c:v>
                </c:pt>
                <c:pt idx="12">
                  <c:v>Jun</c:v>
                </c:pt>
                <c:pt idx="13">
                  <c:v>Jul</c:v>
                </c:pt>
              </c:strCache>
            </c:strRef>
          </c:cat>
          <c:val>
            <c:numRef>
              <c:f>'Effect on Loads'!$C$18:$P$18</c:f>
              <c:numCache>
                <c:ptCount val="14"/>
                <c:pt idx="0">
                  <c:v>594.967356225146</c:v>
                </c:pt>
                <c:pt idx="1">
                  <c:v>693.250194741126</c:v>
                </c:pt>
                <c:pt idx="2">
                  <c:v>16.25827181297211</c:v>
                </c:pt>
                <c:pt idx="3">
                  <c:v>234.75315525944302</c:v>
                </c:pt>
                <c:pt idx="4">
                  <c:v>130.62869854455698</c:v>
                </c:pt>
                <c:pt idx="5">
                  <c:v>418.97375132848765</c:v>
                </c:pt>
                <c:pt idx="6">
                  <c:v>931.8738021559348</c:v>
                </c:pt>
                <c:pt idx="7">
                  <c:v>401.9619473757232</c:v>
                </c:pt>
                <c:pt idx="8">
                  <c:v>257.28121307856986</c:v>
                </c:pt>
                <c:pt idx="9">
                  <c:v>1177.350532577154</c:v>
                </c:pt>
                <c:pt idx="10">
                  <c:v>990.3095270256852</c:v>
                </c:pt>
                <c:pt idx="11">
                  <c:v>1193.5945788516842</c:v>
                </c:pt>
                <c:pt idx="12">
                  <c:v>484.96698125150886</c:v>
                </c:pt>
                <c:pt idx="13">
                  <c:v>363.94402447636946</c:v>
                </c:pt>
              </c:numCache>
            </c:numRef>
          </c:val>
          <c:smooth val="0"/>
        </c:ser>
        <c:marker val="1"/>
        <c:axId val="11234516"/>
        <c:axId val="34001781"/>
      </c:lineChart>
      <c:lineChart>
        <c:grouping val="standard"/>
        <c:varyColors val="0"/>
        <c:ser>
          <c:idx val="2"/>
          <c:order val="1"/>
          <c:tx>
            <c:v>LLH Price (50 Yr Ave)</c:v>
          </c:tx>
          <c:extLst>
            <c:ext xmlns:c14="http://schemas.microsoft.com/office/drawing/2007/8/2/chart" uri="{6F2FDCE9-48DA-4B69-8628-5D25D57E5C99}">
              <c14:invertSolidFillFmt>
                <c14:spPr>
                  <a:solidFill>
                    <a:srgbClr val="000000"/>
                  </a:solidFill>
                </c14:spPr>
              </c14:invertSolidFillFmt>
            </c:ext>
          </c:extLst>
          <c:val>
            <c:numRef>
              <c:f>'LLH Prices'!$B$54:$O$54</c:f>
              <c:numCache>
                <c:ptCount val="14"/>
                <c:pt idx="0">
                  <c:v>33.90080574035645</c:v>
                </c:pt>
                <c:pt idx="1">
                  <c:v>33.90080574035645</c:v>
                </c:pt>
                <c:pt idx="2">
                  <c:v>29.879696044921875</c:v>
                </c:pt>
                <c:pt idx="3">
                  <c:v>17.141538066864015</c:v>
                </c:pt>
                <c:pt idx="4">
                  <c:v>33.21532913208008</c:v>
                </c:pt>
                <c:pt idx="5">
                  <c:v>28.91771020889282</c:v>
                </c:pt>
                <c:pt idx="6">
                  <c:v>25.548044776916505</c:v>
                </c:pt>
                <c:pt idx="7">
                  <c:v>22.95087978363037</c:v>
                </c:pt>
                <c:pt idx="8">
                  <c:v>18.37457244873047</c:v>
                </c:pt>
                <c:pt idx="9">
                  <c:v>11.555304174423219</c:v>
                </c:pt>
                <c:pt idx="10">
                  <c:v>11.555304174423219</c:v>
                </c:pt>
                <c:pt idx="11">
                  <c:v>8.706489219665528</c:v>
                </c:pt>
                <c:pt idx="12">
                  <c:v>10.589988126754761</c:v>
                </c:pt>
                <c:pt idx="13">
                  <c:v>28.146999702453613</c:v>
                </c:pt>
              </c:numCache>
            </c:numRef>
          </c:val>
          <c:smooth val="0"/>
        </c:ser>
        <c:marker val="1"/>
        <c:axId val="37580574"/>
        <c:axId val="2680847"/>
      </c:lineChart>
      <c:catAx>
        <c:axId val="11234516"/>
        <c:scaling>
          <c:orientation val="minMax"/>
        </c:scaling>
        <c:axPos val="b"/>
        <c:title>
          <c:tx>
            <c:rich>
              <a:bodyPr vert="horz" rot="0" anchor="ctr"/>
              <a:lstStyle/>
              <a:p>
                <a:pPr algn="ctr">
                  <a:defRPr/>
                </a:pPr>
                <a:r>
                  <a:rPr lang="en-US" cap="none" sz="600" b="0" i="0" u="none" baseline="0"/>
                  <a:t>Periods</a:t>
                </a:r>
              </a:p>
            </c:rich>
          </c:tx>
          <c:layout/>
          <c:overlay val="0"/>
          <c:spPr>
            <a:noFill/>
            <a:ln>
              <a:noFill/>
            </a:ln>
          </c:spPr>
        </c:title>
        <c:delete val="0"/>
        <c:numFmt formatCode="General" sourceLinked="1"/>
        <c:majorTickMark val="cross"/>
        <c:minorTickMark val="none"/>
        <c:tickLblPos val="nextTo"/>
        <c:txPr>
          <a:bodyPr/>
          <a:lstStyle/>
          <a:p>
            <a:pPr>
              <a:defRPr lang="en-US" cap="none" sz="600" b="0" i="0" u="none" baseline="0"/>
            </a:pPr>
          </a:p>
        </c:txPr>
        <c:crossAx val="34001781"/>
        <c:crosses val="autoZero"/>
        <c:auto val="0"/>
        <c:lblOffset val="100"/>
        <c:noMultiLvlLbl val="0"/>
      </c:catAx>
      <c:valAx>
        <c:axId val="34001781"/>
        <c:scaling>
          <c:orientation val="minMax"/>
          <c:max val="1500"/>
        </c:scaling>
        <c:axPos val="l"/>
        <c:title>
          <c:tx>
            <c:rich>
              <a:bodyPr vert="horz" rot="-5400000" anchor="ctr"/>
              <a:lstStyle/>
              <a:p>
                <a:pPr algn="ctr">
                  <a:defRPr/>
                </a:pPr>
                <a:r>
                  <a:rPr lang="en-US" cap="none" sz="600" b="0" i="0" u="none" baseline="0"/>
                  <a:t>aMWs</a:t>
                </a:r>
              </a:p>
            </c:rich>
          </c:tx>
          <c:layout/>
          <c:overlay val="0"/>
          <c:spPr>
            <a:noFill/>
            <a:ln>
              <a:noFill/>
            </a:ln>
          </c:spPr>
        </c:title>
        <c:delete val="0"/>
        <c:numFmt formatCode="General" sourceLinked="1"/>
        <c:majorTickMark val="in"/>
        <c:minorTickMark val="none"/>
        <c:tickLblPos val="nextTo"/>
        <c:txPr>
          <a:bodyPr/>
          <a:lstStyle/>
          <a:p>
            <a:pPr>
              <a:defRPr lang="en-US" cap="none" sz="600" b="0" i="0" u="none" baseline="0"/>
            </a:pPr>
          </a:p>
        </c:txPr>
        <c:crossAx val="11234516"/>
        <c:crossesAt val="1"/>
        <c:crossBetween val="between"/>
        <c:dispUnits/>
      </c:valAx>
      <c:catAx>
        <c:axId val="37580574"/>
        <c:scaling>
          <c:orientation val="minMax"/>
        </c:scaling>
        <c:axPos val="b"/>
        <c:delete val="1"/>
        <c:majorTickMark val="in"/>
        <c:minorTickMark val="none"/>
        <c:tickLblPos val="nextTo"/>
        <c:crossAx val="2680847"/>
        <c:crosses val="autoZero"/>
        <c:auto val="0"/>
        <c:lblOffset val="100"/>
        <c:noMultiLvlLbl val="0"/>
      </c:catAx>
      <c:valAx>
        <c:axId val="2680847"/>
        <c:scaling>
          <c:orientation val="minMax"/>
          <c:max val="200"/>
          <c:min val="0"/>
        </c:scaling>
        <c:axPos val="l"/>
        <c:title>
          <c:tx>
            <c:rich>
              <a:bodyPr vert="horz" rot="-5400000" anchor="ctr"/>
              <a:lstStyle/>
              <a:p>
                <a:pPr algn="ctr">
                  <a:defRPr/>
                </a:pPr>
                <a:r>
                  <a:rPr lang="en-US" cap="none" sz="600" b="0" i="0" u="none" baseline="0"/>
                  <a:t>Price in Mills/KWHr</a:t>
                </a:r>
              </a:p>
            </c:rich>
          </c:tx>
          <c:layout/>
          <c:overlay val="0"/>
          <c:spPr>
            <a:noFill/>
            <a:ln>
              <a:noFill/>
            </a:ln>
          </c:spPr>
        </c:title>
        <c:delete val="0"/>
        <c:numFmt formatCode="0" sourceLinked="0"/>
        <c:majorTickMark val="in"/>
        <c:minorTickMark val="none"/>
        <c:tickLblPos val="nextTo"/>
        <c:txPr>
          <a:bodyPr/>
          <a:lstStyle/>
          <a:p>
            <a:pPr>
              <a:defRPr lang="en-US" cap="none" sz="600" b="0" i="0" u="none" baseline="0"/>
            </a:pPr>
          </a:p>
        </c:txPr>
        <c:crossAx val="37580574"/>
        <c:crosses val="max"/>
        <c:crossBetween val="between"/>
        <c:dispUnits/>
      </c:valAx>
      <c:spPr>
        <a:solidFill>
          <a:srgbClr val="C0C0C0"/>
        </a:solidFill>
        <a:ln w="12700">
          <a:solidFill>
            <a:srgbClr val="808080"/>
          </a:solidFill>
        </a:ln>
      </c:spPr>
    </c:plotArea>
    <c:legend>
      <c:legendPos val="r"/>
      <c:layout>
        <c:manualLayout>
          <c:xMode val="edge"/>
          <c:yMode val="edge"/>
          <c:x val="0.20125"/>
          <c:y val="0.13425"/>
        </c:manualLayout>
      </c:layout>
      <c:overlay val="0"/>
      <c:txPr>
        <a:bodyPr vert="horz" rot="0"/>
        <a:lstStyle/>
        <a:p>
          <a:pPr>
            <a:defRPr lang="en-US" cap="none" sz="6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123825</xdr:rowOff>
    </xdr:from>
    <xdr:to>
      <xdr:col>12</xdr:col>
      <xdr:colOff>514350</xdr:colOff>
      <xdr:row>21</xdr:row>
      <xdr:rowOff>142875</xdr:rowOff>
    </xdr:to>
    <xdr:sp>
      <xdr:nvSpPr>
        <xdr:cNvPr id="1" name="TextBox 2"/>
        <xdr:cNvSpPr txBox="1">
          <a:spLocks noChangeArrowheads="1"/>
        </xdr:cNvSpPr>
      </xdr:nvSpPr>
      <xdr:spPr>
        <a:xfrm>
          <a:off x="85725" y="762000"/>
          <a:ext cx="6829425" cy="2933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The Slice Cost Shift Study analyzes the changes in BPA's net revenues between two study cases: a Slice case and a non-Slice case.  In the Slice case, 15% of the output of the system (firm and secondary) was assumed to be sold as Slice.  The non-Slice case assumes the same load where firm power is sold at the PF rate.  Assumptions used in this study are consistent with the 2002 power rate case.
The table in the "results" tab shows the total effect of the revenue impacts over the 50 year period of the study.  
Chart 1 and Chart 2 show the change in Slice load from net requirements loads including market price under two extreme water conditions for HLH and LLH respectively.  
Chart 3 shows the net financial impact to BPA resulting from the sale of Slice.
</a:t>
          </a:r>
          <a:r>
            <a:rPr lang="en-US" cap="none" sz="1000" b="0" i="0" u="none" baseline="0">
              <a:latin typeface="Times New Roman"/>
              <a:ea typeface="Times New Roman"/>
              <a:cs typeface="Times New Roman"/>
            </a:rPr>
            <a:t>
</a:t>
          </a:r>
          <a:r>
            <a:rPr lang="en-US" cap="none" sz="1200" b="1" i="0" u="none" baseline="0">
              <a:latin typeface="Times New Roman"/>
              <a:ea typeface="Times New Roman"/>
              <a:cs typeface="Times New Roman"/>
            </a:rPr>
            <a:t>To print out the entire study results; from the menu bar select "View", "Report Manager" choose "Total Report" then click on " Print".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123825</xdr:rowOff>
    </xdr:from>
    <xdr:to>
      <xdr:col>6</xdr:col>
      <xdr:colOff>152400</xdr:colOff>
      <xdr:row>41</xdr:row>
      <xdr:rowOff>104775</xdr:rowOff>
    </xdr:to>
    <xdr:graphicFrame>
      <xdr:nvGraphicFramePr>
        <xdr:cNvPr id="1" name="Chart 3"/>
        <xdr:cNvGraphicFramePr/>
      </xdr:nvGraphicFramePr>
      <xdr:xfrm>
        <a:off x="38100" y="3933825"/>
        <a:ext cx="5200650" cy="3638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7</xdr:row>
      <xdr:rowOff>0</xdr:rowOff>
    </xdr:from>
    <xdr:to>
      <xdr:col>4</xdr:col>
      <xdr:colOff>447675</xdr:colOff>
      <xdr:row>23</xdr:row>
      <xdr:rowOff>47625</xdr:rowOff>
    </xdr:to>
    <xdr:graphicFrame>
      <xdr:nvGraphicFramePr>
        <xdr:cNvPr id="2" name="Chart 22"/>
        <xdr:cNvGraphicFramePr/>
      </xdr:nvGraphicFramePr>
      <xdr:xfrm>
        <a:off x="19050" y="1219200"/>
        <a:ext cx="4486275" cy="2638425"/>
      </xdr:xfrm>
      <a:graphic>
        <a:graphicData uri="http://schemas.openxmlformats.org/drawingml/2006/chart">
          <c:chart xmlns:c="http://schemas.openxmlformats.org/drawingml/2006/chart" r:id="rId2"/>
        </a:graphicData>
      </a:graphic>
    </xdr:graphicFrame>
    <xdr:clientData/>
  </xdr:twoCellAnchor>
  <xdr:twoCellAnchor>
    <xdr:from>
      <xdr:col>4</xdr:col>
      <xdr:colOff>457200</xdr:colOff>
      <xdr:row>7</xdr:row>
      <xdr:rowOff>9525</xdr:rowOff>
    </xdr:from>
    <xdr:to>
      <xdr:col>13</xdr:col>
      <xdr:colOff>0</xdr:colOff>
      <xdr:row>23</xdr:row>
      <xdr:rowOff>57150</xdr:rowOff>
    </xdr:to>
    <xdr:graphicFrame>
      <xdr:nvGraphicFramePr>
        <xdr:cNvPr id="3" name="Chart 23"/>
        <xdr:cNvGraphicFramePr/>
      </xdr:nvGraphicFramePr>
      <xdr:xfrm>
        <a:off x="4514850" y="1228725"/>
        <a:ext cx="4486275" cy="2638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7</xdr:col>
      <xdr:colOff>295275</xdr:colOff>
      <xdr:row>7</xdr:row>
      <xdr:rowOff>123825</xdr:rowOff>
    </xdr:to>
    <xdr:sp>
      <xdr:nvSpPr>
        <xdr:cNvPr id="1" name="TextBox 8"/>
        <xdr:cNvSpPr txBox="1">
          <a:spLocks noChangeArrowheads="1"/>
        </xdr:cNvSpPr>
      </xdr:nvSpPr>
      <xdr:spPr>
        <a:xfrm>
          <a:off x="38100" y="47625"/>
          <a:ext cx="584835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Note</a:t>
          </a:r>
          <a:r>
            <a:rPr lang="en-US" cap="none" sz="1200" b="0" i="0" u="none" baseline="0">
              <a:latin typeface="Times New Roman"/>
              <a:ea typeface="Times New Roman"/>
              <a:cs typeface="Times New Roman"/>
            </a:rPr>
            <a:t> - The Slice evaluation considers the pre-Slice load of the Slice participants.  This is the Net Requirement load that the Parties would otherwise place on BPA.  For this model the amount of pre-Slice load (for the year) is estimated as a percentage of the Total Inventory available for Slice (the annual average firm energy load carrying capability calculated in the rate case for "PNCA-Identified" Federal System Resources, adjusted by system Obligations of the FCRPS).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dimension ref="A1:M3"/>
  <sheetViews>
    <sheetView workbookViewId="0" topLeftCell="A1">
      <selection activeCell="A3" sqref="A3:M3"/>
    </sheetView>
  </sheetViews>
  <sheetFormatPr defaultColWidth="9.33203125" defaultRowHeight="12.75"/>
  <sheetData>
    <row r="1" spans="1:13" ht="18.75">
      <c r="A1" s="190" t="s">
        <v>176</v>
      </c>
      <c r="B1" s="190"/>
      <c r="C1" s="190"/>
      <c r="D1" s="190"/>
      <c r="E1" s="190"/>
      <c r="F1" s="190"/>
      <c r="G1" s="190"/>
      <c r="H1" s="190"/>
      <c r="I1" s="190"/>
      <c r="J1" s="190"/>
      <c r="K1" s="190"/>
      <c r="L1" s="190"/>
      <c r="M1" s="190"/>
    </row>
    <row r="2" spans="1:13" ht="15.75">
      <c r="A2" s="191" t="s">
        <v>193</v>
      </c>
      <c r="B2" s="191"/>
      <c r="C2" s="191"/>
      <c r="D2" s="191"/>
      <c r="E2" s="191"/>
      <c r="F2" s="191"/>
      <c r="G2" s="191"/>
      <c r="H2" s="191"/>
      <c r="I2" s="191"/>
      <c r="J2" s="191"/>
      <c r="K2" s="191"/>
      <c r="L2" s="191"/>
      <c r="M2" s="191"/>
    </row>
    <row r="3" spans="1:13" ht="15.75">
      <c r="A3" s="192">
        <f>Results!B3</f>
        <v>36640</v>
      </c>
      <c r="B3" s="191"/>
      <c r="C3" s="191"/>
      <c r="D3" s="191"/>
      <c r="E3" s="191"/>
      <c r="F3" s="191"/>
      <c r="G3" s="191"/>
      <c r="H3" s="191"/>
      <c r="I3" s="191"/>
      <c r="J3" s="191"/>
      <c r="K3" s="191"/>
      <c r="L3" s="191"/>
      <c r="M3" s="191"/>
    </row>
  </sheetData>
  <mergeCells count="3">
    <mergeCell ref="A1:M1"/>
    <mergeCell ref="A2:M2"/>
    <mergeCell ref="A3:M3"/>
  </mergeCells>
  <printOptions/>
  <pageMargins left="0.75" right="0.75" top="1" bottom="1" header="0.5" footer="0.5"/>
  <pageSetup horizontalDpi="300" verticalDpi="300" orientation="landscape" r:id="rId2"/>
  <headerFooter alignWithMargins="0">
    <oddFooter>&amp;LSlice Cost Shift Study&amp;R'02 Rate Case</oddFooter>
  </headerFooter>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X162"/>
  <sheetViews>
    <sheetView zoomScale="75" zoomScaleNormal="75" workbookViewId="0" topLeftCell="A30">
      <selection activeCell="Q27" sqref="Q27"/>
    </sheetView>
  </sheetViews>
  <sheetFormatPr defaultColWidth="9.33203125" defaultRowHeight="12.75"/>
  <cols>
    <col min="1" max="1" width="8.83203125" style="2" customWidth="1"/>
    <col min="2" max="2" width="12.5" style="0" customWidth="1"/>
    <col min="16" max="16" width="12.33203125" style="0" customWidth="1"/>
    <col min="17" max="18" width="10.33203125" style="0" bestFit="1" customWidth="1"/>
    <col min="19" max="19" width="13.66015625" style="0" customWidth="1"/>
    <col min="21" max="23" width="13.83203125" style="0" customWidth="1"/>
  </cols>
  <sheetData>
    <row r="1" spans="2:15" ht="12.75">
      <c r="B1" s="229" t="s">
        <v>40</v>
      </c>
      <c r="C1" s="229"/>
      <c r="D1" s="229"/>
      <c r="E1" s="229"/>
      <c r="F1" s="229"/>
      <c r="G1" s="229"/>
      <c r="H1" s="229"/>
      <c r="I1" s="229"/>
      <c r="J1" s="229"/>
      <c r="K1" s="229"/>
      <c r="L1" s="229"/>
      <c r="M1" s="229"/>
      <c r="N1" s="229"/>
      <c r="O1" s="229"/>
    </row>
    <row r="2" spans="1:16" s="2" customFormat="1" ht="25.5">
      <c r="A2" s="145" t="s">
        <v>0</v>
      </c>
      <c r="B2" s="146" t="s">
        <v>1</v>
      </c>
      <c r="C2" s="146" t="s">
        <v>2</v>
      </c>
      <c r="D2" s="146" t="s">
        <v>3</v>
      </c>
      <c r="E2" s="146" t="s">
        <v>4</v>
      </c>
      <c r="F2" s="146" t="s">
        <v>5</v>
      </c>
      <c r="G2" s="146" t="s">
        <v>6</v>
      </c>
      <c r="H2" s="146" t="s">
        <v>7</v>
      </c>
      <c r="I2" s="146" t="s">
        <v>8</v>
      </c>
      <c r="J2" s="146" t="s">
        <v>9</v>
      </c>
      <c r="K2" s="146" t="s">
        <v>10</v>
      </c>
      <c r="L2" s="146" t="s">
        <v>11</v>
      </c>
      <c r="M2" s="146" t="s">
        <v>12</v>
      </c>
      <c r="N2" s="146" t="s">
        <v>13</v>
      </c>
      <c r="O2" s="154" t="s">
        <v>14</v>
      </c>
      <c r="P2" s="127" t="s">
        <v>195</v>
      </c>
    </row>
    <row r="3" spans="1:16" ht="12.75">
      <c r="A3" s="128">
        <v>1929</v>
      </c>
      <c r="B3" s="130">
        <v>11569.918079358878</v>
      </c>
      <c r="C3" s="130">
        <v>8070.160406920434</v>
      </c>
      <c r="D3" s="130">
        <v>7453.016934763705</v>
      </c>
      <c r="E3" s="130">
        <v>8772.629833332287</v>
      </c>
      <c r="F3" s="130">
        <v>6981.444241847938</v>
      </c>
      <c r="G3" s="130">
        <v>9087.558058743567</v>
      </c>
      <c r="H3" s="130">
        <v>7216.190104169137</v>
      </c>
      <c r="I3" s="130">
        <v>8438.929527332944</v>
      </c>
      <c r="J3" s="130">
        <v>6913.991032562954</v>
      </c>
      <c r="K3" s="130">
        <v>6540.369792069301</v>
      </c>
      <c r="L3" s="130">
        <v>8739.997910698467</v>
      </c>
      <c r="M3" s="130">
        <v>8034.306467368077</v>
      </c>
      <c r="N3" s="130">
        <v>10592.925710204618</v>
      </c>
      <c r="O3" s="130">
        <v>8916.828240263158</v>
      </c>
      <c r="P3" s="131"/>
    </row>
    <row r="4" spans="1:16" ht="12.75">
      <c r="A4" s="128">
        <v>1930</v>
      </c>
      <c r="B4" s="130">
        <v>8020.573900102317</v>
      </c>
      <c r="C4" s="130">
        <v>7566.46567007376</v>
      </c>
      <c r="D4" s="130">
        <v>7510.719564574251</v>
      </c>
      <c r="E4" s="130">
        <v>7973.619366401115</v>
      </c>
      <c r="F4" s="130">
        <v>7927.202524349894</v>
      </c>
      <c r="G4" s="130">
        <v>9355.435938576733</v>
      </c>
      <c r="H4" s="130">
        <v>7295.088393598102</v>
      </c>
      <c r="I4" s="130">
        <v>7755.040342298289</v>
      </c>
      <c r="J4" s="130">
        <v>6610.962455758161</v>
      </c>
      <c r="K4" s="130">
        <v>8109.506982552414</v>
      </c>
      <c r="L4" s="130">
        <v>12193.57575147708</v>
      </c>
      <c r="M4" s="130">
        <v>7366.333808980214</v>
      </c>
      <c r="N4" s="130">
        <v>7749.397309910101</v>
      </c>
      <c r="O4" s="130">
        <v>9358.475185946989</v>
      </c>
      <c r="P4" s="131"/>
    </row>
    <row r="5" spans="1:16" ht="12.75">
      <c r="A5" s="128">
        <v>1931</v>
      </c>
      <c r="B5" s="130">
        <v>8958.742161064742</v>
      </c>
      <c r="C5" s="130">
        <v>8114.643659933794</v>
      </c>
      <c r="D5" s="130">
        <v>6861.767668840478</v>
      </c>
      <c r="E5" s="130">
        <v>7796.810755458464</v>
      </c>
      <c r="F5" s="130">
        <v>8021.990313476346</v>
      </c>
      <c r="G5" s="130">
        <v>9738.197283848227</v>
      </c>
      <c r="H5" s="130">
        <v>6296.9770468034985</v>
      </c>
      <c r="I5" s="130">
        <v>6212.601729973674</v>
      </c>
      <c r="J5" s="130">
        <v>6573.314130101893</v>
      </c>
      <c r="K5" s="130">
        <v>9524.532451567582</v>
      </c>
      <c r="L5" s="130">
        <v>7849.806006095815</v>
      </c>
      <c r="M5" s="130">
        <v>10969.701885138098</v>
      </c>
      <c r="N5" s="130">
        <v>8491.587786259543</v>
      </c>
      <c r="O5" s="130">
        <v>9676.876288659792</v>
      </c>
      <c r="P5" s="131"/>
    </row>
    <row r="6" spans="1:16" ht="12.75">
      <c r="A6" s="128">
        <v>1932</v>
      </c>
      <c r="B6" s="130">
        <v>8313.6757927607</v>
      </c>
      <c r="C6" s="130">
        <v>7210.993622849957</v>
      </c>
      <c r="D6" s="130">
        <v>6741.641180192798</v>
      </c>
      <c r="E6" s="130">
        <v>7938.648116263605</v>
      </c>
      <c r="F6" s="130">
        <v>7910.938589539748</v>
      </c>
      <c r="G6" s="130">
        <v>8616.376480860437</v>
      </c>
      <c r="H6" s="130">
        <v>6412.299490757448</v>
      </c>
      <c r="I6" s="130">
        <v>7982.693877551021</v>
      </c>
      <c r="J6" s="130">
        <v>10727.235082345844</v>
      </c>
      <c r="K6" s="130">
        <v>14063.878340556692</v>
      </c>
      <c r="L6" s="130">
        <v>12748.842987182812</v>
      </c>
      <c r="M6" s="130">
        <v>13715.017104714227</v>
      </c>
      <c r="N6" s="130">
        <v>13598.471522410855</v>
      </c>
      <c r="O6" s="130">
        <v>11122.231144881756</v>
      </c>
      <c r="P6" s="131"/>
    </row>
    <row r="7" spans="1:16" ht="12.75">
      <c r="A7" s="128">
        <v>1933</v>
      </c>
      <c r="B7" s="130">
        <v>9431.530685813026</v>
      </c>
      <c r="C7" s="130">
        <v>8667.882323185011</v>
      </c>
      <c r="D7" s="130">
        <v>7896.724685817933</v>
      </c>
      <c r="E7" s="130">
        <v>8875.150402563248</v>
      </c>
      <c r="F7" s="130">
        <v>7650.58679592013</v>
      </c>
      <c r="G7" s="130">
        <v>9436.005432260838</v>
      </c>
      <c r="H7" s="130">
        <v>14500.838769341299</v>
      </c>
      <c r="I7" s="130">
        <v>11643.511156812341</v>
      </c>
      <c r="J7" s="130">
        <v>8103.894786703447</v>
      </c>
      <c r="K7" s="130">
        <v>11552.219538321644</v>
      </c>
      <c r="L7" s="130">
        <v>8826.556316132217</v>
      </c>
      <c r="M7" s="130">
        <v>11643.24721350168</v>
      </c>
      <c r="N7" s="130">
        <v>15700.262408836245</v>
      </c>
      <c r="O7" s="130">
        <v>13136.688664262627</v>
      </c>
      <c r="P7" s="131"/>
    </row>
    <row r="8" spans="1:16" ht="12.75">
      <c r="A8" s="128">
        <v>1934</v>
      </c>
      <c r="B8" s="130">
        <v>11461.612733231232</v>
      </c>
      <c r="C8" s="130">
        <v>11539.599228412573</v>
      </c>
      <c r="D8" s="130">
        <v>8591.904251588867</v>
      </c>
      <c r="E8" s="130">
        <v>10457.011802560048</v>
      </c>
      <c r="F8" s="130">
        <v>10425.030282333837</v>
      </c>
      <c r="G8" s="130">
        <v>15292.071086747355</v>
      </c>
      <c r="H8" s="130">
        <v>16845.022328785795</v>
      </c>
      <c r="I8" s="130">
        <v>14917.523108760635</v>
      </c>
      <c r="J8" s="130">
        <v>12861.914169644768</v>
      </c>
      <c r="K8" s="130">
        <v>14668.185850251248</v>
      </c>
      <c r="L8" s="130">
        <v>14061.24379598173</v>
      </c>
      <c r="M8" s="130">
        <v>12890.750665622554</v>
      </c>
      <c r="N8" s="130">
        <v>9739.841214746612</v>
      </c>
      <c r="O8" s="130">
        <v>7995.800465795251</v>
      </c>
      <c r="P8" s="131"/>
    </row>
    <row r="9" spans="1:16" ht="12.75">
      <c r="A9" s="128">
        <v>1935</v>
      </c>
      <c r="B9" s="130">
        <v>7080.0499596784675</v>
      </c>
      <c r="C9" s="130">
        <v>6487.112781567959</v>
      </c>
      <c r="D9" s="130">
        <v>7033.949297351442</v>
      </c>
      <c r="E9" s="130">
        <v>7558.732177094218</v>
      </c>
      <c r="F9" s="130">
        <v>7148.4572852584515</v>
      </c>
      <c r="G9" s="130">
        <v>8817.565639200659</v>
      </c>
      <c r="H9" s="130">
        <v>13945.938361312954</v>
      </c>
      <c r="I9" s="130">
        <v>10696.533288273064</v>
      </c>
      <c r="J9" s="130">
        <v>9859.910420377628</v>
      </c>
      <c r="K9" s="130">
        <v>12078.445502869432</v>
      </c>
      <c r="L9" s="130">
        <v>10077.79503849444</v>
      </c>
      <c r="M9" s="130">
        <v>10678.36302756007</v>
      </c>
      <c r="N9" s="130">
        <v>12299.087141240134</v>
      </c>
      <c r="O9" s="130">
        <v>11110.046303586525</v>
      </c>
      <c r="P9" s="131"/>
    </row>
    <row r="10" spans="1:16" ht="12.75">
      <c r="A10" s="128">
        <v>1936</v>
      </c>
      <c r="B10" s="130">
        <v>9845.502863931435</v>
      </c>
      <c r="C10" s="130">
        <v>6679.44772231929</v>
      </c>
      <c r="D10" s="130">
        <v>7175.873031067158</v>
      </c>
      <c r="E10" s="130">
        <v>8378.691729713984</v>
      </c>
      <c r="F10" s="130">
        <v>7418.78624200658</v>
      </c>
      <c r="G10" s="130">
        <v>9301.563814538838</v>
      </c>
      <c r="H10" s="130">
        <v>7881.46823694234</v>
      </c>
      <c r="I10" s="130">
        <v>8630.820756013745</v>
      </c>
      <c r="J10" s="130">
        <v>7569.249425744324</v>
      </c>
      <c r="K10" s="130">
        <v>7785.486208051517</v>
      </c>
      <c r="L10" s="130">
        <v>13822.100193491773</v>
      </c>
      <c r="M10" s="130">
        <v>14768.040586493107</v>
      </c>
      <c r="N10" s="130">
        <v>10615.53774327821</v>
      </c>
      <c r="O10" s="130">
        <v>10733.745192307691</v>
      </c>
      <c r="P10" s="131"/>
    </row>
    <row r="11" spans="1:16" ht="12.75">
      <c r="A11" s="128">
        <v>1937</v>
      </c>
      <c r="B11" s="130">
        <v>8566.807708561335</v>
      </c>
      <c r="C11" s="130">
        <v>7607.282724359466</v>
      </c>
      <c r="D11" s="130">
        <v>7523.507547435926</v>
      </c>
      <c r="E11" s="130">
        <v>7996.552699988184</v>
      </c>
      <c r="F11" s="130">
        <v>7543.028918449971</v>
      </c>
      <c r="G11" s="130">
        <v>9191.236347291931</v>
      </c>
      <c r="H11" s="130">
        <v>7208.834713130535</v>
      </c>
      <c r="I11" s="130">
        <v>7582.538024274082</v>
      </c>
      <c r="J11" s="130">
        <v>6155.460507714058</v>
      </c>
      <c r="K11" s="130">
        <v>6272.498153216788</v>
      </c>
      <c r="L11" s="130">
        <v>6155.034809132652</v>
      </c>
      <c r="M11" s="130">
        <v>9873.36898395722</v>
      </c>
      <c r="N11" s="130">
        <v>8354.229965118931</v>
      </c>
      <c r="O11" s="130">
        <v>8901.161504985848</v>
      </c>
      <c r="P11" s="130">
        <f>SUMPRODUCT(B11:O11,'HLH-LLH Loads'!$N$4:$AA$4)</f>
        <v>39516902.02219077</v>
      </c>
    </row>
    <row r="12" spans="1:16" ht="12.75">
      <c r="A12" s="128">
        <v>1938</v>
      </c>
      <c r="B12" s="130">
        <v>8753.45285974345</v>
      </c>
      <c r="C12" s="130">
        <v>7759.595830025487</v>
      </c>
      <c r="D12" s="130">
        <v>7800.474233957169</v>
      </c>
      <c r="E12" s="130">
        <v>8139.717844325386</v>
      </c>
      <c r="F12" s="130">
        <v>8125.464356930049</v>
      </c>
      <c r="G12" s="130">
        <v>9934.265863526025</v>
      </c>
      <c r="H12" s="130">
        <v>13507.520692640694</v>
      </c>
      <c r="I12" s="130">
        <v>9573.804679679679</v>
      </c>
      <c r="J12" s="130">
        <v>12441.218517693573</v>
      </c>
      <c r="K12" s="130">
        <v>12085.100840437899</v>
      </c>
      <c r="L12" s="130">
        <v>12005.723809019015</v>
      </c>
      <c r="M12" s="130">
        <v>13978.417215474481</v>
      </c>
      <c r="N12" s="130">
        <v>13469.627721720659</v>
      </c>
      <c r="O12" s="130">
        <v>9998.173891255325</v>
      </c>
      <c r="P12" s="131"/>
    </row>
    <row r="13" spans="1:16" ht="12.75">
      <c r="A13" s="128">
        <v>1939</v>
      </c>
      <c r="B13" s="130">
        <v>8165.371817562967</v>
      </c>
      <c r="C13" s="130">
        <v>6752.824681971048</v>
      </c>
      <c r="D13" s="130">
        <v>7345.407786250975</v>
      </c>
      <c r="E13" s="130">
        <v>8879.605602280017</v>
      </c>
      <c r="F13" s="130">
        <v>7094.879571969506</v>
      </c>
      <c r="G13" s="130">
        <v>8883.790359259061</v>
      </c>
      <c r="H13" s="130">
        <v>7319.511656373449</v>
      </c>
      <c r="I13" s="130">
        <v>11327.670901895439</v>
      </c>
      <c r="J13" s="130">
        <v>10217.57410843125</v>
      </c>
      <c r="K13" s="130">
        <v>11464.752915701347</v>
      </c>
      <c r="L13" s="130">
        <v>11641.91646306354</v>
      </c>
      <c r="M13" s="130">
        <v>11701.112877945912</v>
      </c>
      <c r="N13" s="130">
        <v>7566.232994619035</v>
      </c>
      <c r="O13" s="130">
        <v>11380.762611399656</v>
      </c>
      <c r="P13" s="131"/>
    </row>
    <row r="14" spans="1:16" ht="12.75">
      <c r="A14" s="128">
        <v>1940</v>
      </c>
      <c r="B14" s="130">
        <v>9580.514104056596</v>
      </c>
      <c r="C14" s="130">
        <v>7410.078394773681</v>
      </c>
      <c r="D14" s="130">
        <v>7500.913511596767</v>
      </c>
      <c r="E14" s="130">
        <v>8835.159286171525</v>
      </c>
      <c r="F14" s="130">
        <v>7658.690391203316</v>
      </c>
      <c r="G14" s="130">
        <v>9078.975637695637</v>
      </c>
      <c r="H14" s="130">
        <v>8611.038834516985</v>
      </c>
      <c r="I14" s="130">
        <v>9917.124117295032</v>
      </c>
      <c r="J14" s="130">
        <v>12435.140147115757</v>
      </c>
      <c r="K14" s="130">
        <v>11454.29802723989</v>
      </c>
      <c r="L14" s="130">
        <v>11387.549331823162</v>
      </c>
      <c r="M14" s="130">
        <v>9833.380086580086</v>
      </c>
      <c r="N14" s="130">
        <v>6650.326730209293</v>
      </c>
      <c r="O14" s="130">
        <v>9276.172812947156</v>
      </c>
      <c r="P14" s="131"/>
    </row>
    <row r="15" spans="1:16" ht="12.75">
      <c r="A15" s="128">
        <v>1941</v>
      </c>
      <c r="B15" s="130">
        <v>8622.667762315376</v>
      </c>
      <c r="C15" s="130">
        <v>7175.828489234914</v>
      </c>
      <c r="D15" s="130">
        <v>7968.313899280191</v>
      </c>
      <c r="E15" s="130">
        <v>9044.076125606403</v>
      </c>
      <c r="F15" s="130">
        <v>7470.134291240674</v>
      </c>
      <c r="G15" s="130">
        <v>9103.239713976329</v>
      </c>
      <c r="H15" s="130">
        <v>8311.057137749547</v>
      </c>
      <c r="I15" s="130">
        <v>7908.725165562913</v>
      </c>
      <c r="J15" s="130">
        <v>8630.803078974483</v>
      </c>
      <c r="K15" s="130">
        <v>7287.677049018697</v>
      </c>
      <c r="L15" s="130">
        <v>9558.916047402705</v>
      </c>
      <c r="M15" s="130">
        <v>9264.283133275585</v>
      </c>
      <c r="N15" s="130">
        <v>10145.708506703653</v>
      </c>
      <c r="O15" s="130">
        <v>7941.6694176269075</v>
      </c>
      <c r="P15" s="131"/>
    </row>
    <row r="16" spans="1:16" ht="12.75">
      <c r="A16" s="128">
        <v>1942</v>
      </c>
      <c r="B16" s="130">
        <v>8076.404709163077</v>
      </c>
      <c r="C16" s="130">
        <v>7302.073604453379</v>
      </c>
      <c r="D16" s="130">
        <v>7303.037311525683</v>
      </c>
      <c r="E16" s="130">
        <v>8830.302779739925</v>
      </c>
      <c r="F16" s="130">
        <v>8088.3727148721355</v>
      </c>
      <c r="G16" s="130">
        <v>12806.282829123493</v>
      </c>
      <c r="H16" s="130">
        <v>13453.98280506825</v>
      </c>
      <c r="I16" s="130">
        <v>10825.829806192916</v>
      </c>
      <c r="J16" s="130">
        <v>6764.638710376502</v>
      </c>
      <c r="K16" s="130">
        <v>9687.882008019886</v>
      </c>
      <c r="L16" s="130">
        <v>10171.965273045287</v>
      </c>
      <c r="M16" s="130">
        <v>11560.2858715812</v>
      </c>
      <c r="N16" s="130">
        <v>11721.527023514122</v>
      </c>
      <c r="O16" s="130">
        <v>12013.65029889977</v>
      </c>
      <c r="P16" s="131"/>
    </row>
    <row r="17" spans="1:16" ht="12.75">
      <c r="A17" s="128">
        <v>1943</v>
      </c>
      <c r="B17" s="130">
        <v>11822.740918313786</v>
      </c>
      <c r="C17" s="130">
        <v>9299.228571428572</v>
      </c>
      <c r="D17" s="130">
        <v>8166.434191467584</v>
      </c>
      <c r="E17" s="130">
        <v>8657.931620213696</v>
      </c>
      <c r="F17" s="130">
        <v>7161.066480314337</v>
      </c>
      <c r="G17" s="130">
        <v>8985.511400331512</v>
      </c>
      <c r="H17" s="130">
        <v>13730.822776711451</v>
      </c>
      <c r="I17" s="130">
        <v>13674.101708489055</v>
      </c>
      <c r="J17" s="130">
        <v>12549.872180451126</v>
      </c>
      <c r="K17" s="130">
        <v>15577.171680799243</v>
      </c>
      <c r="L17" s="130">
        <v>14826.646191003176</v>
      </c>
      <c r="M17" s="130">
        <v>13701.538412544007</v>
      </c>
      <c r="N17" s="130">
        <v>14026.375485492808</v>
      </c>
      <c r="O17" s="130">
        <v>12546.809785761912</v>
      </c>
      <c r="P17" s="131"/>
    </row>
    <row r="18" spans="1:16" ht="12.75">
      <c r="A18" s="128">
        <v>1944</v>
      </c>
      <c r="B18" s="130">
        <v>11477.263440727278</v>
      </c>
      <c r="C18" s="130">
        <v>9732.71993657541</v>
      </c>
      <c r="D18" s="130">
        <v>7413.981970466116</v>
      </c>
      <c r="E18" s="130">
        <v>8931.151546902194</v>
      </c>
      <c r="F18" s="130">
        <v>7060.9227476290835</v>
      </c>
      <c r="G18" s="130">
        <v>9035.89533090665</v>
      </c>
      <c r="H18" s="130">
        <v>7306.668739495798</v>
      </c>
      <c r="I18" s="130">
        <v>8838.27974320448</v>
      </c>
      <c r="J18" s="130">
        <v>6145.168711820813</v>
      </c>
      <c r="K18" s="130">
        <v>6569.439475430774</v>
      </c>
      <c r="L18" s="130">
        <v>8171.8520319054805</v>
      </c>
      <c r="M18" s="130">
        <v>8792.34330020686</v>
      </c>
      <c r="N18" s="130">
        <v>9085.616978183727</v>
      </c>
      <c r="O18" s="130">
        <v>7839.965507602863</v>
      </c>
      <c r="P18" s="131"/>
    </row>
    <row r="19" spans="1:16" ht="12.75">
      <c r="A19" s="128">
        <v>1945</v>
      </c>
      <c r="B19" s="130">
        <v>8303.420568922944</v>
      </c>
      <c r="C19" s="130">
        <v>7171.033878422448</v>
      </c>
      <c r="D19" s="130">
        <v>6733.973314590603</v>
      </c>
      <c r="E19" s="130">
        <v>8084.788908888827</v>
      </c>
      <c r="F19" s="130">
        <v>7987.2007445748895</v>
      </c>
      <c r="G19" s="130">
        <v>8594.630789041606</v>
      </c>
      <c r="H19" s="130">
        <v>6513.177286519289</v>
      </c>
      <c r="I19" s="130">
        <v>6922.533017270573</v>
      </c>
      <c r="J19" s="130">
        <v>6629.205418919704</v>
      </c>
      <c r="K19" s="130">
        <v>7411.510213618158</v>
      </c>
      <c r="L19" s="130">
        <v>8978.213032180141</v>
      </c>
      <c r="M19" s="130">
        <v>12343.87714745514</v>
      </c>
      <c r="N19" s="130">
        <v>11161.248806179941</v>
      </c>
      <c r="O19" s="130">
        <v>10928.734296438279</v>
      </c>
      <c r="P19" s="131"/>
    </row>
    <row r="20" spans="1:16" ht="12.75">
      <c r="A20" s="128">
        <v>1946</v>
      </c>
      <c r="B20" s="130">
        <v>9117.484082094375</v>
      </c>
      <c r="C20" s="130">
        <v>8197.929121483578</v>
      </c>
      <c r="D20" s="130">
        <v>7678.388715685063</v>
      </c>
      <c r="E20" s="130">
        <v>7886.968221730753</v>
      </c>
      <c r="F20" s="130">
        <v>7290.5375788356</v>
      </c>
      <c r="G20" s="130">
        <v>10512.137430807406</v>
      </c>
      <c r="H20" s="130">
        <v>14781.595473755966</v>
      </c>
      <c r="I20" s="130">
        <v>10116.662096101109</v>
      </c>
      <c r="J20" s="130">
        <v>11349.717506913423</v>
      </c>
      <c r="K20" s="130">
        <v>12336.46257804514</v>
      </c>
      <c r="L20" s="130">
        <v>13259.001047906217</v>
      </c>
      <c r="M20" s="130">
        <v>14151.325663077729</v>
      </c>
      <c r="N20" s="130">
        <v>13727.148355134397</v>
      </c>
      <c r="O20" s="130">
        <v>11527.646484375</v>
      </c>
      <c r="P20" s="131"/>
    </row>
    <row r="21" spans="1:16" ht="12.75">
      <c r="A21" s="128">
        <v>1947</v>
      </c>
      <c r="B21" s="130">
        <v>10853.997555926659</v>
      </c>
      <c r="C21" s="130">
        <v>7297.254900612147</v>
      </c>
      <c r="D21" s="130">
        <v>8167.117602063821</v>
      </c>
      <c r="E21" s="130">
        <v>8920.7563471462</v>
      </c>
      <c r="F21" s="130">
        <v>7470.396183705654</v>
      </c>
      <c r="G21" s="130">
        <v>12638.211707435617</v>
      </c>
      <c r="H21" s="130">
        <v>15598.126631757505</v>
      </c>
      <c r="I21" s="130">
        <v>14867.064333251172</v>
      </c>
      <c r="J21" s="130">
        <v>11047.443624752259</v>
      </c>
      <c r="K21" s="130">
        <v>11841.641270652572</v>
      </c>
      <c r="L21" s="130">
        <v>11616.913457721315</v>
      </c>
      <c r="M21" s="130">
        <v>13934.711386980907</v>
      </c>
      <c r="N21" s="130">
        <v>13228.595496096907</v>
      </c>
      <c r="O21" s="130">
        <v>11079.543223936225</v>
      </c>
      <c r="P21" s="131"/>
    </row>
    <row r="22" spans="1:16" ht="12.75">
      <c r="A22" s="128">
        <v>1948</v>
      </c>
      <c r="B22" s="130">
        <v>10741.58250160405</v>
      </c>
      <c r="C22" s="130">
        <v>7754.280348078318</v>
      </c>
      <c r="D22" s="130">
        <v>7924.11921779539</v>
      </c>
      <c r="E22" s="130">
        <v>12261.604759578771</v>
      </c>
      <c r="F22" s="130">
        <v>9566.424588037238</v>
      </c>
      <c r="G22" s="130">
        <v>10663.712475254524</v>
      </c>
      <c r="H22" s="130">
        <v>15819.263109229385</v>
      </c>
      <c r="I22" s="130">
        <v>13141.55357142857</v>
      </c>
      <c r="J22" s="130">
        <v>9681.175379787463</v>
      </c>
      <c r="K22" s="130">
        <v>10171.93935664219</v>
      </c>
      <c r="L22" s="130">
        <v>12372.420801814344</v>
      </c>
      <c r="M22" s="130">
        <v>16029.286008189065</v>
      </c>
      <c r="N22" s="130">
        <v>17126.090357713503</v>
      </c>
      <c r="O22" s="130">
        <v>12594.006776169566</v>
      </c>
      <c r="P22" s="131"/>
    </row>
    <row r="23" spans="1:16" ht="12.75">
      <c r="A23" s="128">
        <v>1949</v>
      </c>
      <c r="B23" s="130">
        <v>11650.233542504644</v>
      </c>
      <c r="C23" s="130">
        <v>11828.873683747455</v>
      </c>
      <c r="D23" s="130">
        <v>8817.143006775359</v>
      </c>
      <c r="E23" s="130">
        <v>9425.563376211438</v>
      </c>
      <c r="F23" s="130">
        <v>7249.367357721856</v>
      </c>
      <c r="G23" s="130">
        <v>8894.894909723267</v>
      </c>
      <c r="H23" s="130">
        <v>11928.889851647631</v>
      </c>
      <c r="I23" s="130">
        <v>9700.207816377171</v>
      </c>
      <c r="J23" s="130">
        <v>14464.476970860449</v>
      </c>
      <c r="K23" s="130">
        <v>12905.990746484697</v>
      </c>
      <c r="L23" s="130">
        <v>13627.651693210237</v>
      </c>
      <c r="M23" s="130">
        <v>14568.497317744444</v>
      </c>
      <c r="N23" s="130">
        <v>12998.163314183694</v>
      </c>
      <c r="O23" s="130">
        <v>7524.736169207137</v>
      </c>
      <c r="P23" s="131"/>
    </row>
    <row r="24" spans="1:16" ht="12.75">
      <c r="A24" s="128">
        <v>1950</v>
      </c>
      <c r="B24" s="130">
        <v>6828.311441291195</v>
      </c>
      <c r="C24" s="130">
        <v>6082.435608726249</v>
      </c>
      <c r="D24" s="130">
        <v>7331.132794722709</v>
      </c>
      <c r="E24" s="130">
        <v>8164.784630862095</v>
      </c>
      <c r="F24" s="130">
        <v>6846.549274740079</v>
      </c>
      <c r="G24" s="130">
        <v>10313.756704179772</v>
      </c>
      <c r="H24" s="130">
        <v>14553.761074860275</v>
      </c>
      <c r="I24" s="130">
        <v>13113.545926406525</v>
      </c>
      <c r="J24" s="130">
        <v>13759.008744991374</v>
      </c>
      <c r="K24" s="130">
        <v>14543.191970564596</v>
      </c>
      <c r="L24" s="130">
        <v>12999.892995336557</v>
      </c>
      <c r="M24" s="130">
        <v>13485.398029958618</v>
      </c>
      <c r="N24" s="130">
        <v>15769.511630184425</v>
      </c>
      <c r="O24" s="130">
        <v>12773.10983798176</v>
      </c>
      <c r="P24" s="131"/>
    </row>
    <row r="25" spans="1:16" ht="12.75">
      <c r="A25" s="128">
        <v>1951</v>
      </c>
      <c r="B25" s="130">
        <v>11062.71960127029</v>
      </c>
      <c r="C25" s="130">
        <v>10250.247632293529</v>
      </c>
      <c r="D25" s="130">
        <v>8152.299082293744</v>
      </c>
      <c r="E25" s="130">
        <v>10534.10952572906</v>
      </c>
      <c r="F25" s="130">
        <v>10238.569527697875</v>
      </c>
      <c r="G25" s="130">
        <v>13797.580593244653</v>
      </c>
      <c r="H25" s="130">
        <v>16433.34287030638</v>
      </c>
      <c r="I25" s="130">
        <v>16205.021210514355</v>
      </c>
      <c r="J25" s="130">
        <v>13056.687183987844</v>
      </c>
      <c r="K25" s="130">
        <v>14213.81103498892</v>
      </c>
      <c r="L25" s="130">
        <v>13581.779437505642</v>
      </c>
      <c r="M25" s="130">
        <v>14148.482108439708</v>
      </c>
      <c r="N25" s="130">
        <v>12003.220558968591</v>
      </c>
      <c r="O25" s="130">
        <v>12262.058659226874</v>
      </c>
      <c r="P25" s="131"/>
    </row>
    <row r="26" spans="1:16" ht="12.75">
      <c r="A26" s="128">
        <v>1952</v>
      </c>
      <c r="B26" s="130">
        <v>11639.954569235339</v>
      </c>
      <c r="C26" s="130">
        <v>10504.763490364272</v>
      </c>
      <c r="D26" s="130">
        <v>8106.316175339993</v>
      </c>
      <c r="E26" s="130">
        <v>11484.567727194026</v>
      </c>
      <c r="F26" s="130">
        <v>8204.38574763628</v>
      </c>
      <c r="G26" s="130">
        <v>11437.002497995694</v>
      </c>
      <c r="H26" s="130">
        <v>15213.853252799798</v>
      </c>
      <c r="I26" s="130">
        <v>12458.710424710423</v>
      </c>
      <c r="J26" s="130">
        <v>10590.84222737819</v>
      </c>
      <c r="K26" s="130">
        <v>14556.092484507437</v>
      </c>
      <c r="L26" s="130">
        <v>14321.661620625844</v>
      </c>
      <c r="M26" s="130">
        <v>15254.70143907563</v>
      </c>
      <c r="N26" s="130">
        <v>13792.178514998515</v>
      </c>
      <c r="O26" s="130">
        <v>10378.441076254261</v>
      </c>
      <c r="P26" s="131"/>
    </row>
    <row r="27" spans="1:16" ht="12.75">
      <c r="A27" s="128">
        <v>1953</v>
      </c>
      <c r="B27" s="130">
        <v>10849.182958161087</v>
      </c>
      <c r="C27" s="130">
        <v>7419.458731512318</v>
      </c>
      <c r="D27" s="130">
        <v>7380.002293211535</v>
      </c>
      <c r="E27" s="130">
        <v>8334.669282474972</v>
      </c>
      <c r="F27" s="130">
        <v>7182.896754051158</v>
      </c>
      <c r="G27" s="130">
        <v>9364.58895630418</v>
      </c>
      <c r="H27" s="130">
        <v>8571.032699791192</v>
      </c>
      <c r="I27" s="130">
        <v>15350.625004037896</v>
      </c>
      <c r="J27" s="130">
        <v>11888.968012423202</v>
      </c>
      <c r="K27" s="130">
        <v>9228.722311723654</v>
      </c>
      <c r="L27" s="130">
        <v>9840.028054078144</v>
      </c>
      <c r="M27" s="130">
        <v>12122.139295614195</v>
      </c>
      <c r="N27" s="130">
        <v>14612.556799096737</v>
      </c>
      <c r="O27" s="130">
        <v>12564.11338864947</v>
      </c>
      <c r="P27" s="131"/>
    </row>
    <row r="28" spans="1:16" ht="12.75">
      <c r="A28" s="128">
        <v>1954</v>
      </c>
      <c r="B28" s="130">
        <v>11712.523671995874</v>
      </c>
      <c r="C28" s="130">
        <v>10320.19906350119</v>
      </c>
      <c r="D28" s="130">
        <v>8233.379485447314</v>
      </c>
      <c r="E28" s="130">
        <v>9408.737442986583</v>
      </c>
      <c r="F28" s="130">
        <v>7730.441031257514</v>
      </c>
      <c r="G28" s="130">
        <v>9490.739587491684</v>
      </c>
      <c r="H28" s="130">
        <v>12832.927469579381</v>
      </c>
      <c r="I28" s="130">
        <v>15834.150634818163</v>
      </c>
      <c r="J28" s="130">
        <v>10872.229043149546</v>
      </c>
      <c r="K28" s="130">
        <v>12001.800656593681</v>
      </c>
      <c r="L28" s="130">
        <v>11393.650903403712</v>
      </c>
      <c r="M28" s="130">
        <v>13664.872148848668</v>
      </c>
      <c r="N28" s="130">
        <v>14402.798594940206</v>
      </c>
      <c r="O28" s="130">
        <v>12909.782914463283</v>
      </c>
      <c r="P28" s="131"/>
    </row>
    <row r="29" spans="1:16" ht="12.75">
      <c r="A29" s="128">
        <v>1955</v>
      </c>
      <c r="B29" s="130">
        <v>12021.066715846047</v>
      </c>
      <c r="C29" s="130">
        <v>11128.029971516431</v>
      </c>
      <c r="D29" s="130">
        <v>11858.201143057095</v>
      </c>
      <c r="E29" s="130">
        <v>10397.72609669909</v>
      </c>
      <c r="F29" s="130">
        <v>8775.8851455693</v>
      </c>
      <c r="G29" s="130">
        <v>9812.865168539325</v>
      </c>
      <c r="H29" s="130">
        <v>11758.715588089997</v>
      </c>
      <c r="I29" s="130">
        <v>10805.061926865163</v>
      </c>
      <c r="J29" s="130">
        <v>6636.016696143535</v>
      </c>
      <c r="K29" s="130">
        <v>10156.254738045163</v>
      </c>
      <c r="L29" s="130">
        <v>10410.075003839785</v>
      </c>
      <c r="M29" s="130">
        <v>10080.608462538725</v>
      </c>
      <c r="N29" s="130">
        <v>15339.083239759291</v>
      </c>
      <c r="O29" s="130">
        <v>13241.087078855211</v>
      </c>
      <c r="P29" s="131"/>
    </row>
    <row r="30" spans="1:16" ht="12.75">
      <c r="A30" s="128">
        <v>1956</v>
      </c>
      <c r="B30" s="130">
        <v>11462.96311462091</v>
      </c>
      <c r="C30" s="130">
        <v>11024.352097264436</v>
      </c>
      <c r="D30" s="130">
        <v>8380.224865517708</v>
      </c>
      <c r="E30" s="130">
        <v>10094.0630496373</v>
      </c>
      <c r="F30" s="130">
        <v>9315.424658075737</v>
      </c>
      <c r="G30" s="130">
        <v>13471.30602830904</v>
      </c>
      <c r="H30" s="130">
        <v>16684.12074441909</v>
      </c>
      <c r="I30" s="130">
        <v>14932.896340959776</v>
      </c>
      <c r="J30" s="130">
        <v>13183.641672728629</v>
      </c>
      <c r="K30" s="130">
        <v>13734.045683587581</v>
      </c>
      <c r="L30" s="130">
        <v>15198.934242368787</v>
      </c>
      <c r="M30" s="130">
        <v>15692.902464916971</v>
      </c>
      <c r="N30" s="130">
        <v>16243.965905028344</v>
      </c>
      <c r="O30" s="130">
        <v>12542.871715930787</v>
      </c>
      <c r="P30" s="131"/>
    </row>
    <row r="31" spans="1:16" ht="12.75">
      <c r="A31" s="128">
        <v>1957</v>
      </c>
      <c r="B31" s="130">
        <v>11902.952123756455</v>
      </c>
      <c r="C31" s="130">
        <v>10507.644986235815</v>
      </c>
      <c r="D31" s="130">
        <v>8008.77244706513</v>
      </c>
      <c r="E31" s="130">
        <v>9585.799046790826</v>
      </c>
      <c r="F31" s="130">
        <v>7082.312993021632</v>
      </c>
      <c r="G31" s="130">
        <v>10096.112261049555</v>
      </c>
      <c r="H31" s="130">
        <v>11434.681013662088</v>
      </c>
      <c r="I31" s="130">
        <v>13890.43034529682</v>
      </c>
      <c r="J31" s="130">
        <v>10719.665851126927</v>
      </c>
      <c r="K31" s="130">
        <v>14139.22222816224</v>
      </c>
      <c r="L31" s="130">
        <v>10616.409043581392</v>
      </c>
      <c r="M31" s="130">
        <v>16204.791702974695</v>
      </c>
      <c r="N31" s="130">
        <v>14830.236496470203</v>
      </c>
      <c r="O31" s="130">
        <v>10106.178407203106</v>
      </c>
      <c r="P31" s="131"/>
    </row>
    <row r="32" spans="1:16" ht="12.75">
      <c r="A32" s="128">
        <v>1958</v>
      </c>
      <c r="B32" s="130">
        <v>9423.804382093316</v>
      </c>
      <c r="C32" s="130">
        <v>7578.6528718924355</v>
      </c>
      <c r="D32" s="130">
        <v>7547.444175091692</v>
      </c>
      <c r="E32" s="130">
        <v>8637.39903653066</v>
      </c>
      <c r="F32" s="130">
        <v>7029.481993909704</v>
      </c>
      <c r="G32" s="130">
        <v>9003.247597151707</v>
      </c>
      <c r="H32" s="130">
        <v>11527.975066180154</v>
      </c>
      <c r="I32" s="130">
        <v>15103.64329944194</v>
      </c>
      <c r="J32" s="130">
        <v>9618.962318209842</v>
      </c>
      <c r="K32" s="130">
        <v>10361.261960916441</v>
      </c>
      <c r="L32" s="130">
        <v>12808.617378775776</v>
      </c>
      <c r="M32" s="130">
        <v>15588.524207255987</v>
      </c>
      <c r="N32" s="130">
        <v>14100.345920955026</v>
      </c>
      <c r="O32" s="130">
        <v>9511.816971135751</v>
      </c>
      <c r="P32" s="131"/>
    </row>
    <row r="33" spans="1:16" ht="12.75">
      <c r="A33" s="128">
        <v>1959</v>
      </c>
      <c r="B33" s="130">
        <v>9266.038267212773</v>
      </c>
      <c r="C33" s="130">
        <v>7775.736250960201</v>
      </c>
      <c r="D33" s="130">
        <v>7522.871678854331</v>
      </c>
      <c r="E33" s="130">
        <v>9253.14507832593</v>
      </c>
      <c r="F33" s="130">
        <v>8459.137336047148</v>
      </c>
      <c r="G33" s="130">
        <v>11409.401373746392</v>
      </c>
      <c r="H33" s="130">
        <v>16456.05550767972</v>
      </c>
      <c r="I33" s="130">
        <v>15066.98739088264</v>
      </c>
      <c r="J33" s="130">
        <v>11924.66366410066</v>
      </c>
      <c r="K33" s="130">
        <v>11956.84616690636</v>
      </c>
      <c r="L33" s="130">
        <v>9783.212709848689</v>
      </c>
      <c r="M33" s="130">
        <v>13264.647263326797</v>
      </c>
      <c r="N33" s="130">
        <v>14378.87827124843</v>
      </c>
      <c r="O33" s="130">
        <v>12625.83494413804</v>
      </c>
      <c r="P33" s="131"/>
    </row>
    <row r="34" spans="1:16" ht="12.75">
      <c r="A34" s="128">
        <v>1960</v>
      </c>
      <c r="B34" s="130">
        <v>11652.58681935592</v>
      </c>
      <c r="C34" s="130">
        <v>10038.468582765117</v>
      </c>
      <c r="D34" s="130">
        <v>11677.5020575195</v>
      </c>
      <c r="E34" s="130">
        <v>13157.56659564603</v>
      </c>
      <c r="F34" s="130">
        <v>10862.341828125343</v>
      </c>
      <c r="G34" s="130">
        <v>11985.159447004608</v>
      </c>
      <c r="H34" s="130">
        <v>14949.419063610789</v>
      </c>
      <c r="I34" s="130">
        <v>11200.933486238533</v>
      </c>
      <c r="J34" s="130">
        <v>11439.285222945586</v>
      </c>
      <c r="K34" s="130">
        <v>15925.156101833774</v>
      </c>
      <c r="L34" s="130">
        <v>12704.285600899531</v>
      </c>
      <c r="M34" s="130">
        <v>11560.81431101665</v>
      </c>
      <c r="N34" s="130">
        <v>12404.194792524162</v>
      </c>
      <c r="O34" s="130">
        <v>11413.827577608778</v>
      </c>
      <c r="P34" s="131"/>
    </row>
    <row r="35" spans="1:16" ht="12.75">
      <c r="A35" s="128">
        <v>1961</v>
      </c>
      <c r="B35" s="130">
        <v>11139.23290415506</v>
      </c>
      <c r="C35" s="130">
        <v>7448.078082045952</v>
      </c>
      <c r="D35" s="130">
        <v>7839.573440362155</v>
      </c>
      <c r="E35" s="130">
        <v>9342.027024923127</v>
      </c>
      <c r="F35" s="130">
        <v>7898.031571090213</v>
      </c>
      <c r="G35" s="130">
        <v>8405.531677928439</v>
      </c>
      <c r="H35" s="130">
        <v>13883.050989430381</v>
      </c>
      <c r="I35" s="130">
        <v>15165.876127848296</v>
      </c>
      <c r="J35" s="130">
        <v>11818.608186613179</v>
      </c>
      <c r="K35" s="130">
        <v>11653.278027492388</v>
      </c>
      <c r="L35" s="130">
        <v>8839.622741609634</v>
      </c>
      <c r="M35" s="130">
        <v>13641.35805579613</v>
      </c>
      <c r="N35" s="130">
        <v>14357.309772959297</v>
      </c>
      <c r="O35" s="130">
        <v>10735.57735296182</v>
      </c>
      <c r="P35" s="131"/>
    </row>
    <row r="36" spans="1:16" ht="12.75">
      <c r="A36" s="128">
        <v>1962</v>
      </c>
      <c r="B36" s="130">
        <v>10492.27886015004</v>
      </c>
      <c r="C36" s="130">
        <v>7889.1603013455815</v>
      </c>
      <c r="D36" s="130">
        <v>7283.792470525425</v>
      </c>
      <c r="E36" s="130">
        <v>8980.089401145073</v>
      </c>
      <c r="F36" s="130">
        <v>6862.1309444289645</v>
      </c>
      <c r="G36" s="130">
        <v>8687.37044852916</v>
      </c>
      <c r="H36" s="130">
        <v>13985.056540417758</v>
      </c>
      <c r="I36" s="130">
        <v>9046.849282611558</v>
      </c>
      <c r="J36" s="130">
        <v>8596.345274129326</v>
      </c>
      <c r="K36" s="130">
        <v>13082.104893786625</v>
      </c>
      <c r="L36" s="130">
        <v>13160.109269474322</v>
      </c>
      <c r="M36" s="130">
        <v>11960.609211393425</v>
      </c>
      <c r="N36" s="130">
        <v>10500.679756120962</v>
      </c>
      <c r="O36" s="130">
        <v>11878.543471983967</v>
      </c>
      <c r="P36" s="131"/>
    </row>
    <row r="37" spans="1:16" ht="12.75">
      <c r="A37" s="128">
        <v>1963</v>
      </c>
      <c r="B37" s="130">
        <v>11585.905288820666</v>
      </c>
      <c r="C37" s="130">
        <v>9286.634294866155</v>
      </c>
      <c r="D37" s="130">
        <v>7487.869858637278</v>
      </c>
      <c r="E37" s="130">
        <v>9993.70161882812</v>
      </c>
      <c r="F37" s="130">
        <v>8714.61073024598</v>
      </c>
      <c r="G37" s="130">
        <v>11410.942252735176</v>
      </c>
      <c r="H37" s="130">
        <v>14689.744440256312</v>
      </c>
      <c r="I37" s="130">
        <v>12175.355495657383</v>
      </c>
      <c r="J37" s="130">
        <v>8943.156409438776</v>
      </c>
      <c r="K37" s="130">
        <v>11088.830294544787</v>
      </c>
      <c r="L37" s="130">
        <v>10906.33926448966</v>
      </c>
      <c r="M37" s="130">
        <v>11120.323689122104</v>
      </c>
      <c r="N37" s="130">
        <v>12613.796752099031</v>
      </c>
      <c r="O37" s="130">
        <v>11553.639121898983</v>
      </c>
      <c r="P37" s="131"/>
    </row>
    <row r="38" spans="1:16" ht="12.75">
      <c r="A38" s="128">
        <v>1964</v>
      </c>
      <c r="B38" s="130">
        <v>11339.835550456783</v>
      </c>
      <c r="C38" s="130">
        <v>8967.385078920059</v>
      </c>
      <c r="D38" s="130">
        <v>8711.712072838</v>
      </c>
      <c r="E38" s="130">
        <v>8834.289197931124</v>
      </c>
      <c r="F38" s="130">
        <v>7078.787071305205</v>
      </c>
      <c r="G38" s="130">
        <v>8569.294570279551</v>
      </c>
      <c r="H38" s="130">
        <v>11217.564022220813</v>
      </c>
      <c r="I38" s="130">
        <v>13879.035012809565</v>
      </c>
      <c r="J38" s="130">
        <v>7646.256188256188</v>
      </c>
      <c r="K38" s="130">
        <v>11573.85513295443</v>
      </c>
      <c r="L38" s="130">
        <v>9401.416552974464</v>
      </c>
      <c r="M38" s="130">
        <v>11627.538938339061</v>
      </c>
      <c r="N38" s="130">
        <v>15403.476433719228</v>
      </c>
      <c r="O38" s="130">
        <v>12953.12625949718</v>
      </c>
      <c r="P38" s="131"/>
    </row>
    <row r="39" spans="1:16" ht="12.75">
      <c r="A39" s="128">
        <v>1965</v>
      </c>
      <c r="B39" s="130">
        <v>11718.113706829901</v>
      </c>
      <c r="C39" s="130">
        <v>10961.703596042946</v>
      </c>
      <c r="D39" s="130">
        <v>9206.440136314288</v>
      </c>
      <c r="E39" s="130">
        <v>10479.476216004628</v>
      </c>
      <c r="F39" s="130">
        <v>8025.439960740373</v>
      </c>
      <c r="G39" s="130">
        <v>13967.002949017224</v>
      </c>
      <c r="H39" s="130">
        <v>17464.92977890319</v>
      </c>
      <c r="I39" s="130">
        <v>15488.168268122068</v>
      </c>
      <c r="J39" s="130">
        <v>13223.588355457388</v>
      </c>
      <c r="K39" s="130">
        <v>11771.042267792072</v>
      </c>
      <c r="L39" s="130">
        <v>14303.763983518751</v>
      </c>
      <c r="M39" s="130">
        <v>14377.097694511182</v>
      </c>
      <c r="N39" s="130">
        <v>14698.311714761994</v>
      </c>
      <c r="O39" s="130">
        <v>11446.136464434827</v>
      </c>
      <c r="P39" s="131"/>
    </row>
    <row r="40" spans="1:16" ht="12.75">
      <c r="A40" s="128">
        <v>1966</v>
      </c>
      <c r="B40" s="130">
        <v>11640.840883837584</v>
      </c>
      <c r="C40" s="130">
        <v>10653.972254818435</v>
      </c>
      <c r="D40" s="130">
        <v>8182.388656857556</v>
      </c>
      <c r="E40" s="130">
        <v>9805.940735167464</v>
      </c>
      <c r="F40" s="130">
        <v>8110.55455100372</v>
      </c>
      <c r="G40" s="130">
        <v>9984.799466916062</v>
      </c>
      <c r="H40" s="130">
        <v>13649.663961581713</v>
      </c>
      <c r="I40" s="130">
        <v>13140.083119353305</v>
      </c>
      <c r="J40" s="130">
        <v>8841.933279489404</v>
      </c>
      <c r="K40" s="130">
        <v>13702.885909733443</v>
      </c>
      <c r="L40" s="130">
        <v>10384.092186603786</v>
      </c>
      <c r="M40" s="130">
        <v>10844.798496131503</v>
      </c>
      <c r="N40" s="130">
        <v>9610.045278208823</v>
      </c>
      <c r="O40" s="130">
        <v>11889.022711744612</v>
      </c>
      <c r="P40" s="131"/>
    </row>
    <row r="41" spans="1:16" ht="12.75">
      <c r="A41" s="128">
        <v>1967</v>
      </c>
      <c r="B41" s="130">
        <v>11448.097652374274</v>
      </c>
      <c r="C41" s="130">
        <v>7660.130104684361</v>
      </c>
      <c r="D41" s="130">
        <v>7604.245121265555</v>
      </c>
      <c r="E41" s="130">
        <v>8757.263433561431</v>
      </c>
      <c r="F41" s="130">
        <v>7068.558130754316</v>
      </c>
      <c r="G41" s="130">
        <v>9237.144413685142</v>
      </c>
      <c r="H41" s="130">
        <v>14897.64547252747</v>
      </c>
      <c r="I41" s="130">
        <v>14882.113580246913</v>
      </c>
      <c r="J41" s="130">
        <v>11018.907850792606</v>
      </c>
      <c r="K41" s="130">
        <v>10736.127655295695</v>
      </c>
      <c r="L41" s="130">
        <v>7305.5201278313525</v>
      </c>
      <c r="M41" s="130">
        <v>11303.220086692716</v>
      </c>
      <c r="N41" s="130">
        <v>14843.994667519213</v>
      </c>
      <c r="O41" s="130">
        <v>12634.818006969379</v>
      </c>
      <c r="P41" s="131"/>
    </row>
    <row r="42" spans="1:16" ht="12.75">
      <c r="A42" s="128">
        <v>1968</v>
      </c>
      <c r="B42" s="130">
        <v>11343.671293159117</v>
      </c>
      <c r="C42" s="130">
        <v>10629.645987349759</v>
      </c>
      <c r="D42" s="130">
        <v>8448.974482829088</v>
      </c>
      <c r="E42" s="130">
        <v>9509.089464560862</v>
      </c>
      <c r="F42" s="130">
        <v>7762.213224420099</v>
      </c>
      <c r="G42" s="130">
        <v>9861.835452505611</v>
      </c>
      <c r="H42" s="130">
        <v>14509.891371818747</v>
      </c>
      <c r="I42" s="130">
        <v>14681.683842503953</v>
      </c>
      <c r="J42" s="130">
        <v>11831.480653512455</v>
      </c>
      <c r="K42" s="130">
        <v>8192.572764981796</v>
      </c>
      <c r="L42" s="130">
        <v>8748.912803933197</v>
      </c>
      <c r="M42" s="130">
        <v>8625.007786081327</v>
      </c>
      <c r="N42" s="130">
        <v>12707.330072673321</v>
      </c>
      <c r="O42" s="130">
        <v>11618.434712414997</v>
      </c>
      <c r="P42" s="131"/>
    </row>
    <row r="43" spans="1:16" ht="12.75">
      <c r="A43" s="128">
        <v>1969</v>
      </c>
      <c r="B43" s="130">
        <v>11619.450311312014</v>
      </c>
      <c r="C43" s="130">
        <v>10716.007214914349</v>
      </c>
      <c r="D43" s="130">
        <v>10207.46737348647</v>
      </c>
      <c r="E43" s="130">
        <v>10646.34168011037</v>
      </c>
      <c r="F43" s="130">
        <v>9529.715443366222</v>
      </c>
      <c r="G43" s="130">
        <v>11073.675547769702</v>
      </c>
      <c r="H43" s="130">
        <v>16740.958974358975</v>
      </c>
      <c r="I43" s="130">
        <v>15342.252318204002</v>
      </c>
      <c r="J43" s="130">
        <v>12406.441757670305</v>
      </c>
      <c r="K43" s="130">
        <v>13920.704413338304</v>
      </c>
      <c r="L43" s="130">
        <v>14886.890479952337</v>
      </c>
      <c r="M43" s="130">
        <v>15553.151571452261</v>
      </c>
      <c r="N43" s="130">
        <v>14415.480864600642</v>
      </c>
      <c r="O43" s="130">
        <v>11520.378100646558</v>
      </c>
      <c r="P43" s="131"/>
    </row>
    <row r="44" spans="1:16" ht="12.75">
      <c r="A44" s="128">
        <v>1970</v>
      </c>
      <c r="B44" s="130">
        <v>10050.719407710934</v>
      </c>
      <c r="C44" s="130">
        <v>6919.9412015577045</v>
      </c>
      <c r="D44" s="130">
        <v>7533.969152665807</v>
      </c>
      <c r="E44" s="130">
        <v>9478.928020694759</v>
      </c>
      <c r="F44" s="130">
        <v>7053.807662012173</v>
      </c>
      <c r="G44" s="130">
        <v>8714.548260724905</v>
      </c>
      <c r="H44" s="130">
        <v>10755.453040607852</v>
      </c>
      <c r="I44" s="130">
        <v>14363.674472295515</v>
      </c>
      <c r="J44" s="130">
        <v>10190.369628410324</v>
      </c>
      <c r="K44" s="130">
        <v>9160.570757738946</v>
      </c>
      <c r="L44" s="130">
        <v>10133.391372056514</v>
      </c>
      <c r="M44" s="130">
        <v>11835.694470156674</v>
      </c>
      <c r="N44" s="130">
        <v>13325.791187879673</v>
      </c>
      <c r="O44" s="130">
        <v>10260.43043403826</v>
      </c>
      <c r="P44" s="131"/>
    </row>
    <row r="45" spans="1:16" ht="12.75">
      <c r="A45" s="128">
        <v>1971</v>
      </c>
      <c r="B45" s="130">
        <v>10141.833378602403</v>
      </c>
      <c r="C45" s="130">
        <v>7659.578108102378</v>
      </c>
      <c r="D45" s="130">
        <v>7254.661232935879</v>
      </c>
      <c r="E45" s="130">
        <v>8560.691038997076</v>
      </c>
      <c r="F45" s="130">
        <v>6837.864488204508</v>
      </c>
      <c r="G45" s="130">
        <v>10372.67842827148</v>
      </c>
      <c r="H45" s="130">
        <v>16960.264090177134</v>
      </c>
      <c r="I45" s="130">
        <v>16374.002602472348</v>
      </c>
      <c r="J45" s="130">
        <v>13382.265826075654</v>
      </c>
      <c r="K45" s="130">
        <v>13768.093485827947</v>
      </c>
      <c r="L45" s="130">
        <v>12755.140539600996</v>
      </c>
      <c r="M45" s="130">
        <v>15449.239557962117</v>
      </c>
      <c r="N45" s="130">
        <v>16006.937624019818</v>
      </c>
      <c r="O45" s="130">
        <v>13058.339826325282</v>
      </c>
      <c r="P45" s="131"/>
    </row>
    <row r="46" spans="1:16" ht="12.75">
      <c r="A46" s="128">
        <v>1972</v>
      </c>
      <c r="B46" s="130">
        <v>11727.437462007832</v>
      </c>
      <c r="C46" s="130">
        <v>11508.627493694108</v>
      </c>
      <c r="D46" s="130">
        <v>8870.668855149774</v>
      </c>
      <c r="E46" s="130">
        <v>9317.582265951896</v>
      </c>
      <c r="F46" s="130">
        <v>7722.283685220053</v>
      </c>
      <c r="G46" s="130">
        <v>9794.081003361376</v>
      </c>
      <c r="H46" s="130">
        <v>16578.203133323645</v>
      </c>
      <c r="I46" s="130">
        <v>16437.53317535545</v>
      </c>
      <c r="J46" s="130">
        <v>15935.611387659783</v>
      </c>
      <c r="K46" s="130">
        <v>14984.76687988292</v>
      </c>
      <c r="L46" s="130">
        <v>11544.130590163437</v>
      </c>
      <c r="M46" s="130">
        <v>15206.135258517335</v>
      </c>
      <c r="N46" s="130">
        <v>16264.347205521237</v>
      </c>
      <c r="O46" s="130">
        <v>12840.502939533231</v>
      </c>
      <c r="P46" s="131"/>
    </row>
    <row r="47" spans="1:16" ht="12.75">
      <c r="A47" s="128">
        <v>1973</v>
      </c>
      <c r="B47" s="130">
        <v>11892.42770155696</v>
      </c>
      <c r="C47" s="130">
        <v>11551.552903035661</v>
      </c>
      <c r="D47" s="130">
        <v>9113.694572659435</v>
      </c>
      <c r="E47" s="130">
        <v>9507.936370336422</v>
      </c>
      <c r="F47" s="130">
        <v>7219.508378184619</v>
      </c>
      <c r="G47" s="130">
        <v>10738.3247087527</v>
      </c>
      <c r="H47" s="130">
        <v>10897.40827431873</v>
      </c>
      <c r="I47" s="130">
        <v>10186.851022631006</v>
      </c>
      <c r="J47" s="130">
        <v>8872.954513543942</v>
      </c>
      <c r="K47" s="130">
        <v>6870.4042884642395</v>
      </c>
      <c r="L47" s="130">
        <v>7621.9794071474735</v>
      </c>
      <c r="M47" s="130">
        <v>8443.230036630035</v>
      </c>
      <c r="N47" s="130">
        <v>8861.042685994109</v>
      </c>
      <c r="O47" s="130">
        <v>9952.320674287928</v>
      </c>
      <c r="P47" s="131"/>
    </row>
    <row r="48" spans="1:16" ht="12.75">
      <c r="A48" s="128">
        <v>1974</v>
      </c>
      <c r="B48" s="130">
        <v>9499.551936827218</v>
      </c>
      <c r="C48" s="130">
        <v>6854.828848773841</v>
      </c>
      <c r="D48" s="130">
        <v>6901.1696887842145</v>
      </c>
      <c r="E48" s="130">
        <v>8283.403985164756</v>
      </c>
      <c r="F48" s="130">
        <v>7955.697149698551</v>
      </c>
      <c r="G48" s="130">
        <v>13343.694095755895</v>
      </c>
      <c r="H48" s="130">
        <v>17551.600843406195</v>
      </c>
      <c r="I48" s="130">
        <v>16403.82619647355</v>
      </c>
      <c r="J48" s="130">
        <v>14241.753145866152</v>
      </c>
      <c r="K48" s="130">
        <v>14522.300747121448</v>
      </c>
      <c r="L48" s="130">
        <v>14650.017564198528</v>
      </c>
      <c r="M48" s="130">
        <v>14806.026931826522</v>
      </c>
      <c r="N48" s="130">
        <v>16560.932743635207</v>
      </c>
      <c r="O48" s="130">
        <v>13715.010169651217</v>
      </c>
      <c r="P48" s="131"/>
    </row>
    <row r="49" spans="1:16" ht="12.75">
      <c r="A49" s="128">
        <v>1975</v>
      </c>
      <c r="B49" s="130">
        <v>11599.819648178094</v>
      </c>
      <c r="C49" s="130">
        <v>10960.693078118165</v>
      </c>
      <c r="D49" s="130">
        <v>8469.756290850573</v>
      </c>
      <c r="E49" s="130">
        <v>8618.885969784493</v>
      </c>
      <c r="F49" s="130">
        <v>7025.3972007722</v>
      </c>
      <c r="G49" s="130">
        <v>9032.991011955404</v>
      </c>
      <c r="H49" s="130">
        <v>13467.72198022901</v>
      </c>
      <c r="I49" s="130">
        <v>13391.010914295939</v>
      </c>
      <c r="J49" s="130">
        <v>13189.947211568213</v>
      </c>
      <c r="K49" s="130">
        <v>11638.845420817239</v>
      </c>
      <c r="L49" s="130">
        <v>10330.395429620083</v>
      </c>
      <c r="M49" s="130">
        <v>12348.748244796521</v>
      </c>
      <c r="N49" s="130">
        <v>14860.928137651821</v>
      </c>
      <c r="O49" s="130">
        <v>13387.710861265079</v>
      </c>
      <c r="P49" s="131"/>
    </row>
    <row r="50" spans="1:16" ht="12.75">
      <c r="A50" s="128">
        <v>1976</v>
      </c>
      <c r="B50" s="130">
        <v>10132.054488727112</v>
      </c>
      <c r="C50" s="130">
        <v>9126.053124661541</v>
      </c>
      <c r="D50" s="130">
        <v>7877.570926431355</v>
      </c>
      <c r="E50" s="130">
        <v>10236.790687429526</v>
      </c>
      <c r="F50" s="130">
        <v>9903.223304840229</v>
      </c>
      <c r="G50" s="130">
        <v>15145.180036630038</v>
      </c>
      <c r="H50" s="130">
        <v>16872.227327972723</v>
      </c>
      <c r="I50" s="130">
        <v>15405.244810648073</v>
      </c>
      <c r="J50" s="130">
        <v>11448.668102315238</v>
      </c>
      <c r="K50" s="130">
        <v>14730.994957352335</v>
      </c>
      <c r="L50" s="130">
        <v>12618.780365813589</v>
      </c>
      <c r="M50" s="130">
        <v>14862.65356169716</v>
      </c>
      <c r="N50" s="130">
        <v>12596.727125189716</v>
      </c>
      <c r="O50" s="130">
        <v>12431.964080174836</v>
      </c>
      <c r="P50" s="131"/>
    </row>
    <row r="51" spans="1:16" ht="12.75">
      <c r="A51" s="128">
        <v>1977</v>
      </c>
      <c r="B51" s="130">
        <v>12478.113770128099</v>
      </c>
      <c r="C51" s="130">
        <v>11315.218010096925</v>
      </c>
      <c r="D51" s="130">
        <v>12681.416290221994</v>
      </c>
      <c r="E51" s="130">
        <v>9364.072923704618</v>
      </c>
      <c r="F51" s="130">
        <v>7039.58360817942</v>
      </c>
      <c r="G51" s="130">
        <v>9180.680032313998</v>
      </c>
      <c r="H51" s="130">
        <v>7765.070411392406</v>
      </c>
      <c r="I51" s="130">
        <v>9323.087976159626</v>
      </c>
      <c r="J51" s="130">
        <v>5515.5342900361475</v>
      </c>
      <c r="K51" s="130">
        <v>6257.670978114801</v>
      </c>
      <c r="L51" s="130">
        <v>8699.57344957278</v>
      </c>
      <c r="M51" s="130">
        <v>8563.335551886741</v>
      </c>
      <c r="N51" s="130">
        <v>8617.618149089938</v>
      </c>
      <c r="O51" s="130">
        <v>7930.3252348055585</v>
      </c>
      <c r="P51" s="131"/>
    </row>
    <row r="52" spans="1:16" ht="12.75">
      <c r="A52" s="128">
        <v>1978</v>
      </c>
      <c r="B52" s="130">
        <v>8200.519105984138</v>
      </c>
      <c r="C52" s="130">
        <v>7295.4038578406</v>
      </c>
      <c r="D52" s="130">
        <v>6280.190961874165</v>
      </c>
      <c r="E52" s="130">
        <v>7748.555896272589</v>
      </c>
      <c r="F52" s="130">
        <v>7810.156166383718</v>
      </c>
      <c r="G52" s="130">
        <v>9402.735643214304</v>
      </c>
      <c r="H52" s="130">
        <v>12581.312030075187</v>
      </c>
      <c r="I52" s="130">
        <v>9520</v>
      </c>
      <c r="J52" s="130">
        <v>12536.044867643208</v>
      </c>
      <c r="K52" s="130">
        <v>12696.88131858362</v>
      </c>
      <c r="L52" s="130">
        <v>11280.049074975657</v>
      </c>
      <c r="M52" s="130">
        <v>11995.416632239941</v>
      </c>
      <c r="N52" s="130">
        <v>10603.70604053713</v>
      </c>
      <c r="O52" s="130">
        <v>11346.809887678693</v>
      </c>
      <c r="P52" s="131"/>
    </row>
    <row r="53" spans="2:15" ht="12.75">
      <c r="B53" s="1"/>
      <c r="C53" s="1"/>
      <c r="D53" s="1"/>
      <c r="E53" s="1"/>
      <c r="F53" s="1"/>
      <c r="G53" s="1"/>
      <c r="H53" s="1"/>
      <c r="I53" s="1"/>
      <c r="J53" s="1"/>
      <c r="K53" s="1"/>
      <c r="L53" s="1"/>
      <c r="M53" s="1"/>
      <c r="N53" s="1"/>
      <c r="O53" s="1"/>
    </row>
    <row r="54" spans="1:15" ht="12.75">
      <c r="A54" s="36"/>
      <c r="B54" s="36"/>
      <c r="C54" s="36"/>
      <c r="D54" s="36"/>
      <c r="E54" s="36"/>
      <c r="F54" s="36"/>
      <c r="G54" s="36"/>
      <c r="H54" s="36"/>
      <c r="I54" s="36"/>
      <c r="J54" s="36"/>
      <c r="K54" s="36"/>
      <c r="L54" s="36"/>
      <c r="M54" s="36"/>
      <c r="N54" s="36"/>
      <c r="O54" s="36"/>
    </row>
    <row r="55" spans="1:15" ht="12.75">
      <c r="A55" s="12"/>
      <c r="B55" s="12"/>
      <c r="C55" s="12"/>
      <c r="D55" s="12"/>
      <c r="E55" s="12"/>
      <c r="F55" s="12"/>
      <c r="G55" s="12"/>
      <c r="H55" s="12"/>
      <c r="I55" s="12"/>
      <c r="J55" s="12"/>
      <c r="K55" s="12"/>
      <c r="L55" s="12"/>
      <c r="M55" s="12"/>
      <c r="N55" s="12"/>
      <c r="O55" s="12"/>
    </row>
    <row r="56" spans="2:15" ht="12.75">
      <c r="B56" s="1"/>
      <c r="C56" s="1"/>
      <c r="D56" s="1"/>
      <c r="E56" s="1"/>
      <c r="F56" s="1"/>
      <c r="G56" s="1"/>
      <c r="H56" s="1"/>
      <c r="I56" s="1"/>
      <c r="J56" s="1"/>
      <c r="K56" s="1"/>
      <c r="L56" s="1"/>
      <c r="M56" s="1"/>
      <c r="N56" s="1"/>
      <c r="O56" s="1"/>
    </row>
    <row r="57" spans="2:15" ht="12.75">
      <c r="B57" s="1"/>
      <c r="C57" s="1"/>
      <c r="D57" s="1"/>
      <c r="E57" s="1"/>
      <c r="F57" s="1"/>
      <c r="G57" s="1"/>
      <c r="H57" s="1"/>
      <c r="I57" s="1"/>
      <c r="J57" s="1"/>
      <c r="K57" s="1"/>
      <c r="L57" s="1"/>
      <c r="M57" s="1"/>
      <c r="N57" s="1"/>
      <c r="O57" s="1"/>
    </row>
    <row r="58" spans="2:15" ht="12.75">
      <c r="B58" s="1"/>
      <c r="C58" s="1"/>
      <c r="D58" s="1"/>
      <c r="E58" s="1"/>
      <c r="F58" s="1"/>
      <c r="G58" s="1"/>
      <c r="H58" s="1"/>
      <c r="I58" s="1"/>
      <c r="J58" s="1"/>
      <c r="K58" s="1"/>
      <c r="L58" s="1"/>
      <c r="M58" s="1"/>
      <c r="N58" s="1"/>
      <c r="O58" s="1"/>
    </row>
    <row r="59" spans="2:15" ht="12.75">
      <c r="B59" s="1"/>
      <c r="C59" s="1"/>
      <c r="D59" s="1"/>
      <c r="E59" s="1"/>
      <c r="F59" s="1"/>
      <c r="G59" s="1"/>
      <c r="H59" s="1"/>
      <c r="I59" s="1"/>
      <c r="J59" s="1"/>
      <c r="K59" s="1"/>
      <c r="L59" s="1"/>
      <c r="M59" s="1"/>
      <c r="N59" s="1"/>
      <c r="O59" s="1"/>
    </row>
    <row r="60" spans="2:15" ht="12.75">
      <c r="B60" s="1"/>
      <c r="C60" s="1"/>
      <c r="D60" s="1"/>
      <c r="E60" s="1"/>
      <c r="F60" s="1"/>
      <c r="G60" s="1"/>
      <c r="H60" s="1"/>
      <c r="I60" s="1"/>
      <c r="J60" s="1"/>
      <c r="K60" s="1"/>
      <c r="L60" s="1"/>
      <c r="M60" s="1"/>
      <c r="N60" s="1"/>
      <c r="O60" s="1"/>
    </row>
    <row r="61" spans="2:15" ht="12.75">
      <c r="B61" s="1"/>
      <c r="C61" s="1"/>
      <c r="D61" s="1"/>
      <c r="E61" s="1"/>
      <c r="F61" s="1"/>
      <c r="G61" s="1"/>
      <c r="H61" s="1"/>
      <c r="I61" s="1"/>
      <c r="J61" s="1"/>
      <c r="K61" s="1"/>
      <c r="L61" s="1"/>
      <c r="M61" s="1"/>
      <c r="N61" s="1"/>
      <c r="O61" s="1"/>
    </row>
    <row r="62" spans="2:15" ht="12.75">
      <c r="B62" s="1"/>
      <c r="C62" s="1"/>
      <c r="D62" s="1"/>
      <c r="E62" s="1"/>
      <c r="F62" s="1"/>
      <c r="G62" s="1"/>
      <c r="H62" s="1"/>
      <c r="I62" s="1"/>
      <c r="J62" s="1"/>
      <c r="K62" s="1"/>
      <c r="L62" s="1"/>
      <c r="M62" s="1"/>
      <c r="N62" s="1"/>
      <c r="O62" s="1"/>
    </row>
    <row r="63" spans="2:15" ht="12.75">
      <c r="B63" s="1"/>
      <c r="C63" s="1"/>
      <c r="D63" s="1"/>
      <c r="E63" s="1"/>
      <c r="F63" s="1"/>
      <c r="G63" s="1"/>
      <c r="H63" s="1"/>
      <c r="I63" s="1"/>
      <c r="J63" s="1"/>
      <c r="K63" s="1"/>
      <c r="L63" s="1"/>
      <c r="M63" s="1"/>
      <c r="N63" s="1"/>
      <c r="O63" s="1"/>
    </row>
    <row r="64" spans="2:15" ht="12.75">
      <c r="B64" s="1"/>
      <c r="C64" s="1"/>
      <c r="D64" s="1"/>
      <c r="E64" s="1"/>
      <c r="F64" s="1"/>
      <c r="G64" s="1"/>
      <c r="H64" s="1"/>
      <c r="I64" s="1"/>
      <c r="J64" s="1"/>
      <c r="K64" s="1"/>
      <c r="L64" s="1"/>
      <c r="M64" s="1"/>
      <c r="N64" s="1"/>
      <c r="O64" s="1"/>
    </row>
    <row r="65" spans="2:15" ht="12.75">
      <c r="B65" s="1"/>
      <c r="C65" s="1"/>
      <c r="D65" s="1"/>
      <c r="E65" s="1"/>
      <c r="F65" s="1"/>
      <c r="G65" s="1"/>
      <c r="H65" s="1"/>
      <c r="I65" s="1"/>
      <c r="J65" s="1"/>
      <c r="K65" s="1"/>
      <c r="L65" s="1"/>
      <c r="M65" s="1"/>
      <c r="N65" s="1"/>
      <c r="O65" s="1"/>
    </row>
    <row r="66" spans="2:15" ht="12.75">
      <c r="B66" s="1"/>
      <c r="C66" s="1"/>
      <c r="D66" s="1"/>
      <c r="E66" s="1"/>
      <c r="F66" s="1"/>
      <c r="G66" s="1"/>
      <c r="H66" s="1"/>
      <c r="I66" s="1"/>
      <c r="J66" s="1"/>
      <c r="K66" s="1"/>
      <c r="L66" s="1"/>
      <c r="M66" s="1"/>
      <c r="N66" s="1"/>
      <c r="O66" s="1"/>
    </row>
    <row r="67" spans="2:15" ht="12.75">
      <c r="B67" s="1"/>
      <c r="C67" s="1"/>
      <c r="D67" s="1"/>
      <c r="E67" s="1"/>
      <c r="F67" s="1"/>
      <c r="G67" s="1"/>
      <c r="H67" s="1"/>
      <c r="I67" s="1"/>
      <c r="J67" s="1"/>
      <c r="K67" s="1"/>
      <c r="L67" s="1"/>
      <c r="M67" s="1"/>
      <c r="N67" s="1"/>
      <c r="O67" s="1"/>
    </row>
    <row r="68" spans="2:15" ht="12.75">
      <c r="B68" s="1"/>
      <c r="C68" s="1"/>
      <c r="D68" s="1"/>
      <c r="E68" s="1"/>
      <c r="F68" s="1"/>
      <c r="G68" s="1"/>
      <c r="H68" s="1"/>
      <c r="I68" s="1"/>
      <c r="J68" s="1"/>
      <c r="K68" s="1"/>
      <c r="L68" s="1"/>
      <c r="M68" s="1"/>
      <c r="N68" s="1"/>
      <c r="O68" s="1"/>
    </row>
    <row r="69" spans="2:15" ht="12.75">
      <c r="B69" s="1"/>
      <c r="C69" s="1"/>
      <c r="D69" s="1"/>
      <c r="E69" s="1"/>
      <c r="F69" s="1"/>
      <c r="G69" s="1"/>
      <c r="H69" s="1"/>
      <c r="I69" s="1"/>
      <c r="J69" s="1"/>
      <c r="K69" s="1"/>
      <c r="L69" s="1"/>
      <c r="M69" s="1"/>
      <c r="N69" s="1"/>
      <c r="O69" s="1"/>
    </row>
    <row r="70" spans="2:15" ht="12.75">
      <c r="B70" s="1"/>
      <c r="C70" s="1"/>
      <c r="D70" s="1"/>
      <c r="E70" s="1"/>
      <c r="F70" s="1"/>
      <c r="G70" s="1"/>
      <c r="H70" s="1"/>
      <c r="I70" s="1"/>
      <c r="J70" s="1"/>
      <c r="K70" s="1"/>
      <c r="L70" s="1"/>
      <c r="M70" s="1"/>
      <c r="N70" s="1"/>
      <c r="O70" s="1"/>
    </row>
    <row r="71" spans="2:15" ht="12.75">
      <c r="B71" s="1"/>
      <c r="C71" s="1"/>
      <c r="D71" s="1"/>
      <c r="E71" s="1"/>
      <c r="F71" s="1"/>
      <c r="G71" s="1"/>
      <c r="H71" s="1"/>
      <c r="I71" s="1"/>
      <c r="J71" s="1"/>
      <c r="K71" s="1"/>
      <c r="L71" s="1"/>
      <c r="M71" s="1"/>
      <c r="N71" s="1"/>
      <c r="O71" s="1"/>
    </row>
    <row r="72" spans="2:15" ht="12.75">
      <c r="B72" s="1"/>
      <c r="C72" s="1"/>
      <c r="D72" s="1"/>
      <c r="E72" s="1"/>
      <c r="F72" s="1"/>
      <c r="G72" s="1"/>
      <c r="H72" s="1"/>
      <c r="I72" s="1"/>
      <c r="J72" s="1"/>
      <c r="K72" s="1"/>
      <c r="L72" s="1"/>
      <c r="M72" s="1"/>
      <c r="N72" s="1"/>
      <c r="O72" s="1"/>
    </row>
    <row r="73" spans="2:15" ht="12.75">
      <c r="B73" s="1"/>
      <c r="C73" s="1"/>
      <c r="D73" s="1"/>
      <c r="E73" s="1"/>
      <c r="F73" s="1"/>
      <c r="G73" s="1"/>
      <c r="H73" s="1"/>
      <c r="I73" s="1"/>
      <c r="J73" s="1"/>
      <c r="K73" s="1"/>
      <c r="L73" s="1"/>
      <c r="M73" s="1"/>
      <c r="N73" s="1"/>
      <c r="O73" s="1"/>
    </row>
    <row r="74" spans="2:15" ht="12.75">
      <c r="B74" s="1"/>
      <c r="C74" s="1"/>
      <c r="D74" s="1"/>
      <c r="E74" s="1"/>
      <c r="F74" s="1"/>
      <c r="G74" s="1"/>
      <c r="H74" s="1"/>
      <c r="I74" s="1"/>
      <c r="J74" s="1"/>
      <c r="K74" s="1"/>
      <c r="L74" s="1"/>
      <c r="M74" s="1"/>
      <c r="N74" s="1"/>
      <c r="O74" s="1"/>
    </row>
    <row r="75" spans="2:15" ht="12.75">
      <c r="B75" s="1"/>
      <c r="C75" s="1"/>
      <c r="D75" s="1"/>
      <c r="E75" s="1"/>
      <c r="F75" s="1"/>
      <c r="G75" s="1"/>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
      <c r="E77" s="1"/>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row r="86" spans="2:15" ht="12.75">
      <c r="B86" s="1"/>
      <c r="C86" s="1"/>
      <c r="D86" s="1"/>
      <c r="E86" s="1"/>
      <c r="F86" s="1"/>
      <c r="G86" s="1"/>
      <c r="H86" s="1"/>
      <c r="I86" s="1"/>
      <c r="J86" s="1"/>
      <c r="K86" s="1"/>
      <c r="L86" s="1"/>
      <c r="M86" s="1"/>
      <c r="N86" s="1"/>
      <c r="O86" s="1"/>
    </row>
    <row r="87" spans="2:15" ht="12.75">
      <c r="B87" s="1"/>
      <c r="C87" s="1"/>
      <c r="D87" s="1"/>
      <c r="E87" s="1"/>
      <c r="F87" s="1"/>
      <c r="G87" s="1"/>
      <c r="H87" s="1"/>
      <c r="I87" s="1"/>
      <c r="J87" s="1"/>
      <c r="K87" s="1"/>
      <c r="L87" s="1"/>
      <c r="M87" s="1"/>
      <c r="N87" s="1"/>
      <c r="O87" s="1"/>
    </row>
    <row r="88" spans="2:15" ht="12.75">
      <c r="B88" s="1"/>
      <c r="C88" s="1"/>
      <c r="D88" s="1"/>
      <c r="E88" s="1"/>
      <c r="F88" s="1"/>
      <c r="G88" s="1"/>
      <c r="H88" s="1"/>
      <c r="I88" s="1"/>
      <c r="J88" s="1"/>
      <c r="K88" s="1"/>
      <c r="L88" s="1"/>
      <c r="M88" s="1"/>
      <c r="N88" s="1"/>
      <c r="O88" s="1"/>
    </row>
    <row r="89" spans="2:15" ht="12.75">
      <c r="B89" s="1"/>
      <c r="C89" s="1"/>
      <c r="D89" s="1"/>
      <c r="E89" s="1"/>
      <c r="F89" s="1"/>
      <c r="G89" s="1"/>
      <c r="H89" s="1"/>
      <c r="I89" s="1"/>
      <c r="J89" s="1"/>
      <c r="K89" s="1"/>
      <c r="L89" s="1"/>
      <c r="M89" s="1"/>
      <c r="N89" s="1"/>
      <c r="O89" s="1"/>
    </row>
    <row r="90" spans="2:15" ht="12.75">
      <c r="B90" s="1"/>
      <c r="C90" s="1"/>
      <c r="D90" s="1"/>
      <c r="E90" s="1"/>
      <c r="F90" s="1"/>
      <c r="G90" s="1"/>
      <c r="H90" s="1"/>
      <c r="I90" s="1"/>
      <c r="J90" s="1"/>
      <c r="K90" s="1"/>
      <c r="L90" s="1"/>
      <c r="M90" s="1"/>
      <c r="N90" s="1"/>
      <c r="O90" s="1"/>
    </row>
    <row r="91" spans="2:15" ht="12.75">
      <c r="B91" s="1"/>
      <c r="C91" s="1"/>
      <c r="D91" s="1"/>
      <c r="E91" s="1"/>
      <c r="F91" s="1"/>
      <c r="G91" s="1"/>
      <c r="H91" s="1"/>
      <c r="I91" s="1"/>
      <c r="J91" s="1"/>
      <c r="K91" s="1"/>
      <c r="L91" s="1"/>
      <c r="M91" s="1"/>
      <c r="N91" s="1"/>
      <c r="O91" s="1"/>
    </row>
    <row r="92" spans="2:15" ht="12.75">
      <c r="B92" s="1"/>
      <c r="C92" s="1"/>
      <c r="D92" s="1"/>
      <c r="E92" s="1"/>
      <c r="F92" s="1"/>
      <c r="G92" s="1"/>
      <c r="H92" s="1"/>
      <c r="I92" s="1"/>
      <c r="J92" s="1"/>
      <c r="K92" s="1"/>
      <c r="L92" s="1"/>
      <c r="M92" s="1"/>
      <c r="N92" s="1"/>
      <c r="O92" s="1"/>
    </row>
    <row r="93" spans="2:15" ht="12.75">
      <c r="B93" s="1"/>
      <c r="C93" s="1"/>
      <c r="D93" s="1"/>
      <c r="E93" s="1"/>
      <c r="F93" s="1"/>
      <c r="G93" s="1"/>
      <c r="H93" s="1"/>
      <c r="I93" s="1"/>
      <c r="J93" s="1"/>
      <c r="K93" s="1"/>
      <c r="L93" s="1"/>
      <c r="M93" s="1"/>
      <c r="N93" s="1"/>
      <c r="O93" s="1"/>
    </row>
    <row r="94" spans="2:15" ht="12.75">
      <c r="B94" s="1"/>
      <c r="C94" s="1"/>
      <c r="D94" s="1"/>
      <c r="E94" s="1"/>
      <c r="F94" s="1"/>
      <c r="G94" s="1"/>
      <c r="H94" s="1"/>
      <c r="I94" s="1"/>
      <c r="J94" s="1"/>
      <c r="K94" s="1"/>
      <c r="L94" s="1"/>
      <c r="M94" s="1"/>
      <c r="N94" s="1"/>
      <c r="O94" s="1"/>
    </row>
    <row r="95" spans="2:15" ht="12.75">
      <c r="B95" s="1"/>
      <c r="C95" s="1"/>
      <c r="D95" s="1"/>
      <c r="E95" s="1"/>
      <c r="F95" s="1"/>
      <c r="G95" s="1"/>
      <c r="H95" s="1"/>
      <c r="I95" s="1"/>
      <c r="J95" s="1"/>
      <c r="K95" s="1"/>
      <c r="L95" s="1"/>
      <c r="M95" s="1"/>
      <c r="N95" s="1"/>
      <c r="O95" s="1"/>
    </row>
    <row r="96" spans="2:15" ht="12.75">
      <c r="B96" s="1"/>
      <c r="C96" s="1"/>
      <c r="D96" s="1"/>
      <c r="E96" s="1"/>
      <c r="F96" s="1"/>
      <c r="G96" s="1"/>
      <c r="H96" s="1"/>
      <c r="I96" s="1"/>
      <c r="J96" s="1"/>
      <c r="K96" s="1"/>
      <c r="L96" s="1"/>
      <c r="M96" s="1"/>
      <c r="N96" s="1"/>
      <c r="O96" s="1"/>
    </row>
    <row r="97" spans="2:15" ht="12.75">
      <c r="B97" s="1"/>
      <c r="C97" s="1"/>
      <c r="D97" s="1"/>
      <c r="E97" s="1"/>
      <c r="F97" s="1"/>
      <c r="G97" s="1"/>
      <c r="H97" s="1"/>
      <c r="I97" s="1"/>
      <c r="J97" s="1"/>
      <c r="K97" s="1"/>
      <c r="L97" s="1"/>
      <c r="M97" s="1"/>
      <c r="N97" s="1"/>
      <c r="O97" s="1"/>
    </row>
    <row r="98" spans="2:15" ht="12.75">
      <c r="B98" s="1"/>
      <c r="C98" s="1"/>
      <c r="D98" s="1"/>
      <c r="E98" s="1"/>
      <c r="F98" s="1"/>
      <c r="G98" s="1"/>
      <c r="H98" s="1"/>
      <c r="I98" s="1"/>
      <c r="J98" s="1"/>
      <c r="K98" s="1"/>
      <c r="L98" s="1"/>
      <c r="M98" s="1"/>
      <c r="N98" s="1"/>
      <c r="O98" s="1"/>
    </row>
    <row r="99" spans="2:15" ht="12.75">
      <c r="B99" s="1"/>
      <c r="C99" s="1"/>
      <c r="D99" s="1"/>
      <c r="E99" s="1"/>
      <c r="F99" s="1"/>
      <c r="G99" s="1"/>
      <c r="H99" s="1"/>
      <c r="I99" s="1"/>
      <c r="J99" s="1"/>
      <c r="K99" s="1"/>
      <c r="L99" s="1"/>
      <c r="M99" s="1"/>
      <c r="N99" s="1"/>
      <c r="O99" s="1"/>
    </row>
    <row r="100" spans="2:15" ht="12.75">
      <c r="B100" s="1"/>
      <c r="C100" s="1"/>
      <c r="D100" s="1"/>
      <c r="E100" s="1"/>
      <c r="F100" s="1"/>
      <c r="G100" s="1"/>
      <c r="H100" s="1"/>
      <c r="I100" s="1"/>
      <c r="J100" s="1"/>
      <c r="K100" s="1"/>
      <c r="L100" s="1"/>
      <c r="M100" s="1"/>
      <c r="N100" s="1"/>
      <c r="O100" s="1"/>
    </row>
    <row r="101" spans="2:15" ht="12.75">
      <c r="B101" s="1"/>
      <c r="C101" s="1"/>
      <c r="D101" s="1"/>
      <c r="E101" s="1"/>
      <c r="F101" s="1"/>
      <c r="G101" s="1"/>
      <c r="H101" s="1"/>
      <c r="I101" s="1"/>
      <c r="J101" s="1"/>
      <c r="K101" s="1"/>
      <c r="L101" s="1"/>
      <c r="M101" s="1"/>
      <c r="N101" s="1"/>
      <c r="O101" s="1"/>
    </row>
    <row r="102" spans="2:15" ht="12.75">
      <c r="B102" s="1"/>
      <c r="C102" s="1"/>
      <c r="D102" s="1"/>
      <c r="E102" s="1"/>
      <c r="F102" s="1"/>
      <c r="G102" s="1"/>
      <c r="H102" s="1"/>
      <c r="I102" s="1"/>
      <c r="J102" s="1"/>
      <c r="K102" s="1"/>
      <c r="L102" s="1"/>
      <c r="M102" s="1"/>
      <c r="N102" s="1"/>
      <c r="O102" s="1"/>
    </row>
    <row r="103" spans="2:15" ht="12.75">
      <c r="B103" s="1"/>
      <c r="C103" s="1"/>
      <c r="D103" s="1"/>
      <c r="E103" s="1"/>
      <c r="F103" s="1"/>
      <c r="G103" s="1"/>
      <c r="H103" s="1"/>
      <c r="I103" s="1"/>
      <c r="J103" s="1"/>
      <c r="K103" s="1"/>
      <c r="L103" s="1"/>
      <c r="M103" s="1"/>
      <c r="N103" s="1"/>
      <c r="O103" s="1"/>
    </row>
    <row r="104" spans="2:15" ht="12.75">
      <c r="B104" s="1"/>
      <c r="C104" s="1"/>
      <c r="D104" s="1"/>
      <c r="E104" s="1"/>
      <c r="F104" s="1"/>
      <c r="G104" s="1"/>
      <c r="H104" s="1"/>
      <c r="I104" s="1"/>
      <c r="J104" s="1"/>
      <c r="K104" s="1"/>
      <c r="L104" s="1"/>
      <c r="M104" s="1"/>
      <c r="N104" s="1"/>
      <c r="O104" s="1"/>
    </row>
    <row r="105" spans="2:15" ht="12.75">
      <c r="B105" s="1"/>
      <c r="C105" s="1"/>
      <c r="D105" s="1"/>
      <c r="E105" s="1"/>
      <c r="F105" s="1"/>
      <c r="G105" s="1"/>
      <c r="H105" s="1"/>
      <c r="I105" s="1"/>
      <c r="J105" s="1"/>
      <c r="K105" s="1"/>
      <c r="L105" s="1"/>
      <c r="M105" s="1"/>
      <c r="N105" s="1"/>
      <c r="O105" s="1"/>
    </row>
    <row r="106" spans="2:19" ht="12.75">
      <c r="B106" s="1"/>
      <c r="C106" s="1"/>
      <c r="D106" s="1"/>
      <c r="E106" s="1"/>
      <c r="F106" s="1"/>
      <c r="G106" s="1"/>
      <c r="H106" s="1"/>
      <c r="I106" s="1"/>
      <c r="J106" s="1"/>
      <c r="K106" s="1"/>
      <c r="L106" s="1"/>
      <c r="M106" s="1"/>
      <c r="N106" s="1"/>
      <c r="O106" s="1"/>
      <c r="P106" s="1"/>
      <c r="Q106" s="1"/>
      <c r="R106" s="1"/>
      <c r="S106" s="1"/>
    </row>
    <row r="107" spans="2:15" ht="12.75">
      <c r="B107" s="1"/>
      <c r="C107" s="1"/>
      <c r="D107" s="1"/>
      <c r="E107" s="1"/>
      <c r="F107" s="1"/>
      <c r="G107" s="1"/>
      <c r="H107" s="1"/>
      <c r="I107" s="1"/>
      <c r="J107" s="1"/>
      <c r="K107" s="1"/>
      <c r="L107" s="1"/>
      <c r="M107" s="1"/>
      <c r="N107" s="1"/>
      <c r="O107" s="1"/>
    </row>
    <row r="108" spans="1:17" ht="12.75">
      <c r="A108" s="36"/>
      <c r="B108" s="229"/>
      <c r="C108" s="229"/>
      <c r="D108" s="229"/>
      <c r="E108" s="229"/>
      <c r="F108" s="229"/>
      <c r="G108" s="229"/>
      <c r="H108" s="229"/>
      <c r="I108" s="229"/>
      <c r="J108" s="229"/>
      <c r="K108" s="229"/>
      <c r="L108" s="229"/>
      <c r="M108" s="229"/>
      <c r="N108" s="229"/>
      <c r="O108" s="229"/>
      <c r="Q108" s="1"/>
    </row>
    <row r="109" spans="1:15" ht="12.75">
      <c r="A109" s="12"/>
      <c r="B109" s="101"/>
      <c r="C109" s="101"/>
      <c r="D109" s="101"/>
      <c r="E109" s="101"/>
      <c r="F109" s="101"/>
      <c r="G109" s="101"/>
      <c r="H109" s="101"/>
      <c r="I109" s="101"/>
      <c r="J109" s="101"/>
      <c r="K109" s="101"/>
      <c r="L109" s="101"/>
      <c r="M109" s="101"/>
      <c r="N109" s="101"/>
      <c r="O109" s="101"/>
    </row>
    <row r="110" spans="2:24" ht="12.75">
      <c r="B110" s="72"/>
      <c r="C110" s="72"/>
      <c r="D110" s="72"/>
      <c r="E110" s="72"/>
      <c r="F110" s="72"/>
      <c r="G110" s="72"/>
      <c r="H110" s="72"/>
      <c r="I110" s="72"/>
      <c r="J110" s="72"/>
      <c r="K110" s="72"/>
      <c r="L110" s="72"/>
      <c r="M110" s="72"/>
      <c r="N110" s="72"/>
      <c r="O110" s="72"/>
      <c r="Q110" s="1"/>
      <c r="R110" s="1"/>
      <c r="S110" s="1"/>
      <c r="T110" s="1"/>
      <c r="U110" s="1"/>
      <c r="V110" s="1"/>
      <c r="W110" s="1"/>
      <c r="X110" s="1"/>
    </row>
    <row r="111" spans="2:24" ht="12.75">
      <c r="B111" s="72"/>
      <c r="C111" s="72"/>
      <c r="D111" s="72"/>
      <c r="E111" s="72"/>
      <c r="F111" s="72"/>
      <c r="G111" s="72"/>
      <c r="H111" s="72"/>
      <c r="I111" s="72"/>
      <c r="J111" s="72"/>
      <c r="K111" s="72"/>
      <c r="L111" s="72"/>
      <c r="M111" s="72"/>
      <c r="N111" s="72"/>
      <c r="O111" s="72"/>
      <c r="Q111" s="1"/>
      <c r="R111" s="1"/>
      <c r="S111" s="1"/>
      <c r="T111" s="1"/>
      <c r="U111" s="1"/>
      <c r="V111" s="1"/>
      <c r="W111" s="1"/>
      <c r="X111" s="1"/>
    </row>
    <row r="112" spans="2:24" ht="12.75">
      <c r="B112" s="72"/>
      <c r="C112" s="72"/>
      <c r="D112" s="72"/>
      <c r="E112" s="72"/>
      <c r="F112" s="72"/>
      <c r="G112" s="72"/>
      <c r="H112" s="72"/>
      <c r="I112" s="72"/>
      <c r="J112" s="72"/>
      <c r="K112" s="72"/>
      <c r="L112" s="72"/>
      <c r="M112" s="72"/>
      <c r="N112" s="72"/>
      <c r="O112" s="72"/>
      <c r="Q112" s="1"/>
      <c r="R112" s="1"/>
      <c r="S112" s="1"/>
      <c r="T112" s="1"/>
      <c r="U112" s="1"/>
      <c r="V112" s="1"/>
      <c r="W112" s="1"/>
      <c r="X112" s="1"/>
    </row>
    <row r="113" spans="2:24" ht="12.75">
      <c r="B113" s="72"/>
      <c r="C113" s="72"/>
      <c r="D113" s="72"/>
      <c r="E113" s="72"/>
      <c r="F113" s="72"/>
      <c r="G113" s="72"/>
      <c r="H113" s="72"/>
      <c r="I113" s="72"/>
      <c r="J113" s="72"/>
      <c r="K113" s="72"/>
      <c r="L113" s="72"/>
      <c r="M113" s="72"/>
      <c r="N113" s="72"/>
      <c r="O113" s="72"/>
      <c r="Q113" s="1"/>
      <c r="R113" s="1"/>
      <c r="S113" s="1"/>
      <c r="T113" s="1"/>
      <c r="U113" s="1"/>
      <c r="V113" s="1"/>
      <c r="W113" s="1"/>
      <c r="X113" s="1"/>
    </row>
    <row r="114" spans="2:24" ht="12.75">
      <c r="B114" s="72"/>
      <c r="C114" s="72"/>
      <c r="D114" s="72"/>
      <c r="E114" s="72"/>
      <c r="F114" s="72"/>
      <c r="G114" s="72"/>
      <c r="H114" s="72"/>
      <c r="I114" s="72"/>
      <c r="J114" s="72"/>
      <c r="K114" s="72"/>
      <c r="L114" s="72"/>
      <c r="M114" s="72"/>
      <c r="N114" s="72"/>
      <c r="O114" s="72"/>
      <c r="Q114" s="1"/>
      <c r="R114" s="1"/>
      <c r="S114" s="1"/>
      <c r="T114" s="1"/>
      <c r="U114" s="1"/>
      <c r="V114" s="1"/>
      <c r="W114" s="1"/>
      <c r="X114" s="1"/>
    </row>
    <row r="115" spans="2:24" ht="12.75">
      <c r="B115" s="72"/>
      <c r="C115" s="72"/>
      <c r="D115" s="72"/>
      <c r="E115" s="72"/>
      <c r="F115" s="72"/>
      <c r="G115" s="72"/>
      <c r="H115" s="72"/>
      <c r="I115" s="72"/>
      <c r="J115" s="72"/>
      <c r="K115" s="72"/>
      <c r="L115" s="72"/>
      <c r="M115" s="72"/>
      <c r="N115" s="72"/>
      <c r="O115" s="72"/>
      <c r="Q115" s="1"/>
      <c r="R115" s="1"/>
      <c r="S115" s="1"/>
      <c r="T115" s="1"/>
      <c r="U115" s="1"/>
      <c r="V115" s="1"/>
      <c r="W115" s="1"/>
      <c r="X115" s="1"/>
    </row>
    <row r="116" spans="2:24" ht="12.75">
      <c r="B116" s="72"/>
      <c r="C116" s="72"/>
      <c r="D116" s="72"/>
      <c r="E116" s="72"/>
      <c r="F116" s="72"/>
      <c r="G116" s="72"/>
      <c r="H116" s="72"/>
      <c r="I116" s="72"/>
      <c r="J116" s="72"/>
      <c r="K116" s="72"/>
      <c r="L116" s="72"/>
      <c r="M116" s="72"/>
      <c r="N116" s="72"/>
      <c r="O116" s="72"/>
      <c r="Q116" s="1"/>
      <c r="R116" s="1"/>
      <c r="S116" s="1"/>
      <c r="T116" s="1"/>
      <c r="U116" s="1"/>
      <c r="V116" s="1"/>
      <c r="W116" s="1"/>
      <c r="X116" s="1"/>
    </row>
    <row r="117" spans="2:24" ht="12.75">
      <c r="B117" s="72"/>
      <c r="C117" s="72"/>
      <c r="D117" s="72"/>
      <c r="E117" s="72"/>
      <c r="F117" s="72"/>
      <c r="G117" s="72"/>
      <c r="H117" s="72"/>
      <c r="I117" s="72"/>
      <c r="J117" s="72"/>
      <c r="K117" s="72"/>
      <c r="L117" s="72"/>
      <c r="M117" s="72"/>
      <c r="N117" s="72"/>
      <c r="O117" s="72"/>
      <c r="Q117" s="1"/>
      <c r="R117" s="1"/>
      <c r="S117" s="1"/>
      <c r="T117" s="1"/>
      <c r="U117" s="1"/>
      <c r="V117" s="1"/>
      <c r="W117" s="1"/>
      <c r="X117" s="1"/>
    </row>
    <row r="118" spans="2:24" ht="12.75">
      <c r="B118" s="72"/>
      <c r="C118" s="72"/>
      <c r="D118" s="72"/>
      <c r="E118" s="72"/>
      <c r="F118" s="72"/>
      <c r="G118" s="72"/>
      <c r="H118" s="72"/>
      <c r="I118" s="72"/>
      <c r="J118" s="72"/>
      <c r="K118" s="72"/>
      <c r="L118" s="72"/>
      <c r="M118" s="72"/>
      <c r="N118" s="72"/>
      <c r="O118" s="72"/>
      <c r="Q118" s="1"/>
      <c r="R118" s="1"/>
      <c r="S118" s="1"/>
      <c r="T118" s="1"/>
      <c r="U118" s="1"/>
      <c r="V118" s="1"/>
      <c r="W118" s="1"/>
      <c r="X118" s="1"/>
    </row>
    <row r="119" spans="2:24" ht="12.75">
      <c r="B119" s="72"/>
      <c r="C119" s="72"/>
      <c r="D119" s="72"/>
      <c r="E119" s="72"/>
      <c r="F119" s="72"/>
      <c r="G119" s="72"/>
      <c r="H119" s="72"/>
      <c r="I119" s="72"/>
      <c r="J119" s="72"/>
      <c r="K119" s="72"/>
      <c r="L119" s="72"/>
      <c r="M119" s="72"/>
      <c r="N119" s="72"/>
      <c r="O119" s="72"/>
      <c r="Q119" s="1"/>
      <c r="R119" s="1"/>
      <c r="S119" s="1"/>
      <c r="T119" s="1"/>
      <c r="U119" s="1"/>
      <c r="V119" s="1"/>
      <c r="W119" s="1"/>
      <c r="X119" s="1"/>
    </row>
    <row r="120" spans="2:24" ht="12.75">
      <c r="B120" s="72"/>
      <c r="C120" s="72"/>
      <c r="D120" s="72"/>
      <c r="E120" s="72"/>
      <c r="F120" s="72"/>
      <c r="G120" s="72"/>
      <c r="H120" s="72"/>
      <c r="I120" s="72"/>
      <c r="J120" s="72"/>
      <c r="K120" s="72"/>
      <c r="L120" s="72"/>
      <c r="M120" s="72"/>
      <c r="N120" s="72"/>
      <c r="O120" s="72"/>
      <c r="Q120" s="1"/>
      <c r="R120" s="1"/>
      <c r="S120" s="1"/>
      <c r="T120" s="1"/>
      <c r="U120" s="1"/>
      <c r="V120" s="1"/>
      <c r="W120" s="1"/>
      <c r="X120" s="1"/>
    </row>
    <row r="121" spans="2:24" ht="12.75">
      <c r="B121" s="72"/>
      <c r="C121" s="72"/>
      <c r="D121" s="72"/>
      <c r="E121" s="72"/>
      <c r="F121" s="72"/>
      <c r="G121" s="72"/>
      <c r="H121" s="72"/>
      <c r="I121" s="72"/>
      <c r="J121" s="72"/>
      <c r="K121" s="72"/>
      <c r="L121" s="72"/>
      <c r="M121" s="72"/>
      <c r="N121" s="72"/>
      <c r="O121" s="72"/>
      <c r="Q121" s="1"/>
      <c r="R121" s="1"/>
      <c r="S121" s="1"/>
      <c r="T121" s="1"/>
      <c r="U121" s="1"/>
      <c r="V121" s="1"/>
      <c r="W121" s="1"/>
      <c r="X121" s="1"/>
    </row>
    <row r="122" spans="2:24" ht="12.75">
      <c r="B122" s="72"/>
      <c r="C122" s="72"/>
      <c r="D122" s="72"/>
      <c r="E122" s="72"/>
      <c r="F122" s="72"/>
      <c r="G122" s="72"/>
      <c r="H122" s="72"/>
      <c r="I122" s="72"/>
      <c r="J122" s="72"/>
      <c r="K122" s="72"/>
      <c r="L122" s="72"/>
      <c r="M122" s="72"/>
      <c r="N122" s="72"/>
      <c r="O122" s="72"/>
      <c r="Q122" s="1"/>
      <c r="R122" s="1"/>
      <c r="S122" s="1"/>
      <c r="T122" s="1"/>
      <c r="U122" s="1"/>
      <c r="V122" s="1"/>
      <c r="W122" s="1"/>
      <c r="X122" s="1"/>
    </row>
    <row r="123" spans="2:24" ht="12.75">
      <c r="B123" s="72"/>
      <c r="C123" s="72"/>
      <c r="D123" s="72"/>
      <c r="E123" s="72"/>
      <c r="F123" s="72"/>
      <c r="G123" s="72"/>
      <c r="H123" s="72"/>
      <c r="I123" s="72"/>
      <c r="J123" s="72"/>
      <c r="K123" s="72"/>
      <c r="L123" s="72"/>
      <c r="M123" s="72"/>
      <c r="N123" s="72"/>
      <c r="O123" s="72"/>
      <c r="Q123" s="1"/>
      <c r="R123" s="1"/>
      <c r="S123" s="1"/>
      <c r="T123" s="1"/>
      <c r="U123" s="1"/>
      <c r="V123" s="1"/>
      <c r="W123" s="1"/>
      <c r="X123" s="1"/>
    </row>
    <row r="124" spans="2:24" ht="12.75">
      <c r="B124" s="72"/>
      <c r="C124" s="72"/>
      <c r="D124" s="72"/>
      <c r="E124" s="72"/>
      <c r="F124" s="72"/>
      <c r="G124" s="72"/>
      <c r="H124" s="72"/>
      <c r="I124" s="72"/>
      <c r="J124" s="72"/>
      <c r="K124" s="72"/>
      <c r="L124" s="72"/>
      <c r="M124" s="72"/>
      <c r="N124" s="72"/>
      <c r="O124" s="72"/>
      <c r="Q124" s="1"/>
      <c r="R124" s="1"/>
      <c r="S124" s="1"/>
      <c r="T124" s="1"/>
      <c r="U124" s="1"/>
      <c r="V124" s="1"/>
      <c r="W124" s="1"/>
      <c r="X124" s="1"/>
    </row>
    <row r="125" spans="2:24" ht="12.75">
      <c r="B125" s="72"/>
      <c r="C125" s="72"/>
      <c r="D125" s="72"/>
      <c r="E125" s="72"/>
      <c r="F125" s="72"/>
      <c r="G125" s="72"/>
      <c r="H125" s="72"/>
      <c r="I125" s="72"/>
      <c r="J125" s="72"/>
      <c r="K125" s="72"/>
      <c r="L125" s="72"/>
      <c r="M125" s="72"/>
      <c r="N125" s="72"/>
      <c r="O125" s="72"/>
      <c r="Q125" s="1"/>
      <c r="R125" s="1"/>
      <c r="S125" s="1"/>
      <c r="T125" s="1"/>
      <c r="U125" s="1"/>
      <c r="V125" s="1"/>
      <c r="W125" s="1"/>
      <c r="X125" s="1"/>
    </row>
    <row r="126" spans="2:24" ht="12.75">
      <c r="B126" s="72"/>
      <c r="C126" s="72"/>
      <c r="D126" s="72"/>
      <c r="E126" s="72"/>
      <c r="F126" s="72"/>
      <c r="G126" s="72"/>
      <c r="H126" s="72"/>
      <c r="I126" s="72"/>
      <c r="J126" s="72"/>
      <c r="K126" s="72"/>
      <c r="L126" s="72"/>
      <c r="M126" s="72"/>
      <c r="N126" s="72"/>
      <c r="O126" s="72"/>
      <c r="Q126" s="1"/>
      <c r="R126" s="1"/>
      <c r="S126" s="1"/>
      <c r="T126" s="1"/>
      <c r="U126" s="1"/>
      <c r="V126" s="1"/>
      <c r="W126" s="1"/>
      <c r="X126" s="1"/>
    </row>
    <row r="127" spans="2:24" ht="12.75">
      <c r="B127" s="72"/>
      <c r="C127" s="72"/>
      <c r="D127" s="72"/>
      <c r="E127" s="72"/>
      <c r="F127" s="72"/>
      <c r="G127" s="72"/>
      <c r="H127" s="72"/>
      <c r="I127" s="72"/>
      <c r="J127" s="72"/>
      <c r="K127" s="72"/>
      <c r="L127" s="72"/>
      <c r="M127" s="72"/>
      <c r="N127" s="72"/>
      <c r="O127" s="72"/>
      <c r="Q127" s="1"/>
      <c r="R127" s="1"/>
      <c r="S127" s="1"/>
      <c r="T127" s="1"/>
      <c r="U127" s="1"/>
      <c r="V127" s="1"/>
      <c r="W127" s="1"/>
      <c r="X127" s="1"/>
    </row>
    <row r="128" spans="2:24" ht="12.75">
      <c r="B128" s="72"/>
      <c r="C128" s="72"/>
      <c r="D128" s="72"/>
      <c r="E128" s="72"/>
      <c r="F128" s="72"/>
      <c r="G128" s="72"/>
      <c r="H128" s="72"/>
      <c r="I128" s="72"/>
      <c r="J128" s="72"/>
      <c r="K128" s="72"/>
      <c r="L128" s="72"/>
      <c r="M128" s="72"/>
      <c r="N128" s="72"/>
      <c r="O128" s="72"/>
      <c r="Q128" s="1"/>
      <c r="R128" s="1"/>
      <c r="S128" s="1"/>
      <c r="T128" s="1"/>
      <c r="U128" s="1"/>
      <c r="V128" s="1"/>
      <c r="W128" s="1"/>
      <c r="X128" s="1"/>
    </row>
    <row r="129" spans="2:24" ht="12.75">
      <c r="B129" s="72"/>
      <c r="C129" s="72"/>
      <c r="D129" s="72"/>
      <c r="E129" s="72"/>
      <c r="F129" s="72"/>
      <c r="G129" s="72"/>
      <c r="H129" s="72"/>
      <c r="I129" s="72"/>
      <c r="J129" s="72"/>
      <c r="K129" s="72"/>
      <c r="L129" s="72"/>
      <c r="M129" s="72"/>
      <c r="N129" s="72"/>
      <c r="O129" s="72"/>
      <c r="Q129" s="1"/>
      <c r="R129" s="1"/>
      <c r="S129" s="1"/>
      <c r="T129" s="1"/>
      <c r="U129" s="1"/>
      <c r="V129" s="1"/>
      <c r="W129" s="1"/>
      <c r="X129" s="1"/>
    </row>
    <row r="130" spans="2:24" ht="12.75">
      <c r="B130" s="72"/>
      <c r="C130" s="72"/>
      <c r="D130" s="72"/>
      <c r="E130" s="72"/>
      <c r="F130" s="72"/>
      <c r="G130" s="72"/>
      <c r="H130" s="72"/>
      <c r="I130" s="72"/>
      <c r="J130" s="72"/>
      <c r="K130" s="72"/>
      <c r="L130" s="72"/>
      <c r="M130" s="72"/>
      <c r="N130" s="72"/>
      <c r="O130" s="72"/>
      <c r="Q130" s="1"/>
      <c r="R130" s="1"/>
      <c r="S130" s="1"/>
      <c r="T130" s="1"/>
      <c r="U130" s="1"/>
      <c r="V130" s="1"/>
      <c r="W130" s="1"/>
      <c r="X130" s="1"/>
    </row>
    <row r="131" spans="2:24" ht="12.75">
      <c r="B131" s="72"/>
      <c r="C131" s="72"/>
      <c r="D131" s="72"/>
      <c r="E131" s="72"/>
      <c r="F131" s="72"/>
      <c r="G131" s="72"/>
      <c r="H131" s="72"/>
      <c r="I131" s="72"/>
      <c r="J131" s="72"/>
      <c r="K131" s="72"/>
      <c r="L131" s="72"/>
      <c r="M131" s="72"/>
      <c r="N131" s="72"/>
      <c r="O131" s="72"/>
      <c r="Q131" s="1"/>
      <c r="R131" s="1"/>
      <c r="S131" s="1"/>
      <c r="T131" s="1"/>
      <c r="U131" s="1"/>
      <c r="V131" s="1"/>
      <c r="W131" s="1"/>
      <c r="X131" s="1"/>
    </row>
    <row r="132" spans="2:24" ht="12.75">
      <c r="B132" s="72"/>
      <c r="C132" s="72"/>
      <c r="D132" s="72"/>
      <c r="E132" s="72"/>
      <c r="F132" s="72"/>
      <c r="G132" s="72"/>
      <c r="H132" s="72"/>
      <c r="I132" s="72"/>
      <c r="J132" s="72"/>
      <c r="K132" s="72"/>
      <c r="L132" s="72"/>
      <c r="M132" s="72"/>
      <c r="N132" s="72"/>
      <c r="O132" s="72"/>
      <c r="Q132" s="1"/>
      <c r="R132" s="1"/>
      <c r="S132" s="1"/>
      <c r="T132" s="1"/>
      <c r="U132" s="1"/>
      <c r="V132" s="1"/>
      <c r="W132" s="1"/>
      <c r="X132" s="1"/>
    </row>
    <row r="133" spans="2:24" ht="12.75">
      <c r="B133" s="72"/>
      <c r="C133" s="72"/>
      <c r="D133" s="72"/>
      <c r="E133" s="72"/>
      <c r="F133" s="72"/>
      <c r="G133" s="72"/>
      <c r="H133" s="72"/>
      <c r="I133" s="72"/>
      <c r="J133" s="72"/>
      <c r="K133" s="72"/>
      <c r="L133" s="72"/>
      <c r="M133" s="72"/>
      <c r="N133" s="72"/>
      <c r="O133" s="72"/>
      <c r="Q133" s="1"/>
      <c r="R133" s="1"/>
      <c r="S133" s="1"/>
      <c r="T133" s="1"/>
      <c r="U133" s="1"/>
      <c r="V133" s="1"/>
      <c r="W133" s="1"/>
      <c r="X133" s="1"/>
    </row>
    <row r="134" spans="2:24" ht="12.75">
      <c r="B134" s="72"/>
      <c r="C134" s="72"/>
      <c r="D134" s="72"/>
      <c r="E134" s="72"/>
      <c r="F134" s="72"/>
      <c r="G134" s="72"/>
      <c r="H134" s="72"/>
      <c r="I134" s="72"/>
      <c r="J134" s="72"/>
      <c r="K134" s="72"/>
      <c r="L134" s="72"/>
      <c r="M134" s="72"/>
      <c r="N134" s="72"/>
      <c r="O134" s="72"/>
      <c r="Q134" s="1"/>
      <c r="R134" s="1"/>
      <c r="S134" s="1"/>
      <c r="T134" s="1"/>
      <c r="U134" s="1"/>
      <c r="V134" s="1"/>
      <c r="W134" s="1"/>
      <c r="X134" s="1"/>
    </row>
    <row r="135" spans="2:24" ht="12.75">
      <c r="B135" s="72"/>
      <c r="C135" s="72"/>
      <c r="D135" s="72"/>
      <c r="E135" s="72"/>
      <c r="F135" s="72"/>
      <c r="G135" s="72"/>
      <c r="H135" s="72"/>
      <c r="I135" s="72"/>
      <c r="J135" s="72"/>
      <c r="K135" s="72"/>
      <c r="L135" s="72"/>
      <c r="M135" s="72"/>
      <c r="N135" s="72"/>
      <c r="O135" s="72"/>
      <c r="Q135" s="1"/>
      <c r="R135" s="1"/>
      <c r="S135" s="1"/>
      <c r="T135" s="1"/>
      <c r="U135" s="1"/>
      <c r="V135" s="1"/>
      <c r="W135" s="1"/>
      <c r="X135" s="1"/>
    </row>
    <row r="136" spans="2:24" ht="12.75">
      <c r="B136" s="72"/>
      <c r="C136" s="72"/>
      <c r="D136" s="72"/>
      <c r="E136" s="72"/>
      <c r="F136" s="72"/>
      <c r="G136" s="72"/>
      <c r="H136" s="72"/>
      <c r="I136" s="72"/>
      <c r="J136" s="72"/>
      <c r="K136" s="72"/>
      <c r="L136" s="72"/>
      <c r="M136" s="72"/>
      <c r="N136" s="72"/>
      <c r="O136" s="72"/>
      <c r="Q136" s="1"/>
      <c r="R136" s="1"/>
      <c r="S136" s="1"/>
      <c r="T136" s="1"/>
      <c r="U136" s="1"/>
      <c r="V136" s="1"/>
      <c r="W136" s="1"/>
      <c r="X136" s="1"/>
    </row>
    <row r="137" spans="2:24" ht="12.75">
      <c r="B137" s="72"/>
      <c r="C137" s="72"/>
      <c r="D137" s="72"/>
      <c r="E137" s="72"/>
      <c r="F137" s="72"/>
      <c r="G137" s="72"/>
      <c r="H137" s="72"/>
      <c r="I137" s="72"/>
      <c r="J137" s="72"/>
      <c r="K137" s="72"/>
      <c r="L137" s="72"/>
      <c r="M137" s="72"/>
      <c r="N137" s="72"/>
      <c r="O137" s="72"/>
      <c r="Q137" s="1"/>
      <c r="R137" s="1"/>
      <c r="S137" s="1"/>
      <c r="T137" s="1"/>
      <c r="U137" s="1"/>
      <c r="V137" s="1"/>
      <c r="W137" s="1"/>
      <c r="X137" s="1"/>
    </row>
    <row r="138" spans="2:24" ht="12.75">
      <c r="B138" s="72"/>
      <c r="C138" s="72"/>
      <c r="D138" s="72"/>
      <c r="E138" s="72"/>
      <c r="F138" s="72"/>
      <c r="G138" s="72"/>
      <c r="H138" s="72"/>
      <c r="I138" s="72"/>
      <c r="J138" s="72"/>
      <c r="K138" s="72"/>
      <c r="L138" s="72"/>
      <c r="M138" s="72"/>
      <c r="N138" s="72"/>
      <c r="O138" s="72"/>
      <c r="Q138" s="1"/>
      <c r="R138" s="1"/>
      <c r="S138" s="1"/>
      <c r="T138" s="1"/>
      <c r="U138" s="1"/>
      <c r="V138" s="1"/>
      <c r="W138" s="1"/>
      <c r="X138" s="1"/>
    </row>
    <row r="139" spans="2:24" ht="12.75">
      <c r="B139" s="72"/>
      <c r="C139" s="72"/>
      <c r="D139" s="72"/>
      <c r="E139" s="72"/>
      <c r="F139" s="72"/>
      <c r="G139" s="72"/>
      <c r="H139" s="72"/>
      <c r="I139" s="72"/>
      <c r="J139" s="72"/>
      <c r="K139" s="72"/>
      <c r="L139" s="72"/>
      <c r="M139" s="72"/>
      <c r="N139" s="72"/>
      <c r="O139" s="72"/>
      <c r="Q139" s="1"/>
      <c r="R139" s="1"/>
      <c r="S139" s="1"/>
      <c r="T139" s="1"/>
      <c r="U139" s="1"/>
      <c r="V139" s="1"/>
      <c r="W139" s="1"/>
      <c r="X139" s="1"/>
    </row>
    <row r="140" spans="2:24" ht="12.75">
      <c r="B140" s="72"/>
      <c r="C140" s="72"/>
      <c r="D140" s="72"/>
      <c r="E140" s="72"/>
      <c r="F140" s="72"/>
      <c r="G140" s="72"/>
      <c r="H140" s="72"/>
      <c r="I140" s="72"/>
      <c r="J140" s="72"/>
      <c r="K140" s="72"/>
      <c r="L140" s="72"/>
      <c r="M140" s="72"/>
      <c r="N140" s="72"/>
      <c r="O140" s="72"/>
      <c r="Q140" s="1"/>
      <c r="R140" s="1"/>
      <c r="S140" s="1"/>
      <c r="T140" s="1"/>
      <c r="U140" s="1"/>
      <c r="V140" s="1"/>
      <c r="W140" s="1"/>
      <c r="X140" s="1"/>
    </row>
    <row r="141" spans="2:24" ht="12.75">
      <c r="B141" s="72"/>
      <c r="C141" s="72"/>
      <c r="D141" s="72"/>
      <c r="E141" s="72"/>
      <c r="F141" s="72"/>
      <c r="G141" s="72"/>
      <c r="H141" s="72"/>
      <c r="I141" s="72"/>
      <c r="J141" s="72"/>
      <c r="K141" s="72"/>
      <c r="L141" s="72"/>
      <c r="M141" s="72"/>
      <c r="N141" s="72"/>
      <c r="O141" s="72"/>
      <c r="Q141" s="1"/>
      <c r="R141" s="1"/>
      <c r="S141" s="1"/>
      <c r="T141" s="1"/>
      <c r="U141" s="1"/>
      <c r="V141" s="1"/>
      <c r="W141" s="1"/>
      <c r="X141" s="1"/>
    </row>
    <row r="142" spans="2:24" ht="12.75">
      <c r="B142" s="72"/>
      <c r="C142" s="72"/>
      <c r="D142" s="72"/>
      <c r="E142" s="72"/>
      <c r="F142" s="72"/>
      <c r="G142" s="72"/>
      <c r="H142" s="72"/>
      <c r="I142" s="72"/>
      <c r="J142" s="72"/>
      <c r="K142" s="72"/>
      <c r="L142" s="72"/>
      <c r="M142" s="72"/>
      <c r="N142" s="72"/>
      <c r="O142" s="72"/>
      <c r="Q142" s="1"/>
      <c r="R142" s="1"/>
      <c r="S142" s="1"/>
      <c r="T142" s="1"/>
      <c r="U142" s="1"/>
      <c r="V142" s="1"/>
      <c r="W142" s="1"/>
      <c r="X142" s="1"/>
    </row>
    <row r="143" spans="2:24" ht="12.75">
      <c r="B143" s="72"/>
      <c r="C143" s="72"/>
      <c r="D143" s="72"/>
      <c r="E143" s="72"/>
      <c r="F143" s="72"/>
      <c r="G143" s="72"/>
      <c r="H143" s="72"/>
      <c r="I143" s="72"/>
      <c r="J143" s="72"/>
      <c r="K143" s="72"/>
      <c r="L143" s="72"/>
      <c r="M143" s="72"/>
      <c r="N143" s="72"/>
      <c r="O143" s="72"/>
      <c r="Q143" s="1"/>
      <c r="R143" s="1"/>
      <c r="S143" s="1"/>
      <c r="T143" s="1"/>
      <c r="U143" s="1"/>
      <c r="V143" s="1"/>
      <c r="W143" s="1"/>
      <c r="X143" s="1"/>
    </row>
    <row r="144" spans="2:24" ht="12.75">
      <c r="B144" s="72"/>
      <c r="C144" s="72"/>
      <c r="D144" s="72"/>
      <c r="E144" s="72"/>
      <c r="F144" s="72"/>
      <c r="G144" s="72"/>
      <c r="H144" s="72"/>
      <c r="I144" s="72"/>
      <c r="J144" s="72"/>
      <c r="K144" s="72"/>
      <c r="L144" s="72"/>
      <c r="M144" s="72"/>
      <c r="N144" s="72"/>
      <c r="O144" s="72"/>
      <c r="Q144" s="1"/>
      <c r="R144" s="1"/>
      <c r="S144" s="1"/>
      <c r="T144" s="1"/>
      <c r="U144" s="1"/>
      <c r="V144" s="1"/>
      <c r="W144" s="1"/>
      <c r="X144" s="1"/>
    </row>
    <row r="145" spans="2:24" ht="12.75">
      <c r="B145" s="72"/>
      <c r="C145" s="72"/>
      <c r="D145" s="72"/>
      <c r="E145" s="72"/>
      <c r="F145" s="72"/>
      <c r="G145" s="72"/>
      <c r="H145" s="72"/>
      <c r="I145" s="72"/>
      <c r="J145" s="72"/>
      <c r="K145" s="72"/>
      <c r="L145" s="72"/>
      <c r="M145" s="72"/>
      <c r="N145" s="72"/>
      <c r="O145" s="72"/>
      <c r="Q145" s="1"/>
      <c r="R145" s="1"/>
      <c r="S145" s="1"/>
      <c r="T145" s="1"/>
      <c r="U145" s="1"/>
      <c r="V145" s="1"/>
      <c r="W145" s="1"/>
      <c r="X145" s="1"/>
    </row>
    <row r="146" spans="2:24" ht="12.75">
      <c r="B146" s="72"/>
      <c r="C146" s="72"/>
      <c r="D146" s="72"/>
      <c r="E146" s="72"/>
      <c r="F146" s="72"/>
      <c r="G146" s="72"/>
      <c r="H146" s="72"/>
      <c r="I146" s="72"/>
      <c r="J146" s="72"/>
      <c r="K146" s="72"/>
      <c r="L146" s="72"/>
      <c r="M146" s="72"/>
      <c r="N146" s="72"/>
      <c r="O146" s="72"/>
      <c r="Q146" s="1"/>
      <c r="R146" s="1"/>
      <c r="S146" s="1"/>
      <c r="T146" s="1"/>
      <c r="U146" s="1"/>
      <c r="V146" s="1"/>
      <c r="W146" s="1"/>
      <c r="X146" s="1"/>
    </row>
    <row r="147" spans="2:24" ht="12.75">
      <c r="B147" s="72"/>
      <c r="C147" s="72"/>
      <c r="D147" s="72"/>
      <c r="E147" s="72"/>
      <c r="F147" s="72"/>
      <c r="G147" s="72"/>
      <c r="H147" s="72"/>
      <c r="I147" s="72"/>
      <c r="J147" s="72"/>
      <c r="K147" s="72"/>
      <c r="L147" s="72"/>
      <c r="M147" s="72"/>
      <c r="N147" s="72"/>
      <c r="O147" s="72"/>
      <c r="Q147" s="1"/>
      <c r="R147" s="1"/>
      <c r="S147" s="1"/>
      <c r="T147" s="1"/>
      <c r="U147" s="1"/>
      <c r="V147" s="1"/>
      <c r="W147" s="1"/>
      <c r="X147" s="1"/>
    </row>
    <row r="148" spans="2:24" ht="12.75">
      <c r="B148" s="72"/>
      <c r="C148" s="72"/>
      <c r="D148" s="72"/>
      <c r="E148" s="72"/>
      <c r="F148" s="72"/>
      <c r="G148" s="72"/>
      <c r="H148" s="72"/>
      <c r="I148" s="72"/>
      <c r="J148" s="72"/>
      <c r="K148" s="72"/>
      <c r="L148" s="72"/>
      <c r="M148" s="72"/>
      <c r="N148" s="72"/>
      <c r="O148" s="72"/>
      <c r="Q148" s="1"/>
      <c r="R148" s="1"/>
      <c r="S148" s="1"/>
      <c r="T148" s="1"/>
      <c r="U148" s="1"/>
      <c r="V148" s="1"/>
      <c r="W148" s="1"/>
      <c r="X148" s="1"/>
    </row>
    <row r="149" spans="2:24" ht="12.75">
      <c r="B149" s="72"/>
      <c r="C149" s="72"/>
      <c r="D149" s="72"/>
      <c r="E149" s="72"/>
      <c r="F149" s="72"/>
      <c r="G149" s="72"/>
      <c r="H149" s="72"/>
      <c r="I149" s="72"/>
      <c r="J149" s="72"/>
      <c r="K149" s="72"/>
      <c r="L149" s="72"/>
      <c r="M149" s="72"/>
      <c r="N149" s="72"/>
      <c r="O149" s="72"/>
      <c r="Q149" s="1"/>
      <c r="R149" s="1"/>
      <c r="S149" s="1"/>
      <c r="T149" s="1"/>
      <c r="U149" s="1"/>
      <c r="V149" s="1"/>
      <c r="W149" s="1"/>
      <c r="X149" s="1"/>
    </row>
    <row r="150" spans="2:24" ht="12.75">
      <c r="B150" s="72"/>
      <c r="C150" s="72"/>
      <c r="D150" s="72"/>
      <c r="E150" s="72"/>
      <c r="F150" s="72"/>
      <c r="G150" s="72"/>
      <c r="H150" s="72"/>
      <c r="I150" s="72"/>
      <c r="J150" s="72"/>
      <c r="K150" s="72"/>
      <c r="L150" s="72"/>
      <c r="M150" s="72"/>
      <c r="N150" s="72"/>
      <c r="O150" s="72"/>
      <c r="Q150" s="1"/>
      <c r="R150" s="1"/>
      <c r="S150" s="1"/>
      <c r="T150" s="1"/>
      <c r="U150" s="1"/>
      <c r="V150" s="1"/>
      <c r="W150" s="1"/>
      <c r="X150" s="1"/>
    </row>
    <row r="151" spans="2:24" ht="12.75">
      <c r="B151" s="72"/>
      <c r="C151" s="72"/>
      <c r="D151" s="72"/>
      <c r="E151" s="72"/>
      <c r="F151" s="72"/>
      <c r="G151" s="72"/>
      <c r="H151" s="72"/>
      <c r="I151" s="72"/>
      <c r="J151" s="72"/>
      <c r="K151" s="72"/>
      <c r="L151" s="72"/>
      <c r="M151" s="72"/>
      <c r="N151" s="72"/>
      <c r="O151" s="72"/>
      <c r="Q151" s="1"/>
      <c r="R151" s="1"/>
      <c r="S151" s="1"/>
      <c r="T151" s="1"/>
      <c r="U151" s="1"/>
      <c r="V151" s="1"/>
      <c r="W151" s="1"/>
      <c r="X151" s="1"/>
    </row>
    <row r="152" spans="2:24" ht="12.75">
      <c r="B152" s="72"/>
      <c r="C152" s="72"/>
      <c r="D152" s="72"/>
      <c r="E152" s="72"/>
      <c r="F152" s="72"/>
      <c r="G152" s="72"/>
      <c r="H152" s="72"/>
      <c r="I152" s="72"/>
      <c r="J152" s="72"/>
      <c r="K152" s="72"/>
      <c r="L152" s="72"/>
      <c r="M152" s="72"/>
      <c r="N152" s="72"/>
      <c r="O152" s="72"/>
      <c r="Q152" s="1"/>
      <c r="R152" s="1"/>
      <c r="S152" s="1"/>
      <c r="T152" s="1"/>
      <c r="U152" s="1"/>
      <c r="V152" s="1"/>
      <c r="W152" s="1"/>
      <c r="X152" s="1"/>
    </row>
    <row r="153" spans="2:24" ht="12.75">
      <c r="B153" s="72"/>
      <c r="C153" s="72"/>
      <c r="D153" s="72"/>
      <c r="E153" s="72"/>
      <c r="F153" s="72"/>
      <c r="G153" s="72"/>
      <c r="H153" s="72"/>
      <c r="I153" s="72"/>
      <c r="J153" s="72"/>
      <c r="K153" s="72"/>
      <c r="L153" s="72"/>
      <c r="M153" s="72"/>
      <c r="N153" s="72"/>
      <c r="O153" s="72"/>
      <c r="Q153" s="1"/>
      <c r="R153" s="1"/>
      <c r="S153" s="1"/>
      <c r="T153" s="1"/>
      <c r="U153" s="1"/>
      <c r="V153" s="1"/>
      <c r="W153" s="1"/>
      <c r="X153" s="1"/>
    </row>
    <row r="154" spans="2:24" ht="12.75">
      <c r="B154" s="72"/>
      <c r="C154" s="72"/>
      <c r="D154" s="72"/>
      <c r="E154" s="72"/>
      <c r="F154" s="72"/>
      <c r="G154" s="72"/>
      <c r="H154" s="72"/>
      <c r="I154" s="72"/>
      <c r="J154" s="72"/>
      <c r="K154" s="72"/>
      <c r="L154" s="72"/>
      <c r="M154" s="72"/>
      <c r="N154" s="72"/>
      <c r="O154" s="72"/>
      <c r="Q154" s="1"/>
      <c r="R154" s="1"/>
      <c r="S154" s="1"/>
      <c r="T154" s="1"/>
      <c r="U154" s="1"/>
      <c r="V154" s="1"/>
      <c r="W154" s="1"/>
      <c r="X154" s="1"/>
    </row>
    <row r="155" spans="2:24" ht="12.75">
      <c r="B155" s="72"/>
      <c r="C155" s="72"/>
      <c r="D155" s="72"/>
      <c r="E155" s="72"/>
      <c r="F155" s="72"/>
      <c r="G155" s="72"/>
      <c r="H155" s="72"/>
      <c r="I155" s="72"/>
      <c r="J155" s="72"/>
      <c r="K155" s="72"/>
      <c r="L155" s="72"/>
      <c r="M155" s="72"/>
      <c r="N155" s="72"/>
      <c r="O155" s="72"/>
      <c r="Q155" s="1"/>
      <c r="R155" s="1"/>
      <c r="S155" s="1"/>
      <c r="T155" s="1"/>
      <c r="U155" s="1"/>
      <c r="V155" s="1"/>
      <c r="W155" s="1"/>
      <c r="X155" s="1"/>
    </row>
    <row r="156" spans="2:24" ht="12.75">
      <c r="B156" s="72"/>
      <c r="C156" s="72"/>
      <c r="D156" s="72"/>
      <c r="E156" s="72"/>
      <c r="F156" s="72"/>
      <c r="G156" s="72"/>
      <c r="H156" s="72"/>
      <c r="I156" s="72"/>
      <c r="J156" s="72"/>
      <c r="K156" s="72"/>
      <c r="L156" s="72"/>
      <c r="M156" s="72"/>
      <c r="N156" s="72"/>
      <c r="O156" s="72"/>
      <c r="Q156" s="1"/>
      <c r="R156" s="1"/>
      <c r="S156" s="1"/>
      <c r="T156" s="1"/>
      <c r="U156" s="1"/>
      <c r="V156" s="1"/>
      <c r="W156" s="1"/>
      <c r="X156" s="1"/>
    </row>
    <row r="157" spans="2:24" ht="12.75">
      <c r="B157" s="72"/>
      <c r="C157" s="72"/>
      <c r="D157" s="72"/>
      <c r="E157" s="72"/>
      <c r="F157" s="72"/>
      <c r="G157" s="72"/>
      <c r="H157" s="72"/>
      <c r="I157" s="72"/>
      <c r="J157" s="72"/>
      <c r="K157" s="72"/>
      <c r="L157" s="72"/>
      <c r="M157" s="72"/>
      <c r="N157" s="72"/>
      <c r="O157" s="72"/>
      <c r="Q157" s="1"/>
      <c r="R157" s="1"/>
      <c r="S157" s="1"/>
      <c r="T157" s="1"/>
      <c r="U157" s="1"/>
      <c r="V157" s="1"/>
      <c r="W157" s="1"/>
      <c r="X157" s="1"/>
    </row>
    <row r="158" spans="2:24" ht="12.75">
      <c r="B158" s="72"/>
      <c r="C158" s="72"/>
      <c r="D158" s="72"/>
      <c r="E158" s="72"/>
      <c r="F158" s="72"/>
      <c r="G158" s="72"/>
      <c r="H158" s="72"/>
      <c r="I158" s="72"/>
      <c r="J158" s="72"/>
      <c r="K158" s="72"/>
      <c r="L158" s="72"/>
      <c r="M158" s="72"/>
      <c r="N158" s="72"/>
      <c r="O158" s="72"/>
      <c r="Q158" s="1"/>
      <c r="R158" s="1"/>
      <c r="S158" s="1"/>
      <c r="T158" s="1"/>
      <c r="U158" s="1"/>
      <c r="V158" s="1"/>
      <c r="W158" s="1"/>
      <c r="X158" s="1"/>
    </row>
    <row r="159" spans="2:24" ht="12.75">
      <c r="B159" s="72"/>
      <c r="C159" s="72"/>
      <c r="D159" s="72"/>
      <c r="E159" s="72"/>
      <c r="F159" s="72"/>
      <c r="G159" s="72"/>
      <c r="H159" s="72"/>
      <c r="I159" s="72"/>
      <c r="J159" s="72"/>
      <c r="K159" s="72"/>
      <c r="L159" s="72"/>
      <c r="M159" s="72"/>
      <c r="N159" s="72"/>
      <c r="O159" s="72"/>
      <c r="Q159" s="1"/>
      <c r="R159" s="1"/>
      <c r="S159" s="1"/>
      <c r="T159" s="1"/>
      <c r="U159" s="1"/>
      <c r="V159" s="1"/>
      <c r="W159" s="1"/>
      <c r="X159" s="1"/>
    </row>
    <row r="160" spans="21:24" ht="12.75">
      <c r="U160" s="1"/>
      <c r="V160" s="1"/>
      <c r="W160" s="1"/>
      <c r="X160" s="1"/>
    </row>
    <row r="161" spans="21:24" ht="12.75">
      <c r="U161" s="1"/>
      <c r="V161" s="1"/>
      <c r="W161" s="1"/>
      <c r="X161" s="1"/>
    </row>
    <row r="162" spans="21:24" ht="12.75">
      <c r="U162" s="1"/>
      <c r="V162" s="1"/>
      <c r="W162" s="1"/>
      <c r="X162" s="1"/>
    </row>
  </sheetData>
  <mergeCells count="2">
    <mergeCell ref="B1:O1"/>
    <mergeCell ref="B108:O108"/>
  </mergeCells>
  <printOptions/>
  <pageMargins left="0.75" right="0.5" top="1" bottom="1" header="0.5" footer="0.5"/>
  <pageSetup fitToHeight="1" fitToWidth="1" horizontalDpi="300" verticalDpi="300" orientation="portrait" paperSize="5" scale="74" r:id="rId1"/>
  <headerFooter alignWithMargins="0">
    <oddFooter>&amp;LSlice Cost Shift Study&amp;R'02 Rate Case</oddFooter>
  </headerFooter>
</worksheet>
</file>

<file path=xl/worksheets/sheet11.xml><?xml version="1.0" encoding="utf-8"?>
<worksheet xmlns="http://schemas.openxmlformats.org/spreadsheetml/2006/main" xmlns:r="http://schemas.openxmlformats.org/officeDocument/2006/relationships">
  <sheetPr codeName="Sheet2">
    <pageSetUpPr fitToPage="1"/>
  </sheetPr>
  <dimension ref="A1:S655"/>
  <sheetViews>
    <sheetView zoomScale="75" zoomScaleNormal="75" workbookViewId="0" topLeftCell="C1">
      <selection activeCell="P27" sqref="P27"/>
    </sheetView>
  </sheetViews>
  <sheetFormatPr defaultColWidth="9.33203125" defaultRowHeight="12.75"/>
  <cols>
    <col min="1" max="1" width="11" style="2" customWidth="1"/>
    <col min="11" max="11" width="10" style="0" bestFit="1" customWidth="1"/>
    <col min="16" max="16" width="15.16015625" style="0" customWidth="1"/>
    <col min="17" max="17" width="12.16015625" style="0" customWidth="1"/>
    <col min="18" max="18" width="14" style="0" customWidth="1"/>
  </cols>
  <sheetData>
    <row r="1" spans="2:15" ht="12.75">
      <c r="B1" s="229" t="s">
        <v>39</v>
      </c>
      <c r="C1" s="229"/>
      <c r="D1" s="229"/>
      <c r="E1" s="229"/>
      <c r="F1" s="229"/>
      <c r="G1" s="229"/>
      <c r="H1" s="229"/>
      <c r="I1" s="229"/>
      <c r="J1" s="229"/>
      <c r="K1" s="229"/>
      <c r="L1" s="229"/>
      <c r="M1" s="229"/>
      <c r="N1" s="229"/>
      <c r="O1" s="229"/>
    </row>
    <row r="2" spans="1:18" s="2" customFormat="1" ht="12.75">
      <c r="A2" s="145" t="s">
        <v>15</v>
      </c>
      <c r="B2" s="146" t="s">
        <v>1</v>
      </c>
      <c r="C2" s="146" t="s">
        <v>2</v>
      </c>
      <c r="D2" s="146" t="s">
        <v>3</v>
      </c>
      <c r="E2" s="146" t="s">
        <v>4</v>
      </c>
      <c r="F2" s="146" t="s">
        <v>5</v>
      </c>
      <c r="G2" s="146" t="s">
        <v>6</v>
      </c>
      <c r="H2" s="146" t="s">
        <v>7</v>
      </c>
      <c r="I2" s="146" t="s">
        <v>8</v>
      </c>
      <c r="J2" s="146" t="s">
        <v>9</v>
      </c>
      <c r="K2" s="146" t="s">
        <v>10</v>
      </c>
      <c r="L2" s="146" t="s">
        <v>11</v>
      </c>
      <c r="M2" s="146" t="s">
        <v>12</v>
      </c>
      <c r="N2" s="146" t="s">
        <v>13</v>
      </c>
      <c r="O2" s="154" t="s">
        <v>14</v>
      </c>
      <c r="P2" s="127"/>
      <c r="Q2" s="128"/>
      <c r="R2" s="128"/>
    </row>
    <row r="3" spans="1:18" ht="12.75">
      <c r="A3" s="128">
        <v>1929</v>
      </c>
      <c r="B3" s="130">
        <v>7040.903716254217</v>
      </c>
      <c r="C3" s="130">
        <v>5363.321043859422</v>
      </c>
      <c r="D3" s="130">
        <v>4160.132432520148</v>
      </c>
      <c r="E3" s="130">
        <v>4875.857527292564</v>
      </c>
      <c r="F3" s="130">
        <v>4246.85833073026</v>
      </c>
      <c r="G3" s="130">
        <v>4970.867990428284</v>
      </c>
      <c r="H3" s="130">
        <v>4365.582932688886</v>
      </c>
      <c r="I3" s="130">
        <v>5195.425256266779</v>
      </c>
      <c r="J3" s="130">
        <v>4469.4579110303675</v>
      </c>
      <c r="K3" s="130">
        <v>4861.952650910389</v>
      </c>
      <c r="L3" s="130">
        <v>5094.091830639304</v>
      </c>
      <c r="M3" s="130">
        <v>5262.812199834687</v>
      </c>
      <c r="N3" s="130">
        <v>6589.540861774254</v>
      </c>
      <c r="O3" s="130">
        <v>5639.58729414956</v>
      </c>
      <c r="P3" s="131"/>
      <c r="Q3" s="131"/>
      <c r="R3" s="131"/>
    </row>
    <row r="4" spans="1:18" ht="12.75">
      <c r="A4" s="128">
        <v>1930</v>
      </c>
      <c r="B4" s="130">
        <v>4987.688219945268</v>
      </c>
      <c r="C4" s="130">
        <v>4779.281017312702</v>
      </c>
      <c r="D4" s="130">
        <v>4150.856738017604</v>
      </c>
      <c r="E4" s="130">
        <v>4396.540025784401</v>
      </c>
      <c r="F4" s="130">
        <v>4611.842889418224</v>
      </c>
      <c r="G4" s="130">
        <v>5072.045163857174</v>
      </c>
      <c r="H4" s="130">
        <v>4398.061483744471</v>
      </c>
      <c r="I4" s="130">
        <v>4994.277353300733</v>
      </c>
      <c r="J4" s="130">
        <v>4340.192613742116</v>
      </c>
      <c r="K4" s="130">
        <v>5135.0321137108285</v>
      </c>
      <c r="L4" s="130">
        <v>7807.0579773578975</v>
      </c>
      <c r="M4" s="130">
        <v>4771.358063312258</v>
      </c>
      <c r="N4" s="130">
        <v>4645.266222691464</v>
      </c>
      <c r="O4" s="130">
        <v>5669.068206756076</v>
      </c>
      <c r="P4" s="131"/>
      <c r="Q4" s="131"/>
      <c r="R4" s="131"/>
    </row>
    <row r="5" spans="1:18" ht="12.75">
      <c r="A5" s="128">
        <v>1931</v>
      </c>
      <c r="B5" s="130">
        <v>5408.498599872114</v>
      </c>
      <c r="C5" s="130">
        <v>5312.389010684056</v>
      </c>
      <c r="D5" s="130">
        <v>3959.404304612777</v>
      </c>
      <c r="E5" s="130">
        <v>4362.018918532293</v>
      </c>
      <c r="F5" s="130">
        <v>4669.828770552381</v>
      </c>
      <c r="G5" s="130">
        <v>5036.344024718954</v>
      </c>
      <c r="H5" s="130">
        <v>4132.498896916594</v>
      </c>
      <c r="I5" s="130">
        <v>4091.1974426476118</v>
      </c>
      <c r="J5" s="130">
        <v>4355.050175445969</v>
      </c>
      <c r="K5" s="130">
        <v>6272.5801278151</v>
      </c>
      <c r="L5" s="130">
        <v>4685.1185418671175</v>
      </c>
      <c r="M5" s="130">
        <v>6469.275368428152</v>
      </c>
      <c r="N5" s="130">
        <v>4977.638695976582</v>
      </c>
      <c r="O5" s="130">
        <v>5670.500425063161</v>
      </c>
      <c r="P5" s="131"/>
      <c r="Q5" s="131"/>
      <c r="R5" s="131"/>
    </row>
    <row r="6" spans="1:18" ht="12.75">
      <c r="A6" s="128">
        <v>1932</v>
      </c>
      <c r="B6" s="130">
        <v>5158.568114110319</v>
      </c>
      <c r="C6" s="130">
        <v>4450.915624017604</v>
      </c>
      <c r="D6" s="130">
        <v>3847.574346119492</v>
      </c>
      <c r="E6" s="130">
        <v>4383.866420460832</v>
      </c>
      <c r="F6" s="130">
        <v>4614.52026200583</v>
      </c>
      <c r="G6" s="130">
        <v>4765.886783539912</v>
      </c>
      <c r="H6" s="130">
        <v>4078.738569802626</v>
      </c>
      <c r="I6" s="130">
        <v>5091.415357509911</v>
      </c>
      <c r="J6" s="130">
        <v>6325.525023385475</v>
      </c>
      <c r="K6" s="130">
        <v>10166.635734235002</v>
      </c>
      <c r="L6" s="130">
        <v>10304.561390685825</v>
      </c>
      <c r="M6" s="130">
        <v>9014.41192974735</v>
      </c>
      <c r="N6" s="130">
        <v>8075.895854398382</v>
      </c>
      <c r="O6" s="130">
        <v>6400.005776779189</v>
      </c>
      <c r="P6" s="131"/>
      <c r="Q6" s="131"/>
      <c r="R6" s="131"/>
    </row>
    <row r="7" spans="1:18" ht="12.75">
      <c r="A7" s="128">
        <v>1933</v>
      </c>
      <c r="B7" s="130">
        <v>5480.1104542921985</v>
      </c>
      <c r="C7" s="130">
        <v>5685.717429508197</v>
      </c>
      <c r="D7" s="130">
        <v>4369.858448371733</v>
      </c>
      <c r="E7" s="130">
        <v>4974.778154917591</v>
      </c>
      <c r="F7" s="130">
        <v>4582.704691020481</v>
      </c>
      <c r="G7" s="130">
        <v>5069.622948790176</v>
      </c>
      <c r="H7" s="130">
        <v>10217.312480874394</v>
      </c>
      <c r="I7" s="130">
        <v>7210.3233933161955</v>
      </c>
      <c r="J7" s="130">
        <v>4761.948488609109</v>
      </c>
      <c r="K7" s="130">
        <v>8724.814675711155</v>
      </c>
      <c r="L7" s="130">
        <v>5909.314062094491</v>
      </c>
      <c r="M7" s="130">
        <v>7466.838281660833</v>
      </c>
      <c r="N7" s="130">
        <v>12143.369018916732</v>
      </c>
      <c r="O7" s="130">
        <v>11949.66214644415</v>
      </c>
      <c r="P7" s="131"/>
      <c r="Q7" s="131"/>
      <c r="R7" s="131"/>
    </row>
    <row r="8" spans="1:18" ht="12.75">
      <c r="A8" s="128">
        <v>1934</v>
      </c>
      <c r="B8" s="130">
        <v>7290.988828043133</v>
      </c>
      <c r="C8" s="130">
        <v>7935.386179507545</v>
      </c>
      <c r="D8" s="130">
        <v>5006.616944069576</v>
      </c>
      <c r="E8" s="130">
        <v>5833.883704655835</v>
      </c>
      <c r="F8" s="130">
        <v>6024.107082587975</v>
      </c>
      <c r="G8" s="130">
        <v>8925.988870646608</v>
      </c>
      <c r="H8" s="130">
        <v>14804.972806272572</v>
      </c>
      <c r="I8" s="130">
        <v>11091.969188319154</v>
      </c>
      <c r="J8" s="130">
        <v>8502.591623258077</v>
      </c>
      <c r="K8" s="130">
        <v>13493.870568957913</v>
      </c>
      <c r="L8" s="130">
        <v>12247.375459891318</v>
      </c>
      <c r="M8" s="130">
        <v>11931.322101078249</v>
      </c>
      <c r="N8" s="130">
        <v>6035.01220298626</v>
      </c>
      <c r="O8" s="130">
        <v>5008.977931122206</v>
      </c>
      <c r="P8" s="131"/>
      <c r="Q8" s="131"/>
      <c r="R8" s="131"/>
    </row>
    <row r="9" spans="1:18" ht="12.75">
      <c r="A9" s="128">
        <v>1935</v>
      </c>
      <c r="B9" s="130">
        <v>4255.998237901144</v>
      </c>
      <c r="C9" s="130">
        <v>3887.302768629065</v>
      </c>
      <c r="D9" s="130">
        <v>3925.7951127819547</v>
      </c>
      <c r="E9" s="130">
        <v>4175.2543826435585</v>
      </c>
      <c r="F9" s="130">
        <v>4406.45862857349</v>
      </c>
      <c r="G9" s="130">
        <v>4889.64355177502</v>
      </c>
      <c r="H9" s="130">
        <v>9515.189284865306</v>
      </c>
      <c r="I9" s="130">
        <v>6325.2874845105325</v>
      </c>
      <c r="J9" s="130">
        <v>5361.294232824532</v>
      </c>
      <c r="K9" s="130">
        <v>9877.727728994234</v>
      </c>
      <c r="L9" s="130">
        <v>6436.02954391968</v>
      </c>
      <c r="M9" s="130">
        <v>6775.025457046541</v>
      </c>
      <c r="N9" s="130">
        <v>7343.370362511802</v>
      </c>
      <c r="O9" s="130">
        <v>6853.662956694872</v>
      </c>
      <c r="P9" s="131"/>
      <c r="Q9" s="131"/>
      <c r="R9" s="131"/>
    </row>
    <row r="10" spans="1:18" ht="25.5">
      <c r="A10" s="128">
        <v>1936</v>
      </c>
      <c r="B10" s="130">
        <v>5542.839676411105</v>
      </c>
      <c r="C10" s="130">
        <v>4079.2922355314586</v>
      </c>
      <c r="D10" s="130">
        <v>3987.239852992361</v>
      </c>
      <c r="E10" s="130">
        <v>4626.23744745149</v>
      </c>
      <c r="F10" s="130">
        <v>4425.349517862453</v>
      </c>
      <c r="G10" s="130">
        <v>4938.611483753268</v>
      </c>
      <c r="H10" s="130">
        <v>4889.852886004587</v>
      </c>
      <c r="I10" s="130">
        <v>5417.571408934708</v>
      </c>
      <c r="J10" s="130">
        <v>4774.809950253828</v>
      </c>
      <c r="K10" s="130">
        <v>5069.57827168078</v>
      </c>
      <c r="L10" s="130">
        <v>10158.94780176301</v>
      </c>
      <c r="M10" s="130">
        <v>9319.41439193858</v>
      </c>
      <c r="N10" s="130">
        <v>6628.421899331522</v>
      </c>
      <c r="O10" s="130">
        <v>6064.321797105334</v>
      </c>
      <c r="P10" s="127" t="s">
        <v>195</v>
      </c>
      <c r="Q10" s="151" t="s">
        <v>189</v>
      </c>
      <c r="R10" s="151" t="s">
        <v>190</v>
      </c>
    </row>
    <row r="11" spans="1:18" ht="12.75">
      <c r="A11" s="128">
        <v>1937</v>
      </c>
      <c r="B11" s="130">
        <v>5318.394703479363</v>
      </c>
      <c r="C11" s="130">
        <v>4881.812360201781</v>
      </c>
      <c r="D11" s="130">
        <v>4224.114057922496</v>
      </c>
      <c r="E11" s="130">
        <v>4440.496668708817</v>
      </c>
      <c r="F11" s="130">
        <v>4481.428317367695</v>
      </c>
      <c r="G11" s="130">
        <v>4936.104727859399</v>
      </c>
      <c r="H11" s="130">
        <v>4422.06899973342</v>
      </c>
      <c r="I11" s="130">
        <v>5002.28417063553</v>
      </c>
      <c r="J11" s="130">
        <v>4334.828635867175</v>
      </c>
      <c r="K11" s="130">
        <v>4824.835421869613</v>
      </c>
      <c r="L11" s="130">
        <v>4517.6623897988</v>
      </c>
      <c r="M11" s="130">
        <v>6372.355516606156</v>
      </c>
      <c r="N11" s="130">
        <v>5207.4995055798845</v>
      </c>
      <c r="O11" s="130">
        <v>5554.157280566607</v>
      </c>
      <c r="P11" s="130">
        <f>SUMPRODUCT(B11:O11,'HLH-LLH Loads'!$N$5:$AA$5)</f>
        <v>18374581.409200918</v>
      </c>
      <c r="Q11" s="130">
        <f>'HLH Hyd Gen'!P11</f>
        <v>39516902.02219077</v>
      </c>
      <c r="R11" s="130">
        <f>(P11+Q11)/(SUM('HLH-LLH Loads'!N3:AA3))</f>
        <v>6608.6168300675445</v>
      </c>
    </row>
    <row r="12" spans="1:18" ht="12.75">
      <c r="A12" s="128">
        <v>1938</v>
      </c>
      <c r="B12" s="130">
        <v>5359.5308924485125</v>
      </c>
      <c r="C12" s="130">
        <v>5000.101842644049</v>
      </c>
      <c r="D12" s="130">
        <v>4343.512805050169</v>
      </c>
      <c r="E12" s="130">
        <v>4523.678067693567</v>
      </c>
      <c r="F12" s="130">
        <v>4739.183218797222</v>
      </c>
      <c r="G12" s="130">
        <v>5345.709718162542</v>
      </c>
      <c r="H12" s="130">
        <v>8213.423222777223</v>
      </c>
      <c r="I12" s="130">
        <v>5855.926426426427</v>
      </c>
      <c r="J12" s="130">
        <v>7527.887960704274</v>
      </c>
      <c r="K12" s="130">
        <v>8105.466610845075</v>
      </c>
      <c r="L12" s="130">
        <v>7486.136210197706</v>
      </c>
      <c r="M12" s="130">
        <v>10937.868456157019</v>
      </c>
      <c r="N12" s="130">
        <v>7872.965215082315</v>
      </c>
      <c r="O12" s="130">
        <v>5917.445141812981</v>
      </c>
      <c r="P12" s="131"/>
      <c r="Q12" s="131"/>
      <c r="R12" s="131"/>
    </row>
    <row r="13" spans="1:18" ht="12.75">
      <c r="A13" s="128">
        <v>1939</v>
      </c>
      <c r="B13" s="130">
        <v>5131.300822853594</v>
      </c>
      <c r="C13" s="130">
        <v>4333.084953940635</v>
      </c>
      <c r="D13" s="130">
        <v>4102.603469223214</v>
      </c>
      <c r="E13" s="130">
        <v>5015.897839057619</v>
      </c>
      <c r="F13" s="130">
        <v>4315.936815723519</v>
      </c>
      <c r="G13" s="130">
        <v>4950.590436857874</v>
      </c>
      <c r="H13" s="130">
        <v>4389.509597729928</v>
      </c>
      <c r="I13" s="130">
        <v>7403.772130806082</v>
      </c>
      <c r="J13" s="130">
        <v>5653.7725132010855</v>
      </c>
      <c r="K13" s="130">
        <v>7039.996532374534</v>
      </c>
      <c r="L13" s="130">
        <v>7319.236080794744</v>
      </c>
      <c r="M13" s="130">
        <v>6893.692111563587</v>
      </c>
      <c r="N13" s="130">
        <v>4592.117162261232</v>
      </c>
      <c r="O13" s="130">
        <v>6659.634886481085</v>
      </c>
      <c r="P13" s="131"/>
      <c r="Q13" s="131"/>
      <c r="R13" s="131"/>
    </row>
    <row r="14" spans="1:18" ht="12.75">
      <c r="A14" s="128">
        <v>1940</v>
      </c>
      <c r="B14" s="130">
        <v>5566.132589914833</v>
      </c>
      <c r="C14" s="130">
        <v>4702.096873541765</v>
      </c>
      <c r="D14" s="130">
        <v>4189.57841626059</v>
      </c>
      <c r="E14" s="130">
        <v>4909.154804230478</v>
      </c>
      <c r="F14" s="130">
        <v>4496.874411972005</v>
      </c>
      <c r="G14" s="130">
        <v>4963.705760977956</v>
      </c>
      <c r="H14" s="130">
        <v>5058.453580955273</v>
      </c>
      <c r="I14" s="130">
        <v>6337.166048274486</v>
      </c>
      <c r="J14" s="130">
        <v>6919.972501337344</v>
      </c>
      <c r="K14" s="130">
        <v>7050.571924852012</v>
      </c>
      <c r="L14" s="130">
        <v>7504.497889000156</v>
      </c>
      <c r="M14" s="130">
        <v>6190.342787647136</v>
      </c>
      <c r="N14" s="130">
        <v>4178.089104190434</v>
      </c>
      <c r="O14" s="130">
        <v>5653.463233154462</v>
      </c>
      <c r="P14" s="131"/>
      <c r="Q14" s="131"/>
      <c r="R14" s="131"/>
    </row>
    <row r="15" spans="1:18" ht="12.75">
      <c r="A15" s="128">
        <v>1941</v>
      </c>
      <c r="B15" s="130">
        <v>5326.2432458087505</v>
      </c>
      <c r="C15" s="130">
        <v>4467.786223429759</v>
      </c>
      <c r="D15" s="130">
        <v>4442.74842283358</v>
      </c>
      <c r="E15" s="130">
        <v>5071.996027275755</v>
      </c>
      <c r="F15" s="130">
        <v>4481.943765361179</v>
      </c>
      <c r="G15" s="130">
        <v>5001.031217238517</v>
      </c>
      <c r="H15" s="130">
        <v>4994.43383046674</v>
      </c>
      <c r="I15" s="130">
        <v>4906.699528396548</v>
      </c>
      <c r="J15" s="130">
        <v>4770.774503816082</v>
      </c>
      <c r="K15" s="130">
        <v>4689.109743588893</v>
      </c>
      <c r="L15" s="130">
        <v>5386.569436427796</v>
      </c>
      <c r="M15" s="130">
        <v>5980.145250492609</v>
      </c>
      <c r="N15" s="130">
        <v>6314.859448378228</v>
      </c>
      <c r="O15" s="130">
        <v>5100.808044971716</v>
      </c>
      <c r="P15" s="131"/>
      <c r="Q15" s="131"/>
      <c r="R15" s="131"/>
    </row>
    <row r="16" spans="1:18" ht="12.75">
      <c r="A16" s="128">
        <v>1942</v>
      </c>
      <c r="B16" s="130">
        <v>5084.588548919441</v>
      </c>
      <c r="C16" s="130">
        <v>4650.502489562394</v>
      </c>
      <c r="D16" s="130">
        <v>4153.077461094596</v>
      </c>
      <c r="E16" s="130">
        <v>5072.042809324408</v>
      </c>
      <c r="F16" s="130">
        <v>4836.623562967744</v>
      </c>
      <c r="G16" s="130">
        <v>6812.687605068385</v>
      </c>
      <c r="H16" s="130">
        <v>8087.192889218515</v>
      </c>
      <c r="I16" s="130">
        <v>6468.560035642682</v>
      </c>
      <c r="J16" s="130">
        <v>4561.613699620876</v>
      </c>
      <c r="K16" s="130">
        <v>6019.45932738821</v>
      </c>
      <c r="L16" s="130">
        <v>6021.150837579709</v>
      </c>
      <c r="M16" s="130">
        <v>6852.527707074586</v>
      </c>
      <c r="N16" s="130">
        <v>7035.106545934728</v>
      </c>
      <c r="O16" s="130">
        <v>7512.872822124048</v>
      </c>
      <c r="P16" s="131"/>
      <c r="Q16" s="131"/>
      <c r="R16" s="131"/>
    </row>
    <row r="17" spans="1:18" ht="12.75">
      <c r="A17" s="128">
        <v>1943</v>
      </c>
      <c r="B17" s="130">
        <v>7577.143524102036</v>
      </c>
      <c r="C17" s="130">
        <v>5886.226</v>
      </c>
      <c r="D17" s="130">
        <v>4642.5790002246395</v>
      </c>
      <c r="E17" s="130">
        <v>4864.767114223021</v>
      </c>
      <c r="F17" s="130">
        <v>4404.3329845010185</v>
      </c>
      <c r="G17" s="130">
        <v>5047.732754559788</v>
      </c>
      <c r="H17" s="130">
        <v>8294.380105499107</v>
      </c>
      <c r="I17" s="130">
        <v>8417.882274426056</v>
      </c>
      <c r="J17" s="130">
        <v>7456.680354732986</v>
      </c>
      <c r="K17" s="130">
        <v>12420.64518431608</v>
      </c>
      <c r="L17" s="130">
        <v>10706.16110197464</v>
      </c>
      <c r="M17" s="130">
        <v>10498.701608621599</v>
      </c>
      <c r="N17" s="130">
        <v>8323.875426890138</v>
      </c>
      <c r="O17" s="130">
        <v>7524.263888545674</v>
      </c>
      <c r="P17" s="131"/>
      <c r="Q17" s="131"/>
      <c r="R17" s="131"/>
    </row>
    <row r="18" spans="1:18" ht="12.75">
      <c r="A18" s="128">
        <v>1944</v>
      </c>
      <c r="B18" s="130">
        <v>6917.797712700266</v>
      </c>
      <c r="C18" s="130">
        <v>5975.257739992915</v>
      </c>
      <c r="D18" s="130">
        <v>4238.505681761145</v>
      </c>
      <c r="E18" s="130">
        <v>5000.445774010998</v>
      </c>
      <c r="F18" s="130">
        <v>4301.5815969718815</v>
      </c>
      <c r="G18" s="130">
        <v>5067.788882864964</v>
      </c>
      <c r="H18" s="130">
        <v>4458.294957983193</v>
      </c>
      <c r="I18" s="130">
        <v>5346.289851113235</v>
      </c>
      <c r="J18" s="130">
        <v>4158.88595294428</v>
      </c>
      <c r="K18" s="130">
        <v>4937.881382917823</v>
      </c>
      <c r="L18" s="130">
        <v>4875.320898141561</v>
      </c>
      <c r="M18" s="130">
        <v>5593.68121138073</v>
      </c>
      <c r="N18" s="130">
        <v>5590.264924759102</v>
      </c>
      <c r="O18" s="130">
        <v>5101.4741491775385</v>
      </c>
      <c r="P18" s="131"/>
      <c r="Q18" s="131"/>
      <c r="R18" s="131"/>
    </row>
    <row r="19" spans="1:18" ht="12.75">
      <c r="A19" s="128">
        <v>1945</v>
      </c>
      <c r="B19" s="130">
        <v>5200.898759782715</v>
      </c>
      <c r="C19" s="130">
        <v>4374.847134176383</v>
      </c>
      <c r="D19" s="130">
        <v>3934.787356156163</v>
      </c>
      <c r="E19" s="130">
        <v>4498.3207880181335</v>
      </c>
      <c r="F19" s="130">
        <v>4676.491121563195</v>
      </c>
      <c r="G19" s="130">
        <v>4744.11650441084</v>
      </c>
      <c r="H19" s="130">
        <v>4109.612240815102</v>
      </c>
      <c r="I19" s="130">
        <v>4571.95733152726</v>
      </c>
      <c r="J19" s="130">
        <v>4399.1826671497</v>
      </c>
      <c r="K19" s="130">
        <v>4882.923531808646</v>
      </c>
      <c r="L19" s="130">
        <v>5227.836730669304</v>
      </c>
      <c r="M19" s="130">
        <v>7407.725156785488</v>
      </c>
      <c r="N19" s="130">
        <v>6972.787971690919</v>
      </c>
      <c r="O19" s="130">
        <v>6252.374665491547</v>
      </c>
      <c r="P19" s="131"/>
      <c r="Q19" s="131"/>
      <c r="R19" s="131"/>
    </row>
    <row r="20" spans="1:18" ht="12.75">
      <c r="A20" s="128">
        <v>1946</v>
      </c>
      <c r="B20" s="130">
        <v>5446.511444051304</v>
      </c>
      <c r="C20" s="130">
        <v>5479.31298129813</v>
      </c>
      <c r="D20" s="130">
        <v>4302.311804792881</v>
      </c>
      <c r="E20" s="130">
        <v>4428.046586765136</v>
      </c>
      <c r="F20" s="130">
        <v>4476.737341024272</v>
      </c>
      <c r="G20" s="130">
        <v>5597.436906130847</v>
      </c>
      <c r="H20" s="130">
        <v>9205.721484977192</v>
      </c>
      <c r="I20" s="130">
        <v>6146.452485990222</v>
      </c>
      <c r="J20" s="130">
        <v>6743.248785037553</v>
      </c>
      <c r="K20" s="130">
        <v>8023.588676449114</v>
      </c>
      <c r="L20" s="130">
        <v>9488.753305085529</v>
      </c>
      <c r="M20" s="130">
        <v>12134.610203215903</v>
      </c>
      <c r="N20" s="130">
        <v>8297.946014315225</v>
      </c>
      <c r="O20" s="130">
        <v>6779.539681783536</v>
      </c>
      <c r="P20" s="131"/>
      <c r="Q20" s="131"/>
      <c r="R20" s="131"/>
    </row>
    <row r="21" spans="1:18" ht="12.75">
      <c r="A21" s="128">
        <v>1947</v>
      </c>
      <c r="B21" s="130">
        <v>6298.815646647147</v>
      </c>
      <c r="C21" s="130">
        <v>4508.239191141069</v>
      </c>
      <c r="D21" s="130">
        <v>4660.933559352661</v>
      </c>
      <c r="E21" s="130">
        <v>5172.669774512791</v>
      </c>
      <c r="F21" s="130">
        <v>4594.5758167791755</v>
      </c>
      <c r="G21" s="130">
        <v>7040.031522626412</v>
      </c>
      <c r="H21" s="130">
        <v>11248.962704306534</v>
      </c>
      <c r="I21" s="130">
        <v>9557.544819653274</v>
      </c>
      <c r="J21" s="130">
        <v>6378.291413277319</v>
      </c>
      <c r="K21" s="130">
        <v>7508.624070367151</v>
      </c>
      <c r="L21" s="130">
        <v>7776.880706629616</v>
      </c>
      <c r="M21" s="130">
        <v>9288.576863454147</v>
      </c>
      <c r="N21" s="130">
        <v>7738.999771622021</v>
      </c>
      <c r="O21" s="130">
        <v>6367.6134491021885</v>
      </c>
      <c r="P21" s="131"/>
      <c r="Q21" s="131"/>
      <c r="R21" s="131"/>
    </row>
    <row r="22" spans="1:18" ht="12.75">
      <c r="A22" s="128">
        <v>1948</v>
      </c>
      <c r="B22" s="130">
        <v>6014.063387151847</v>
      </c>
      <c r="C22" s="130">
        <v>5117.164873096447</v>
      </c>
      <c r="D22" s="130">
        <v>4438.994028309044</v>
      </c>
      <c r="E22" s="130">
        <v>7040.235564990208</v>
      </c>
      <c r="F22" s="130">
        <v>5498.218638161197</v>
      </c>
      <c r="G22" s="130">
        <v>5691.34377802188</v>
      </c>
      <c r="H22" s="130">
        <v>11250.115129122283</v>
      </c>
      <c r="I22" s="130">
        <v>8146.928571428571</v>
      </c>
      <c r="J22" s="130">
        <v>5604.618182616186</v>
      </c>
      <c r="K22" s="130">
        <v>7160.980386547142</v>
      </c>
      <c r="L22" s="130">
        <v>8949.208483515189</v>
      </c>
      <c r="M22" s="130">
        <v>13932.25383269223</v>
      </c>
      <c r="N22" s="130">
        <v>16658.66283234445</v>
      </c>
      <c r="O22" s="130">
        <v>9943.492886178863</v>
      </c>
      <c r="P22" s="131"/>
      <c r="Q22" s="131"/>
      <c r="R22" s="131"/>
    </row>
    <row r="23" spans="1:18" ht="12.75">
      <c r="A23" s="128">
        <v>1949</v>
      </c>
      <c r="B23" s="130">
        <v>7285.165559921695</v>
      </c>
      <c r="C23" s="130">
        <v>7935.668475126677</v>
      </c>
      <c r="D23" s="130">
        <v>5162.600287483414</v>
      </c>
      <c r="E23" s="130">
        <v>5392.327820702746</v>
      </c>
      <c r="F23" s="130">
        <v>4402.631625554084</v>
      </c>
      <c r="G23" s="130">
        <v>4944.112560669286</v>
      </c>
      <c r="H23" s="130">
        <v>7203.369156542551</v>
      </c>
      <c r="I23" s="130">
        <v>5922.391191066997</v>
      </c>
      <c r="J23" s="130">
        <v>9703.506031169749</v>
      </c>
      <c r="K23" s="130">
        <v>8626.161452794517</v>
      </c>
      <c r="L23" s="130">
        <v>10610.206079241123</v>
      </c>
      <c r="M23" s="130">
        <v>9133.499196057304</v>
      </c>
      <c r="N23" s="130">
        <v>7684.239416117423</v>
      </c>
      <c r="O23" s="130">
        <v>4872.401404967966</v>
      </c>
      <c r="P23" s="131"/>
      <c r="Q23" s="131"/>
      <c r="R23" s="131"/>
    </row>
    <row r="24" spans="1:18" ht="12.75">
      <c r="A24" s="128">
        <v>1950</v>
      </c>
      <c r="B24" s="130">
        <v>4040.073303218627</v>
      </c>
      <c r="C24" s="130">
        <v>3803.6459113300493</v>
      </c>
      <c r="D24" s="130">
        <v>4135.634151456149</v>
      </c>
      <c r="E24" s="130">
        <v>4588.739232571294</v>
      </c>
      <c r="F24" s="130">
        <v>4320.380666637965</v>
      </c>
      <c r="G24" s="130">
        <v>5387.296556773178</v>
      </c>
      <c r="H24" s="130">
        <v>9280.823852698059</v>
      </c>
      <c r="I24" s="130">
        <v>8048.2615318070875</v>
      </c>
      <c r="J24" s="130">
        <v>8457.197028907744</v>
      </c>
      <c r="K24" s="130">
        <v>10656.531617077211</v>
      </c>
      <c r="L24" s="130">
        <v>9776.202425250682</v>
      </c>
      <c r="M24" s="130">
        <v>9395.912047560763</v>
      </c>
      <c r="N24" s="130">
        <v>14371.379396143155</v>
      </c>
      <c r="O24" s="130">
        <v>9345.961818686917</v>
      </c>
      <c r="P24" s="131"/>
      <c r="Q24" s="131"/>
      <c r="R24" s="131"/>
    </row>
    <row r="25" spans="1:18" ht="12.75">
      <c r="A25" s="128">
        <v>1951</v>
      </c>
      <c r="B25" s="130">
        <v>6227.489014968614</v>
      </c>
      <c r="C25" s="130">
        <v>6106.585025498378</v>
      </c>
      <c r="D25" s="130">
        <v>4632.382333725774</v>
      </c>
      <c r="E25" s="130">
        <v>5939.448047326064</v>
      </c>
      <c r="F25" s="130">
        <v>6094.3541997333505</v>
      </c>
      <c r="G25" s="130">
        <v>7682.874722938988</v>
      </c>
      <c r="H25" s="130">
        <v>12751.943453298602</v>
      </c>
      <c r="I25" s="130">
        <v>10588.398227407015</v>
      </c>
      <c r="J25" s="130">
        <v>8279.89813853852</v>
      </c>
      <c r="K25" s="130">
        <v>11337.122593400067</v>
      </c>
      <c r="L25" s="130">
        <v>11165.679872898545</v>
      </c>
      <c r="M25" s="130">
        <v>12589.062638463996</v>
      </c>
      <c r="N25" s="130">
        <v>7234.534609609205</v>
      </c>
      <c r="O25" s="130">
        <v>8209.029463390129</v>
      </c>
      <c r="P25" s="131"/>
      <c r="Q25" s="131"/>
      <c r="R25" s="131"/>
    </row>
    <row r="26" spans="1:18" ht="12.75">
      <c r="A26" s="128">
        <v>1952</v>
      </c>
      <c r="B26" s="130">
        <v>7278.542040392041</v>
      </c>
      <c r="C26" s="130">
        <v>6285.255954111875</v>
      </c>
      <c r="D26" s="130">
        <v>4591.714030536299</v>
      </c>
      <c r="E26" s="130">
        <v>6470.536607266964</v>
      </c>
      <c r="F26" s="130">
        <v>4745.9793227378</v>
      </c>
      <c r="G26" s="130">
        <v>6194.611265268988</v>
      </c>
      <c r="H26" s="130">
        <v>10808.32354734733</v>
      </c>
      <c r="I26" s="130">
        <v>7265.724482724482</v>
      </c>
      <c r="J26" s="130">
        <v>5936.105952168481</v>
      </c>
      <c r="K26" s="130">
        <v>11216.349328475591</v>
      </c>
      <c r="L26" s="130">
        <v>9984.518824338185</v>
      </c>
      <c r="M26" s="130">
        <v>13228.47083548804</v>
      </c>
      <c r="N26" s="130">
        <v>8057.867641400799</v>
      </c>
      <c r="O26" s="130">
        <v>6130.082197787082</v>
      </c>
      <c r="P26" s="131"/>
      <c r="Q26" s="131"/>
      <c r="R26" s="131"/>
    </row>
    <row r="27" spans="1:18" ht="12.75">
      <c r="A27" s="128">
        <v>1953</v>
      </c>
      <c r="B27" s="130">
        <v>6038.655541292255</v>
      </c>
      <c r="C27" s="130">
        <v>4776.0235222610545</v>
      </c>
      <c r="D27" s="130">
        <v>4185.202932008981</v>
      </c>
      <c r="E27" s="130">
        <v>4658.286377306928</v>
      </c>
      <c r="F27" s="130">
        <v>4380.801158514718</v>
      </c>
      <c r="G27" s="130">
        <v>5010.7557117969145</v>
      </c>
      <c r="H27" s="130">
        <v>5445.98899237934</v>
      </c>
      <c r="I27" s="130">
        <v>11252.022014982418</v>
      </c>
      <c r="J27" s="130">
        <v>7018.163417227933</v>
      </c>
      <c r="K27" s="130">
        <v>5957.951318137875</v>
      </c>
      <c r="L27" s="130">
        <v>6006.8144658427955</v>
      </c>
      <c r="M27" s="130">
        <v>7784.1272977489425</v>
      </c>
      <c r="N27" s="130">
        <v>8993.050075399991</v>
      </c>
      <c r="O27" s="130">
        <v>7933.640436481869</v>
      </c>
      <c r="P27" s="131"/>
      <c r="Q27" s="131"/>
      <c r="R27" s="131"/>
    </row>
    <row r="28" spans="1:18" ht="12.75">
      <c r="A28" s="128">
        <v>1954</v>
      </c>
      <c r="B28" s="130">
        <v>7464.420276322576</v>
      </c>
      <c r="C28" s="130">
        <v>6136.655365152386</v>
      </c>
      <c r="D28" s="130">
        <v>4660.619877979269</v>
      </c>
      <c r="E28" s="130">
        <v>5339.057574988295</v>
      </c>
      <c r="F28" s="130">
        <v>4604.499813260991</v>
      </c>
      <c r="G28" s="130">
        <v>5225.309994644857</v>
      </c>
      <c r="H28" s="130">
        <v>7472.939261945298</v>
      </c>
      <c r="I28" s="130">
        <v>12304.494369127036</v>
      </c>
      <c r="J28" s="130">
        <v>6037.22717043219</v>
      </c>
      <c r="K28" s="130">
        <v>8036.515125231448</v>
      </c>
      <c r="L28" s="130">
        <v>7531.241361831545</v>
      </c>
      <c r="M28" s="130">
        <v>10820.275872016457</v>
      </c>
      <c r="N28" s="130">
        <v>13267.923704849605</v>
      </c>
      <c r="O28" s="130">
        <v>9723.102398834939</v>
      </c>
      <c r="P28" s="131"/>
      <c r="Q28" s="131"/>
      <c r="R28" s="131"/>
    </row>
    <row r="29" spans="1:18" ht="12.75">
      <c r="A29" s="128">
        <v>1955</v>
      </c>
      <c r="B29" s="130">
        <v>8831.329772714396</v>
      </c>
      <c r="C29" s="130">
        <v>7650.837992262673</v>
      </c>
      <c r="D29" s="130">
        <v>6374.1938527136645</v>
      </c>
      <c r="E29" s="130">
        <v>5801.753409498743</v>
      </c>
      <c r="F29" s="130">
        <v>5092.908360191046</v>
      </c>
      <c r="G29" s="130">
        <v>5172.75293111871</v>
      </c>
      <c r="H29" s="130">
        <v>6633.909144612067</v>
      </c>
      <c r="I29" s="130">
        <v>6258.255405864372</v>
      </c>
      <c r="J29" s="130">
        <v>4159.48079040791</v>
      </c>
      <c r="K29" s="130">
        <v>6447.450229801188</v>
      </c>
      <c r="L29" s="130">
        <v>6043.696035273945</v>
      </c>
      <c r="M29" s="130">
        <v>6383.022706117275</v>
      </c>
      <c r="N29" s="130">
        <v>10130.647918832196</v>
      </c>
      <c r="O29" s="130">
        <v>12511.503091855879</v>
      </c>
      <c r="P29" s="131"/>
      <c r="Q29" s="131"/>
      <c r="R29" s="131"/>
    </row>
    <row r="30" spans="1:18" ht="12.75">
      <c r="A30" s="128">
        <v>1956</v>
      </c>
      <c r="B30" s="130">
        <v>7210.144631223177</v>
      </c>
      <c r="C30" s="130">
        <v>7017.421617021277</v>
      </c>
      <c r="D30" s="130">
        <v>4754.518867668086</v>
      </c>
      <c r="E30" s="130">
        <v>5686.9496180640335</v>
      </c>
      <c r="F30" s="130">
        <v>5404.917360347311</v>
      </c>
      <c r="G30" s="130">
        <v>7791.593540458954</v>
      </c>
      <c r="H30" s="130">
        <v>13013.59888708795</v>
      </c>
      <c r="I30" s="130">
        <v>9434.858621733983</v>
      </c>
      <c r="J30" s="130">
        <v>8484.964671864336</v>
      </c>
      <c r="K30" s="130">
        <v>10156.448934913193</v>
      </c>
      <c r="L30" s="130">
        <v>12686.343308236988</v>
      </c>
      <c r="M30" s="130">
        <v>15032.43989764333</v>
      </c>
      <c r="N30" s="130">
        <v>13255.80141360647</v>
      </c>
      <c r="O30" s="130">
        <v>8377.909366097701</v>
      </c>
      <c r="P30" s="131"/>
      <c r="Q30" s="131"/>
      <c r="R30" s="131"/>
    </row>
    <row r="31" spans="1:18" ht="12.75">
      <c r="A31" s="128">
        <v>1957</v>
      </c>
      <c r="B31" s="130">
        <v>7699.190032953691</v>
      </c>
      <c r="C31" s="130">
        <v>6214.718214488984</v>
      </c>
      <c r="D31" s="130">
        <v>4502.440720704199</v>
      </c>
      <c r="E31" s="130">
        <v>5476.974708685018</v>
      </c>
      <c r="F31" s="130">
        <v>4357.688076896962</v>
      </c>
      <c r="G31" s="130">
        <v>5572.150775243294</v>
      </c>
      <c r="H31" s="130">
        <v>6443.644433537696</v>
      </c>
      <c r="I31" s="130">
        <v>9749.060639564552</v>
      </c>
      <c r="J31" s="130">
        <v>6517.314809745414</v>
      </c>
      <c r="K31" s="130">
        <v>11579.52548295797</v>
      </c>
      <c r="L31" s="130">
        <v>7604.503621006082</v>
      </c>
      <c r="M31" s="130">
        <v>13509.602865738498</v>
      </c>
      <c r="N31" s="130">
        <v>9731.105837776184</v>
      </c>
      <c r="O31" s="130">
        <v>5904.10473748694</v>
      </c>
      <c r="P31" s="131"/>
      <c r="Q31" s="131"/>
      <c r="R31" s="131"/>
    </row>
    <row r="32" spans="1:18" ht="12.75">
      <c r="A32" s="128">
        <v>1958</v>
      </c>
      <c r="B32" s="130">
        <v>5488.409445103537</v>
      </c>
      <c r="C32" s="130">
        <v>4892.644740386054</v>
      </c>
      <c r="D32" s="130">
        <v>4236.903136272676</v>
      </c>
      <c r="E32" s="130">
        <v>4867.506639139196</v>
      </c>
      <c r="F32" s="130">
        <v>4326.454253102635</v>
      </c>
      <c r="G32" s="130">
        <v>5025.976196984883</v>
      </c>
      <c r="H32" s="130">
        <v>6652.260884640151</v>
      </c>
      <c r="I32" s="130">
        <v>11250.082180261448</v>
      </c>
      <c r="J32" s="130">
        <v>5469.90981143761</v>
      </c>
      <c r="K32" s="130">
        <v>6392.462845305838</v>
      </c>
      <c r="L32" s="130">
        <v>8370.27841302579</v>
      </c>
      <c r="M32" s="130">
        <v>11106.877976172438</v>
      </c>
      <c r="N32" s="130">
        <v>8488.000373775885</v>
      </c>
      <c r="O32" s="130">
        <v>5804.267338002698</v>
      </c>
      <c r="P32" s="131"/>
      <c r="Q32" s="131"/>
      <c r="R32" s="131"/>
    </row>
    <row r="33" spans="1:18" ht="12.75">
      <c r="A33" s="128">
        <v>1959</v>
      </c>
      <c r="B33" s="130">
        <v>5487.103954016406</v>
      </c>
      <c r="C33" s="130">
        <v>5077.539311146636</v>
      </c>
      <c r="D33" s="130">
        <v>4248.656318099083</v>
      </c>
      <c r="E33" s="130">
        <v>5211.834557581898</v>
      </c>
      <c r="F33" s="130">
        <v>4967.574055023171</v>
      </c>
      <c r="G33" s="130">
        <v>6247.170761390258</v>
      </c>
      <c r="H33" s="130">
        <v>12520.991555606444</v>
      </c>
      <c r="I33" s="130">
        <v>9570.987956676367</v>
      </c>
      <c r="J33" s="130">
        <v>6925.95462009723</v>
      </c>
      <c r="K33" s="130">
        <v>9014.311928350759</v>
      </c>
      <c r="L33" s="130">
        <v>6808.127667541212</v>
      </c>
      <c r="M33" s="130">
        <v>9145.913134111388</v>
      </c>
      <c r="N33" s="130">
        <v>11450.205874540705</v>
      </c>
      <c r="O33" s="130">
        <v>8159.940594481136</v>
      </c>
      <c r="P33" s="131"/>
      <c r="Q33" s="131"/>
      <c r="R33" s="131"/>
    </row>
    <row r="34" spans="1:18" ht="12.75">
      <c r="A34" s="128">
        <v>1960</v>
      </c>
      <c r="B34" s="130">
        <v>7388.686213141754</v>
      </c>
      <c r="C34" s="130">
        <v>6060.652024740343</v>
      </c>
      <c r="D34" s="130">
        <v>6269.098322225492</v>
      </c>
      <c r="E34" s="130">
        <v>7832.6098401052905</v>
      </c>
      <c r="F34" s="130">
        <v>6413.674071062878</v>
      </c>
      <c r="G34" s="130">
        <v>6392.392334494773</v>
      </c>
      <c r="H34" s="130">
        <v>10887.87324139759</v>
      </c>
      <c r="I34" s="130">
        <v>6525.08868501529</v>
      </c>
      <c r="J34" s="130">
        <v>6338.806114349966</v>
      </c>
      <c r="K34" s="130">
        <v>13239.674519891627</v>
      </c>
      <c r="L34" s="130">
        <v>9219.317712811695</v>
      </c>
      <c r="M34" s="130">
        <v>7005.755677266411</v>
      </c>
      <c r="N34" s="130">
        <v>7399.224085779252</v>
      </c>
      <c r="O34" s="130">
        <v>6893.90576748231</v>
      </c>
      <c r="P34" s="131"/>
      <c r="Q34" s="131"/>
      <c r="R34" s="131"/>
    </row>
    <row r="35" spans="1:18" ht="12.75">
      <c r="A35" s="128">
        <v>1961</v>
      </c>
      <c r="B35" s="130">
        <v>6808.147292716155</v>
      </c>
      <c r="C35" s="130">
        <v>4782.781080962608</v>
      </c>
      <c r="D35" s="130">
        <v>4407.74940726608</v>
      </c>
      <c r="E35" s="130">
        <v>5195.388167159627</v>
      </c>
      <c r="F35" s="130">
        <v>4727.757126453764</v>
      </c>
      <c r="G35" s="130">
        <v>4702.298666233582</v>
      </c>
      <c r="H35" s="130">
        <v>8773.764670839611</v>
      </c>
      <c r="I35" s="130">
        <v>10989.839807309985</v>
      </c>
      <c r="J35" s="130">
        <v>6743.352119227626</v>
      </c>
      <c r="K35" s="130">
        <v>8286.776269297672</v>
      </c>
      <c r="L35" s="130">
        <v>5510.34070730263</v>
      </c>
      <c r="M35" s="130">
        <v>10674.947726708377</v>
      </c>
      <c r="N35" s="130">
        <v>13211.605787044067</v>
      </c>
      <c r="O35" s="130">
        <v>6103.549737404309</v>
      </c>
      <c r="P35" s="131"/>
      <c r="Q35" s="131"/>
      <c r="R35" s="131"/>
    </row>
    <row r="36" spans="1:18" ht="12.75">
      <c r="A36" s="128">
        <v>1962</v>
      </c>
      <c r="B36" s="130">
        <v>5730.147858729793</v>
      </c>
      <c r="C36" s="130">
        <v>5137.247095318669</v>
      </c>
      <c r="D36" s="130">
        <v>4102.797799762565</v>
      </c>
      <c r="E36" s="130">
        <v>5033.704303712044</v>
      </c>
      <c r="F36" s="130">
        <v>4335.588001786335</v>
      </c>
      <c r="G36" s="130">
        <v>4868.902980220749</v>
      </c>
      <c r="H36" s="130">
        <v>8636.075991498996</v>
      </c>
      <c r="I36" s="130">
        <v>5649.53376332763</v>
      </c>
      <c r="J36" s="130">
        <v>4822.062834441381</v>
      </c>
      <c r="K36" s="130">
        <v>10210.297582114543</v>
      </c>
      <c r="L36" s="130">
        <v>9774.939018348541</v>
      </c>
      <c r="M36" s="130">
        <v>7320.004798891524</v>
      </c>
      <c r="N36" s="130">
        <v>6776.199945094622</v>
      </c>
      <c r="O36" s="130">
        <v>7209.645848704015</v>
      </c>
      <c r="P36" s="131"/>
      <c r="Q36" s="131"/>
      <c r="R36" s="131"/>
    </row>
    <row r="37" spans="1:18" ht="12.75">
      <c r="A37" s="128">
        <v>1963</v>
      </c>
      <c r="B37" s="130">
        <v>7050.9525243051075</v>
      </c>
      <c r="C37" s="130">
        <v>5812.745226068744</v>
      </c>
      <c r="D37" s="130">
        <v>4223.97672581261</v>
      </c>
      <c r="E37" s="130">
        <v>5666.4414519720685</v>
      </c>
      <c r="F37" s="130">
        <v>5112.994020076214</v>
      </c>
      <c r="G37" s="130">
        <v>6028.3618216815275</v>
      </c>
      <c r="H37" s="130">
        <v>9153.162045326046</v>
      </c>
      <c r="I37" s="130">
        <v>7165.862234201857</v>
      </c>
      <c r="J37" s="130">
        <v>4896.6253802001565</v>
      </c>
      <c r="K37" s="130">
        <v>6542.270711018691</v>
      </c>
      <c r="L37" s="130">
        <v>6299.337301133112</v>
      </c>
      <c r="M37" s="130">
        <v>6845.075413610515</v>
      </c>
      <c r="N37" s="130">
        <v>7379.380439658713</v>
      </c>
      <c r="O37" s="130">
        <v>7034.164491385474</v>
      </c>
      <c r="P37" s="131"/>
      <c r="Q37" s="131"/>
      <c r="R37" s="131"/>
    </row>
    <row r="38" spans="1:18" ht="12.75">
      <c r="A38" s="128">
        <v>1964</v>
      </c>
      <c r="B38" s="130">
        <v>6627.718644126492</v>
      </c>
      <c r="C38" s="130">
        <v>5790.064738116477</v>
      </c>
      <c r="D38" s="130">
        <v>5012.480309828068</v>
      </c>
      <c r="E38" s="130">
        <v>4962.916916027634</v>
      </c>
      <c r="F38" s="130">
        <v>4363.039126313193</v>
      </c>
      <c r="G38" s="130">
        <v>4756.7289652071795</v>
      </c>
      <c r="H38" s="130">
        <v>6294.082766323779</v>
      </c>
      <c r="I38" s="130">
        <v>9786.977967549103</v>
      </c>
      <c r="J38" s="130">
        <v>4657.487857441703</v>
      </c>
      <c r="K38" s="130">
        <v>7940.379396775456</v>
      </c>
      <c r="L38" s="130">
        <v>5823.2654821794395</v>
      </c>
      <c r="M38" s="130">
        <v>7315.09267105504</v>
      </c>
      <c r="N38" s="130">
        <v>12276.111424514711</v>
      </c>
      <c r="O38" s="130">
        <v>10666.034394482987</v>
      </c>
      <c r="P38" s="131"/>
      <c r="Q38" s="131"/>
      <c r="R38" s="131"/>
    </row>
    <row r="39" spans="1:18" ht="12.75">
      <c r="A39" s="128">
        <v>1965</v>
      </c>
      <c r="B39" s="130">
        <v>7404.326658268301</v>
      </c>
      <c r="C39" s="130">
        <v>6727.972957006892</v>
      </c>
      <c r="D39" s="130">
        <v>5367.208793022808</v>
      </c>
      <c r="E39" s="130">
        <v>5862.054431093556</v>
      </c>
      <c r="F39" s="130">
        <v>4697.873253091577</v>
      </c>
      <c r="G39" s="130">
        <v>8156.319030872119</v>
      </c>
      <c r="H39" s="130">
        <v>13759.840711917972</v>
      </c>
      <c r="I39" s="130">
        <v>10739.442309170574</v>
      </c>
      <c r="J39" s="130">
        <v>8296.04066583712</v>
      </c>
      <c r="K39" s="130">
        <v>7322.91381375559</v>
      </c>
      <c r="L39" s="130">
        <v>10865.742427656955</v>
      </c>
      <c r="M39" s="130">
        <v>10961.30657190481</v>
      </c>
      <c r="N39" s="130">
        <v>9285.450579218055</v>
      </c>
      <c r="O39" s="130">
        <v>6771.518597155324</v>
      </c>
      <c r="P39" s="131"/>
      <c r="Q39" s="131"/>
      <c r="R39" s="131"/>
    </row>
    <row r="40" spans="1:18" ht="12.75">
      <c r="A40" s="128">
        <v>1966</v>
      </c>
      <c r="B40" s="130">
        <v>7577.975221017877</v>
      </c>
      <c r="C40" s="130">
        <v>6325.30248677844</v>
      </c>
      <c r="D40" s="130">
        <v>4690.642909410216</v>
      </c>
      <c r="E40" s="130">
        <v>5550.334795525745</v>
      </c>
      <c r="F40" s="130">
        <v>4752.077044310131</v>
      </c>
      <c r="G40" s="130">
        <v>5388.227536511232</v>
      </c>
      <c r="H40" s="130">
        <v>7855.686717495143</v>
      </c>
      <c r="I40" s="130">
        <v>7537.21474084641</v>
      </c>
      <c r="J40" s="130">
        <v>4966.617712127916</v>
      </c>
      <c r="K40" s="130">
        <v>9844.057719824601</v>
      </c>
      <c r="L40" s="130">
        <v>6904.504022587537</v>
      </c>
      <c r="M40" s="130">
        <v>6415.4323157525905</v>
      </c>
      <c r="N40" s="130">
        <v>5946.740482329744</v>
      </c>
      <c r="O40" s="130">
        <v>7479.016763156912</v>
      </c>
      <c r="P40" s="131"/>
      <c r="Q40" s="131"/>
      <c r="R40" s="131"/>
    </row>
    <row r="41" spans="1:18" ht="12.75">
      <c r="A41" s="128">
        <v>1967</v>
      </c>
      <c r="B41" s="130">
        <v>7130.993693860491</v>
      </c>
      <c r="C41" s="130">
        <v>4963.753249444856</v>
      </c>
      <c r="D41" s="130">
        <v>4214.510527864092</v>
      </c>
      <c r="E41" s="130">
        <v>4863.356913816872</v>
      </c>
      <c r="F41" s="130">
        <v>4324.6722496845105</v>
      </c>
      <c r="G41" s="130">
        <v>5117.1571781835655</v>
      </c>
      <c r="H41" s="130">
        <v>10771.569842772611</v>
      </c>
      <c r="I41" s="130">
        <v>9374.493827160495</v>
      </c>
      <c r="J41" s="130">
        <v>6226.320983812588</v>
      </c>
      <c r="K41" s="130">
        <v>8048.023447575067</v>
      </c>
      <c r="L41" s="130">
        <v>4771.81598127973</v>
      </c>
      <c r="M41" s="130">
        <v>7721.175091725569</v>
      </c>
      <c r="N41" s="130">
        <v>11419.441311001436</v>
      </c>
      <c r="O41" s="130">
        <v>10570.120345860843</v>
      </c>
      <c r="P41" s="131"/>
      <c r="Q41" s="131"/>
      <c r="R41" s="131"/>
    </row>
    <row r="42" spans="1:18" ht="12.75">
      <c r="A42" s="128">
        <v>1968</v>
      </c>
      <c r="B42" s="130">
        <v>8075.532817690407</v>
      </c>
      <c r="C42" s="130">
        <v>6323.730540142679</v>
      </c>
      <c r="D42" s="130">
        <v>4818.501395076872</v>
      </c>
      <c r="E42" s="130">
        <v>5406.526670174252</v>
      </c>
      <c r="F42" s="130">
        <v>4649.84854845608</v>
      </c>
      <c r="G42" s="130">
        <v>5316.842101902695</v>
      </c>
      <c r="H42" s="130">
        <v>8948.631597452826</v>
      </c>
      <c r="I42" s="130">
        <v>9396.731291101307</v>
      </c>
      <c r="J42" s="130">
        <v>6536.930714331848</v>
      </c>
      <c r="K42" s="130">
        <v>5112.277468296195</v>
      </c>
      <c r="L42" s="130">
        <v>5309.015209623162</v>
      </c>
      <c r="M42" s="130">
        <v>5560.072654664012</v>
      </c>
      <c r="N42" s="130">
        <v>7643.3482734295685</v>
      </c>
      <c r="O42" s="130">
        <v>7160.477959844258</v>
      </c>
      <c r="P42" s="131"/>
      <c r="Q42" s="131"/>
      <c r="R42" s="131"/>
    </row>
    <row r="43" spans="1:18" ht="12.75">
      <c r="A43" s="128">
        <v>1969</v>
      </c>
      <c r="B43" s="130">
        <v>8428.16630079928</v>
      </c>
      <c r="C43" s="130">
        <v>6314.56620275771</v>
      </c>
      <c r="D43" s="130">
        <v>5632.854140214818</v>
      </c>
      <c r="E43" s="130">
        <v>5995.194177003649</v>
      </c>
      <c r="F43" s="130">
        <v>5442.535408840774</v>
      </c>
      <c r="G43" s="130">
        <v>5832.049703481399</v>
      </c>
      <c r="H43" s="130">
        <v>12458.480731097961</v>
      </c>
      <c r="I43" s="130">
        <v>9329.95680819912</v>
      </c>
      <c r="J43" s="130">
        <v>7323.6195847833915</v>
      </c>
      <c r="K43" s="130">
        <v>9909.06452479999</v>
      </c>
      <c r="L43" s="130">
        <v>10417.863796103587</v>
      </c>
      <c r="M43" s="130">
        <v>13902.450978202382</v>
      </c>
      <c r="N43" s="130">
        <v>9377.483080652797</v>
      </c>
      <c r="O43" s="130">
        <v>6938.845666165194</v>
      </c>
      <c r="P43" s="131"/>
      <c r="Q43" s="131"/>
      <c r="R43" s="131"/>
    </row>
    <row r="44" spans="1:18" ht="12.75">
      <c r="A44" s="128">
        <v>1970</v>
      </c>
      <c r="B44" s="130">
        <v>5617.432139671211</v>
      </c>
      <c r="C44" s="130">
        <v>4125.183071501982</v>
      </c>
      <c r="D44" s="130">
        <v>4229.060578852284</v>
      </c>
      <c r="E44" s="130">
        <v>5293.645309662378</v>
      </c>
      <c r="F44" s="130">
        <v>4321.975277793481</v>
      </c>
      <c r="G44" s="130">
        <v>4862.373098925631</v>
      </c>
      <c r="H44" s="130">
        <v>6500.5343358439595</v>
      </c>
      <c r="I44" s="130">
        <v>9774.085092348285</v>
      </c>
      <c r="J44" s="130">
        <v>5565.683069810798</v>
      </c>
      <c r="K44" s="130">
        <v>5900.912711197829</v>
      </c>
      <c r="L44" s="130">
        <v>6262.613851772288</v>
      </c>
      <c r="M44" s="130">
        <v>7136.599292715924</v>
      </c>
      <c r="N44" s="130">
        <v>8188.768015423907</v>
      </c>
      <c r="O44" s="130">
        <v>5991.096406745958</v>
      </c>
      <c r="P44" s="131"/>
      <c r="Q44" s="131"/>
      <c r="R44" s="131"/>
    </row>
    <row r="45" spans="1:18" ht="12.75">
      <c r="A45" s="128">
        <v>1971</v>
      </c>
      <c r="B45" s="130">
        <v>5696.377085108974</v>
      </c>
      <c r="C45" s="130">
        <v>4947.757577556776</v>
      </c>
      <c r="D45" s="130">
        <v>4185.236288611348</v>
      </c>
      <c r="E45" s="130">
        <v>4780.1263813563955</v>
      </c>
      <c r="F45" s="130">
        <v>4408.256798278696</v>
      </c>
      <c r="G45" s="130">
        <v>5741.070499131081</v>
      </c>
      <c r="H45" s="130">
        <v>11235.455242966751</v>
      </c>
      <c r="I45" s="130">
        <v>11774.99653003687</v>
      </c>
      <c r="J45" s="130">
        <v>8084.474657280844</v>
      </c>
      <c r="K45" s="130">
        <v>11046.315156520091</v>
      </c>
      <c r="L45" s="130">
        <v>10299.22218111183</v>
      </c>
      <c r="M45" s="130">
        <v>14842.919602308357</v>
      </c>
      <c r="N45" s="130">
        <v>11404.591075290966</v>
      </c>
      <c r="O45" s="130">
        <v>8754.960962751782</v>
      </c>
      <c r="P45" s="131"/>
      <c r="Q45" s="131"/>
      <c r="R45" s="131"/>
    </row>
    <row r="46" spans="1:18" ht="12.75">
      <c r="A46" s="128">
        <v>1972</v>
      </c>
      <c r="B46" s="130">
        <v>8253.83033331052</v>
      </c>
      <c r="C46" s="130">
        <v>7575.703370786517</v>
      </c>
      <c r="D46" s="130">
        <v>5140.239509319051</v>
      </c>
      <c r="E46" s="130">
        <v>5219.935735972934</v>
      </c>
      <c r="F46" s="130">
        <v>4687.375712080328</v>
      </c>
      <c r="G46" s="130">
        <v>5432.198153019671</v>
      </c>
      <c r="H46" s="130">
        <v>10997.245443064852</v>
      </c>
      <c r="I46" s="130">
        <v>10861.608535742494</v>
      </c>
      <c r="J46" s="130">
        <v>14010.508945285908</v>
      </c>
      <c r="K46" s="130">
        <v>12250.976934926373</v>
      </c>
      <c r="L46" s="130">
        <v>7786.910669601603</v>
      </c>
      <c r="M46" s="130">
        <v>14170.543018383858</v>
      </c>
      <c r="N46" s="130">
        <v>13679.858302056113</v>
      </c>
      <c r="O46" s="130">
        <v>11661.58867532551</v>
      </c>
      <c r="P46" s="131"/>
      <c r="Q46" s="131"/>
      <c r="R46" s="131"/>
    </row>
    <row r="47" spans="1:18" ht="12.75">
      <c r="A47" s="128">
        <v>1973</v>
      </c>
      <c r="B47" s="130">
        <v>8456.857926379074</v>
      </c>
      <c r="C47" s="130">
        <v>8053.761666175458</v>
      </c>
      <c r="D47" s="130">
        <v>5282.215235180034</v>
      </c>
      <c r="E47" s="130">
        <v>5397.495933061324</v>
      </c>
      <c r="F47" s="130">
        <v>4480.087161672439</v>
      </c>
      <c r="G47" s="130">
        <v>5981.944614822266</v>
      </c>
      <c r="H47" s="130">
        <v>6552.966408577414</v>
      </c>
      <c r="I47" s="130">
        <v>5766.859615151881</v>
      </c>
      <c r="J47" s="130">
        <v>4836.91983371288</v>
      </c>
      <c r="K47" s="130">
        <v>4766.232933573167</v>
      </c>
      <c r="L47" s="130">
        <v>4571.196215328237</v>
      </c>
      <c r="M47" s="130">
        <v>5395.536770921386</v>
      </c>
      <c r="N47" s="130">
        <v>5315.442202195733</v>
      </c>
      <c r="O47" s="130">
        <v>5875.898410553015</v>
      </c>
      <c r="P47" s="131"/>
      <c r="Q47" s="131"/>
      <c r="R47" s="131"/>
    </row>
    <row r="48" spans="1:18" ht="12.75">
      <c r="A48" s="128">
        <v>1974</v>
      </c>
      <c r="B48" s="130">
        <v>5454.420548626418</v>
      </c>
      <c r="C48" s="130">
        <v>4103.837534059946</v>
      </c>
      <c r="D48" s="130">
        <v>3988.584684158339</v>
      </c>
      <c r="E48" s="130">
        <v>4624.16158580662</v>
      </c>
      <c r="F48" s="130">
        <v>4798.150793715807</v>
      </c>
      <c r="G48" s="130">
        <v>7250.04879431578</v>
      </c>
      <c r="H48" s="130">
        <v>15212.591889040377</v>
      </c>
      <c r="I48" s="130">
        <v>12237.922544080604</v>
      </c>
      <c r="J48" s="130">
        <v>11154.76479374227</v>
      </c>
      <c r="K48" s="130">
        <v>10818.467497995553</v>
      </c>
      <c r="L48" s="130">
        <v>11974.605304612121</v>
      </c>
      <c r="M48" s="130">
        <v>14071.678325270532</v>
      </c>
      <c r="N48" s="130">
        <v>15830.401564740152</v>
      </c>
      <c r="O48" s="130">
        <v>12525.23995160414</v>
      </c>
      <c r="P48" s="131"/>
      <c r="Q48" s="131"/>
      <c r="R48" s="131"/>
    </row>
    <row r="49" spans="1:18" ht="12.75">
      <c r="A49" s="128">
        <v>1975</v>
      </c>
      <c r="B49" s="130">
        <v>7346.11073917854</v>
      </c>
      <c r="C49" s="130">
        <v>6894.314686939077</v>
      </c>
      <c r="D49" s="130">
        <v>4820.817648434024</v>
      </c>
      <c r="E49" s="130">
        <v>4816.447671520149</v>
      </c>
      <c r="F49" s="130">
        <v>4328.9233184312125</v>
      </c>
      <c r="G49" s="130">
        <v>5060.3629953313675</v>
      </c>
      <c r="H49" s="130">
        <v>7786.522659192186</v>
      </c>
      <c r="I49" s="130">
        <v>8732.290749686885</v>
      </c>
      <c r="J49" s="130">
        <v>8117.897312966548</v>
      </c>
      <c r="K49" s="130">
        <v>7671.110105131705</v>
      </c>
      <c r="L49" s="130">
        <v>6739.93538352176</v>
      </c>
      <c r="M49" s="130">
        <v>9005.099964155135</v>
      </c>
      <c r="N49" s="130">
        <v>9795.907719358205</v>
      </c>
      <c r="O49" s="130">
        <v>10765.909232655264</v>
      </c>
      <c r="P49" s="131"/>
      <c r="Q49" s="131"/>
      <c r="R49" s="131"/>
    </row>
    <row r="50" spans="1:18" ht="12.75">
      <c r="A50" s="128">
        <v>1976</v>
      </c>
      <c r="B50" s="130">
        <v>5892.747236270299</v>
      </c>
      <c r="C50" s="130">
        <v>5821.50113722517</v>
      </c>
      <c r="D50" s="130">
        <v>4382.715484701807</v>
      </c>
      <c r="E50" s="130">
        <v>5726.644804498734</v>
      </c>
      <c r="F50" s="130">
        <v>5679.494310956841</v>
      </c>
      <c r="G50" s="130">
        <v>8542.010461257674</v>
      </c>
      <c r="H50" s="130">
        <v>12745.780173816605</v>
      </c>
      <c r="I50" s="130">
        <v>9911.054349548407</v>
      </c>
      <c r="J50" s="130">
        <v>6773.630447259747</v>
      </c>
      <c r="K50" s="130">
        <v>11866.216880110596</v>
      </c>
      <c r="L50" s="130">
        <v>9789.009067519297</v>
      </c>
      <c r="M50" s="130">
        <v>13182.421642163468</v>
      </c>
      <c r="N50" s="130">
        <v>7450.502051181872</v>
      </c>
      <c r="O50" s="130">
        <v>9646.56707498762</v>
      </c>
      <c r="P50" s="131"/>
      <c r="Q50" s="131"/>
      <c r="R50" s="131"/>
    </row>
    <row r="51" spans="1:18" ht="12.75">
      <c r="A51" s="128">
        <v>1977</v>
      </c>
      <c r="B51" s="130">
        <v>10408.940363446505</v>
      </c>
      <c r="C51" s="130">
        <v>9408.454113779562</v>
      </c>
      <c r="D51" s="130">
        <v>7738.233016103971</v>
      </c>
      <c r="E51" s="130">
        <v>5148.222593570569</v>
      </c>
      <c r="F51" s="130">
        <v>4320.02499652826</v>
      </c>
      <c r="G51" s="130">
        <v>5043.111014969013</v>
      </c>
      <c r="H51" s="130">
        <v>4738.083666017526</v>
      </c>
      <c r="I51" s="130">
        <v>5660.55662088624</v>
      </c>
      <c r="J51" s="130">
        <v>3896.719086606463</v>
      </c>
      <c r="K51" s="130">
        <v>4672.27150124784</v>
      </c>
      <c r="L51" s="130">
        <v>5099.082562852051</v>
      </c>
      <c r="M51" s="130">
        <v>5321.405702930652</v>
      </c>
      <c r="N51" s="130">
        <v>5145.929642175758</v>
      </c>
      <c r="O51" s="130">
        <v>5042.622216674812</v>
      </c>
      <c r="P51" s="131"/>
      <c r="Q51" s="131"/>
      <c r="R51" s="131"/>
    </row>
    <row r="52" spans="1:18" ht="12.75">
      <c r="A52" s="128">
        <v>1978</v>
      </c>
      <c r="B52" s="130">
        <v>5140.438470003415</v>
      </c>
      <c r="C52" s="130">
        <v>4451.747030092957</v>
      </c>
      <c r="D52" s="130">
        <v>3757.534982358321</v>
      </c>
      <c r="E52" s="130">
        <v>4311.314706815071</v>
      </c>
      <c r="F52" s="130">
        <v>4650.561827481754</v>
      </c>
      <c r="G52" s="130">
        <v>5490.996348669987</v>
      </c>
      <c r="H52" s="130">
        <v>7494.448828802776</v>
      </c>
      <c r="I52" s="130">
        <v>6122.3354228121925</v>
      </c>
      <c r="J52" s="130">
        <v>7506.116178024734</v>
      </c>
      <c r="K52" s="130">
        <v>9394.569287601244</v>
      </c>
      <c r="L52" s="130">
        <v>7463.0263877415055</v>
      </c>
      <c r="M52" s="130">
        <v>8527.224966473665</v>
      </c>
      <c r="N52" s="130">
        <v>6830.52834030999</v>
      </c>
      <c r="O52" s="130">
        <v>6487.260948629398</v>
      </c>
      <c r="P52" s="131"/>
      <c r="Q52" s="131"/>
      <c r="R52" s="131"/>
    </row>
    <row r="53" spans="2:15" ht="12.75">
      <c r="B53" s="1"/>
      <c r="C53" s="1"/>
      <c r="D53" s="1"/>
      <c r="E53" s="1"/>
      <c r="F53" s="1"/>
      <c r="G53" s="1"/>
      <c r="H53" s="1"/>
      <c r="I53" s="1"/>
      <c r="J53" s="1"/>
      <c r="K53" s="1"/>
      <c r="L53" s="1"/>
      <c r="M53" s="1"/>
      <c r="N53" s="1"/>
      <c r="O53" s="1"/>
    </row>
    <row r="54" spans="2:15" ht="12.75">
      <c r="B54" s="36"/>
      <c r="C54" s="36"/>
      <c r="D54" s="36"/>
      <c r="E54" s="36"/>
      <c r="F54" s="36"/>
      <c r="G54" s="36"/>
      <c r="H54" s="36"/>
      <c r="I54" s="36"/>
      <c r="J54" s="36"/>
      <c r="K54" s="36"/>
      <c r="L54" s="36"/>
      <c r="M54" s="36"/>
      <c r="N54" s="36"/>
      <c r="O54" s="36"/>
    </row>
    <row r="55" spans="2:15" ht="12.75">
      <c r="B55" s="2"/>
      <c r="C55" s="2"/>
      <c r="D55" s="2"/>
      <c r="E55" s="2"/>
      <c r="F55" s="2"/>
      <c r="G55" s="2"/>
      <c r="H55" s="2"/>
      <c r="I55" s="2"/>
      <c r="J55" s="2"/>
      <c r="K55" s="2"/>
      <c r="L55" s="2"/>
      <c r="M55" s="2"/>
      <c r="N55" s="2"/>
      <c r="O55" s="2"/>
    </row>
    <row r="56" spans="2:15" ht="12.75">
      <c r="B56" s="1"/>
      <c r="C56" s="1"/>
      <c r="D56" s="1"/>
      <c r="E56" s="1"/>
      <c r="F56" s="1"/>
      <c r="G56" s="1"/>
      <c r="H56" s="1"/>
      <c r="I56" s="1"/>
      <c r="J56" s="1"/>
      <c r="K56" s="1"/>
      <c r="L56" s="1"/>
      <c r="M56" s="1"/>
      <c r="N56" s="1"/>
      <c r="O56" s="1"/>
    </row>
    <row r="57" spans="2:15" ht="12.75">
      <c r="B57" s="1"/>
      <c r="C57" s="1"/>
      <c r="D57" s="1"/>
      <c r="E57" s="1"/>
      <c r="F57" s="1"/>
      <c r="G57" s="1"/>
      <c r="H57" s="1"/>
      <c r="I57" s="1"/>
      <c r="J57" s="1"/>
      <c r="K57" s="1"/>
      <c r="L57" s="1"/>
      <c r="M57" s="1"/>
      <c r="N57" s="1"/>
      <c r="O57" s="1"/>
    </row>
    <row r="58" spans="2:15" ht="12.75">
      <c r="B58" s="1"/>
      <c r="C58" s="1"/>
      <c r="D58" s="1"/>
      <c r="E58" s="1"/>
      <c r="F58" s="1"/>
      <c r="G58" s="1"/>
      <c r="H58" s="1"/>
      <c r="I58" s="1"/>
      <c r="J58" s="1"/>
      <c r="K58" s="1"/>
      <c r="L58" s="1"/>
      <c r="M58" s="1"/>
      <c r="N58" s="1"/>
      <c r="O58" s="1"/>
    </row>
    <row r="59" spans="2:15" ht="12.75">
      <c r="B59" s="1"/>
      <c r="C59" s="1"/>
      <c r="D59" s="1"/>
      <c r="E59" s="1"/>
      <c r="F59" s="1"/>
      <c r="G59" s="1"/>
      <c r="H59" s="1"/>
      <c r="I59" s="1"/>
      <c r="J59" s="1"/>
      <c r="K59" s="1"/>
      <c r="L59" s="1"/>
      <c r="M59" s="1"/>
      <c r="N59" s="1"/>
      <c r="O59" s="1"/>
    </row>
    <row r="60" spans="2:15" ht="12.75">
      <c r="B60" s="1"/>
      <c r="C60" s="1"/>
      <c r="D60" s="1"/>
      <c r="E60" s="1"/>
      <c r="F60" s="1"/>
      <c r="G60" s="1"/>
      <c r="H60" s="1"/>
      <c r="I60" s="1"/>
      <c r="J60" s="1"/>
      <c r="K60" s="1"/>
      <c r="L60" s="1"/>
      <c r="M60" s="1"/>
      <c r="N60" s="1"/>
      <c r="O60" s="1"/>
    </row>
    <row r="61" spans="2:15" ht="12.75">
      <c r="B61" s="1"/>
      <c r="C61" s="1"/>
      <c r="D61" s="1"/>
      <c r="E61" s="1"/>
      <c r="F61" s="1"/>
      <c r="G61" s="1"/>
      <c r="H61" s="1"/>
      <c r="I61" s="1"/>
      <c r="J61" s="1"/>
      <c r="K61" s="1"/>
      <c r="L61" s="1"/>
      <c r="M61" s="1"/>
      <c r="N61" s="1"/>
      <c r="O61" s="1"/>
    </row>
    <row r="62" spans="2:15" ht="12.75">
      <c r="B62" s="1"/>
      <c r="C62" s="1"/>
      <c r="D62" s="1"/>
      <c r="E62" s="1"/>
      <c r="F62" s="1"/>
      <c r="G62" s="1"/>
      <c r="H62" s="1"/>
      <c r="I62" s="1"/>
      <c r="J62" s="1"/>
      <c r="K62" s="1"/>
      <c r="L62" s="1"/>
      <c r="M62" s="1"/>
      <c r="N62" s="1"/>
      <c r="O62" s="1"/>
    </row>
    <row r="63" spans="2:15" ht="12.75">
      <c r="B63" s="1"/>
      <c r="C63" s="1"/>
      <c r="D63" s="1"/>
      <c r="E63" s="1"/>
      <c r="F63" s="1"/>
      <c r="G63" s="1"/>
      <c r="H63" s="1"/>
      <c r="I63" s="1"/>
      <c r="J63" s="1"/>
      <c r="K63" s="1"/>
      <c r="L63" s="1"/>
      <c r="M63" s="1"/>
      <c r="N63" s="1"/>
      <c r="O63" s="1"/>
    </row>
    <row r="64" spans="2:15" ht="12.75">
      <c r="B64" s="1"/>
      <c r="C64" s="1"/>
      <c r="D64" s="1"/>
      <c r="E64" s="1"/>
      <c r="F64" s="1"/>
      <c r="G64" s="1"/>
      <c r="H64" s="1"/>
      <c r="I64" s="1"/>
      <c r="J64" s="1"/>
      <c r="K64" s="1"/>
      <c r="L64" s="1"/>
      <c r="M64" s="1"/>
      <c r="N64" s="1"/>
      <c r="O64" s="1"/>
    </row>
    <row r="65" spans="2:15" ht="12.75">
      <c r="B65" s="1"/>
      <c r="C65" s="1"/>
      <c r="D65" s="1"/>
      <c r="E65" s="1"/>
      <c r="F65" s="1"/>
      <c r="G65" s="1"/>
      <c r="H65" s="1"/>
      <c r="I65" s="1"/>
      <c r="J65" s="1"/>
      <c r="K65" s="1"/>
      <c r="L65" s="1"/>
      <c r="M65" s="1"/>
      <c r="N65" s="1"/>
      <c r="O65" s="1"/>
    </row>
    <row r="66" spans="2:15" ht="12.75">
      <c r="B66" s="1"/>
      <c r="C66" s="1"/>
      <c r="D66" s="1"/>
      <c r="E66" s="1"/>
      <c r="F66" s="1"/>
      <c r="G66" s="1"/>
      <c r="H66" s="1"/>
      <c r="I66" s="1"/>
      <c r="J66" s="1"/>
      <c r="K66" s="1"/>
      <c r="L66" s="1"/>
      <c r="M66" s="1"/>
      <c r="N66" s="1"/>
      <c r="O66" s="1"/>
    </row>
    <row r="67" spans="2:15" ht="12.75">
      <c r="B67" s="1"/>
      <c r="C67" s="1"/>
      <c r="D67" s="1"/>
      <c r="E67" s="1"/>
      <c r="F67" s="1"/>
      <c r="G67" s="1"/>
      <c r="H67" s="1"/>
      <c r="I67" s="1"/>
      <c r="J67" s="1"/>
      <c r="K67" s="1"/>
      <c r="L67" s="1"/>
      <c r="M67" s="1"/>
      <c r="N67" s="1"/>
      <c r="O67" s="1"/>
    </row>
    <row r="68" spans="2:15" ht="12.75">
      <c r="B68" s="1"/>
      <c r="C68" s="1"/>
      <c r="D68" s="1"/>
      <c r="E68" s="1"/>
      <c r="F68" s="1"/>
      <c r="G68" s="1"/>
      <c r="H68" s="1"/>
      <c r="I68" s="1"/>
      <c r="J68" s="1"/>
      <c r="K68" s="1"/>
      <c r="L68" s="1"/>
      <c r="M68" s="1"/>
      <c r="N68" s="1"/>
      <c r="O68" s="1"/>
    </row>
    <row r="69" spans="2:15" ht="12.75">
      <c r="B69" s="1"/>
      <c r="C69" s="1"/>
      <c r="D69" s="1"/>
      <c r="E69" s="1"/>
      <c r="F69" s="1"/>
      <c r="G69" s="1"/>
      <c r="H69" s="1"/>
      <c r="I69" s="1"/>
      <c r="J69" s="1"/>
      <c r="K69" s="1"/>
      <c r="L69" s="1"/>
      <c r="M69" s="1"/>
      <c r="N69" s="1"/>
      <c r="O69" s="1"/>
    </row>
    <row r="70" spans="2:15" ht="12.75">
      <c r="B70" s="1"/>
      <c r="C70" s="1"/>
      <c r="D70" s="1"/>
      <c r="E70" s="1"/>
      <c r="F70" s="1"/>
      <c r="G70" s="1"/>
      <c r="H70" s="1"/>
      <c r="I70" s="1"/>
      <c r="J70" s="1"/>
      <c r="K70" s="1"/>
      <c r="L70" s="1"/>
      <c r="M70" s="1"/>
      <c r="N70" s="1"/>
      <c r="O70" s="1"/>
    </row>
    <row r="71" spans="2:15" ht="12.75">
      <c r="B71" s="1"/>
      <c r="C71" s="1"/>
      <c r="D71" s="1"/>
      <c r="E71" s="1"/>
      <c r="F71" s="1"/>
      <c r="G71" s="1"/>
      <c r="H71" s="1"/>
      <c r="I71" s="1"/>
      <c r="J71" s="1"/>
      <c r="K71" s="1"/>
      <c r="L71" s="1"/>
      <c r="M71" s="1"/>
      <c r="N71" s="1"/>
      <c r="O71" s="1"/>
    </row>
    <row r="72" spans="2:15" ht="12.75">
      <c r="B72" s="1"/>
      <c r="C72" s="1"/>
      <c r="D72" s="1"/>
      <c r="E72" s="1"/>
      <c r="F72" s="1"/>
      <c r="G72" s="1"/>
      <c r="H72" s="1"/>
      <c r="I72" s="1"/>
      <c r="J72" s="1"/>
      <c r="K72" s="1"/>
      <c r="L72" s="1"/>
      <c r="M72" s="1"/>
      <c r="N72" s="1"/>
      <c r="O72" s="1"/>
    </row>
    <row r="73" spans="2:15" ht="12.75">
      <c r="B73" s="1"/>
      <c r="C73" s="1"/>
      <c r="D73" s="1"/>
      <c r="E73" s="1"/>
      <c r="F73" s="1"/>
      <c r="G73" s="1"/>
      <c r="H73" s="1"/>
      <c r="I73" s="1"/>
      <c r="J73" s="1"/>
      <c r="K73" s="1"/>
      <c r="L73" s="1"/>
      <c r="M73" s="1"/>
      <c r="N73" s="1"/>
      <c r="O73" s="1"/>
    </row>
    <row r="74" spans="2:15" ht="12.75">
      <c r="B74" s="1"/>
      <c r="C74" s="1"/>
      <c r="D74" s="1"/>
      <c r="E74" s="1"/>
      <c r="F74" s="1"/>
      <c r="G74" s="1"/>
      <c r="H74" s="1"/>
      <c r="I74" s="1"/>
      <c r="J74" s="1"/>
      <c r="K74" s="1"/>
      <c r="L74" s="1"/>
      <c r="M74" s="1"/>
      <c r="N74" s="1"/>
      <c r="O74" s="1"/>
    </row>
    <row r="75" spans="2:15" ht="12.75">
      <c r="B75" s="1"/>
      <c r="C75" s="1"/>
      <c r="D75" s="1"/>
      <c r="E75" s="1"/>
      <c r="F75" s="1"/>
      <c r="G75" s="1"/>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
      <c r="E77" s="1"/>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row r="86" spans="2:15" ht="12.75">
      <c r="B86" s="1"/>
      <c r="C86" s="1"/>
      <c r="D86" s="1"/>
      <c r="E86" s="1"/>
      <c r="F86" s="1"/>
      <c r="G86" s="1"/>
      <c r="H86" s="1"/>
      <c r="I86" s="1"/>
      <c r="J86" s="1"/>
      <c r="K86" s="1"/>
      <c r="L86" s="1"/>
      <c r="M86" s="1"/>
      <c r="N86" s="1"/>
      <c r="O86" s="1"/>
    </row>
    <row r="87" spans="2:15" ht="12.75">
      <c r="B87" s="1"/>
      <c r="C87" s="1"/>
      <c r="D87" s="1"/>
      <c r="E87" s="1"/>
      <c r="F87" s="1"/>
      <c r="G87" s="1"/>
      <c r="H87" s="1"/>
      <c r="I87" s="1"/>
      <c r="J87" s="1"/>
      <c r="K87" s="1"/>
      <c r="L87" s="1"/>
      <c r="M87" s="1"/>
      <c r="N87" s="1"/>
      <c r="O87" s="1"/>
    </row>
    <row r="88" spans="2:15" ht="12.75">
      <c r="B88" s="1"/>
      <c r="C88" s="1"/>
      <c r="D88" s="1"/>
      <c r="E88" s="1"/>
      <c r="F88" s="1"/>
      <c r="G88" s="1"/>
      <c r="H88" s="1"/>
      <c r="I88" s="1"/>
      <c r="J88" s="1"/>
      <c r="K88" s="1"/>
      <c r="L88" s="1"/>
      <c r="M88" s="1"/>
      <c r="N88" s="1"/>
      <c r="O88" s="1"/>
    </row>
    <row r="89" spans="2:15" ht="12.75">
      <c r="B89" s="1"/>
      <c r="C89" s="1"/>
      <c r="D89" s="1"/>
      <c r="E89" s="1"/>
      <c r="F89" s="1"/>
      <c r="G89" s="1"/>
      <c r="H89" s="1"/>
      <c r="I89" s="1"/>
      <c r="J89" s="1"/>
      <c r="K89" s="1"/>
      <c r="L89" s="1"/>
      <c r="M89" s="1"/>
      <c r="N89" s="1"/>
      <c r="O89" s="1"/>
    </row>
    <row r="90" spans="2:15" ht="12.75">
      <c r="B90" s="1"/>
      <c r="C90" s="1"/>
      <c r="D90" s="1"/>
      <c r="E90" s="1"/>
      <c r="F90" s="1"/>
      <c r="G90" s="1"/>
      <c r="H90" s="1"/>
      <c r="I90" s="1"/>
      <c r="J90" s="1"/>
      <c r="K90" s="1"/>
      <c r="L90" s="1"/>
      <c r="M90" s="1"/>
      <c r="N90" s="1"/>
      <c r="O90" s="1"/>
    </row>
    <row r="91" spans="2:15" ht="12.75">
      <c r="B91" s="1"/>
      <c r="C91" s="1"/>
      <c r="D91" s="1"/>
      <c r="E91" s="1"/>
      <c r="F91" s="1"/>
      <c r="G91" s="1"/>
      <c r="H91" s="1"/>
      <c r="I91" s="1"/>
      <c r="J91" s="1"/>
      <c r="K91" s="1"/>
      <c r="L91" s="1"/>
      <c r="M91" s="1"/>
      <c r="N91" s="1"/>
      <c r="O91" s="1"/>
    </row>
    <row r="92" spans="2:15" ht="12.75">
      <c r="B92" s="1"/>
      <c r="C92" s="1"/>
      <c r="D92" s="1"/>
      <c r="E92" s="1"/>
      <c r="F92" s="1"/>
      <c r="G92" s="1"/>
      <c r="H92" s="1"/>
      <c r="I92" s="1"/>
      <c r="J92" s="1"/>
      <c r="K92" s="1"/>
      <c r="L92" s="1"/>
      <c r="M92" s="1"/>
      <c r="N92" s="1"/>
      <c r="O92" s="1"/>
    </row>
    <row r="93" spans="2:15" ht="12.75">
      <c r="B93" s="1"/>
      <c r="C93" s="1"/>
      <c r="D93" s="1"/>
      <c r="E93" s="1"/>
      <c r="F93" s="1"/>
      <c r="G93" s="1"/>
      <c r="H93" s="1"/>
      <c r="I93" s="1"/>
      <c r="J93" s="1"/>
      <c r="K93" s="1"/>
      <c r="L93" s="1"/>
      <c r="M93" s="1"/>
      <c r="N93" s="1"/>
      <c r="O93" s="1"/>
    </row>
    <row r="94" spans="2:15" ht="12.75">
      <c r="B94" s="1"/>
      <c r="C94" s="1"/>
      <c r="D94" s="1"/>
      <c r="E94" s="1"/>
      <c r="F94" s="1"/>
      <c r="G94" s="1"/>
      <c r="H94" s="1"/>
      <c r="I94" s="1"/>
      <c r="J94" s="1"/>
      <c r="K94" s="1"/>
      <c r="L94" s="1"/>
      <c r="M94" s="1"/>
      <c r="N94" s="1"/>
      <c r="O94" s="1"/>
    </row>
    <row r="95" spans="2:15" ht="12.75">
      <c r="B95" s="1"/>
      <c r="C95" s="1"/>
      <c r="D95" s="1"/>
      <c r="E95" s="1"/>
      <c r="F95" s="1"/>
      <c r="G95" s="1"/>
      <c r="H95" s="1"/>
      <c r="I95" s="1"/>
      <c r="J95" s="1"/>
      <c r="K95" s="1"/>
      <c r="L95" s="1"/>
      <c r="M95" s="1"/>
      <c r="N95" s="1"/>
      <c r="O95" s="1"/>
    </row>
    <row r="96" spans="2:15" ht="12.75">
      <c r="B96" s="1"/>
      <c r="C96" s="1"/>
      <c r="D96" s="1"/>
      <c r="E96" s="1"/>
      <c r="F96" s="1"/>
      <c r="G96" s="1"/>
      <c r="H96" s="1"/>
      <c r="I96" s="1"/>
      <c r="J96" s="1"/>
      <c r="K96" s="1"/>
      <c r="L96" s="1"/>
      <c r="M96" s="1"/>
      <c r="N96" s="1"/>
      <c r="O96" s="1"/>
    </row>
    <row r="97" spans="2:15" ht="12.75">
      <c r="B97" s="1"/>
      <c r="C97" s="1"/>
      <c r="D97" s="1"/>
      <c r="E97" s="1"/>
      <c r="F97" s="1"/>
      <c r="G97" s="1"/>
      <c r="H97" s="1"/>
      <c r="I97" s="1"/>
      <c r="J97" s="1"/>
      <c r="K97" s="1"/>
      <c r="L97" s="1"/>
      <c r="M97" s="1"/>
      <c r="N97" s="1"/>
      <c r="O97" s="1"/>
    </row>
    <row r="98" spans="2:15" ht="12.75">
      <c r="B98" s="1"/>
      <c r="C98" s="1"/>
      <c r="D98" s="1"/>
      <c r="E98" s="1"/>
      <c r="F98" s="1"/>
      <c r="G98" s="1"/>
      <c r="H98" s="1"/>
      <c r="I98" s="1"/>
      <c r="J98" s="1"/>
      <c r="K98" s="1"/>
      <c r="L98" s="1"/>
      <c r="M98" s="1"/>
      <c r="N98" s="1"/>
      <c r="O98" s="1"/>
    </row>
    <row r="99" spans="2:15" ht="12.75">
      <c r="B99" s="1"/>
      <c r="C99" s="1"/>
      <c r="D99" s="1"/>
      <c r="E99" s="1"/>
      <c r="F99" s="1"/>
      <c r="G99" s="1"/>
      <c r="H99" s="1"/>
      <c r="I99" s="1"/>
      <c r="J99" s="1"/>
      <c r="K99" s="1"/>
      <c r="L99" s="1"/>
      <c r="M99" s="1"/>
      <c r="N99" s="1"/>
      <c r="O99" s="1"/>
    </row>
    <row r="100" spans="2:15" ht="12.75">
      <c r="B100" s="1"/>
      <c r="C100" s="1"/>
      <c r="D100" s="1"/>
      <c r="E100" s="1"/>
      <c r="F100" s="1"/>
      <c r="G100" s="1"/>
      <c r="H100" s="1"/>
      <c r="I100" s="1"/>
      <c r="J100" s="1"/>
      <c r="K100" s="1"/>
      <c r="L100" s="1"/>
      <c r="M100" s="1"/>
      <c r="N100" s="1"/>
      <c r="O100" s="1"/>
    </row>
    <row r="101" spans="2:15" ht="12.75">
      <c r="B101" s="1"/>
      <c r="C101" s="1"/>
      <c r="D101" s="1"/>
      <c r="E101" s="1"/>
      <c r="F101" s="1"/>
      <c r="G101" s="1"/>
      <c r="H101" s="1"/>
      <c r="I101" s="1"/>
      <c r="J101" s="1"/>
      <c r="K101" s="1"/>
      <c r="L101" s="1"/>
      <c r="M101" s="1"/>
      <c r="N101" s="1"/>
      <c r="O101" s="1"/>
    </row>
    <row r="102" spans="2:15" ht="12.75">
      <c r="B102" s="1"/>
      <c r="C102" s="1"/>
      <c r="D102" s="1"/>
      <c r="E102" s="1"/>
      <c r="F102" s="1"/>
      <c r="G102" s="1"/>
      <c r="H102" s="1"/>
      <c r="I102" s="1"/>
      <c r="J102" s="1"/>
      <c r="K102" s="1"/>
      <c r="L102" s="1"/>
      <c r="M102" s="1"/>
      <c r="N102" s="1"/>
      <c r="O102" s="1"/>
    </row>
    <row r="103" spans="2:15" ht="12.75">
      <c r="B103" s="1"/>
      <c r="C103" s="1"/>
      <c r="D103" s="1"/>
      <c r="E103" s="1"/>
      <c r="F103" s="1"/>
      <c r="G103" s="1"/>
      <c r="H103" s="1"/>
      <c r="I103" s="1"/>
      <c r="J103" s="1"/>
      <c r="K103" s="1"/>
      <c r="L103" s="1"/>
      <c r="M103" s="1"/>
      <c r="N103" s="1"/>
      <c r="O103" s="1"/>
    </row>
    <row r="104" spans="2:15" ht="12.75">
      <c r="B104" s="1"/>
      <c r="C104" s="1"/>
      <c r="D104" s="1"/>
      <c r="E104" s="1"/>
      <c r="F104" s="1"/>
      <c r="G104" s="1"/>
      <c r="H104" s="1"/>
      <c r="I104" s="1"/>
      <c r="J104" s="1"/>
      <c r="K104" s="1"/>
      <c r="L104" s="1"/>
      <c r="M104" s="1"/>
      <c r="N104" s="1"/>
      <c r="O104" s="1"/>
    </row>
    <row r="105" spans="2:15" ht="12.75">
      <c r="B105" s="1"/>
      <c r="C105" s="1"/>
      <c r="D105" s="1"/>
      <c r="E105" s="1"/>
      <c r="F105" s="1"/>
      <c r="G105" s="1"/>
      <c r="H105" s="1"/>
      <c r="I105" s="1"/>
      <c r="J105" s="1"/>
      <c r="K105" s="1"/>
      <c r="L105" s="1"/>
      <c r="M105" s="1"/>
      <c r="N105" s="1"/>
      <c r="O105" s="1"/>
    </row>
    <row r="106" spans="2:19" ht="12.75">
      <c r="B106" s="1"/>
      <c r="C106" s="1"/>
      <c r="D106" s="1"/>
      <c r="E106" s="1"/>
      <c r="F106" s="1"/>
      <c r="G106" s="1"/>
      <c r="H106" s="1"/>
      <c r="I106" s="1"/>
      <c r="J106" s="1"/>
      <c r="K106" s="1"/>
      <c r="L106" s="1"/>
      <c r="M106" s="1"/>
      <c r="N106" s="1"/>
      <c r="O106" s="1"/>
      <c r="P106" s="1"/>
      <c r="Q106" s="1"/>
      <c r="R106" s="1"/>
      <c r="S106" s="1"/>
    </row>
    <row r="107" spans="2:15" ht="12.75">
      <c r="B107" s="1"/>
      <c r="C107" s="1"/>
      <c r="D107" s="1"/>
      <c r="E107" s="1"/>
      <c r="F107" s="1"/>
      <c r="G107" s="1"/>
      <c r="H107" s="1"/>
      <c r="I107" s="1"/>
      <c r="J107" s="1"/>
      <c r="K107" s="1"/>
      <c r="L107" s="1"/>
      <c r="M107" s="1"/>
      <c r="N107" s="1"/>
      <c r="O107" s="1"/>
    </row>
    <row r="108" spans="2:15" ht="12.75">
      <c r="B108" s="1"/>
      <c r="C108" s="1"/>
      <c r="D108" s="1"/>
      <c r="E108" s="1"/>
      <c r="F108" s="1"/>
      <c r="G108" s="1"/>
      <c r="H108" s="1"/>
      <c r="I108" s="1"/>
      <c r="J108" s="1"/>
      <c r="K108" s="1"/>
      <c r="L108" s="1"/>
      <c r="M108" s="1"/>
      <c r="N108" s="1"/>
      <c r="O108" s="1"/>
    </row>
    <row r="109" spans="2:15" ht="12.75">
      <c r="B109" s="1"/>
      <c r="C109" s="1"/>
      <c r="D109" s="1"/>
      <c r="E109" s="1"/>
      <c r="F109" s="1"/>
      <c r="G109" s="1"/>
      <c r="H109" s="1"/>
      <c r="I109" s="1"/>
      <c r="J109" s="1"/>
      <c r="K109" s="1"/>
      <c r="L109" s="1"/>
      <c r="M109" s="1"/>
      <c r="N109" s="1"/>
      <c r="O109" s="1"/>
    </row>
    <row r="110" spans="2:15" ht="12.75">
      <c r="B110" s="1"/>
      <c r="C110" s="1"/>
      <c r="D110" s="1"/>
      <c r="E110" s="1"/>
      <c r="F110" s="1"/>
      <c r="G110" s="1"/>
      <c r="H110" s="1"/>
      <c r="I110" s="1"/>
      <c r="J110" s="1"/>
      <c r="K110" s="1"/>
      <c r="L110" s="1"/>
      <c r="M110" s="1"/>
      <c r="N110" s="1"/>
      <c r="O110" s="1"/>
    </row>
    <row r="111" spans="2:15" ht="12.75">
      <c r="B111" s="1"/>
      <c r="C111" s="1"/>
      <c r="D111" s="1"/>
      <c r="E111" s="1"/>
      <c r="F111" s="1"/>
      <c r="G111" s="1"/>
      <c r="H111" s="1"/>
      <c r="I111" s="1"/>
      <c r="J111" s="1"/>
      <c r="K111" s="1"/>
      <c r="L111" s="1"/>
      <c r="M111" s="1"/>
      <c r="N111" s="1"/>
      <c r="O111" s="1"/>
    </row>
    <row r="112" spans="2:15" ht="12.75">
      <c r="B112" s="1"/>
      <c r="C112" s="1"/>
      <c r="D112" s="1"/>
      <c r="E112" s="1"/>
      <c r="F112" s="1"/>
      <c r="G112" s="1"/>
      <c r="H112" s="1"/>
      <c r="I112" s="1"/>
      <c r="J112" s="1"/>
      <c r="K112" s="1"/>
      <c r="L112" s="1"/>
      <c r="M112" s="1"/>
      <c r="N112" s="1"/>
      <c r="O112" s="1"/>
    </row>
    <row r="113" spans="2:15" ht="12.75">
      <c r="B113" s="1"/>
      <c r="C113" s="1"/>
      <c r="D113" s="1"/>
      <c r="E113" s="1"/>
      <c r="F113" s="1"/>
      <c r="G113" s="1"/>
      <c r="H113" s="1"/>
      <c r="I113" s="1"/>
      <c r="J113" s="1"/>
      <c r="K113" s="1"/>
      <c r="L113" s="1"/>
      <c r="M113" s="1"/>
      <c r="N113" s="1"/>
      <c r="O113" s="1"/>
    </row>
    <row r="114" spans="2:15" ht="12.75">
      <c r="B114" s="1"/>
      <c r="C114" s="1"/>
      <c r="D114" s="1"/>
      <c r="E114" s="1"/>
      <c r="F114" s="1"/>
      <c r="G114" s="1"/>
      <c r="H114" s="1"/>
      <c r="I114" s="1"/>
      <c r="J114" s="1"/>
      <c r="K114" s="1"/>
      <c r="L114" s="1"/>
      <c r="M114" s="1"/>
      <c r="N114" s="1"/>
      <c r="O114" s="1"/>
    </row>
    <row r="115" spans="2:15" ht="12.75">
      <c r="B115" s="1"/>
      <c r="C115" s="1"/>
      <c r="D115" s="1"/>
      <c r="E115" s="1"/>
      <c r="F115" s="1"/>
      <c r="G115" s="1"/>
      <c r="H115" s="1"/>
      <c r="I115" s="1"/>
      <c r="J115" s="1"/>
      <c r="K115" s="1"/>
      <c r="L115" s="1"/>
      <c r="M115" s="1"/>
      <c r="N115" s="1"/>
      <c r="O115" s="1"/>
    </row>
    <row r="116" spans="2:15" ht="12.75">
      <c r="B116" s="1"/>
      <c r="C116" s="1"/>
      <c r="D116" s="1"/>
      <c r="E116" s="1"/>
      <c r="F116" s="1"/>
      <c r="G116" s="1"/>
      <c r="H116" s="1"/>
      <c r="I116" s="1"/>
      <c r="J116" s="1"/>
      <c r="K116" s="1"/>
      <c r="L116" s="1"/>
      <c r="M116" s="1"/>
      <c r="N116" s="1"/>
      <c r="O116" s="1"/>
    </row>
    <row r="117" spans="2:15" ht="12.75">
      <c r="B117" s="1"/>
      <c r="C117" s="1"/>
      <c r="D117" s="1"/>
      <c r="E117" s="1"/>
      <c r="F117" s="1"/>
      <c r="G117" s="1"/>
      <c r="H117" s="1"/>
      <c r="I117" s="1"/>
      <c r="J117" s="1"/>
      <c r="K117" s="1"/>
      <c r="L117" s="1"/>
      <c r="M117" s="1"/>
      <c r="N117" s="1"/>
      <c r="O117" s="1"/>
    </row>
    <row r="118" spans="2:15" ht="12.75">
      <c r="B118" s="1"/>
      <c r="C118" s="1"/>
      <c r="D118" s="1"/>
      <c r="E118" s="1"/>
      <c r="F118" s="1"/>
      <c r="G118" s="1"/>
      <c r="H118" s="1"/>
      <c r="I118" s="1"/>
      <c r="J118" s="1"/>
      <c r="K118" s="1"/>
      <c r="L118" s="1"/>
      <c r="M118" s="1"/>
      <c r="N118" s="1"/>
      <c r="O118" s="1"/>
    </row>
    <row r="119" spans="2:15" ht="12.75">
      <c r="B119" s="1"/>
      <c r="C119" s="1"/>
      <c r="D119" s="1"/>
      <c r="E119" s="1"/>
      <c r="F119" s="1"/>
      <c r="G119" s="1"/>
      <c r="H119" s="1"/>
      <c r="I119" s="1"/>
      <c r="J119" s="1"/>
      <c r="K119" s="1"/>
      <c r="L119" s="1"/>
      <c r="M119" s="1"/>
      <c r="N119" s="1"/>
      <c r="O119" s="1"/>
    </row>
    <row r="120" spans="2:15" ht="12.75">
      <c r="B120" s="1"/>
      <c r="C120" s="1"/>
      <c r="D120" s="1"/>
      <c r="E120" s="1"/>
      <c r="F120" s="1"/>
      <c r="G120" s="1"/>
      <c r="H120" s="1"/>
      <c r="I120" s="1"/>
      <c r="J120" s="1"/>
      <c r="K120" s="1"/>
      <c r="L120" s="1"/>
      <c r="M120" s="1"/>
      <c r="N120" s="1"/>
      <c r="O120" s="1"/>
    </row>
    <row r="121" spans="2:15" ht="12.75">
      <c r="B121" s="1"/>
      <c r="C121" s="1"/>
      <c r="D121" s="1"/>
      <c r="E121" s="1"/>
      <c r="F121" s="1"/>
      <c r="G121" s="1"/>
      <c r="H121" s="1"/>
      <c r="I121" s="1"/>
      <c r="J121" s="1"/>
      <c r="K121" s="1"/>
      <c r="L121" s="1"/>
      <c r="M121" s="1"/>
      <c r="N121" s="1"/>
      <c r="O121" s="1"/>
    </row>
    <row r="122" spans="2:15" ht="12.75">
      <c r="B122" s="1"/>
      <c r="C122" s="1"/>
      <c r="D122" s="1"/>
      <c r="E122" s="1"/>
      <c r="F122" s="1"/>
      <c r="G122" s="1"/>
      <c r="H122" s="1"/>
      <c r="I122" s="1"/>
      <c r="J122" s="1"/>
      <c r="K122" s="1"/>
      <c r="L122" s="1"/>
      <c r="M122" s="1"/>
      <c r="N122" s="1"/>
      <c r="O122" s="1"/>
    </row>
    <row r="123" spans="2:15" ht="12.75">
      <c r="B123" s="1"/>
      <c r="C123" s="1"/>
      <c r="D123" s="1"/>
      <c r="E123" s="1"/>
      <c r="F123" s="1"/>
      <c r="G123" s="1"/>
      <c r="H123" s="1"/>
      <c r="I123" s="1"/>
      <c r="J123" s="1"/>
      <c r="K123" s="1"/>
      <c r="L123" s="1"/>
      <c r="M123" s="1"/>
      <c r="N123" s="1"/>
      <c r="O123" s="1"/>
    </row>
    <row r="124" spans="2:15" ht="12.75">
      <c r="B124" s="1"/>
      <c r="C124" s="1"/>
      <c r="D124" s="1"/>
      <c r="E124" s="1"/>
      <c r="F124" s="1"/>
      <c r="G124" s="1"/>
      <c r="H124" s="1"/>
      <c r="I124" s="1"/>
      <c r="J124" s="1"/>
      <c r="K124" s="1"/>
      <c r="L124" s="1"/>
      <c r="M124" s="1"/>
      <c r="N124" s="1"/>
      <c r="O124" s="1"/>
    </row>
    <row r="125" spans="2:15" ht="12.75">
      <c r="B125" s="1"/>
      <c r="C125" s="1"/>
      <c r="D125" s="1"/>
      <c r="E125" s="1"/>
      <c r="F125" s="1"/>
      <c r="G125" s="1"/>
      <c r="H125" s="1"/>
      <c r="I125" s="1"/>
      <c r="J125" s="1"/>
      <c r="K125" s="1"/>
      <c r="L125" s="1"/>
      <c r="M125" s="1"/>
      <c r="N125" s="1"/>
      <c r="O125" s="1"/>
    </row>
    <row r="126" spans="2:15" ht="12.75">
      <c r="B126" s="1"/>
      <c r="C126" s="1"/>
      <c r="D126" s="1"/>
      <c r="E126" s="1"/>
      <c r="F126" s="1"/>
      <c r="G126" s="1"/>
      <c r="H126" s="1"/>
      <c r="I126" s="1"/>
      <c r="J126" s="1"/>
      <c r="K126" s="1"/>
      <c r="L126" s="1"/>
      <c r="M126" s="1"/>
      <c r="N126" s="1"/>
      <c r="O126" s="1"/>
    </row>
    <row r="127" spans="2:15" ht="12.75">
      <c r="B127" s="1"/>
      <c r="C127" s="1"/>
      <c r="D127" s="1"/>
      <c r="E127" s="1"/>
      <c r="F127" s="1"/>
      <c r="G127" s="1"/>
      <c r="H127" s="1"/>
      <c r="I127" s="1"/>
      <c r="J127" s="1"/>
      <c r="K127" s="1"/>
      <c r="L127" s="1"/>
      <c r="M127" s="1"/>
      <c r="N127" s="1"/>
      <c r="O127" s="1"/>
    </row>
    <row r="128" spans="2:15" ht="12.75">
      <c r="B128" s="1"/>
      <c r="C128" s="1"/>
      <c r="D128" s="1"/>
      <c r="E128" s="1"/>
      <c r="F128" s="1"/>
      <c r="G128" s="1"/>
      <c r="H128" s="1"/>
      <c r="I128" s="1"/>
      <c r="J128" s="1"/>
      <c r="K128" s="1"/>
      <c r="L128" s="1"/>
      <c r="M128" s="1"/>
      <c r="N128" s="1"/>
      <c r="O128" s="1"/>
    </row>
    <row r="129" spans="2:15" ht="12.75">
      <c r="B129" s="1"/>
      <c r="C129" s="1"/>
      <c r="D129" s="1"/>
      <c r="E129" s="1"/>
      <c r="F129" s="1"/>
      <c r="G129" s="1"/>
      <c r="H129" s="1"/>
      <c r="I129" s="1"/>
      <c r="J129" s="1"/>
      <c r="K129" s="1"/>
      <c r="L129" s="1"/>
      <c r="M129" s="1"/>
      <c r="N129" s="1"/>
      <c r="O129" s="1"/>
    </row>
    <row r="130" spans="2:15" ht="12.75">
      <c r="B130" s="1"/>
      <c r="C130" s="1"/>
      <c r="D130" s="1"/>
      <c r="E130" s="1"/>
      <c r="F130" s="1"/>
      <c r="G130" s="1"/>
      <c r="H130" s="1"/>
      <c r="I130" s="1"/>
      <c r="J130" s="1"/>
      <c r="K130" s="1"/>
      <c r="L130" s="1"/>
      <c r="M130" s="1"/>
      <c r="N130" s="1"/>
      <c r="O130" s="1"/>
    </row>
    <row r="131" spans="2:15" ht="12.75">
      <c r="B131" s="1"/>
      <c r="C131" s="1"/>
      <c r="D131" s="1"/>
      <c r="E131" s="1"/>
      <c r="F131" s="1"/>
      <c r="G131" s="1"/>
      <c r="H131" s="1"/>
      <c r="I131" s="1"/>
      <c r="J131" s="1"/>
      <c r="K131" s="1"/>
      <c r="L131" s="1"/>
      <c r="M131" s="1"/>
      <c r="N131" s="1"/>
      <c r="O131" s="1"/>
    </row>
    <row r="132" spans="2:15" ht="12.75">
      <c r="B132" s="1"/>
      <c r="C132" s="1"/>
      <c r="D132" s="1"/>
      <c r="E132" s="1"/>
      <c r="F132" s="1"/>
      <c r="G132" s="1"/>
      <c r="H132" s="1"/>
      <c r="I132" s="1"/>
      <c r="J132" s="1"/>
      <c r="K132" s="1"/>
      <c r="L132" s="1"/>
      <c r="M132" s="1"/>
      <c r="N132" s="1"/>
      <c r="O132" s="1"/>
    </row>
    <row r="133" spans="2:15" ht="12.75">
      <c r="B133" s="1"/>
      <c r="C133" s="1"/>
      <c r="D133" s="1"/>
      <c r="E133" s="1"/>
      <c r="F133" s="1"/>
      <c r="G133" s="1"/>
      <c r="H133" s="1"/>
      <c r="I133" s="1"/>
      <c r="J133" s="1"/>
      <c r="K133" s="1"/>
      <c r="L133" s="1"/>
      <c r="M133" s="1"/>
      <c r="N133" s="1"/>
      <c r="O133" s="1"/>
    </row>
    <row r="134" spans="2:15" ht="12.75">
      <c r="B134" s="1"/>
      <c r="C134" s="1"/>
      <c r="D134" s="1"/>
      <c r="E134" s="1"/>
      <c r="F134" s="1"/>
      <c r="G134" s="1"/>
      <c r="H134" s="1"/>
      <c r="I134" s="1"/>
      <c r="J134" s="1"/>
      <c r="K134" s="1"/>
      <c r="L134" s="1"/>
      <c r="M134" s="1"/>
      <c r="N134" s="1"/>
      <c r="O134" s="1"/>
    </row>
    <row r="135" spans="2:15" ht="12.75">
      <c r="B135" s="1"/>
      <c r="C135" s="1"/>
      <c r="D135" s="1"/>
      <c r="E135" s="1"/>
      <c r="F135" s="1"/>
      <c r="G135" s="1"/>
      <c r="H135" s="1"/>
      <c r="I135" s="1"/>
      <c r="J135" s="1"/>
      <c r="K135" s="1"/>
      <c r="L135" s="1"/>
      <c r="M135" s="1"/>
      <c r="N135" s="1"/>
      <c r="O135" s="1"/>
    </row>
    <row r="136" spans="2:15" ht="12.75">
      <c r="B136" s="1"/>
      <c r="C136" s="1"/>
      <c r="D136" s="1"/>
      <c r="E136" s="1"/>
      <c r="F136" s="1"/>
      <c r="G136" s="1"/>
      <c r="H136" s="1"/>
      <c r="I136" s="1"/>
      <c r="J136" s="1"/>
      <c r="K136" s="1"/>
      <c r="L136" s="1"/>
      <c r="M136" s="1"/>
      <c r="N136" s="1"/>
      <c r="O136" s="1"/>
    </row>
    <row r="137" spans="2:15" ht="12.75">
      <c r="B137" s="1"/>
      <c r="C137" s="1"/>
      <c r="D137" s="1"/>
      <c r="E137" s="1"/>
      <c r="F137" s="1"/>
      <c r="G137" s="1"/>
      <c r="H137" s="1"/>
      <c r="I137" s="1"/>
      <c r="J137" s="1"/>
      <c r="K137" s="1"/>
      <c r="L137" s="1"/>
      <c r="M137" s="1"/>
      <c r="N137" s="1"/>
      <c r="O137" s="1"/>
    </row>
    <row r="138" spans="2:15" ht="12.75">
      <c r="B138" s="1"/>
      <c r="C138" s="1"/>
      <c r="D138" s="1"/>
      <c r="E138" s="1"/>
      <c r="F138" s="1"/>
      <c r="G138" s="1"/>
      <c r="H138" s="1"/>
      <c r="I138" s="1"/>
      <c r="J138" s="1"/>
      <c r="K138" s="1"/>
      <c r="L138" s="1"/>
      <c r="M138" s="1"/>
      <c r="N138" s="1"/>
      <c r="O138" s="1"/>
    </row>
    <row r="139" spans="2:15" ht="12.75">
      <c r="B139" s="1"/>
      <c r="C139" s="1"/>
      <c r="D139" s="1"/>
      <c r="E139" s="1"/>
      <c r="F139" s="1"/>
      <c r="G139" s="1"/>
      <c r="H139" s="1"/>
      <c r="I139" s="1"/>
      <c r="J139" s="1"/>
      <c r="K139" s="1"/>
      <c r="L139" s="1"/>
      <c r="M139" s="1"/>
      <c r="N139" s="1"/>
      <c r="O139" s="1"/>
    </row>
    <row r="140" spans="2:15" ht="12.75">
      <c r="B140" s="1"/>
      <c r="C140" s="1"/>
      <c r="D140" s="1"/>
      <c r="E140" s="1"/>
      <c r="F140" s="1"/>
      <c r="G140" s="1"/>
      <c r="H140" s="1"/>
      <c r="I140" s="1"/>
      <c r="J140" s="1"/>
      <c r="K140" s="1"/>
      <c r="L140" s="1"/>
      <c r="M140" s="1"/>
      <c r="N140" s="1"/>
      <c r="O140" s="1"/>
    </row>
    <row r="141" spans="2:15" ht="12.75">
      <c r="B141" s="1"/>
      <c r="C141" s="1"/>
      <c r="D141" s="1"/>
      <c r="E141" s="1"/>
      <c r="F141" s="1"/>
      <c r="G141" s="1"/>
      <c r="H141" s="1"/>
      <c r="I141" s="1"/>
      <c r="J141" s="1"/>
      <c r="K141" s="1"/>
      <c r="L141" s="1"/>
      <c r="M141" s="1"/>
      <c r="N141" s="1"/>
      <c r="O141" s="1"/>
    </row>
    <row r="142" spans="2:15" ht="12.75">
      <c r="B142" s="1"/>
      <c r="C142" s="1"/>
      <c r="D142" s="1"/>
      <c r="E142" s="1"/>
      <c r="F142" s="1"/>
      <c r="G142" s="1"/>
      <c r="H142" s="1"/>
      <c r="I142" s="1"/>
      <c r="J142" s="1"/>
      <c r="K142" s="1"/>
      <c r="L142" s="1"/>
      <c r="M142" s="1"/>
      <c r="N142" s="1"/>
      <c r="O142" s="1"/>
    </row>
    <row r="143" spans="2:15" ht="12.75">
      <c r="B143" s="1"/>
      <c r="C143" s="1"/>
      <c r="D143" s="1"/>
      <c r="E143" s="1"/>
      <c r="F143" s="1"/>
      <c r="G143" s="1"/>
      <c r="H143" s="1"/>
      <c r="I143" s="1"/>
      <c r="J143" s="1"/>
      <c r="K143" s="1"/>
      <c r="L143" s="1"/>
      <c r="M143" s="1"/>
      <c r="N143" s="1"/>
      <c r="O143" s="1"/>
    </row>
    <row r="144" spans="2:15" ht="12.75">
      <c r="B144" s="1"/>
      <c r="C144" s="1"/>
      <c r="D144" s="1"/>
      <c r="E144" s="1"/>
      <c r="F144" s="1"/>
      <c r="G144" s="1"/>
      <c r="H144" s="1"/>
      <c r="I144" s="1"/>
      <c r="J144" s="1"/>
      <c r="K144" s="1"/>
      <c r="L144" s="1"/>
      <c r="M144" s="1"/>
      <c r="N144" s="1"/>
      <c r="O144" s="1"/>
    </row>
    <row r="145" spans="2:15" ht="12.75">
      <c r="B145" s="1"/>
      <c r="C145" s="1"/>
      <c r="D145" s="1"/>
      <c r="E145" s="1"/>
      <c r="F145" s="1"/>
      <c r="G145" s="1"/>
      <c r="H145" s="1"/>
      <c r="I145" s="1"/>
      <c r="J145" s="1"/>
      <c r="K145" s="1"/>
      <c r="L145" s="1"/>
      <c r="M145" s="1"/>
      <c r="N145" s="1"/>
      <c r="O145" s="1"/>
    </row>
    <row r="146" spans="2:15" ht="12.75">
      <c r="B146" s="1"/>
      <c r="C146" s="1"/>
      <c r="D146" s="1"/>
      <c r="E146" s="1"/>
      <c r="F146" s="1"/>
      <c r="G146" s="1"/>
      <c r="H146" s="1"/>
      <c r="I146" s="1"/>
      <c r="J146" s="1"/>
      <c r="K146" s="1"/>
      <c r="L146" s="1"/>
      <c r="M146" s="1"/>
      <c r="N146" s="1"/>
      <c r="O146" s="1"/>
    </row>
    <row r="147" spans="2:15" ht="12.75">
      <c r="B147" s="1"/>
      <c r="C147" s="1"/>
      <c r="D147" s="1"/>
      <c r="E147" s="1"/>
      <c r="F147" s="1"/>
      <c r="G147" s="1"/>
      <c r="H147" s="1"/>
      <c r="I147" s="1"/>
      <c r="J147" s="1"/>
      <c r="K147" s="1"/>
      <c r="L147" s="1"/>
      <c r="M147" s="1"/>
      <c r="N147" s="1"/>
      <c r="O147" s="1"/>
    </row>
    <row r="148" spans="2:15" ht="12.75">
      <c r="B148" s="1"/>
      <c r="C148" s="1"/>
      <c r="D148" s="1"/>
      <c r="E148" s="1"/>
      <c r="F148" s="1"/>
      <c r="G148" s="1"/>
      <c r="H148" s="1"/>
      <c r="I148" s="1"/>
      <c r="J148" s="1"/>
      <c r="K148" s="1"/>
      <c r="L148" s="1"/>
      <c r="M148" s="1"/>
      <c r="N148" s="1"/>
      <c r="O148" s="1"/>
    </row>
    <row r="149" spans="2:15" ht="12.75">
      <c r="B149" s="1"/>
      <c r="C149" s="1"/>
      <c r="D149" s="1"/>
      <c r="E149" s="1"/>
      <c r="F149" s="1"/>
      <c r="G149" s="1"/>
      <c r="H149" s="1"/>
      <c r="I149" s="1"/>
      <c r="J149" s="1"/>
      <c r="K149" s="1"/>
      <c r="L149" s="1"/>
      <c r="M149" s="1"/>
      <c r="N149" s="1"/>
      <c r="O149" s="1"/>
    </row>
    <row r="150" spans="2:15" ht="12.75">
      <c r="B150" s="1"/>
      <c r="C150" s="1"/>
      <c r="D150" s="1"/>
      <c r="E150" s="1"/>
      <c r="F150" s="1"/>
      <c r="G150" s="1"/>
      <c r="H150" s="1"/>
      <c r="I150" s="1"/>
      <c r="J150" s="1"/>
      <c r="K150" s="1"/>
      <c r="L150" s="1"/>
      <c r="M150" s="1"/>
      <c r="N150" s="1"/>
      <c r="O150" s="1"/>
    </row>
    <row r="151" spans="2:15" ht="12.75">
      <c r="B151" s="1"/>
      <c r="C151" s="1"/>
      <c r="D151" s="1"/>
      <c r="E151" s="1"/>
      <c r="F151" s="1"/>
      <c r="G151" s="1"/>
      <c r="H151" s="1"/>
      <c r="I151" s="1"/>
      <c r="J151" s="1"/>
      <c r="K151" s="1"/>
      <c r="L151" s="1"/>
      <c r="M151" s="1"/>
      <c r="N151" s="1"/>
      <c r="O151" s="1"/>
    </row>
    <row r="152" spans="2:15" ht="12.75">
      <c r="B152" s="1"/>
      <c r="C152" s="1"/>
      <c r="D152" s="1"/>
      <c r="E152" s="1"/>
      <c r="F152" s="1"/>
      <c r="G152" s="1"/>
      <c r="H152" s="1"/>
      <c r="I152" s="1"/>
      <c r="J152" s="1"/>
      <c r="K152" s="1"/>
      <c r="L152" s="1"/>
      <c r="M152" s="1"/>
      <c r="N152" s="1"/>
      <c r="O152" s="1"/>
    </row>
    <row r="153" spans="2:15" ht="12.75">
      <c r="B153" s="1"/>
      <c r="C153" s="1"/>
      <c r="D153" s="1"/>
      <c r="E153" s="1"/>
      <c r="F153" s="1"/>
      <c r="G153" s="1"/>
      <c r="H153" s="1"/>
      <c r="I153" s="1"/>
      <c r="J153" s="1"/>
      <c r="K153" s="1"/>
      <c r="L153" s="1"/>
      <c r="M153" s="1"/>
      <c r="N153" s="1"/>
      <c r="O153" s="1"/>
    </row>
    <row r="154" spans="2:15" ht="12.75">
      <c r="B154" s="1"/>
      <c r="C154" s="1"/>
      <c r="D154" s="1"/>
      <c r="E154" s="1"/>
      <c r="F154" s="1"/>
      <c r="G154" s="1"/>
      <c r="H154" s="1"/>
      <c r="I154" s="1"/>
      <c r="J154" s="1"/>
      <c r="K154" s="1"/>
      <c r="L154" s="1"/>
      <c r="M154" s="1"/>
      <c r="N154" s="1"/>
      <c r="O154" s="1"/>
    </row>
    <row r="155" spans="2:15" ht="12.75">
      <c r="B155" s="1"/>
      <c r="C155" s="1"/>
      <c r="D155" s="1"/>
      <c r="E155" s="1"/>
      <c r="F155" s="1"/>
      <c r="G155" s="1"/>
      <c r="H155" s="1"/>
      <c r="I155" s="1"/>
      <c r="J155" s="1"/>
      <c r="K155" s="1"/>
      <c r="L155" s="1"/>
      <c r="M155" s="1"/>
      <c r="N155" s="1"/>
      <c r="O155" s="1"/>
    </row>
    <row r="156" spans="2:15" ht="12.75">
      <c r="B156" s="1"/>
      <c r="C156" s="1"/>
      <c r="D156" s="1"/>
      <c r="E156" s="1"/>
      <c r="F156" s="1"/>
      <c r="G156" s="1"/>
      <c r="H156" s="1"/>
      <c r="I156" s="1"/>
      <c r="J156" s="1"/>
      <c r="K156" s="1"/>
      <c r="L156" s="1"/>
      <c r="M156" s="1"/>
      <c r="N156" s="1"/>
      <c r="O156" s="1"/>
    </row>
    <row r="157" spans="2:15" ht="12.75">
      <c r="B157" s="1"/>
      <c r="C157" s="1"/>
      <c r="D157" s="1"/>
      <c r="E157" s="1"/>
      <c r="F157" s="1"/>
      <c r="G157" s="1"/>
      <c r="H157" s="1"/>
      <c r="I157" s="1"/>
      <c r="J157" s="1"/>
      <c r="K157" s="1"/>
      <c r="L157" s="1"/>
      <c r="M157" s="1"/>
      <c r="N157" s="1"/>
      <c r="O157" s="1"/>
    </row>
    <row r="158" spans="2:15" ht="12.75">
      <c r="B158" s="1"/>
      <c r="C158" s="1"/>
      <c r="D158" s="1"/>
      <c r="E158" s="1"/>
      <c r="F158" s="1"/>
      <c r="G158" s="1"/>
      <c r="H158" s="1"/>
      <c r="I158" s="1"/>
      <c r="J158" s="1"/>
      <c r="K158" s="1"/>
      <c r="L158" s="1"/>
      <c r="M158" s="1"/>
      <c r="N158" s="1"/>
      <c r="O158" s="1"/>
    </row>
    <row r="159" spans="2:15" ht="12.75">
      <c r="B159" s="1"/>
      <c r="C159" s="1"/>
      <c r="D159" s="1"/>
      <c r="E159" s="1"/>
      <c r="F159" s="1"/>
      <c r="G159" s="1"/>
      <c r="H159" s="1"/>
      <c r="I159" s="1"/>
      <c r="J159" s="1"/>
      <c r="K159" s="1"/>
      <c r="L159" s="1"/>
      <c r="M159" s="1"/>
      <c r="N159" s="1"/>
      <c r="O159" s="1"/>
    </row>
    <row r="160" spans="2:15" ht="12.75">
      <c r="B160" s="1"/>
      <c r="C160" s="1"/>
      <c r="D160" s="1"/>
      <c r="E160" s="1"/>
      <c r="F160" s="1"/>
      <c r="G160" s="1"/>
      <c r="H160" s="1"/>
      <c r="I160" s="1"/>
      <c r="J160" s="1"/>
      <c r="K160" s="1"/>
      <c r="L160" s="1"/>
      <c r="M160" s="1"/>
      <c r="N160" s="1"/>
      <c r="O160" s="1"/>
    </row>
    <row r="161" spans="2:15" ht="12.75">
      <c r="B161" s="1"/>
      <c r="C161" s="1"/>
      <c r="D161" s="1"/>
      <c r="E161" s="1"/>
      <c r="F161" s="1"/>
      <c r="G161" s="1"/>
      <c r="H161" s="1"/>
      <c r="I161" s="1"/>
      <c r="J161" s="1"/>
      <c r="K161" s="1"/>
      <c r="L161" s="1"/>
      <c r="M161" s="1"/>
      <c r="N161" s="1"/>
      <c r="O161" s="1"/>
    </row>
    <row r="162" spans="2:15" ht="12.75">
      <c r="B162" s="1"/>
      <c r="C162" s="1"/>
      <c r="D162" s="1"/>
      <c r="E162" s="1"/>
      <c r="F162" s="1"/>
      <c r="G162" s="1"/>
      <c r="H162" s="1"/>
      <c r="I162" s="1"/>
      <c r="J162" s="1"/>
      <c r="K162" s="1"/>
      <c r="L162" s="1"/>
      <c r="M162" s="1"/>
      <c r="N162" s="1"/>
      <c r="O162" s="1"/>
    </row>
    <row r="163" spans="2:15" ht="12.75">
      <c r="B163" s="1"/>
      <c r="C163" s="1"/>
      <c r="D163" s="1"/>
      <c r="E163" s="1"/>
      <c r="F163" s="1"/>
      <c r="G163" s="1"/>
      <c r="H163" s="1"/>
      <c r="I163" s="1"/>
      <c r="J163" s="1"/>
      <c r="K163" s="1"/>
      <c r="L163" s="1"/>
      <c r="M163" s="1"/>
      <c r="N163" s="1"/>
      <c r="O163" s="1"/>
    </row>
    <row r="164" spans="2:15" ht="12.75">
      <c r="B164" s="1"/>
      <c r="C164" s="1"/>
      <c r="D164" s="1"/>
      <c r="E164" s="1"/>
      <c r="F164" s="1"/>
      <c r="G164" s="1"/>
      <c r="H164" s="1"/>
      <c r="I164" s="1"/>
      <c r="J164" s="1"/>
      <c r="K164" s="1"/>
      <c r="L164" s="1"/>
      <c r="M164" s="1"/>
      <c r="N164" s="1"/>
      <c r="O164" s="1"/>
    </row>
    <row r="165" spans="2:15" ht="12.75">
      <c r="B165" s="1"/>
      <c r="C165" s="1"/>
      <c r="D165" s="1"/>
      <c r="E165" s="1"/>
      <c r="F165" s="1"/>
      <c r="G165" s="1"/>
      <c r="H165" s="1"/>
      <c r="I165" s="1"/>
      <c r="J165" s="1"/>
      <c r="K165" s="1"/>
      <c r="L165" s="1"/>
      <c r="M165" s="1"/>
      <c r="N165" s="1"/>
      <c r="O165" s="1"/>
    </row>
    <row r="166" spans="2:15" ht="12.75">
      <c r="B166" s="1"/>
      <c r="C166" s="1"/>
      <c r="D166" s="1"/>
      <c r="E166" s="1"/>
      <c r="F166" s="1"/>
      <c r="G166" s="1"/>
      <c r="H166" s="1"/>
      <c r="I166" s="1"/>
      <c r="J166" s="1"/>
      <c r="K166" s="1"/>
      <c r="L166" s="1"/>
      <c r="M166" s="1"/>
      <c r="N166" s="1"/>
      <c r="O166" s="1"/>
    </row>
    <row r="167" spans="2:15" ht="12.75">
      <c r="B167" s="1"/>
      <c r="C167" s="1"/>
      <c r="D167" s="1"/>
      <c r="E167" s="1"/>
      <c r="F167" s="1"/>
      <c r="G167" s="1"/>
      <c r="H167" s="1"/>
      <c r="I167" s="1"/>
      <c r="J167" s="1"/>
      <c r="K167" s="1"/>
      <c r="L167" s="1"/>
      <c r="M167" s="1"/>
      <c r="N167" s="1"/>
      <c r="O167" s="1"/>
    </row>
    <row r="168" spans="2:15" ht="12.75">
      <c r="B168" s="1"/>
      <c r="C168" s="1"/>
      <c r="D168" s="1"/>
      <c r="E168" s="1"/>
      <c r="F168" s="1"/>
      <c r="G168" s="1"/>
      <c r="H168" s="1"/>
      <c r="I168" s="1"/>
      <c r="J168" s="1"/>
      <c r="K168" s="1"/>
      <c r="L168" s="1"/>
      <c r="M168" s="1"/>
      <c r="N168" s="1"/>
      <c r="O168" s="1"/>
    </row>
    <row r="169" spans="2:15" ht="12.75">
      <c r="B169" s="1"/>
      <c r="C169" s="1"/>
      <c r="D169" s="1"/>
      <c r="E169" s="1"/>
      <c r="F169" s="1"/>
      <c r="G169" s="1"/>
      <c r="H169" s="1"/>
      <c r="I169" s="1"/>
      <c r="J169" s="1"/>
      <c r="K169" s="1"/>
      <c r="L169" s="1"/>
      <c r="M169" s="1"/>
      <c r="N169" s="1"/>
      <c r="O169" s="1"/>
    </row>
    <row r="170" spans="2:15" ht="12.75">
      <c r="B170" s="1"/>
      <c r="C170" s="1"/>
      <c r="D170" s="1"/>
      <c r="E170" s="1"/>
      <c r="F170" s="1"/>
      <c r="G170" s="1"/>
      <c r="H170" s="1"/>
      <c r="I170" s="1"/>
      <c r="J170" s="1"/>
      <c r="K170" s="1"/>
      <c r="L170" s="1"/>
      <c r="M170" s="1"/>
      <c r="N170" s="1"/>
      <c r="O170" s="1"/>
    </row>
    <row r="171" spans="2:15" ht="12.75">
      <c r="B171" s="1"/>
      <c r="C171" s="1"/>
      <c r="D171" s="1"/>
      <c r="E171" s="1"/>
      <c r="F171" s="1"/>
      <c r="G171" s="1"/>
      <c r="H171" s="1"/>
      <c r="I171" s="1"/>
      <c r="J171" s="1"/>
      <c r="K171" s="1"/>
      <c r="L171" s="1"/>
      <c r="M171" s="1"/>
      <c r="N171" s="1"/>
      <c r="O171" s="1"/>
    </row>
    <row r="172" spans="2:15" ht="12.75">
      <c r="B172" s="1"/>
      <c r="C172" s="1"/>
      <c r="D172" s="1"/>
      <c r="E172" s="1"/>
      <c r="F172" s="1"/>
      <c r="G172" s="1"/>
      <c r="H172" s="1"/>
      <c r="I172" s="1"/>
      <c r="J172" s="1"/>
      <c r="K172" s="1"/>
      <c r="L172" s="1"/>
      <c r="M172" s="1"/>
      <c r="N172" s="1"/>
      <c r="O172" s="1"/>
    </row>
    <row r="173" spans="2:15" ht="12.75">
      <c r="B173" s="1"/>
      <c r="C173" s="1"/>
      <c r="D173" s="1"/>
      <c r="E173" s="1"/>
      <c r="F173" s="1"/>
      <c r="G173" s="1"/>
      <c r="H173" s="1"/>
      <c r="I173" s="1"/>
      <c r="J173" s="1"/>
      <c r="K173" s="1"/>
      <c r="L173" s="1"/>
      <c r="M173" s="1"/>
      <c r="N173" s="1"/>
      <c r="O173" s="1"/>
    </row>
    <row r="174" spans="2:15" ht="12.75">
      <c r="B174" s="1"/>
      <c r="C174" s="1"/>
      <c r="D174" s="1"/>
      <c r="E174" s="1"/>
      <c r="F174" s="1"/>
      <c r="G174" s="1"/>
      <c r="H174" s="1"/>
      <c r="I174" s="1"/>
      <c r="J174" s="1"/>
      <c r="K174" s="1"/>
      <c r="L174" s="1"/>
      <c r="M174" s="1"/>
      <c r="N174" s="1"/>
      <c r="O174" s="1"/>
    </row>
    <row r="175" spans="2:15" ht="12.75">
      <c r="B175" s="1"/>
      <c r="C175" s="1"/>
      <c r="D175" s="1"/>
      <c r="E175" s="1"/>
      <c r="F175" s="1"/>
      <c r="G175" s="1"/>
      <c r="H175" s="1"/>
      <c r="I175" s="1"/>
      <c r="J175" s="1"/>
      <c r="K175" s="1"/>
      <c r="L175" s="1"/>
      <c r="M175" s="1"/>
      <c r="N175" s="1"/>
      <c r="O175" s="1"/>
    </row>
    <row r="176" spans="2:15" ht="12.75">
      <c r="B176" s="1"/>
      <c r="C176" s="1"/>
      <c r="D176" s="1"/>
      <c r="E176" s="1"/>
      <c r="F176" s="1"/>
      <c r="G176" s="1"/>
      <c r="H176" s="1"/>
      <c r="I176" s="1"/>
      <c r="J176" s="1"/>
      <c r="K176" s="1"/>
      <c r="L176" s="1"/>
      <c r="M176" s="1"/>
      <c r="N176" s="1"/>
      <c r="O176" s="1"/>
    </row>
    <row r="177" spans="2:15" ht="12.75">
      <c r="B177" s="1"/>
      <c r="C177" s="1"/>
      <c r="D177" s="1"/>
      <c r="E177" s="1"/>
      <c r="F177" s="1"/>
      <c r="G177" s="1"/>
      <c r="H177" s="1"/>
      <c r="I177" s="1"/>
      <c r="J177" s="1"/>
      <c r="K177" s="1"/>
      <c r="L177" s="1"/>
      <c r="M177" s="1"/>
      <c r="N177" s="1"/>
      <c r="O177" s="1"/>
    </row>
    <row r="178" spans="2:15" ht="12.75">
      <c r="B178" s="1"/>
      <c r="C178" s="1"/>
      <c r="D178" s="1"/>
      <c r="E178" s="1"/>
      <c r="F178" s="1"/>
      <c r="G178" s="1"/>
      <c r="H178" s="1"/>
      <c r="I178" s="1"/>
      <c r="J178" s="1"/>
      <c r="K178" s="1"/>
      <c r="L178" s="1"/>
      <c r="M178" s="1"/>
      <c r="N178" s="1"/>
      <c r="O178" s="1"/>
    </row>
    <row r="179" spans="2:15" ht="12.75">
      <c r="B179" s="1"/>
      <c r="C179" s="1"/>
      <c r="D179" s="1"/>
      <c r="E179" s="1"/>
      <c r="F179" s="1"/>
      <c r="G179" s="1"/>
      <c r="H179" s="1"/>
      <c r="I179" s="1"/>
      <c r="J179" s="1"/>
      <c r="K179" s="1"/>
      <c r="L179" s="1"/>
      <c r="M179" s="1"/>
      <c r="N179" s="1"/>
      <c r="O179" s="1"/>
    </row>
    <row r="180" spans="2:15" ht="12.75">
      <c r="B180" s="1"/>
      <c r="C180" s="1"/>
      <c r="D180" s="1"/>
      <c r="E180" s="1"/>
      <c r="F180" s="1"/>
      <c r="G180" s="1"/>
      <c r="H180" s="1"/>
      <c r="I180" s="1"/>
      <c r="J180" s="1"/>
      <c r="K180" s="1"/>
      <c r="L180" s="1"/>
      <c r="M180" s="1"/>
      <c r="N180" s="1"/>
      <c r="O180" s="1"/>
    </row>
    <row r="181" spans="2:15" ht="12.75">
      <c r="B181" s="1"/>
      <c r="C181" s="1"/>
      <c r="D181" s="1"/>
      <c r="E181" s="1"/>
      <c r="F181" s="1"/>
      <c r="G181" s="1"/>
      <c r="H181" s="1"/>
      <c r="I181" s="1"/>
      <c r="J181" s="1"/>
      <c r="K181" s="1"/>
      <c r="L181" s="1"/>
      <c r="M181" s="1"/>
      <c r="N181" s="1"/>
      <c r="O181" s="1"/>
    </row>
    <row r="182" spans="2:15" ht="12.75">
      <c r="B182" s="1"/>
      <c r="C182" s="1"/>
      <c r="D182" s="1"/>
      <c r="E182" s="1"/>
      <c r="F182" s="1"/>
      <c r="G182" s="1"/>
      <c r="H182" s="1"/>
      <c r="I182" s="1"/>
      <c r="J182" s="1"/>
      <c r="K182" s="1"/>
      <c r="L182" s="1"/>
      <c r="M182" s="1"/>
      <c r="N182" s="1"/>
      <c r="O182" s="1"/>
    </row>
    <row r="183" spans="2:15" ht="12.75">
      <c r="B183" s="1"/>
      <c r="C183" s="1"/>
      <c r="D183" s="1"/>
      <c r="E183" s="1"/>
      <c r="F183" s="1"/>
      <c r="G183" s="1"/>
      <c r="H183" s="1"/>
      <c r="I183" s="1"/>
      <c r="J183" s="1"/>
      <c r="K183" s="1"/>
      <c r="L183" s="1"/>
      <c r="M183" s="1"/>
      <c r="N183" s="1"/>
      <c r="O183" s="1"/>
    </row>
    <row r="184" spans="2:15" ht="12.75">
      <c r="B184" s="1"/>
      <c r="C184" s="1"/>
      <c r="D184" s="1"/>
      <c r="E184" s="1"/>
      <c r="F184" s="1"/>
      <c r="G184" s="1"/>
      <c r="H184" s="1"/>
      <c r="I184" s="1"/>
      <c r="J184" s="1"/>
      <c r="K184" s="1"/>
      <c r="L184" s="1"/>
      <c r="M184" s="1"/>
      <c r="N184" s="1"/>
      <c r="O184" s="1"/>
    </row>
    <row r="185" spans="2:15" ht="12.75">
      <c r="B185" s="1"/>
      <c r="C185" s="1"/>
      <c r="D185" s="1"/>
      <c r="E185" s="1"/>
      <c r="F185" s="1"/>
      <c r="G185" s="1"/>
      <c r="H185" s="1"/>
      <c r="I185" s="1"/>
      <c r="J185" s="1"/>
      <c r="K185" s="1"/>
      <c r="L185" s="1"/>
      <c r="M185" s="1"/>
      <c r="N185" s="1"/>
      <c r="O185" s="1"/>
    </row>
    <row r="186" spans="2:15" ht="12.75">
      <c r="B186" s="1"/>
      <c r="C186" s="1"/>
      <c r="D186" s="1"/>
      <c r="E186" s="1"/>
      <c r="F186" s="1"/>
      <c r="G186" s="1"/>
      <c r="H186" s="1"/>
      <c r="I186" s="1"/>
      <c r="J186" s="1"/>
      <c r="K186" s="1"/>
      <c r="L186" s="1"/>
      <c r="M186" s="1"/>
      <c r="N186" s="1"/>
      <c r="O186" s="1"/>
    </row>
    <row r="187" spans="2:15" ht="12.75">
      <c r="B187" s="1"/>
      <c r="C187" s="1"/>
      <c r="D187" s="1"/>
      <c r="E187" s="1"/>
      <c r="F187" s="1"/>
      <c r="G187" s="1"/>
      <c r="H187" s="1"/>
      <c r="I187" s="1"/>
      <c r="J187" s="1"/>
      <c r="K187" s="1"/>
      <c r="L187" s="1"/>
      <c r="M187" s="1"/>
      <c r="N187" s="1"/>
      <c r="O187" s="1"/>
    </row>
    <row r="188" spans="2:15" ht="12.75">
      <c r="B188" s="1"/>
      <c r="C188" s="1"/>
      <c r="D188" s="1"/>
      <c r="E188" s="1"/>
      <c r="F188" s="1"/>
      <c r="G188" s="1"/>
      <c r="H188" s="1"/>
      <c r="I188" s="1"/>
      <c r="J188" s="1"/>
      <c r="K188" s="1"/>
      <c r="L188" s="1"/>
      <c r="M188" s="1"/>
      <c r="N188" s="1"/>
      <c r="O188" s="1"/>
    </row>
    <row r="189" spans="2:15" ht="12.75">
      <c r="B189" s="1"/>
      <c r="C189" s="1"/>
      <c r="D189" s="1"/>
      <c r="E189" s="1"/>
      <c r="F189" s="1"/>
      <c r="G189" s="1"/>
      <c r="H189" s="1"/>
      <c r="I189" s="1"/>
      <c r="J189" s="1"/>
      <c r="K189" s="1"/>
      <c r="L189" s="1"/>
      <c r="M189" s="1"/>
      <c r="N189" s="1"/>
      <c r="O189" s="1"/>
    </row>
    <row r="190" spans="2:15" ht="12.75">
      <c r="B190" s="1"/>
      <c r="C190" s="1"/>
      <c r="D190" s="1"/>
      <c r="E190" s="1"/>
      <c r="F190" s="1"/>
      <c r="G190" s="1"/>
      <c r="H190" s="1"/>
      <c r="I190" s="1"/>
      <c r="J190" s="1"/>
      <c r="K190" s="1"/>
      <c r="L190" s="1"/>
      <c r="M190" s="1"/>
      <c r="N190" s="1"/>
      <c r="O190" s="1"/>
    </row>
    <row r="191" spans="2:15" ht="12.75">
      <c r="B191" s="1"/>
      <c r="C191" s="1"/>
      <c r="D191" s="1"/>
      <c r="E191" s="1"/>
      <c r="F191" s="1"/>
      <c r="G191" s="1"/>
      <c r="H191" s="1"/>
      <c r="I191" s="1"/>
      <c r="J191" s="1"/>
      <c r="K191" s="1"/>
      <c r="L191" s="1"/>
      <c r="M191" s="1"/>
      <c r="N191" s="1"/>
      <c r="O191" s="1"/>
    </row>
    <row r="192" spans="2:15" ht="12.75">
      <c r="B192" s="1"/>
      <c r="C192" s="1"/>
      <c r="D192" s="1"/>
      <c r="E192" s="1"/>
      <c r="F192" s="1"/>
      <c r="G192" s="1"/>
      <c r="H192" s="1"/>
      <c r="I192" s="1"/>
      <c r="J192" s="1"/>
      <c r="K192" s="1"/>
      <c r="L192" s="1"/>
      <c r="M192" s="1"/>
      <c r="N192" s="1"/>
      <c r="O192" s="1"/>
    </row>
    <row r="193" spans="2:15" ht="12.75">
      <c r="B193" s="1"/>
      <c r="C193" s="1"/>
      <c r="D193" s="1"/>
      <c r="E193" s="1"/>
      <c r="F193" s="1"/>
      <c r="G193" s="1"/>
      <c r="H193" s="1"/>
      <c r="I193" s="1"/>
      <c r="J193" s="1"/>
      <c r="K193" s="1"/>
      <c r="L193" s="1"/>
      <c r="M193" s="1"/>
      <c r="N193" s="1"/>
      <c r="O193" s="1"/>
    </row>
    <row r="194" spans="2:15" ht="12.75">
      <c r="B194" s="1"/>
      <c r="C194" s="1"/>
      <c r="D194" s="1"/>
      <c r="E194" s="1"/>
      <c r="F194" s="1"/>
      <c r="G194" s="1"/>
      <c r="H194" s="1"/>
      <c r="I194" s="1"/>
      <c r="J194" s="1"/>
      <c r="K194" s="1"/>
      <c r="L194" s="1"/>
      <c r="M194" s="1"/>
      <c r="N194" s="1"/>
      <c r="O194" s="1"/>
    </row>
    <row r="195" spans="2:15" ht="12.75">
      <c r="B195" s="1"/>
      <c r="C195" s="1"/>
      <c r="D195" s="1"/>
      <c r="E195" s="1"/>
      <c r="F195" s="1"/>
      <c r="G195" s="1"/>
      <c r="H195" s="1"/>
      <c r="I195" s="1"/>
      <c r="J195" s="1"/>
      <c r="K195" s="1"/>
      <c r="L195" s="1"/>
      <c r="M195" s="1"/>
      <c r="N195" s="1"/>
      <c r="O195" s="1"/>
    </row>
    <row r="196" spans="2:15" ht="12.75">
      <c r="B196" s="1"/>
      <c r="C196" s="1"/>
      <c r="D196" s="1"/>
      <c r="E196" s="1"/>
      <c r="F196" s="1"/>
      <c r="G196" s="1"/>
      <c r="H196" s="1"/>
      <c r="I196" s="1"/>
      <c r="J196" s="1"/>
      <c r="K196" s="1"/>
      <c r="L196" s="1"/>
      <c r="M196" s="1"/>
      <c r="N196" s="1"/>
      <c r="O196" s="1"/>
    </row>
    <row r="197" spans="2:15" ht="12.75">
      <c r="B197" s="1"/>
      <c r="C197" s="1"/>
      <c r="D197" s="1"/>
      <c r="E197" s="1"/>
      <c r="F197" s="1"/>
      <c r="G197" s="1"/>
      <c r="H197" s="1"/>
      <c r="I197" s="1"/>
      <c r="J197" s="1"/>
      <c r="K197" s="1"/>
      <c r="L197" s="1"/>
      <c r="M197" s="1"/>
      <c r="N197" s="1"/>
      <c r="O197" s="1"/>
    </row>
    <row r="198" spans="2:15" ht="12.75">
      <c r="B198" s="1"/>
      <c r="C198" s="1"/>
      <c r="D198" s="1"/>
      <c r="E198" s="1"/>
      <c r="F198" s="1"/>
      <c r="G198" s="1"/>
      <c r="H198" s="1"/>
      <c r="I198" s="1"/>
      <c r="J198" s="1"/>
      <c r="K198" s="1"/>
      <c r="L198" s="1"/>
      <c r="M198" s="1"/>
      <c r="N198" s="1"/>
      <c r="O198" s="1"/>
    </row>
    <row r="199" spans="2:15" ht="12.75">
      <c r="B199" s="1"/>
      <c r="C199" s="1"/>
      <c r="D199" s="1"/>
      <c r="E199" s="1"/>
      <c r="F199" s="1"/>
      <c r="G199" s="1"/>
      <c r="H199" s="1"/>
      <c r="I199" s="1"/>
      <c r="J199" s="1"/>
      <c r="K199" s="1"/>
      <c r="L199" s="1"/>
      <c r="M199" s="1"/>
      <c r="N199" s="1"/>
      <c r="O199" s="1"/>
    </row>
    <row r="200" spans="2:15" ht="12.75">
      <c r="B200" s="1"/>
      <c r="C200" s="1"/>
      <c r="D200" s="1"/>
      <c r="E200" s="1"/>
      <c r="F200" s="1"/>
      <c r="G200" s="1"/>
      <c r="H200" s="1"/>
      <c r="I200" s="1"/>
      <c r="J200" s="1"/>
      <c r="K200" s="1"/>
      <c r="L200" s="1"/>
      <c r="M200" s="1"/>
      <c r="N200" s="1"/>
      <c r="O200" s="1"/>
    </row>
    <row r="201" spans="2:15" ht="12.75">
      <c r="B201" s="1"/>
      <c r="C201" s="1"/>
      <c r="D201" s="1"/>
      <c r="E201" s="1"/>
      <c r="F201" s="1"/>
      <c r="G201" s="1"/>
      <c r="H201" s="1"/>
      <c r="I201" s="1"/>
      <c r="J201" s="1"/>
      <c r="K201" s="1"/>
      <c r="L201" s="1"/>
      <c r="M201" s="1"/>
      <c r="N201" s="1"/>
      <c r="O201" s="1"/>
    </row>
    <row r="202" spans="2:15" ht="12.75">
      <c r="B202" s="1"/>
      <c r="C202" s="1"/>
      <c r="D202" s="1"/>
      <c r="E202" s="1"/>
      <c r="F202" s="1"/>
      <c r="G202" s="1"/>
      <c r="H202" s="1"/>
      <c r="I202" s="1"/>
      <c r="J202" s="1"/>
      <c r="K202" s="1"/>
      <c r="L202" s="1"/>
      <c r="M202" s="1"/>
      <c r="N202" s="1"/>
      <c r="O202" s="1"/>
    </row>
    <row r="203" spans="2:15" ht="12.75">
      <c r="B203" s="1"/>
      <c r="C203" s="1"/>
      <c r="D203" s="1"/>
      <c r="E203" s="1"/>
      <c r="F203" s="1"/>
      <c r="G203" s="1"/>
      <c r="H203" s="1"/>
      <c r="I203" s="1"/>
      <c r="J203" s="1"/>
      <c r="K203" s="1"/>
      <c r="L203" s="1"/>
      <c r="M203" s="1"/>
      <c r="N203" s="1"/>
      <c r="O203" s="1"/>
    </row>
    <row r="204" spans="2:15" ht="12.75">
      <c r="B204" s="1"/>
      <c r="C204" s="1"/>
      <c r="D204" s="1"/>
      <c r="E204" s="1"/>
      <c r="F204" s="1"/>
      <c r="G204" s="1"/>
      <c r="H204" s="1"/>
      <c r="I204" s="1"/>
      <c r="J204" s="1"/>
      <c r="K204" s="1"/>
      <c r="L204" s="1"/>
      <c r="M204" s="1"/>
      <c r="N204" s="1"/>
      <c r="O204" s="1"/>
    </row>
    <row r="205" spans="2:15" ht="12.75">
      <c r="B205" s="1"/>
      <c r="C205" s="1"/>
      <c r="D205" s="1"/>
      <c r="E205" s="1"/>
      <c r="F205" s="1"/>
      <c r="G205" s="1"/>
      <c r="H205" s="1"/>
      <c r="I205" s="1"/>
      <c r="J205" s="1"/>
      <c r="K205" s="1"/>
      <c r="L205" s="1"/>
      <c r="M205" s="1"/>
      <c r="N205" s="1"/>
      <c r="O205" s="1"/>
    </row>
    <row r="206" spans="2:15" ht="12.75">
      <c r="B206" s="1"/>
      <c r="C206" s="1"/>
      <c r="D206" s="1"/>
      <c r="E206" s="1"/>
      <c r="F206" s="1"/>
      <c r="G206" s="1"/>
      <c r="H206" s="1"/>
      <c r="I206" s="1"/>
      <c r="J206" s="1"/>
      <c r="K206" s="1"/>
      <c r="L206" s="1"/>
      <c r="M206" s="1"/>
      <c r="N206" s="1"/>
      <c r="O206" s="1"/>
    </row>
    <row r="207" spans="2:15" ht="12.75">
      <c r="B207" s="1"/>
      <c r="C207" s="1"/>
      <c r="D207" s="1"/>
      <c r="E207" s="1"/>
      <c r="F207" s="1"/>
      <c r="G207" s="1"/>
      <c r="H207" s="1"/>
      <c r="I207" s="1"/>
      <c r="J207" s="1"/>
      <c r="K207" s="1"/>
      <c r="L207" s="1"/>
      <c r="M207" s="1"/>
      <c r="N207" s="1"/>
      <c r="O207" s="1"/>
    </row>
    <row r="208" spans="2:15" ht="12.75">
      <c r="B208" s="1"/>
      <c r="C208" s="1"/>
      <c r="D208" s="1"/>
      <c r="E208" s="1"/>
      <c r="F208" s="1"/>
      <c r="G208" s="1"/>
      <c r="H208" s="1"/>
      <c r="I208" s="1"/>
      <c r="J208" s="1"/>
      <c r="K208" s="1"/>
      <c r="L208" s="1"/>
      <c r="M208" s="1"/>
      <c r="N208" s="1"/>
      <c r="O208" s="1"/>
    </row>
    <row r="209" spans="2:15" ht="12.75">
      <c r="B209" s="1"/>
      <c r="C209" s="1"/>
      <c r="D209" s="1"/>
      <c r="E209" s="1"/>
      <c r="F209" s="1"/>
      <c r="G209" s="1"/>
      <c r="H209" s="1"/>
      <c r="I209" s="1"/>
      <c r="J209" s="1"/>
      <c r="K209" s="1"/>
      <c r="L209" s="1"/>
      <c r="M209" s="1"/>
      <c r="N209" s="1"/>
      <c r="O209" s="1"/>
    </row>
    <row r="210" spans="2:15" ht="12.75">
      <c r="B210" s="1"/>
      <c r="C210" s="1"/>
      <c r="D210" s="1"/>
      <c r="E210" s="1"/>
      <c r="F210" s="1"/>
      <c r="G210" s="1"/>
      <c r="H210" s="1"/>
      <c r="I210" s="1"/>
      <c r="J210" s="1"/>
      <c r="K210" s="1"/>
      <c r="L210" s="1"/>
      <c r="M210" s="1"/>
      <c r="N210" s="1"/>
      <c r="O210" s="1"/>
    </row>
    <row r="211" spans="2:15" ht="12.75">
      <c r="B211" s="1"/>
      <c r="C211" s="1"/>
      <c r="D211" s="1"/>
      <c r="E211" s="1"/>
      <c r="F211" s="1"/>
      <c r="G211" s="1"/>
      <c r="H211" s="1"/>
      <c r="I211" s="1"/>
      <c r="J211" s="1"/>
      <c r="K211" s="1"/>
      <c r="L211" s="1"/>
      <c r="M211" s="1"/>
      <c r="N211" s="1"/>
      <c r="O211" s="1"/>
    </row>
    <row r="212" spans="2:15" ht="12.75">
      <c r="B212" s="1"/>
      <c r="C212" s="1"/>
      <c r="D212" s="1"/>
      <c r="E212" s="1"/>
      <c r="F212" s="1"/>
      <c r="G212" s="1"/>
      <c r="H212" s="1"/>
      <c r="I212" s="1"/>
      <c r="J212" s="1"/>
      <c r="K212" s="1"/>
      <c r="L212" s="1"/>
      <c r="M212" s="1"/>
      <c r="N212" s="1"/>
      <c r="O212" s="1"/>
    </row>
    <row r="213" spans="2:15" ht="12.75">
      <c r="B213" s="1"/>
      <c r="C213" s="1"/>
      <c r="D213" s="1"/>
      <c r="E213" s="1"/>
      <c r="F213" s="1"/>
      <c r="G213" s="1"/>
      <c r="H213" s="1"/>
      <c r="I213" s="1"/>
      <c r="J213" s="1"/>
      <c r="K213" s="1"/>
      <c r="L213" s="1"/>
      <c r="M213" s="1"/>
      <c r="N213" s="1"/>
      <c r="O213" s="1"/>
    </row>
    <row r="214" spans="2:15" ht="12.75">
      <c r="B214" s="1"/>
      <c r="C214" s="1"/>
      <c r="D214" s="1"/>
      <c r="E214" s="1"/>
      <c r="F214" s="1"/>
      <c r="G214" s="1"/>
      <c r="H214" s="1"/>
      <c r="I214" s="1"/>
      <c r="J214" s="1"/>
      <c r="K214" s="1"/>
      <c r="L214" s="1"/>
      <c r="M214" s="1"/>
      <c r="N214" s="1"/>
      <c r="O214" s="1"/>
    </row>
    <row r="215" spans="2:15" ht="12.75">
      <c r="B215" s="1"/>
      <c r="C215" s="1"/>
      <c r="D215" s="1"/>
      <c r="E215" s="1"/>
      <c r="F215" s="1"/>
      <c r="G215" s="1"/>
      <c r="H215" s="1"/>
      <c r="I215" s="1"/>
      <c r="J215" s="1"/>
      <c r="K215" s="1"/>
      <c r="L215" s="1"/>
      <c r="M215" s="1"/>
      <c r="N215" s="1"/>
      <c r="O215" s="1"/>
    </row>
    <row r="216" spans="2:15" ht="12.75">
      <c r="B216" s="1"/>
      <c r="C216" s="1"/>
      <c r="D216" s="1"/>
      <c r="E216" s="1"/>
      <c r="F216" s="1"/>
      <c r="G216" s="1"/>
      <c r="H216" s="1"/>
      <c r="I216" s="1"/>
      <c r="J216" s="1"/>
      <c r="K216" s="1"/>
      <c r="L216" s="1"/>
      <c r="M216" s="1"/>
      <c r="N216" s="1"/>
      <c r="O216" s="1"/>
    </row>
    <row r="217" spans="2:15" ht="12.75">
      <c r="B217" s="1"/>
      <c r="C217" s="1"/>
      <c r="D217" s="1"/>
      <c r="E217" s="1"/>
      <c r="F217" s="1"/>
      <c r="G217" s="1"/>
      <c r="H217" s="1"/>
      <c r="I217" s="1"/>
      <c r="J217" s="1"/>
      <c r="K217" s="1"/>
      <c r="L217" s="1"/>
      <c r="M217" s="1"/>
      <c r="N217" s="1"/>
      <c r="O217" s="1"/>
    </row>
    <row r="218" spans="2:15" ht="12.75">
      <c r="B218" s="1"/>
      <c r="C218" s="1"/>
      <c r="D218" s="1"/>
      <c r="E218" s="1"/>
      <c r="F218" s="1"/>
      <c r="G218" s="1"/>
      <c r="H218" s="1"/>
      <c r="I218" s="1"/>
      <c r="J218" s="1"/>
      <c r="K218" s="1"/>
      <c r="L218" s="1"/>
      <c r="M218" s="1"/>
      <c r="N218" s="1"/>
      <c r="O218" s="1"/>
    </row>
    <row r="219" spans="2:15" ht="12.75">
      <c r="B219" s="1"/>
      <c r="C219" s="1"/>
      <c r="D219" s="1"/>
      <c r="E219" s="1"/>
      <c r="F219" s="1"/>
      <c r="G219" s="1"/>
      <c r="H219" s="1"/>
      <c r="I219" s="1"/>
      <c r="J219" s="1"/>
      <c r="K219" s="1"/>
      <c r="L219" s="1"/>
      <c r="M219" s="1"/>
      <c r="N219" s="1"/>
      <c r="O219" s="1"/>
    </row>
    <row r="220" spans="2:15" ht="12.75">
      <c r="B220" s="1"/>
      <c r="C220" s="1"/>
      <c r="D220" s="1"/>
      <c r="E220" s="1"/>
      <c r="F220" s="1"/>
      <c r="G220" s="1"/>
      <c r="H220" s="1"/>
      <c r="I220" s="1"/>
      <c r="J220" s="1"/>
      <c r="K220" s="1"/>
      <c r="L220" s="1"/>
      <c r="M220" s="1"/>
      <c r="N220" s="1"/>
      <c r="O220" s="1"/>
    </row>
    <row r="221" spans="2:15" ht="12.75">
      <c r="B221" s="1"/>
      <c r="C221" s="1"/>
      <c r="D221" s="1"/>
      <c r="E221" s="1"/>
      <c r="F221" s="1"/>
      <c r="G221" s="1"/>
      <c r="H221" s="1"/>
      <c r="I221" s="1"/>
      <c r="J221" s="1"/>
      <c r="K221" s="1"/>
      <c r="L221" s="1"/>
      <c r="M221" s="1"/>
      <c r="N221" s="1"/>
      <c r="O221" s="1"/>
    </row>
    <row r="222" spans="2:15" ht="12.75">
      <c r="B222" s="1"/>
      <c r="C222" s="1"/>
      <c r="D222" s="1"/>
      <c r="E222" s="1"/>
      <c r="F222" s="1"/>
      <c r="G222" s="1"/>
      <c r="H222" s="1"/>
      <c r="I222" s="1"/>
      <c r="J222" s="1"/>
      <c r="K222" s="1"/>
      <c r="L222" s="1"/>
      <c r="M222" s="1"/>
      <c r="N222" s="1"/>
      <c r="O222" s="1"/>
    </row>
    <row r="223" spans="2:15" ht="12.75">
      <c r="B223" s="1"/>
      <c r="C223" s="1"/>
      <c r="D223" s="1"/>
      <c r="E223" s="1"/>
      <c r="F223" s="1"/>
      <c r="G223" s="1"/>
      <c r="H223" s="1"/>
      <c r="I223" s="1"/>
      <c r="J223" s="1"/>
      <c r="K223" s="1"/>
      <c r="L223" s="1"/>
      <c r="M223" s="1"/>
      <c r="N223" s="1"/>
      <c r="O223" s="1"/>
    </row>
    <row r="224" spans="2:15" ht="12.75">
      <c r="B224" s="1"/>
      <c r="C224" s="1"/>
      <c r="D224" s="1"/>
      <c r="E224" s="1"/>
      <c r="F224" s="1"/>
      <c r="G224" s="1"/>
      <c r="H224" s="1"/>
      <c r="I224" s="1"/>
      <c r="J224" s="1"/>
      <c r="K224" s="1"/>
      <c r="L224" s="1"/>
      <c r="M224" s="1"/>
      <c r="N224" s="1"/>
      <c r="O224" s="1"/>
    </row>
    <row r="225" spans="2:15" ht="12.75">
      <c r="B225" s="1"/>
      <c r="C225" s="1"/>
      <c r="D225" s="1"/>
      <c r="E225" s="1"/>
      <c r="F225" s="1"/>
      <c r="G225" s="1"/>
      <c r="H225" s="1"/>
      <c r="I225" s="1"/>
      <c r="J225" s="1"/>
      <c r="K225" s="1"/>
      <c r="L225" s="1"/>
      <c r="M225" s="1"/>
      <c r="N225" s="1"/>
      <c r="O225" s="1"/>
    </row>
    <row r="226" spans="2:15" ht="12.75">
      <c r="B226" s="1"/>
      <c r="C226" s="1"/>
      <c r="D226" s="1"/>
      <c r="E226" s="1"/>
      <c r="F226" s="1"/>
      <c r="G226" s="1"/>
      <c r="H226" s="1"/>
      <c r="I226" s="1"/>
      <c r="J226" s="1"/>
      <c r="K226" s="1"/>
      <c r="L226" s="1"/>
      <c r="M226" s="1"/>
      <c r="N226" s="1"/>
      <c r="O226" s="1"/>
    </row>
    <row r="227" spans="2:15" ht="12.75">
      <c r="B227" s="1"/>
      <c r="C227" s="1"/>
      <c r="D227" s="1"/>
      <c r="E227" s="1"/>
      <c r="F227" s="1"/>
      <c r="G227" s="1"/>
      <c r="H227" s="1"/>
      <c r="I227" s="1"/>
      <c r="J227" s="1"/>
      <c r="K227" s="1"/>
      <c r="L227" s="1"/>
      <c r="M227" s="1"/>
      <c r="N227" s="1"/>
      <c r="O227" s="1"/>
    </row>
    <row r="228" spans="2:15" ht="12.75">
      <c r="B228" s="1"/>
      <c r="C228" s="1"/>
      <c r="D228" s="1"/>
      <c r="E228" s="1"/>
      <c r="F228" s="1"/>
      <c r="G228" s="1"/>
      <c r="H228" s="1"/>
      <c r="I228" s="1"/>
      <c r="J228" s="1"/>
      <c r="K228" s="1"/>
      <c r="L228" s="1"/>
      <c r="M228" s="1"/>
      <c r="N228" s="1"/>
      <c r="O228" s="1"/>
    </row>
    <row r="229" spans="2:15" ht="12.75">
      <c r="B229" s="1"/>
      <c r="C229" s="1"/>
      <c r="D229" s="1"/>
      <c r="E229" s="1"/>
      <c r="F229" s="1"/>
      <c r="G229" s="1"/>
      <c r="H229" s="1"/>
      <c r="I229" s="1"/>
      <c r="J229" s="1"/>
      <c r="K229" s="1"/>
      <c r="L229" s="1"/>
      <c r="M229" s="1"/>
      <c r="N229" s="1"/>
      <c r="O229" s="1"/>
    </row>
    <row r="230" spans="2:15" ht="12.75">
      <c r="B230" s="1"/>
      <c r="C230" s="1"/>
      <c r="D230" s="1"/>
      <c r="E230" s="1"/>
      <c r="F230" s="1"/>
      <c r="G230" s="1"/>
      <c r="H230" s="1"/>
      <c r="I230" s="1"/>
      <c r="J230" s="1"/>
      <c r="K230" s="1"/>
      <c r="L230" s="1"/>
      <c r="M230" s="1"/>
      <c r="N230" s="1"/>
      <c r="O230" s="1"/>
    </row>
    <row r="231" spans="2:15" ht="12.75">
      <c r="B231" s="1"/>
      <c r="C231" s="1"/>
      <c r="D231" s="1"/>
      <c r="E231" s="1"/>
      <c r="F231" s="1"/>
      <c r="G231" s="1"/>
      <c r="H231" s="1"/>
      <c r="I231" s="1"/>
      <c r="J231" s="1"/>
      <c r="K231" s="1"/>
      <c r="L231" s="1"/>
      <c r="M231" s="1"/>
      <c r="N231" s="1"/>
      <c r="O231" s="1"/>
    </row>
    <row r="232" spans="2:15" ht="12.75">
      <c r="B232" s="1"/>
      <c r="C232" s="1"/>
      <c r="D232" s="1"/>
      <c r="E232" s="1"/>
      <c r="F232" s="1"/>
      <c r="G232" s="1"/>
      <c r="H232" s="1"/>
      <c r="I232" s="1"/>
      <c r="J232" s="1"/>
      <c r="K232" s="1"/>
      <c r="L232" s="1"/>
      <c r="M232" s="1"/>
      <c r="N232" s="1"/>
      <c r="O232" s="1"/>
    </row>
    <row r="233" spans="2:15" ht="12.75">
      <c r="B233" s="1"/>
      <c r="C233" s="1"/>
      <c r="D233" s="1"/>
      <c r="E233" s="1"/>
      <c r="F233" s="1"/>
      <c r="G233" s="1"/>
      <c r="H233" s="1"/>
      <c r="I233" s="1"/>
      <c r="J233" s="1"/>
      <c r="K233" s="1"/>
      <c r="L233" s="1"/>
      <c r="M233" s="1"/>
      <c r="N233" s="1"/>
      <c r="O233" s="1"/>
    </row>
    <row r="234" spans="2:15" ht="12.75">
      <c r="B234" s="1"/>
      <c r="C234" s="1"/>
      <c r="D234" s="1"/>
      <c r="E234" s="1"/>
      <c r="F234" s="1"/>
      <c r="G234" s="1"/>
      <c r="H234" s="1"/>
      <c r="I234" s="1"/>
      <c r="J234" s="1"/>
      <c r="K234" s="1"/>
      <c r="L234" s="1"/>
      <c r="M234" s="1"/>
      <c r="N234" s="1"/>
      <c r="O234" s="1"/>
    </row>
    <row r="235" spans="2:15" ht="12.75">
      <c r="B235" s="1"/>
      <c r="C235" s="1"/>
      <c r="D235" s="1"/>
      <c r="E235" s="1"/>
      <c r="F235" s="1"/>
      <c r="G235" s="1"/>
      <c r="H235" s="1"/>
      <c r="I235" s="1"/>
      <c r="J235" s="1"/>
      <c r="K235" s="1"/>
      <c r="L235" s="1"/>
      <c r="M235" s="1"/>
      <c r="N235" s="1"/>
      <c r="O235" s="1"/>
    </row>
    <row r="236" spans="2:15" ht="12.75">
      <c r="B236" s="1"/>
      <c r="C236" s="1"/>
      <c r="D236" s="1"/>
      <c r="E236" s="1"/>
      <c r="F236" s="1"/>
      <c r="G236" s="1"/>
      <c r="H236" s="1"/>
      <c r="I236" s="1"/>
      <c r="J236" s="1"/>
      <c r="K236" s="1"/>
      <c r="L236" s="1"/>
      <c r="M236" s="1"/>
      <c r="N236" s="1"/>
      <c r="O236" s="1"/>
    </row>
    <row r="237" spans="2:15" ht="12.75">
      <c r="B237" s="1"/>
      <c r="C237" s="1"/>
      <c r="D237" s="1"/>
      <c r="E237" s="1"/>
      <c r="F237" s="1"/>
      <c r="G237" s="1"/>
      <c r="H237" s="1"/>
      <c r="I237" s="1"/>
      <c r="J237" s="1"/>
      <c r="K237" s="1"/>
      <c r="L237" s="1"/>
      <c r="M237" s="1"/>
      <c r="N237" s="1"/>
      <c r="O237" s="1"/>
    </row>
    <row r="238" spans="2:15" ht="12.75">
      <c r="B238" s="1"/>
      <c r="C238" s="1"/>
      <c r="D238" s="1"/>
      <c r="E238" s="1"/>
      <c r="F238" s="1"/>
      <c r="G238" s="1"/>
      <c r="H238" s="1"/>
      <c r="I238" s="1"/>
      <c r="J238" s="1"/>
      <c r="K238" s="1"/>
      <c r="L238" s="1"/>
      <c r="M238" s="1"/>
      <c r="N238" s="1"/>
      <c r="O238" s="1"/>
    </row>
    <row r="239" spans="2:15" ht="12.75">
      <c r="B239" s="1"/>
      <c r="C239" s="1"/>
      <c r="D239" s="1"/>
      <c r="E239" s="1"/>
      <c r="F239" s="1"/>
      <c r="G239" s="1"/>
      <c r="H239" s="1"/>
      <c r="I239" s="1"/>
      <c r="J239" s="1"/>
      <c r="K239" s="1"/>
      <c r="L239" s="1"/>
      <c r="M239" s="1"/>
      <c r="N239" s="1"/>
      <c r="O239" s="1"/>
    </row>
    <row r="240" spans="2:15" ht="12.75">
      <c r="B240" s="1"/>
      <c r="C240" s="1"/>
      <c r="D240" s="1"/>
      <c r="E240" s="1"/>
      <c r="F240" s="1"/>
      <c r="G240" s="1"/>
      <c r="H240" s="1"/>
      <c r="I240" s="1"/>
      <c r="J240" s="1"/>
      <c r="K240" s="1"/>
      <c r="L240" s="1"/>
      <c r="M240" s="1"/>
      <c r="N240" s="1"/>
      <c r="O240" s="1"/>
    </row>
    <row r="241" spans="2:15" ht="12.75">
      <c r="B241" s="1"/>
      <c r="C241" s="1"/>
      <c r="D241" s="1"/>
      <c r="E241" s="1"/>
      <c r="F241" s="1"/>
      <c r="G241" s="1"/>
      <c r="H241" s="1"/>
      <c r="I241" s="1"/>
      <c r="J241" s="1"/>
      <c r="K241" s="1"/>
      <c r="L241" s="1"/>
      <c r="M241" s="1"/>
      <c r="N241" s="1"/>
      <c r="O241" s="1"/>
    </row>
    <row r="242" spans="2:15" ht="12.75">
      <c r="B242" s="1"/>
      <c r="C242" s="1"/>
      <c r="D242" s="1"/>
      <c r="E242" s="1"/>
      <c r="F242" s="1"/>
      <c r="G242" s="1"/>
      <c r="H242" s="1"/>
      <c r="I242" s="1"/>
      <c r="J242" s="1"/>
      <c r="K242" s="1"/>
      <c r="L242" s="1"/>
      <c r="M242" s="1"/>
      <c r="N242" s="1"/>
      <c r="O242" s="1"/>
    </row>
    <row r="243" spans="2:15" ht="12.75">
      <c r="B243" s="1"/>
      <c r="C243" s="1"/>
      <c r="D243" s="1"/>
      <c r="E243" s="1"/>
      <c r="F243" s="1"/>
      <c r="G243" s="1"/>
      <c r="H243" s="1"/>
      <c r="I243" s="1"/>
      <c r="J243" s="1"/>
      <c r="K243" s="1"/>
      <c r="L243" s="1"/>
      <c r="M243" s="1"/>
      <c r="N243" s="1"/>
      <c r="O243" s="1"/>
    </row>
    <row r="244" spans="2:15" ht="12.75">
      <c r="B244" s="1"/>
      <c r="C244" s="1"/>
      <c r="D244" s="1"/>
      <c r="E244" s="1"/>
      <c r="F244" s="1"/>
      <c r="G244" s="1"/>
      <c r="H244" s="1"/>
      <c r="I244" s="1"/>
      <c r="J244" s="1"/>
      <c r="K244" s="1"/>
      <c r="L244" s="1"/>
      <c r="M244" s="1"/>
      <c r="N244" s="1"/>
      <c r="O244" s="1"/>
    </row>
    <row r="245" spans="2:15" ht="12.75">
      <c r="B245" s="1"/>
      <c r="C245" s="1"/>
      <c r="D245" s="1"/>
      <c r="E245" s="1"/>
      <c r="F245" s="1"/>
      <c r="G245" s="1"/>
      <c r="H245" s="1"/>
      <c r="I245" s="1"/>
      <c r="J245" s="1"/>
      <c r="K245" s="1"/>
      <c r="L245" s="1"/>
      <c r="M245" s="1"/>
      <c r="N245" s="1"/>
      <c r="O245" s="1"/>
    </row>
    <row r="246" spans="2:15" ht="12.75">
      <c r="B246" s="1"/>
      <c r="C246" s="1"/>
      <c r="D246" s="1"/>
      <c r="E246" s="1"/>
      <c r="F246" s="1"/>
      <c r="G246" s="1"/>
      <c r="H246" s="1"/>
      <c r="I246" s="1"/>
      <c r="J246" s="1"/>
      <c r="K246" s="1"/>
      <c r="L246" s="1"/>
      <c r="M246" s="1"/>
      <c r="N246" s="1"/>
      <c r="O246" s="1"/>
    </row>
    <row r="247" spans="2:15" ht="12.75">
      <c r="B247" s="1"/>
      <c r="C247" s="1"/>
      <c r="D247" s="1"/>
      <c r="E247" s="1"/>
      <c r="F247" s="1"/>
      <c r="G247" s="1"/>
      <c r="H247" s="1"/>
      <c r="I247" s="1"/>
      <c r="J247" s="1"/>
      <c r="K247" s="1"/>
      <c r="L247" s="1"/>
      <c r="M247" s="1"/>
      <c r="N247" s="1"/>
      <c r="O247" s="1"/>
    </row>
    <row r="248" spans="2:15" ht="12.75">
      <c r="B248" s="1"/>
      <c r="C248" s="1"/>
      <c r="D248" s="1"/>
      <c r="E248" s="1"/>
      <c r="F248" s="1"/>
      <c r="G248" s="1"/>
      <c r="H248" s="1"/>
      <c r="I248" s="1"/>
      <c r="J248" s="1"/>
      <c r="K248" s="1"/>
      <c r="L248" s="1"/>
      <c r="M248" s="1"/>
      <c r="N248" s="1"/>
      <c r="O248" s="1"/>
    </row>
    <row r="249" spans="2:15" ht="12.75">
      <c r="B249" s="1"/>
      <c r="C249" s="1"/>
      <c r="D249" s="1"/>
      <c r="E249" s="1"/>
      <c r="F249" s="1"/>
      <c r="G249" s="1"/>
      <c r="H249" s="1"/>
      <c r="I249" s="1"/>
      <c r="J249" s="1"/>
      <c r="K249" s="1"/>
      <c r="L249" s="1"/>
      <c r="M249" s="1"/>
      <c r="N249" s="1"/>
      <c r="O249" s="1"/>
    </row>
    <row r="250" spans="2:15" ht="12.75">
      <c r="B250" s="1"/>
      <c r="C250" s="1"/>
      <c r="D250" s="1"/>
      <c r="E250" s="1"/>
      <c r="F250" s="1"/>
      <c r="G250" s="1"/>
      <c r="H250" s="1"/>
      <c r="I250" s="1"/>
      <c r="J250" s="1"/>
      <c r="K250" s="1"/>
      <c r="L250" s="1"/>
      <c r="M250" s="1"/>
      <c r="N250" s="1"/>
      <c r="O250" s="1"/>
    </row>
    <row r="251" spans="2:15" ht="12.75">
      <c r="B251" s="1"/>
      <c r="C251" s="1"/>
      <c r="D251" s="1"/>
      <c r="E251" s="1"/>
      <c r="F251" s="1"/>
      <c r="G251" s="1"/>
      <c r="H251" s="1"/>
      <c r="I251" s="1"/>
      <c r="J251" s="1"/>
      <c r="K251" s="1"/>
      <c r="L251" s="1"/>
      <c r="M251" s="1"/>
      <c r="N251" s="1"/>
      <c r="O251" s="1"/>
    </row>
    <row r="252" spans="2:15" ht="12.75">
      <c r="B252" s="1"/>
      <c r="C252" s="1"/>
      <c r="D252" s="1"/>
      <c r="E252" s="1"/>
      <c r="F252" s="1"/>
      <c r="G252" s="1"/>
      <c r="H252" s="1"/>
      <c r="I252" s="1"/>
      <c r="J252" s="1"/>
      <c r="K252" s="1"/>
      <c r="L252" s="1"/>
      <c r="M252" s="1"/>
      <c r="N252" s="1"/>
      <c r="O252" s="1"/>
    </row>
    <row r="253" spans="2:15" ht="12.75">
      <c r="B253" s="1"/>
      <c r="C253" s="1"/>
      <c r="D253" s="1"/>
      <c r="E253" s="1"/>
      <c r="F253" s="1"/>
      <c r="G253" s="1"/>
      <c r="H253" s="1"/>
      <c r="I253" s="1"/>
      <c r="J253" s="1"/>
      <c r="K253" s="1"/>
      <c r="L253" s="1"/>
      <c r="M253" s="1"/>
      <c r="N253" s="1"/>
      <c r="O253" s="1"/>
    </row>
    <row r="254" spans="2:15" ht="12.75">
      <c r="B254" s="1"/>
      <c r="C254" s="1"/>
      <c r="D254" s="1"/>
      <c r="E254" s="1"/>
      <c r="F254" s="1"/>
      <c r="G254" s="1"/>
      <c r="H254" s="1"/>
      <c r="I254" s="1"/>
      <c r="J254" s="1"/>
      <c r="K254" s="1"/>
      <c r="L254" s="1"/>
      <c r="M254" s="1"/>
      <c r="N254" s="1"/>
      <c r="O254" s="1"/>
    </row>
    <row r="255" spans="2:15" ht="12.75">
      <c r="B255" s="1"/>
      <c r="C255" s="1"/>
      <c r="D255" s="1"/>
      <c r="E255" s="1"/>
      <c r="F255" s="1"/>
      <c r="G255" s="1"/>
      <c r="H255" s="1"/>
      <c r="I255" s="1"/>
      <c r="J255" s="1"/>
      <c r="K255" s="1"/>
      <c r="L255" s="1"/>
      <c r="M255" s="1"/>
      <c r="N255" s="1"/>
      <c r="O255" s="1"/>
    </row>
    <row r="256" spans="2:15" ht="12.75">
      <c r="B256" s="1"/>
      <c r="C256" s="1"/>
      <c r="D256" s="1"/>
      <c r="E256" s="1"/>
      <c r="F256" s="1"/>
      <c r="G256" s="1"/>
      <c r="H256" s="1"/>
      <c r="I256" s="1"/>
      <c r="J256" s="1"/>
      <c r="K256" s="1"/>
      <c r="L256" s="1"/>
      <c r="M256" s="1"/>
      <c r="N256" s="1"/>
      <c r="O256" s="1"/>
    </row>
    <row r="257" spans="2:15" ht="12.75">
      <c r="B257" s="1"/>
      <c r="C257" s="1"/>
      <c r="D257" s="1"/>
      <c r="E257" s="1"/>
      <c r="F257" s="1"/>
      <c r="G257" s="1"/>
      <c r="H257" s="1"/>
      <c r="I257" s="1"/>
      <c r="J257" s="1"/>
      <c r="K257" s="1"/>
      <c r="L257" s="1"/>
      <c r="M257" s="1"/>
      <c r="N257" s="1"/>
      <c r="O257" s="1"/>
    </row>
    <row r="258" spans="2:15" ht="12.75">
      <c r="B258" s="1"/>
      <c r="C258" s="1"/>
      <c r="D258" s="1"/>
      <c r="E258" s="1"/>
      <c r="F258" s="1"/>
      <c r="G258" s="1"/>
      <c r="H258" s="1"/>
      <c r="I258" s="1"/>
      <c r="J258" s="1"/>
      <c r="K258" s="1"/>
      <c r="L258" s="1"/>
      <c r="M258" s="1"/>
      <c r="N258" s="1"/>
      <c r="O258" s="1"/>
    </row>
    <row r="259" spans="2:15" ht="12.75">
      <c r="B259" s="1"/>
      <c r="C259" s="1"/>
      <c r="D259" s="1"/>
      <c r="E259" s="1"/>
      <c r="F259" s="1"/>
      <c r="G259" s="1"/>
      <c r="H259" s="1"/>
      <c r="I259" s="1"/>
      <c r="J259" s="1"/>
      <c r="K259" s="1"/>
      <c r="L259" s="1"/>
      <c r="M259" s="1"/>
      <c r="N259" s="1"/>
      <c r="O259" s="1"/>
    </row>
    <row r="260" spans="2:15" ht="12.75">
      <c r="B260" s="1"/>
      <c r="C260" s="1"/>
      <c r="D260" s="1"/>
      <c r="E260" s="1"/>
      <c r="F260" s="1"/>
      <c r="G260" s="1"/>
      <c r="H260" s="1"/>
      <c r="I260" s="1"/>
      <c r="J260" s="1"/>
      <c r="K260" s="1"/>
      <c r="L260" s="1"/>
      <c r="M260" s="1"/>
      <c r="N260" s="1"/>
      <c r="O260" s="1"/>
    </row>
    <row r="261" spans="2:15" ht="12.75">
      <c r="B261" s="1"/>
      <c r="C261" s="1"/>
      <c r="D261" s="1"/>
      <c r="E261" s="1"/>
      <c r="F261" s="1"/>
      <c r="G261" s="1"/>
      <c r="H261" s="1"/>
      <c r="I261" s="1"/>
      <c r="J261" s="1"/>
      <c r="K261" s="1"/>
      <c r="L261" s="1"/>
      <c r="M261" s="1"/>
      <c r="N261" s="1"/>
      <c r="O261" s="1"/>
    </row>
    <row r="262" spans="2:15" ht="12.75">
      <c r="B262" s="1"/>
      <c r="C262" s="1"/>
      <c r="D262" s="1"/>
      <c r="E262" s="1"/>
      <c r="F262" s="1"/>
      <c r="G262" s="1"/>
      <c r="H262" s="1"/>
      <c r="I262" s="1"/>
      <c r="J262" s="1"/>
      <c r="K262" s="1"/>
      <c r="L262" s="1"/>
      <c r="M262" s="1"/>
      <c r="N262" s="1"/>
      <c r="O262" s="1"/>
    </row>
    <row r="263" spans="2:15" ht="12.75">
      <c r="B263" s="1"/>
      <c r="C263" s="1"/>
      <c r="D263" s="1"/>
      <c r="E263" s="1"/>
      <c r="F263" s="1"/>
      <c r="G263" s="1"/>
      <c r="H263" s="1"/>
      <c r="I263" s="1"/>
      <c r="J263" s="1"/>
      <c r="K263" s="1"/>
      <c r="L263" s="1"/>
      <c r="M263" s="1"/>
      <c r="N263" s="1"/>
      <c r="O263" s="1"/>
    </row>
    <row r="264" spans="2:15" ht="12.75">
      <c r="B264" s="1"/>
      <c r="C264" s="1"/>
      <c r="D264" s="1"/>
      <c r="E264" s="1"/>
      <c r="F264" s="1"/>
      <c r="G264" s="1"/>
      <c r="H264" s="1"/>
      <c r="I264" s="1"/>
      <c r="J264" s="1"/>
      <c r="K264" s="1"/>
      <c r="L264" s="1"/>
      <c r="M264" s="1"/>
      <c r="N264" s="1"/>
      <c r="O264" s="1"/>
    </row>
    <row r="265" spans="2:15" ht="12.75">
      <c r="B265" s="1"/>
      <c r="C265" s="1"/>
      <c r="D265" s="1"/>
      <c r="E265" s="1"/>
      <c r="F265" s="1"/>
      <c r="G265" s="1"/>
      <c r="H265" s="1"/>
      <c r="I265" s="1"/>
      <c r="J265" s="1"/>
      <c r="K265" s="1"/>
      <c r="L265" s="1"/>
      <c r="M265" s="1"/>
      <c r="N265" s="1"/>
      <c r="O265" s="1"/>
    </row>
    <row r="266" spans="2:15" ht="12.75">
      <c r="B266" s="1"/>
      <c r="C266" s="1"/>
      <c r="D266" s="1"/>
      <c r="E266" s="1"/>
      <c r="F266" s="1"/>
      <c r="G266" s="1"/>
      <c r="H266" s="1"/>
      <c r="I266" s="1"/>
      <c r="J266" s="1"/>
      <c r="K266" s="1"/>
      <c r="L266" s="1"/>
      <c r="M266" s="1"/>
      <c r="N266" s="1"/>
      <c r="O266" s="1"/>
    </row>
    <row r="267" spans="2:15" ht="12.75">
      <c r="B267" s="1"/>
      <c r="C267" s="1"/>
      <c r="D267" s="1"/>
      <c r="E267" s="1"/>
      <c r="F267" s="1"/>
      <c r="G267" s="1"/>
      <c r="H267" s="1"/>
      <c r="I267" s="1"/>
      <c r="J267" s="1"/>
      <c r="K267" s="1"/>
      <c r="L267" s="1"/>
      <c r="M267" s="1"/>
      <c r="N267" s="1"/>
      <c r="O267" s="1"/>
    </row>
    <row r="268" spans="2:15" ht="12.75">
      <c r="B268" s="1"/>
      <c r="C268" s="1"/>
      <c r="D268" s="1"/>
      <c r="E268" s="1"/>
      <c r="F268" s="1"/>
      <c r="G268" s="1"/>
      <c r="H268" s="1"/>
      <c r="I268" s="1"/>
      <c r="J268" s="1"/>
      <c r="K268" s="1"/>
      <c r="L268" s="1"/>
      <c r="M268" s="1"/>
      <c r="N268" s="1"/>
      <c r="O268" s="1"/>
    </row>
    <row r="269" spans="2:15" ht="12.75">
      <c r="B269" s="1"/>
      <c r="C269" s="1"/>
      <c r="D269" s="1"/>
      <c r="E269" s="1"/>
      <c r="F269" s="1"/>
      <c r="G269" s="1"/>
      <c r="H269" s="1"/>
      <c r="I269" s="1"/>
      <c r="J269" s="1"/>
      <c r="K269" s="1"/>
      <c r="L269" s="1"/>
      <c r="M269" s="1"/>
      <c r="N269" s="1"/>
      <c r="O269" s="1"/>
    </row>
    <row r="270" spans="2:15" ht="12.75">
      <c r="B270" s="1"/>
      <c r="C270" s="1"/>
      <c r="D270" s="1"/>
      <c r="E270" s="1"/>
      <c r="F270" s="1"/>
      <c r="G270" s="1"/>
      <c r="H270" s="1"/>
      <c r="I270" s="1"/>
      <c r="J270" s="1"/>
      <c r="K270" s="1"/>
      <c r="L270" s="1"/>
      <c r="M270" s="1"/>
      <c r="N270" s="1"/>
      <c r="O270" s="1"/>
    </row>
    <row r="271" spans="2:15" ht="12.75">
      <c r="B271" s="1"/>
      <c r="C271" s="1"/>
      <c r="D271" s="1"/>
      <c r="E271" s="1"/>
      <c r="F271" s="1"/>
      <c r="G271" s="1"/>
      <c r="H271" s="1"/>
      <c r="I271" s="1"/>
      <c r="J271" s="1"/>
      <c r="K271" s="1"/>
      <c r="L271" s="1"/>
      <c r="M271" s="1"/>
      <c r="N271" s="1"/>
      <c r="O271" s="1"/>
    </row>
    <row r="272" spans="2:15" ht="12.75">
      <c r="B272" s="1"/>
      <c r="C272" s="1"/>
      <c r="D272" s="1"/>
      <c r="E272" s="1"/>
      <c r="F272" s="1"/>
      <c r="G272" s="1"/>
      <c r="H272" s="1"/>
      <c r="I272" s="1"/>
      <c r="J272" s="1"/>
      <c r="K272" s="1"/>
      <c r="L272" s="1"/>
      <c r="M272" s="1"/>
      <c r="N272" s="1"/>
      <c r="O272" s="1"/>
    </row>
    <row r="273" spans="2:15" ht="12.75">
      <c r="B273" s="1"/>
      <c r="C273" s="1"/>
      <c r="D273" s="1"/>
      <c r="E273" s="1"/>
      <c r="F273" s="1"/>
      <c r="G273" s="1"/>
      <c r="H273" s="1"/>
      <c r="I273" s="1"/>
      <c r="J273" s="1"/>
      <c r="K273" s="1"/>
      <c r="L273" s="1"/>
      <c r="M273" s="1"/>
      <c r="N273" s="1"/>
      <c r="O273" s="1"/>
    </row>
    <row r="274" spans="2:15" ht="12.75">
      <c r="B274" s="1"/>
      <c r="C274" s="1"/>
      <c r="D274" s="1"/>
      <c r="E274" s="1"/>
      <c r="F274" s="1"/>
      <c r="G274" s="1"/>
      <c r="H274" s="1"/>
      <c r="I274" s="1"/>
      <c r="J274" s="1"/>
      <c r="K274" s="1"/>
      <c r="L274" s="1"/>
      <c r="M274" s="1"/>
      <c r="N274" s="1"/>
      <c r="O274" s="1"/>
    </row>
    <row r="275" spans="2:15" ht="12.75">
      <c r="B275" s="1"/>
      <c r="C275" s="1"/>
      <c r="D275" s="1"/>
      <c r="E275" s="1"/>
      <c r="F275" s="1"/>
      <c r="G275" s="1"/>
      <c r="H275" s="1"/>
      <c r="I275" s="1"/>
      <c r="J275" s="1"/>
      <c r="K275" s="1"/>
      <c r="L275" s="1"/>
      <c r="M275" s="1"/>
      <c r="N275" s="1"/>
      <c r="O275" s="1"/>
    </row>
    <row r="276" spans="2:15" ht="12.75">
      <c r="B276" s="1"/>
      <c r="C276" s="1"/>
      <c r="D276" s="1"/>
      <c r="E276" s="1"/>
      <c r="F276" s="1"/>
      <c r="G276" s="1"/>
      <c r="H276" s="1"/>
      <c r="I276" s="1"/>
      <c r="J276" s="1"/>
      <c r="K276" s="1"/>
      <c r="L276" s="1"/>
      <c r="M276" s="1"/>
      <c r="N276" s="1"/>
      <c r="O276" s="1"/>
    </row>
    <row r="277" spans="2:15" ht="12.75">
      <c r="B277" s="1"/>
      <c r="C277" s="1"/>
      <c r="D277" s="1"/>
      <c r="E277" s="1"/>
      <c r="F277" s="1"/>
      <c r="G277" s="1"/>
      <c r="H277" s="1"/>
      <c r="I277" s="1"/>
      <c r="J277" s="1"/>
      <c r="K277" s="1"/>
      <c r="L277" s="1"/>
      <c r="M277" s="1"/>
      <c r="N277" s="1"/>
      <c r="O277" s="1"/>
    </row>
    <row r="278" spans="2:15" ht="12.75">
      <c r="B278" s="1"/>
      <c r="C278" s="1"/>
      <c r="D278" s="1"/>
      <c r="E278" s="1"/>
      <c r="F278" s="1"/>
      <c r="G278" s="1"/>
      <c r="H278" s="1"/>
      <c r="I278" s="1"/>
      <c r="J278" s="1"/>
      <c r="K278" s="1"/>
      <c r="L278" s="1"/>
      <c r="M278" s="1"/>
      <c r="N278" s="1"/>
      <c r="O278" s="1"/>
    </row>
    <row r="279" spans="2:15" ht="12.75">
      <c r="B279" s="1"/>
      <c r="C279" s="1"/>
      <c r="D279" s="1"/>
      <c r="E279" s="1"/>
      <c r="F279" s="1"/>
      <c r="G279" s="1"/>
      <c r="H279" s="1"/>
      <c r="I279" s="1"/>
      <c r="J279" s="1"/>
      <c r="K279" s="1"/>
      <c r="L279" s="1"/>
      <c r="M279" s="1"/>
      <c r="N279" s="1"/>
      <c r="O279" s="1"/>
    </row>
    <row r="280" spans="2:15" ht="12.75">
      <c r="B280" s="1"/>
      <c r="C280" s="1"/>
      <c r="D280" s="1"/>
      <c r="E280" s="1"/>
      <c r="F280" s="1"/>
      <c r="G280" s="1"/>
      <c r="H280" s="1"/>
      <c r="I280" s="1"/>
      <c r="J280" s="1"/>
      <c r="K280" s="1"/>
      <c r="L280" s="1"/>
      <c r="M280" s="1"/>
      <c r="N280" s="1"/>
      <c r="O280" s="1"/>
    </row>
    <row r="281" spans="2:15" ht="12.75">
      <c r="B281" s="1"/>
      <c r="C281" s="1"/>
      <c r="D281" s="1"/>
      <c r="E281" s="1"/>
      <c r="F281" s="1"/>
      <c r="G281" s="1"/>
      <c r="H281" s="1"/>
      <c r="I281" s="1"/>
      <c r="J281" s="1"/>
      <c r="K281" s="1"/>
      <c r="L281" s="1"/>
      <c r="M281" s="1"/>
      <c r="N281" s="1"/>
      <c r="O281" s="1"/>
    </row>
    <row r="282" spans="2:15" ht="12.75">
      <c r="B282" s="1"/>
      <c r="C282" s="1"/>
      <c r="D282" s="1"/>
      <c r="E282" s="1"/>
      <c r="F282" s="1"/>
      <c r="G282" s="1"/>
      <c r="H282" s="1"/>
      <c r="I282" s="1"/>
      <c r="J282" s="1"/>
      <c r="K282" s="1"/>
      <c r="L282" s="1"/>
      <c r="M282" s="1"/>
      <c r="N282" s="1"/>
      <c r="O282" s="1"/>
    </row>
    <row r="283" spans="2:15" ht="12.75">
      <c r="B283" s="1"/>
      <c r="C283" s="1"/>
      <c r="D283" s="1"/>
      <c r="E283" s="1"/>
      <c r="F283" s="1"/>
      <c r="G283" s="1"/>
      <c r="H283" s="1"/>
      <c r="I283" s="1"/>
      <c r="J283" s="1"/>
      <c r="K283" s="1"/>
      <c r="L283" s="1"/>
      <c r="M283" s="1"/>
      <c r="N283" s="1"/>
      <c r="O283" s="1"/>
    </row>
    <row r="284" spans="2:15" ht="12.75">
      <c r="B284" s="1"/>
      <c r="C284" s="1"/>
      <c r="D284" s="1"/>
      <c r="E284" s="1"/>
      <c r="F284" s="1"/>
      <c r="G284" s="1"/>
      <c r="H284" s="1"/>
      <c r="I284" s="1"/>
      <c r="J284" s="1"/>
      <c r="K284" s="1"/>
      <c r="L284" s="1"/>
      <c r="M284" s="1"/>
      <c r="N284" s="1"/>
      <c r="O284" s="1"/>
    </row>
    <row r="285" spans="2:15" ht="12.75">
      <c r="B285" s="1"/>
      <c r="C285" s="1"/>
      <c r="D285" s="1"/>
      <c r="E285" s="1"/>
      <c r="F285" s="1"/>
      <c r="G285" s="1"/>
      <c r="H285" s="1"/>
      <c r="I285" s="1"/>
      <c r="J285" s="1"/>
      <c r="K285" s="1"/>
      <c r="L285" s="1"/>
      <c r="M285" s="1"/>
      <c r="N285" s="1"/>
      <c r="O285" s="1"/>
    </row>
    <row r="286" spans="2:15" ht="12.75">
      <c r="B286" s="1"/>
      <c r="C286" s="1"/>
      <c r="D286" s="1"/>
      <c r="E286" s="1"/>
      <c r="F286" s="1"/>
      <c r="G286" s="1"/>
      <c r="H286" s="1"/>
      <c r="I286" s="1"/>
      <c r="J286" s="1"/>
      <c r="K286" s="1"/>
      <c r="L286" s="1"/>
      <c r="M286" s="1"/>
      <c r="N286" s="1"/>
      <c r="O286" s="1"/>
    </row>
    <row r="287" spans="2:15" ht="12.75">
      <c r="B287" s="1"/>
      <c r="C287" s="1"/>
      <c r="D287" s="1"/>
      <c r="E287" s="1"/>
      <c r="F287" s="1"/>
      <c r="G287" s="1"/>
      <c r="H287" s="1"/>
      <c r="I287" s="1"/>
      <c r="J287" s="1"/>
      <c r="K287" s="1"/>
      <c r="L287" s="1"/>
      <c r="M287" s="1"/>
      <c r="N287" s="1"/>
      <c r="O287" s="1"/>
    </row>
    <row r="288" spans="2:15" ht="12.75">
      <c r="B288" s="1"/>
      <c r="C288" s="1"/>
      <c r="D288" s="1"/>
      <c r="E288" s="1"/>
      <c r="F288" s="1"/>
      <c r="G288" s="1"/>
      <c r="H288" s="1"/>
      <c r="I288" s="1"/>
      <c r="J288" s="1"/>
      <c r="K288" s="1"/>
      <c r="L288" s="1"/>
      <c r="M288" s="1"/>
      <c r="N288" s="1"/>
      <c r="O288" s="1"/>
    </row>
    <row r="289" spans="2:15" ht="12.75">
      <c r="B289" s="1"/>
      <c r="C289" s="1"/>
      <c r="D289" s="1"/>
      <c r="E289" s="1"/>
      <c r="F289" s="1"/>
      <c r="G289" s="1"/>
      <c r="H289" s="1"/>
      <c r="I289" s="1"/>
      <c r="J289" s="1"/>
      <c r="K289" s="1"/>
      <c r="L289" s="1"/>
      <c r="M289" s="1"/>
      <c r="N289" s="1"/>
      <c r="O289" s="1"/>
    </row>
    <row r="290" spans="2:15" ht="12.75">
      <c r="B290" s="1"/>
      <c r="C290" s="1"/>
      <c r="D290" s="1"/>
      <c r="E290" s="1"/>
      <c r="F290" s="1"/>
      <c r="G290" s="1"/>
      <c r="H290" s="1"/>
      <c r="I290" s="1"/>
      <c r="J290" s="1"/>
      <c r="K290" s="1"/>
      <c r="L290" s="1"/>
      <c r="M290" s="1"/>
      <c r="N290" s="1"/>
      <c r="O290" s="1"/>
    </row>
    <row r="291" spans="2:15" ht="12.75">
      <c r="B291" s="1"/>
      <c r="C291" s="1"/>
      <c r="D291" s="1"/>
      <c r="E291" s="1"/>
      <c r="F291" s="1"/>
      <c r="G291" s="1"/>
      <c r="H291" s="1"/>
      <c r="I291" s="1"/>
      <c r="J291" s="1"/>
      <c r="K291" s="1"/>
      <c r="L291" s="1"/>
      <c r="M291" s="1"/>
      <c r="N291" s="1"/>
      <c r="O291" s="1"/>
    </row>
    <row r="292" spans="2:15" ht="12.75">
      <c r="B292" s="1"/>
      <c r="C292" s="1"/>
      <c r="D292" s="1"/>
      <c r="E292" s="1"/>
      <c r="F292" s="1"/>
      <c r="G292" s="1"/>
      <c r="H292" s="1"/>
      <c r="I292" s="1"/>
      <c r="J292" s="1"/>
      <c r="K292" s="1"/>
      <c r="L292" s="1"/>
      <c r="M292" s="1"/>
      <c r="N292" s="1"/>
      <c r="O292" s="1"/>
    </row>
    <row r="293" spans="2:15" ht="12.75">
      <c r="B293" s="1"/>
      <c r="C293" s="1"/>
      <c r="D293" s="1"/>
      <c r="E293" s="1"/>
      <c r="F293" s="1"/>
      <c r="G293" s="1"/>
      <c r="H293" s="1"/>
      <c r="I293" s="1"/>
      <c r="J293" s="1"/>
      <c r="K293" s="1"/>
      <c r="L293" s="1"/>
      <c r="M293" s="1"/>
      <c r="N293" s="1"/>
      <c r="O293" s="1"/>
    </row>
    <row r="294" spans="2:15" ht="12.75">
      <c r="B294" s="1"/>
      <c r="C294" s="1"/>
      <c r="D294" s="1"/>
      <c r="E294" s="1"/>
      <c r="F294" s="1"/>
      <c r="G294" s="1"/>
      <c r="H294" s="1"/>
      <c r="I294" s="1"/>
      <c r="J294" s="1"/>
      <c r="K294" s="1"/>
      <c r="L294" s="1"/>
      <c r="M294" s="1"/>
      <c r="N294" s="1"/>
      <c r="O294" s="1"/>
    </row>
    <row r="295" spans="2:15" ht="12.75">
      <c r="B295" s="1"/>
      <c r="C295" s="1"/>
      <c r="D295" s="1"/>
      <c r="E295" s="1"/>
      <c r="F295" s="1"/>
      <c r="G295" s="1"/>
      <c r="H295" s="1"/>
      <c r="I295" s="1"/>
      <c r="J295" s="1"/>
      <c r="K295" s="1"/>
      <c r="L295" s="1"/>
      <c r="M295" s="1"/>
      <c r="N295" s="1"/>
      <c r="O295" s="1"/>
    </row>
    <row r="296" spans="2:15" ht="12.75">
      <c r="B296" s="1"/>
      <c r="C296" s="1"/>
      <c r="D296" s="1"/>
      <c r="E296" s="1"/>
      <c r="F296" s="1"/>
      <c r="G296" s="1"/>
      <c r="H296" s="1"/>
      <c r="I296" s="1"/>
      <c r="J296" s="1"/>
      <c r="K296" s="1"/>
      <c r="L296" s="1"/>
      <c r="M296" s="1"/>
      <c r="N296" s="1"/>
      <c r="O296" s="1"/>
    </row>
    <row r="297" spans="2:15" ht="12.75">
      <c r="B297" s="1"/>
      <c r="C297" s="1"/>
      <c r="D297" s="1"/>
      <c r="E297" s="1"/>
      <c r="F297" s="1"/>
      <c r="G297" s="1"/>
      <c r="H297" s="1"/>
      <c r="I297" s="1"/>
      <c r="J297" s="1"/>
      <c r="K297" s="1"/>
      <c r="L297" s="1"/>
      <c r="M297" s="1"/>
      <c r="N297" s="1"/>
      <c r="O297" s="1"/>
    </row>
    <row r="298" spans="2:15" ht="12.75">
      <c r="B298" s="1"/>
      <c r="C298" s="1"/>
      <c r="D298" s="1"/>
      <c r="E298" s="1"/>
      <c r="F298" s="1"/>
      <c r="G298" s="1"/>
      <c r="H298" s="1"/>
      <c r="I298" s="1"/>
      <c r="J298" s="1"/>
      <c r="K298" s="1"/>
      <c r="L298" s="1"/>
      <c r="M298" s="1"/>
      <c r="N298" s="1"/>
      <c r="O298" s="1"/>
    </row>
    <row r="299" spans="2:15" ht="12.75">
      <c r="B299" s="1"/>
      <c r="C299" s="1"/>
      <c r="D299" s="1"/>
      <c r="E299" s="1"/>
      <c r="F299" s="1"/>
      <c r="G299" s="1"/>
      <c r="H299" s="1"/>
      <c r="I299" s="1"/>
      <c r="J299" s="1"/>
      <c r="K299" s="1"/>
      <c r="L299" s="1"/>
      <c r="M299" s="1"/>
      <c r="N299" s="1"/>
      <c r="O299" s="1"/>
    </row>
    <row r="300" spans="2:15" ht="12.75">
      <c r="B300" s="1"/>
      <c r="C300" s="1"/>
      <c r="D300" s="1"/>
      <c r="E300" s="1"/>
      <c r="F300" s="1"/>
      <c r="G300" s="1"/>
      <c r="H300" s="1"/>
      <c r="I300" s="1"/>
      <c r="J300" s="1"/>
      <c r="K300" s="1"/>
      <c r="L300" s="1"/>
      <c r="M300" s="1"/>
      <c r="N300" s="1"/>
      <c r="O300" s="1"/>
    </row>
    <row r="301" spans="2:15" ht="12.75">
      <c r="B301" s="1"/>
      <c r="C301" s="1"/>
      <c r="D301" s="1"/>
      <c r="E301" s="1"/>
      <c r="F301" s="1"/>
      <c r="G301" s="1"/>
      <c r="H301" s="1"/>
      <c r="I301" s="1"/>
      <c r="J301" s="1"/>
      <c r="K301" s="1"/>
      <c r="L301" s="1"/>
      <c r="M301" s="1"/>
      <c r="N301" s="1"/>
      <c r="O301" s="1"/>
    </row>
    <row r="302" spans="2:15" ht="12.75">
      <c r="B302" s="1"/>
      <c r="C302" s="1"/>
      <c r="D302" s="1"/>
      <c r="E302" s="1"/>
      <c r="F302" s="1"/>
      <c r="G302" s="1"/>
      <c r="H302" s="1"/>
      <c r="I302" s="1"/>
      <c r="J302" s="1"/>
      <c r="K302" s="1"/>
      <c r="L302" s="1"/>
      <c r="M302" s="1"/>
      <c r="N302" s="1"/>
      <c r="O302" s="1"/>
    </row>
    <row r="303" spans="2:15" ht="12.75">
      <c r="B303" s="1"/>
      <c r="C303" s="1"/>
      <c r="D303" s="1"/>
      <c r="E303" s="1"/>
      <c r="F303" s="1"/>
      <c r="G303" s="1"/>
      <c r="H303" s="1"/>
      <c r="I303" s="1"/>
      <c r="J303" s="1"/>
      <c r="K303" s="1"/>
      <c r="L303" s="1"/>
      <c r="M303" s="1"/>
      <c r="N303" s="1"/>
      <c r="O303" s="1"/>
    </row>
    <row r="304" spans="2:15" ht="12.75">
      <c r="B304" s="1"/>
      <c r="C304" s="1"/>
      <c r="D304" s="1"/>
      <c r="E304" s="1"/>
      <c r="F304" s="1"/>
      <c r="G304" s="1"/>
      <c r="H304" s="1"/>
      <c r="I304" s="1"/>
      <c r="J304" s="1"/>
      <c r="K304" s="1"/>
      <c r="L304" s="1"/>
      <c r="M304" s="1"/>
      <c r="N304" s="1"/>
      <c r="O304" s="1"/>
    </row>
    <row r="305" spans="2:15" ht="12.75">
      <c r="B305" s="1"/>
      <c r="C305" s="1"/>
      <c r="D305" s="1"/>
      <c r="E305" s="1"/>
      <c r="F305" s="1"/>
      <c r="G305" s="1"/>
      <c r="H305" s="1"/>
      <c r="I305" s="1"/>
      <c r="J305" s="1"/>
      <c r="K305" s="1"/>
      <c r="L305" s="1"/>
      <c r="M305" s="1"/>
      <c r="N305" s="1"/>
      <c r="O305" s="1"/>
    </row>
    <row r="306" spans="2:15" ht="12.75">
      <c r="B306" s="1"/>
      <c r="C306" s="1"/>
      <c r="D306" s="1"/>
      <c r="E306" s="1"/>
      <c r="F306" s="1"/>
      <c r="G306" s="1"/>
      <c r="H306" s="1"/>
      <c r="I306" s="1"/>
      <c r="J306" s="1"/>
      <c r="K306" s="1"/>
      <c r="L306" s="1"/>
      <c r="M306" s="1"/>
      <c r="N306" s="1"/>
      <c r="O306" s="1"/>
    </row>
    <row r="307" spans="2:15" ht="12.75">
      <c r="B307" s="1"/>
      <c r="C307" s="1"/>
      <c r="D307" s="1"/>
      <c r="E307" s="1"/>
      <c r="F307" s="1"/>
      <c r="G307" s="1"/>
      <c r="H307" s="1"/>
      <c r="I307" s="1"/>
      <c r="J307" s="1"/>
      <c r="K307" s="1"/>
      <c r="L307" s="1"/>
      <c r="M307" s="1"/>
      <c r="N307" s="1"/>
      <c r="O307" s="1"/>
    </row>
    <row r="308" spans="2:15" ht="12.75">
      <c r="B308" s="1"/>
      <c r="C308" s="1"/>
      <c r="D308" s="1"/>
      <c r="E308" s="1"/>
      <c r="F308" s="1"/>
      <c r="G308" s="1"/>
      <c r="H308" s="1"/>
      <c r="I308" s="1"/>
      <c r="J308" s="1"/>
      <c r="K308" s="1"/>
      <c r="L308" s="1"/>
      <c r="M308" s="1"/>
      <c r="N308" s="1"/>
      <c r="O308" s="1"/>
    </row>
    <row r="309" spans="2:15" ht="12.75">
      <c r="B309" s="1"/>
      <c r="C309" s="1"/>
      <c r="D309" s="1"/>
      <c r="E309" s="1"/>
      <c r="F309" s="1"/>
      <c r="G309" s="1"/>
      <c r="H309" s="1"/>
      <c r="I309" s="1"/>
      <c r="J309" s="1"/>
      <c r="K309" s="1"/>
      <c r="L309" s="1"/>
      <c r="M309" s="1"/>
      <c r="N309" s="1"/>
      <c r="O309" s="1"/>
    </row>
    <row r="310" spans="2:15" ht="12.75">
      <c r="B310" s="1"/>
      <c r="C310" s="1"/>
      <c r="D310" s="1"/>
      <c r="E310" s="1"/>
      <c r="F310" s="1"/>
      <c r="G310" s="1"/>
      <c r="H310" s="1"/>
      <c r="I310" s="1"/>
      <c r="J310" s="1"/>
      <c r="K310" s="1"/>
      <c r="L310" s="1"/>
      <c r="M310" s="1"/>
      <c r="N310" s="1"/>
      <c r="O310" s="1"/>
    </row>
    <row r="311" spans="2:15" ht="12.75">
      <c r="B311" s="1"/>
      <c r="C311" s="1"/>
      <c r="D311" s="1"/>
      <c r="E311" s="1"/>
      <c r="F311" s="1"/>
      <c r="G311" s="1"/>
      <c r="H311" s="1"/>
      <c r="I311" s="1"/>
      <c r="J311" s="1"/>
      <c r="K311" s="1"/>
      <c r="L311" s="1"/>
      <c r="M311" s="1"/>
      <c r="N311" s="1"/>
      <c r="O311" s="1"/>
    </row>
    <row r="312" spans="2:15" ht="12.75">
      <c r="B312" s="1"/>
      <c r="C312" s="1"/>
      <c r="D312" s="1"/>
      <c r="E312" s="1"/>
      <c r="F312" s="1"/>
      <c r="G312" s="1"/>
      <c r="H312" s="1"/>
      <c r="I312" s="1"/>
      <c r="J312" s="1"/>
      <c r="K312" s="1"/>
      <c r="L312" s="1"/>
      <c r="M312" s="1"/>
      <c r="N312" s="1"/>
      <c r="O312" s="1"/>
    </row>
    <row r="313" spans="2:15" ht="12.75">
      <c r="B313" s="1"/>
      <c r="C313" s="1"/>
      <c r="D313" s="1"/>
      <c r="E313" s="1"/>
      <c r="F313" s="1"/>
      <c r="G313" s="1"/>
      <c r="H313" s="1"/>
      <c r="I313" s="1"/>
      <c r="J313" s="1"/>
      <c r="K313" s="1"/>
      <c r="L313" s="1"/>
      <c r="M313" s="1"/>
      <c r="N313" s="1"/>
      <c r="O313" s="1"/>
    </row>
    <row r="314" spans="2:15" ht="12.75">
      <c r="B314" s="1"/>
      <c r="C314" s="1"/>
      <c r="D314" s="1"/>
      <c r="E314" s="1"/>
      <c r="F314" s="1"/>
      <c r="G314" s="1"/>
      <c r="H314" s="1"/>
      <c r="I314" s="1"/>
      <c r="J314" s="1"/>
      <c r="K314" s="1"/>
      <c r="L314" s="1"/>
      <c r="M314" s="1"/>
      <c r="N314" s="1"/>
      <c r="O314" s="1"/>
    </row>
    <row r="315" spans="2:15" ht="12.75">
      <c r="B315" s="1"/>
      <c r="C315" s="1"/>
      <c r="D315" s="1"/>
      <c r="E315" s="1"/>
      <c r="F315" s="1"/>
      <c r="G315" s="1"/>
      <c r="H315" s="1"/>
      <c r="I315" s="1"/>
      <c r="J315" s="1"/>
      <c r="K315" s="1"/>
      <c r="L315" s="1"/>
      <c r="M315" s="1"/>
      <c r="N315" s="1"/>
      <c r="O315" s="1"/>
    </row>
    <row r="316" spans="2:15" ht="12.75">
      <c r="B316" s="1"/>
      <c r="C316" s="1"/>
      <c r="D316" s="1"/>
      <c r="E316" s="1"/>
      <c r="F316" s="1"/>
      <c r="G316" s="1"/>
      <c r="H316" s="1"/>
      <c r="I316" s="1"/>
      <c r="J316" s="1"/>
      <c r="K316" s="1"/>
      <c r="L316" s="1"/>
      <c r="M316" s="1"/>
      <c r="N316" s="1"/>
      <c r="O316" s="1"/>
    </row>
    <row r="317" spans="2:15" ht="12.75">
      <c r="B317" s="1"/>
      <c r="C317" s="1"/>
      <c r="D317" s="1"/>
      <c r="E317" s="1"/>
      <c r="F317" s="1"/>
      <c r="G317" s="1"/>
      <c r="H317" s="1"/>
      <c r="I317" s="1"/>
      <c r="J317" s="1"/>
      <c r="K317" s="1"/>
      <c r="L317" s="1"/>
      <c r="M317" s="1"/>
      <c r="N317" s="1"/>
      <c r="O317" s="1"/>
    </row>
    <row r="318" spans="2:15" ht="12.75">
      <c r="B318" s="1"/>
      <c r="C318" s="1"/>
      <c r="D318" s="1"/>
      <c r="E318" s="1"/>
      <c r="F318" s="1"/>
      <c r="G318" s="1"/>
      <c r="H318" s="1"/>
      <c r="I318" s="1"/>
      <c r="J318" s="1"/>
      <c r="K318" s="1"/>
      <c r="L318" s="1"/>
      <c r="M318" s="1"/>
      <c r="N318" s="1"/>
      <c r="O318" s="1"/>
    </row>
    <row r="319" spans="2:15" ht="12.75">
      <c r="B319" s="1"/>
      <c r="C319" s="1"/>
      <c r="D319" s="1"/>
      <c r="E319" s="1"/>
      <c r="F319" s="1"/>
      <c r="G319" s="1"/>
      <c r="H319" s="1"/>
      <c r="I319" s="1"/>
      <c r="J319" s="1"/>
      <c r="K319" s="1"/>
      <c r="L319" s="1"/>
      <c r="M319" s="1"/>
      <c r="N319" s="1"/>
      <c r="O319" s="1"/>
    </row>
    <row r="320" spans="2:15" ht="12.75">
      <c r="B320" s="1"/>
      <c r="C320" s="1"/>
      <c r="D320" s="1"/>
      <c r="E320" s="1"/>
      <c r="F320" s="1"/>
      <c r="G320" s="1"/>
      <c r="H320" s="1"/>
      <c r="I320" s="1"/>
      <c r="J320" s="1"/>
      <c r="K320" s="1"/>
      <c r="L320" s="1"/>
      <c r="M320" s="1"/>
      <c r="N320" s="1"/>
      <c r="O320" s="1"/>
    </row>
    <row r="321" spans="2:15" ht="12.75">
      <c r="B321" s="1"/>
      <c r="C321" s="1"/>
      <c r="D321" s="1"/>
      <c r="E321" s="1"/>
      <c r="F321" s="1"/>
      <c r="G321" s="1"/>
      <c r="H321" s="1"/>
      <c r="I321" s="1"/>
      <c r="J321" s="1"/>
      <c r="K321" s="1"/>
      <c r="L321" s="1"/>
      <c r="M321" s="1"/>
      <c r="N321" s="1"/>
      <c r="O321" s="1"/>
    </row>
    <row r="322" spans="2:15" ht="12.75">
      <c r="B322" s="1"/>
      <c r="C322" s="1"/>
      <c r="D322" s="1"/>
      <c r="E322" s="1"/>
      <c r="F322" s="1"/>
      <c r="G322" s="1"/>
      <c r="H322" s="1"/>
      <c r="I322" s="1"/>
      <c r="J322" s="1"/>
      <c r="K322" s="1"/>
      <c r="L322" s="1"/>
      <c r="M322" s="1"/>
      <c r="N322" s="1"/>
      <c r="O322" s="1"/>
    </row>
    <row r="323" spans="2:15" ht="12.75">
      <c r="B323" s="1"/>
      <c r="C323" s="1"/>
      <c r="D323" s="1"/>
      <c r="E323" s="1"/>
      <c r="F323" s="1"/>
      <c r="G323" s="1"/>
      <c r="H323" s="1"/>
      <c r="I323" s="1"/>
      <c r="J323" s="1"/>
      <c r="K323" s="1"/>
      <c r="L323" s="1"/>
      <c r="M323" s="1"/>
      <c r="N323" s="1"/>
      <c r="O323" s="1"/>
    </row>
    <row r="324" spans="2:15" ht="12.75">
      <c r="B324" s="1"/>
      <c r="C324" s="1"/>
      <c r="D324" s="1"/>
      <c r="E324" s="1"/>
      <c r="F324" s="1"/>
      <c r="G324" s="1"/>
      <c r="H324" s="1"/>
      <c r="I324" s="1"/>
      <c r="J324" s="1"/>
      <c r="K324" s="1"/>
      <c r="L324" s="1"/>
      <c r="M324" s="1"/>
      <c r="N324" s="1"/>
      <c r="O324" s="1"/>
    </row>
    <row r="325" spans="2:15" ht="12.75">
      <c r="B325" s="1"/>
      <c r="C325" s="1"/>
      <c r="D325" s="1"/>
      <c r="E325" s="1"/>
      <c r="F325" s="1"/>
      <c r="G325" s="1"/>
      <c r="H325" s="1"/>
      <c r="I325" s="1"/>
      <c r="J325" s="1"/>
      <c r="K325" s="1"/>
      <c r="L325" s="1"/>
      <c r="M325" s="1"/>
      <c r="N325" s="1"/>
      <c r="O325" s="1"/>
    </row>
    <row r="326" spans="2:15" ht="12.75">
      <c r="B326" s="1"/>
      <c r="C326" s="1"/>
      <c r="D326" s="1"/>
      <c r="E326" s="1"/>
      <c r="F326" s="1"/>
      <c r="G326" s="1"/>
      <c r="H326" s="1"/>
      <c r="I326" s="1"/>
      <c r="J326" s="1"/>
      <c r="K326" s="1"/>
      <c r="L326" s="1"/>
      <c r="M326" s="1"/>
      <c r="N326" s="1"/>
      <c r="O326" s="1"/>
    </row>
    <row r="327" spans="2:15" ht="12.75">
      <c r="B327" s="1"/>
      <c r="C327" s="1"/>
      <c r="D327" s="1"/>
      <c r="E327" s="1"/>
      <c r="F327" s="1"/>
      <c r="G327" s="1"/>
      <c r="H327" s="1"/>
      <c r="I327" s="1"/>
      <c r="J327" s="1"/>
      <c r="K327" s="1"/>
      <c r="L327" s="1"/>
      <c r="M327" s="1"/>
      <c r="N327" s="1"/>
      <c r="O327" s="1"/>
    </row>
    <row r="328" spans="2:15" ht="12.75">
      <c r="B328" s="1"/>
      <c r="C328" s="1"/>
      <c r="D328" s="1"/>
      <c r="E328" s="1"/>
      <c r="F328" s="1"/>
      <c r="G328" s="1"/>
      <c r="H328" s="1"/>
      <c r="I328" s="1"/>
      <c r="J328" s="1"/>
      <c r="K328" s="1"/>
      <c r="L328" s="1"/>
      <c r="M328" s="1"/>
      <c r="N328" s="1"/>
      <c r="O328" s="1"/>
    </row>
    <row r="329" spans="2:15" ht="12.75">
      <c r="B329" s="1"/>
      <c r="C329" s="1"/>
      <c r="D329" s="1"/>
      <c r="E329" s="1"/>
      <c r="F329" s="1"/>
      <c r="G329" s="1"/>
      <c r="H329" s="1"/>
      <c r="I329" s="1"/>
      <c r="J329" s="1"/>
      <c r="K329" s="1"/>
      <c r="L329" s="1"/>
      <c r="M329" s="1"/>
      <c r="N329" s="1"/>
      <c r="O329" s="1"/>
    </row>
    <row r="330" spans="2:15" ht="12.75">
      <c r="B330" s="1"/>
      <c r="C330" s="1"/>
      <c r="D330" s="1"/>
      <c r="E330" s="1"/>
      <c r="F330" s="1"/>
      <c r="G330" s="1"/>
      <c r="H330" s="1"/>
      <c r="I330" s="1"/>
      <c r="J330" s="1"/>
      <c r="K330" s="1"/>
      <c r="L330" s="1"/>
      <c r="M330" s="1"/>
      <c r="N330" s="1"/>
      <c r="O330" s="1"/>
    </row>
    <row r="331" spans="2:15" ht="12.75">
      <c r="B331" s="1"/>
      <c r="C331" s="1"/>
      <c r="D331" s="1"/>
      <c r="E331" s="1"/>
      <c r="F331" s="1"/>
      <c r="G331" s="1"/>
      <c r="H331" s="1"/>
      <c r="I331" s="1"/>
      <c r="J331" s="1"/>
      <c r="K331" s="1"/>
      <c r="L331" s="1"/>
      <c r="M331" s="1"/>
      <c r="N331" s="1"/>
      <c r="O331" s="1"/>
    </row>
    <row r="332" spans="2:15" ht="12.75">
      <c r="B332" s="1"/>
      <c r="C332" s="1"/>
      <c r="D332" s="1"/>
      <c r="E332" s="1"/>
      <c r="F332" s="1"/>
      <c r="G332" s="1"/>
      <c r="H332" s="1"/>
      <c r="I332" s="1"/>
      <c r="J332" s="1"/>
      <c r="K332" s="1"/>
      <c r="L332" s="1"/>
      <c r="M332" s="1"/>
      <c r="N332" s="1"/>
      <c r="O332" s="1"/>
    </row>
    <row r="333" spans="2:15" ht="12.75">
      <c r="B333" s="1"/>
      <c r="C333" s="1"/>
      <c r="D333" s="1"/>
      <c r="E333" s="1"/>
      <c r="F333" s="1"/>
      <c r="G333" s="1"/>
      <c r="H333" s="1"/>
      <c r="I333" s="1"/>
      <c r="J333" s="1"/>
      <c r="K333" s="1"/>
      <c r="L333" s="1"/>
      <c r="M333" s="1"/>
      <c r="N333" s="1"/>
      <c r="O333" s="1"/>
    </row>
    <row r="334" spans="2:15" ht="12.75">
      <c r="B334" s="1"/>
      <c r="C334" s="1"/>
      <c r="D334" s="1"/>
      <c r="E334" s="1"/>
      <c r="F334" s="1"/>
      <c r="G334" s="1"/>
      <c r="H334" s="1"/>
      <c r="I334" s="1"/>
      <c r="J334" s="1"/>
      <c r="K334" s="1"/>
      <c r="L334" s="1"/>
      <c r="M334" s="1"/>
      <c r="N334" s="1"/>
      <c r="O334" s="1"/>
    </row>
    <row r="335" spans="2:15" ht="12.75">
      <c r="B335" s="1"/>
      <c r="C335" s="1"/>
      <c r="D335" s="1"/>
      <c r="E335" s="1"/>
      <c r="F335" s="1"/>
      <c r="G335" s="1"/>
      <c r="H335" s="1"/>
      <c r="I335" s="1"/>
      <c r="J335" s="1"/>
      <c r="K335" s="1"/>
      <c r="L335" s="1"/>
      <c r="M335" s="1"/>
      <c r="N335" s="1"/>
      <c r="O335" s="1"/>
    </row>
    <row r="336" spans="2:15" ht="12.75">
      <c r="B336" s="1"/>
      <c r="C336" s="1"/>
      <c r="D336" s="1"/>
      <c r="E336" s="1"/>
      <c r="F336" s="1"/>
      <c r="G336" s="1"/>
      <c r="H336" s="1"/>
      <c r="I336" s="1"/>
      <c r="J336" s="1"/>
      <c r="K336" s="1"/>
      <c r="L336" s="1"/>
      <c r="M336" s="1"/>
      <c r="N336" s="1"/>
      <c r="O336" s="1"/>
    </row>
    <row r="337" spans="2:15" ht="12.75">
      <c r="B337" s="1"/>
      <c r="C337" s="1"/>
      <c r="D337" s="1"/>
      <c r="E337" s="1"/>
      <c r="F337" s="1"/>
      <c r="G337" s="1"/>
      <c r="H337" s="1"/>
      <c r="I337" s="1"/>
      <c r="J337" s="1"/>
      <c r="K337" s="1"/>
      <c r="L337" s="1"/>
      <c r="M337" s="1"/>
      <c r="N337" s="1"/>
      <c r="O337" s="1"/>
    </row>
    <row r="338" spans="2:15" ht="12.75">
      <c r="B338" s="1"/>
      <c r="C338" s="1"/>
      <c r="D338" s="1"/>
      <c r="E338" s="1"/>
      <c r="F338" s="1"/>
      <c r="G338" s="1"/>
      <c r="H338" s="1"/>
      <c r="I338" s="1"/>
      <c r="J338" s="1"/>
      <c r="K338" s="1"/>
      <c r="L338" s="1"/>
      <c r="M338" s="1"/>
      <c r="N338" s="1"/>
      <c r="O338" s="1"/>
    </row>
    <row r="339" spans="2:15" ht="12.75">
      <c r="B339" s="1"/>
      <c r="C339" s="1"/>
      <c r="D339" s="1"/>
      <c r="E339" s="1"/>
      <c r="F339" s="1"/>
      <c r="G339" s="1"/>
      <c r="H339" s="1"/>
      <c r="I339" s="1"/>
      <c r="J339" s="1"/>
      <c r="K339" s="1"/>
      <c r="L339" s="1"/>
      <c r="M339" s="1"/>
      <c r="N339" s="1"/>
      <c r="O339" s="1"/>
    </row>
    <row r="340" spans="2:15" ht="12.75">
      <c r="B340" s="1"/>
      <c r="C340" s="1"/>
      <c r="D340" s="1"/>
      <c r="E340" s="1"/>
      <c r="F340" s="1"/>
      <c r="G340" s="1"/>
      <c r="H340" s="1"/>
      <c r="I340" s="1"/>
      <c r="J340" s="1"/>
      <c r="K340" s="1"/>
      <c r="L340" s="1"/>
      <c r="M340" s="1"/>
      <c r="N340" s="1"/>
      <c r="O340" s="1"/>
    </row>
    <row r="341" spans="2:15" ht="12.75">
      <c r="B341" s="1"/>
      <c r="C341" s="1"/>
      <c r="D341" s="1"/>
      <c r="E341" s="1"/>
      <c r="F341" s="1"/>
      <c r="G341" s="1"/>
      <c r="H341" s="1"/>
      <c r="I341" s="1"/>
      <c r="J341" s="1"/>
      <c r="K341" s="1"/>
      <c r="L341" s="1"/>
      <c r="M341" s="1"/>
      <c r="N341" s="1"/>
      <c r="O341" s="1"/>
    </row>
    <row r="342" spans="2:15" ht="12.75">
      <c r="B342" s="1"/>
      <c r="C342" s="1"/>
      <c r="D342" s="1"/>
      <c r="E342" s="1"/>
      <c r="F342" s="1"/>
      <c r="G342" s="1"/>
      <c r="H342" s="1"/>
      <c r="I342" s="1"/>
      <c r="J342" s="1"/>
      <c r="K342" s="1"/>
      <c r="L342" s="1"/>
      <c r="M342" s="1"/>
      <c r="N342" s="1"/>
      <c r="O342" s="1"/>
    </row>
    <row r="343" spans="2:15" ht="12.75">
      <c r="B343" s="1"/>
      <c r="C343" s="1"/>
      <c r="D343" s="1"/>
      <c r="E343" s="1"/>
      <c r="F343" s="1"/>
      <c r="G343" s="1"/>
      <c r="H343" s="1"/>
      <c r="I343" s="1"/>
      <c r="J343" s="1"/>
      <c r="K343" s="1"/>
      <c r="L343" s="1"/>
      <c r="M343" s="1"/>
      <c r="N343" s="1"/>
      <c r="O343" s="1"/>
    </row>
    <row r="344" spans="2:15" ht="12.75">
      <c r="B344" s="1"/>
      <c r="C344" s="1"/>
      <c r="D344" s="1"/>
      <c r="E344" s="1"/>
      <c r="F344" s="1"/>
      <c r="G344" s="1"/>
      <c r="H344" s="1"/>
      <c r="I344" s="1"/>
      <c r="J344" s="1"/>
      <c r="K344" s="1"/>
      <c r="L344" s="1"/>
      <c r="M344" s="1"/>
      <c r="N344" s="1"/>
      <c r="O344" s="1"/>
    </row>
    <row r="345" spans="2:15" ht="12.75">
      <c r="B345" s="1"/>
      <c r="C345" s="1"/>
      <c r="D345" s="1"/>
      <c r="E345" s="1"/>
      <c r="F345" s="1"/>
      <c r="G345" s="1"/>
      <c r="H345" s="1"/>
      <c r="I345" s="1"/>
      <c r="J345" s="1"/>
      <c r="K345" s="1"/>
      <c r="L345" s="1"/>
      <c r="M345" s="1"/>
      <c r="N345" s="1"/>
      <c r="O345" s="1"/>
    </row>
    <row r="346" spans="2:15" ht="12.75">
      <c r="B346" s="1"/>
      <c r="C346" s="1"/>
      <c r="D346" s="1"/>
      <c r="E346" s="1"/>
      <c r="F346" s="1"/>
      <c r="G346" s="1"/>
      <c r="H346" s="1"/>
      <c r="I346" s="1"/>
      <c r="J346" s="1"/>
      <c r="K346" s="1"/>
      <c r="L346" s="1"/>
      <c r="M346" s="1"/>
      <c r="N346" s="1"/>
      <c r="O346" s="1"/>
    </row>
    <row r="347" spans="2:15" ht="12.75">
      <c r="B347" s="1"/>
      <c r="C347" s="1"/>
      <c r="D347" s="1"/>
      <c r="E347" s="1"/>
      <c r="F347" s="1"/>
      <c r="G347" s="1"/>
      <c r="H347" s="1"/>
      <c r="I347" s="1"/>
      <c r="J347" s="1"/>
      <c r="K347" s="1"/>
      <c r="L347" s="1"/>
      <c r="M347" s="1"/>
      <c r="N347" s="1"/>
      <c r="O347" s="1"/>
    </row>
    <row r="348" spans="2:15" ht="12.75">
      <c r="B348" s="1"/>
      <c r="C348" s="1"/>
      <c r="D348" s="1"/>
      <c r="E348" s="1"/>
      <c r="F348" s="1"/>
      <c r="G348" s="1"/>
      <c r="H348" s="1"/>
      <c r="I348" s="1"/>
      <c r="J348" s="1"/>
      <c r="K348" s="1"/>
      <c r="L348" s="1"/>
      <c r="M348" s="1"/>
      <c r="N348" s="1"/>
      <c r="O348" s="1"/>
    </row>
    <row r="349" spans="2:15" ht="12.75">
      <c r="B349" s="1"/>
      <c r="C349" s="1"/>
      <c r="D349" s="1"/>
      <c r="E349" s="1"/>
      <c r="F349" s="1"/>
      <c r="G349" s="1"/>
      <c r="H349" s="1"/>
      <c r="I349" s="1"/>
      <c r="J349" s="1"/>
      <c r="K349" s="1"/>
      <c r="L349" s="1"/>
      <c r="M349" s="1"/>
      <c r="N349" s="1"/>
      <c r="O349" s="1"/>
    </row>
    <row r="350" spans="2:15" ht="12.75">
      <c r="B350" s="1"/>
      <c r="C350" s="1"/>
      <c r="D350" s="1"/>
      <c r="E350" s="1"/>
      <c r="F350" s="1"/>
      <c r="G350" s="1"/>
      <c r="H350" s="1"/>
      <c r="I350" s="1"/>
      <c r="J350" s="1"/>
      <c r="K350" s="1"/>
      <c r="L350" s="1"/>
      <c r="M350" s="1"/>
      <c r="N350" s="1"/>
      <c r="O350" s="1"/>
    </row>
    <row r="351" spans="2:15" ht="12.75">
      <c r="B351" s="1"/>
      <c r="C351" s="1"/>
      <c r="D351" s="1"/>
      <c r="E351" s="1"/>
      <c r="F351" s="1"/>
      <c r="G351" s="1"/>
      <c r="H351" s="1"/>
      <c r="I351" s="1"/>
      <c r="J351" s="1"/>
      <c r="K351" s="1"/>
      <c r="L351" s="1"/>
      <c r="M351" s="1"/>
      <c r="N351" s="1"/>
      <c r="O351" s="1"/>
    </row>
    <row r="352" spans="2:15" ht="12.75">
      <c r="B352" s="1"/>
      <c r="C352" s="1"/>
      <c r="D352" s="1"/>
      <c r="E352" s="1"/>
      <c r="F352" s="1"/>
      <c r="G352" s="1"/>
      <c r="H352" s="1"/>
      <c r="I352" s="1"/>
      <c r="J352" s="1"/>
      <c r="K352" s="1"/>
      <c r="L352" s="1"/>
      <c r="M352" s="1"/>
      <c r="N352" s="1"/>
      <c r="O352" s="1"/>
    </row>
    <row r="353" spans="2:15" ht="12.75">
      <c r="B353" s="1"/>
      <c r="C353" s="1"/>
      <c r="D353" s="1"/>
      <c r="E353" s="1"/>
      <c r="F353" s="1"/>
      <c r="G353" s="1"/>
      <c r="H353" s="1"/>
      <c r="I353" s="1"/>
      <c r="J353" s="1"/>
      <c r="K353" s="1"/>
      <c r="L353" s="1"/>
      <c r="M353" s="1"/>
      <c r="N353" s="1"/>
      <c r="O353" s="1"/>
    </row>
    <row r="354" spans="2:15" ht="12.75">
      <c r="B354" s="1"/>
      <c r="C354" s="1"/>
      <c r="D354" s="1"/>
      <c r="E354" s="1"/>
      <c r="F354" s="1"/>
      <c r="G354" s="1"/>
      <c r="H354" s="1"/>
      <c r="I354" s="1"/>
      <c r="J354" s="1"/>
      <c r="K354" s="1"/>
      <c r="L354" s="1"/>
      <c r="M354" s="1"/>
      <c r="N354" s="1"/>
      <c r="O354" s="1"/>
    </row>
    <row r="355" spans="2:15" ht="12.75">
      <c r="B355" s="1"/>
      <c r="C355" s="1"/>
      <c r="D355" s="1"/>
      <c r="E355" s="1"/>
      <c r="F355" s="1"/>
      <c r="G355" s="1"/>
      <c r="H355" s="1"/>
      <c r="I355" s="1"/>
      <c r="J355" s="1"/>
      <c r="K355" s="1"/>
      <c r="L355" s="1"/>
      <c r="M355" s="1"/>
      <c r="N355" s="1"/>
      <c r="O355" s="1"/>
    </row>
    <row r="356" spans="2:15" ht="12.75">
      <c r="B356" s="1"/>
      <c r="C356" s="1"/>
      <c r="D356" s="1"/>
      <c r="E356" s="1"/>
      <c r="F356" s="1"/>
      <c r="G356" s="1"/>
      <c r="H356" s="1"/>
      <c r="I356" s="1"/>
      <c r="J356" s="1"/>
      <c r="K356" s="1"/>
      <c r="L356" s="1"/>
      <c r="M356" s="1"/>
      <c r="N356" s="1"/>
      <c r="O356" s="1"/>
    </row>
    <row r="357" spans="2:15" ht="12.75">
      <c r="B357" s="1"/>
      <c r="C357" s="1"/>
      <c r="D357" s="1"/>
      <c r="E357" s="1"/>
      <c r="F357" s="1"/>
      <c r="G357" s="1"/>
      <c r="H357" s="1"/>
      <c r="I357" s="1"/>
      <c r="J357" s="1"/>
      <c r="K357" s="1"/>
      <c r="L357" s="1"/>
      <c r="M357" s="1"/>
      <c r="N357" s="1"/>
      <c r="O357" s="1"/>
    </row>
    <row r="358" spans="2:15" ht="12.75">
      <c r="B358" s="1"/>
      <c r="C358" s="1"/>
      <c r="D358" s="1"/>
      <c r="E358" s="1"/>
      <c r="F358" s="1"/>
      <c r="G358" s="1"/>
      <c r="H358" s="1"/>
      <c r="I358" s="1"/>
      <c r="J358" s="1"/>
      <c r="K358" s="1"/>
      <c r="L358" s="1"/>
      <c r="M358" s="1"/>
      <c r="N358" s="1"/>
      <c r="O358" s="1"/>
    </row>
    <row r="359" spans="2:15" ht="12.75">
      <c r="B359" s="1"/>
      <c r="C359" s="1"/>
      <c r="D359" s="1"/>
      <c r="E359" s="1"/>
      <c r="F359" s="1"/>
      <c r="G359" s="1"/>
      <c r="H359" s="1"/>
      <c r="I359" s="1"/>
      <c r="J359" s="1"/>
      <c r="K359" s="1"/>
      <c r="L359" s="1"/>
      <c r="M359" s="1"/>
      <c r="N359" s="1"/>
      <c r="O359" s="1"/>
    </row>
    <row r="360" spans="2:15" ht="12.75">
      <c r="B360" s="1"/>
      <c r="C360" s="1"/>
      <c r="D360" s="1"/>
      <c r="E360" s="1"/>
      <c r="F360" s="1"/>
      <c r="G360" s="1"/>
      <c r="H360" s="1"/>
      <c r="I360" s="1"/>
      <c r="J360" s="1"/>
      <c r="K360" s="1"/>
      <c r="L360" s="1"/>
      <c r="M360" s="1"/>
      <c r="N360" s="1"/>
      <c r="O360" s="1"/>
    </row>
    <row r="361" spans="2:15" ht="12.75">
      <c r="B361" s="1"/>
      <c r="C361" s="1"/>
      <c r="D361" s="1"/>
      <c r="E361" s="1"/>
      <c r="F361" s="1"/>
      <c r="G361" s="1"/>
      <c r="H361" s="1"/>
      <c r="I361" s="1"/>
      <c r="J361" s="1"/>
      <c r="K361" s="1"/>
      <c r="L361" s="1"/>
      <c r="M361" s="1"/>
      <c r="N361" s="1"/>
      <c r="O361" s="1"/>
    </row>
    <row r="362" spans="2:15" ht="12.75">
      <c r="B362" s="1"/>
      <c r="C362" s="1"/>
      <c r="D362" s="1"/>
      <c r="E362" s="1"/>
      <c r="F362" s="1"/>
      <c r="G362" s="1"/>
      <c r="H362" s="1"/>
      <c r="I362" s="1"/>
      <c r="J362" s="1"/>
      <c r="K362" s="1"/>
      <c r="L362" s="1"/>
      <c r="M362" s="1"/>
      <c r="N362" s="1"/>
      <c r="O362" s="1"/>
    </row>
    <row r="363" spans="2:15" ht="12.75">
      <c r="B363" s="1"/>
      <c r="C363" s="1"/>
      <c r="D363" s="1"/>
      <c r="E363" s="1"/>
      <c r="F363" s="1"/>
      <c r="G363" s="1"/>
      <c r="H363" s="1"/>
      <c r="I363" s="1"/>
      <c r="J363" s="1"/>
      <c r="K363" s="1"/>
      <c r="L363" s="1"/>
      <c r="M363" s="1"/>
      <c r="N363" s="1"/>
      <c r="O363" s="1"/>
    </row>
    <row r="364" spans="2:15" ht="12.75">
      <c r="B364" s="1"/>
      <c r="C364" s="1"/>
      <c r="D364" s="1"/>
      <c r="E364" s="1"/>
      <c r="F364" s="1"/>
      <c r="G364" s="1"/>
      <c r="H364" s="1"/>
      <c r="I364" s="1"/>
      <c r="J364" s="1"/>
      <c r="K364" s="1"/>
      <c r="L364" s="1"/>
      <c r="M364" s="1"/>
      <c r="N364" s="1"/>
      <c r="O364" s="1"/>
    </row>
    <row r="365" spans="2:15" ht="12.75">
      <c r="B365" s="1"/>
      <c r="C365" s="1"/>
      <c r="D365" s="1"/>
      <c r="E365" s="1"/>
      <c r="F365" s="1"/>
      <c r="G365" s="1"/>
      <c r="H365" s="1"/>
      <c r="I365" s="1"/>
      <c r="J365" s="1"/>
      <c r="K365" s="1"/>
      <c r="L365" s="1"/>
      <c r="M365" s="1"/>
      <c r="N365" s="1"/>
      <c r="O365" s="1"/>
    </row>
    <row r="366" spans="2:15" ht="12.75">
      <c r="B366" s="1"/>
      <c r="C366" s="1"/>
      <c r="D366" s="1"/>
      <c r="E366" s="1"/>
      <c r="F366" s="1"/>
      <c r="G366" s="1"/>
      <c r="H366" s="1"/>
      <c r="I366" s="1"/>
      <c r="J366" s="1"/>
      <c r="K366" s="1"/>
      <c r="L366" s="1"/>
      <c r="M366" s="1"/>
      <c r="N366" s="1"/>
      <c r="O366" s="1"/>
    </row>
    <row r="367" spans="2:15" ht="12.75">
      <c r="B367" s="1"/>
      <c r="C367" s="1"/>
      <c r="D367" s="1"/>
      <c r="E367" s="1"/>
      <c r="F367" s="1"/>
      <c r="G367" s="1"/>
      <c r="H367" s="1"/>
      <c r="I367" s="1"/>
      <c r="J367" s="1"/>
      <c r="K367" s="1"/>
      <c r="L367" s="1"/>
      <c r="M367" s="1"/>
      <c r="N367" s="1"/>
      <c r="O367" s="1"/>
    </row>
    <row r="368" spans="2:15" ht="12.75">
      <c r="B368" s="1"/>
      <c r="C368" s="1"/>
      <c r="D368" s="1"/>
      <c r="E368" s="1"/>
      <c r="F368" s="1"/>
      <c r="G368" s="1"/>
      <c r="H368" s="1"/>
      <c r="I368" s="1"/>
      <c r="J368" s="1"/>
      <c r="K368" s="1"/>
      <c r="L368" s="1"/>
      <c r="M368" s="1"/>
      <c r="N368" s="1"/>
      <c r="O368" s="1"/>
    </row>
    <row r="369" spans="2:15" ht="12.75">
      <c r="B369" s="1"/>
      <c r="C369" s="1"/>
      <c r="D369" s="1"/>
      <c r="E369" s="1"/>
      <c r="F369" s="1"/>
      <c r="G369" s="1"/>
      <c r="H369" s="1"/>
      <c r="I369" s="1"/>
      <c r="J369" s="1"/>
      <c r="K369" s="1"/>
      <c r="L369" s="1"/>
      <c r="M369" s="1"/>
      <c r="N369" s="1"/>
      <c r="O369" s="1"/>
    </row>
    <row r="370" spans="2:15" ht="12.75">
      <c r="B370" s="1"/>
      <c r="C370" s="1"/>
      <c r="D370" s="1"/>
      <c r="E370" s="1"/>
      <c r="F370" s="1"/>
      <c r="G370" s="1"/>
      <c r="H370" s="1"/>
      <c r="I370" s="1"/>
      <c r="J370" s="1"/>
      <c r="K370" s="1"/>
      <c r="L370" s="1"/>
      <c r="M370" s="1"/>
      <c r="N370" s="1"/>
      <c r="O370" s="1"/>
    </row>
    <row r="371" spans="2:15" ht="12.75">
      <c r="B371" s="1"/>
      <c r="C371" s="1"/>
      <c r="D371" s="1"/>
      <c r="E371" s="1"/>
      <c r="F371" s="1"/>
      <c r="G371" s="1"/>
      <c r="H371" s="1"/>
      <c r="I371" s="1"/>
      <c r="J371" s="1"/>
      <c r="K371" s="1"/>
      <c r="L371" s="1"/>
      <c r="M371" s="1"/>
      <c r="N371" s="1"/>
      <c r="O371" s="1"/>
    </row>
    <row r="372" spans="2:15" ht="12.75">
      <c r="B372" s="1"/>
      <c r="C372" s="1"/>
      <c r="D372" s="1"/>
      <c r="E372" s="1"/>
      <c r="F372" s="1"/>
      <c r="G372" s="1"/>
      <c r="H372" s="1"/>
      <c r="I372" s="1"/>
      <c r="J372" s="1"/>
      <c r="K372" s="1"/>
      <c r="L372" s="1"/>
      <c r="M372" s="1"/>
      <c r="N372" s="1"/>
      <c r="O372" s="1"/>
    </row>
    <row r="373" spans="2:15" ht="12.75">
      <c r="B373" s="1"/>
      <c r="C373" s="1"/>
      <c r="D373" s="1"/>
      <c r="E373" s="1"/>
      <c r="F373" s="1"/>
      <c r="G373" s="1"/>
      <c r="H373" s="1"/>
      <c r="I373" s="1"/>
      <c r="J373" s="1"/>
      <c r="K373" s="1"/>
      <c r="L373" s="1"/>
      <c r="M373" s="1"/>
      <c r="N373" s="1"/>
      <c r="O373" s="1"/>
    </row>
    <row r="374" spans="2:15" ht="12.75">
      <c r="B374" s="1"/>
      <c r="C374" s="1"/>
      <c r="D374" s="1"/>
      <c r="E374" s="1"/>
      <c r="F374" s="1"/>
      <c r="G374" s="1"/>
      <c r="H374" s="1"/>
      <c r="I374" s="1"/>
      <c r="J374" s="1"/>
      <c r="K374" s="1"/>
      <c r="L374" s="1"/>
      <c r="M374" s="1"/>
      <c r="N374" s="1"/>
      <c r="O374" s="1"/>
    </row>
    <row r="375" spans="2:15" ht="12.75">
      <c r="B375" s="1"/>
      <c r="C375" s="1"/>
      <c r="D375" s="1"/>
      <c r="E375" s="1"/>
      <c r="F375" s="1"/>
      <c r="G375" s="1"/>
      <c r="H375" s="1"/>
      <c r="I375" s="1"/>
      <c r="J375" s="1"/>
      <c r="K375" s="1"/>
      <c r="L375" s="1"/>
      <c r="M375" s="1"/>
      <c r="N375" s="1"/>
      <c r="O375" s="1"/>
    </row>
    <row r="376" spans="2:15" ht="12.75">
      <c r="B376" s="1"/>
      <c r="C376" s="1"/>
      <c r="D376" s="1"/>
      <c r="E376" s="1"/>
      <c r="F376" s="1"/>
      <c r="G376" s="1"/>
      <c r="H376" s="1"/>
      <c r="I376" s="1"/>
      <c r="J376" s="1"/>
      <c r="K376" s="1"/>
      <c r="L376" s="1"/>
      <c r="M376" s="1"/>
      <c r="N376" s="1"/>
      <c r="O376" s="1"/>
    </row>
    <row r="377" spans="2:15" ht="12.75">
      <c r="B377" s="1"/>
      <c r="C377" s="1"/>
      <c r="D377" s="1"/>
      <c r="E377" s="1"/>
      <c r="F377" s="1"/>
      <c r="G377" s="1"/>
      <c r="H377" s="1"/>
      <c r="I377" s="1"/>
      <c r="J377" s="1"/>
      <c r="K377" s="1"/>
      <c r="L377" s="1"/>
      <c r="M377" s="1"/>
      <c r="N377" s="1"/>
      <c r="O377" s="1"/>
    </row>
    <row r="378" spans="2:15" ht="12.75">
      <c r="B378" s="1"/>
      <c r="C378" s="1"/>
      <c r="D378" s="1"/>
      <c r="E378" s="1"/>
      <c r="F378" s="1"/>
      <c r="G378" s="1"/>
      <c r="H378" s="1"/>
      <c r="I378" s="1"/>
      <c r="J378" s="1"/>
      <c r="K378" s="1"/>
      <c r="L378" s="1"/>
      <c r="M378" s="1"/>
      <c r="N378" s="1"/>
      <c r="O378" s="1"/>
    </row>
    <row r="379" spans="2:15" ht="12.75">
      <c r="B379" s="1"/>
      <c r="C379" s="1"/>
      <c r="D379" s="1"/>
      <c r="E379" s="1"/>
      <c r="F379" s="1"/>
      <c r="G379" s="1"/>
      <c r="H379" s="1"/>
      <c r="I379" s="1"/>
      <c r="J379" s="1"/>
      <c r="K379" s="1"/>
      <c r="L379" s="1"/>
      <c r="M379" s="1"/>
      <c r="N379" s="1"/>
      <c r="O379" s="1"/>
    </row>
    <row r="380" spans="2:15" ht="12.75">
      <c r="B380" s="1"/>
      <c r="C380" s="1"/>
      <c r="D380" s="1"/>
      <c r="E380" s="1"/>
      <c r="F380" s="1"/>
      <c r="G380" s="1"/>
      <c r="H380" s="1"/>
      <c r="I380" s="1"/>
      <c r="J380" s="1"/>
      <c r="K380" s="1"/>
      <c r="L380" s="1"/>
      <c r="M380" s="1"/>
      <c r="N380" s="1"/>
      <c r="O380" s="1"/>
    </row>
    <row r="381" spans="2:15" ht="12.75">
      <c r="B381" s="1"/>
      <c r="C381" s="1"/>
      <c r="D381" s="1"/>
      <c r="E381" s="1"/>
      <c r="F381" s="1"/>
      <c r="G381" s="1"/>
      <c r="H381" s="1"/>
      <c r="I381" s="1"/>
      <c r="J381" s="1"/>
      <c r="K381" s="1"/>
      <c r="L381" s="1"/>
      <c r="M381" s="1"/>
      <c r="N381" s="1"/>
      <c r="O381" s="1"/>
    </row>
    <row r="382" spans="2:15" ht="12.75">
      <c r="B382" s="1"/>
      <c r="C382" s="1"/>
      <c r="D382" s="1"/>
      <c r="E382" s="1"/>
      <c r="F382" s="1"/>
      <c r="G382" s="1"/>
      <c r="H382" s="1"/>
      <c r="I382" s="1"/>
      <c r="J382" s="1"/>
      <c r="K382" s="1"/>
      <c r="L382" s="1"/>
      <c r="M382" s="1"/>
      <c r="N382" s="1"/>
      <c r="O382" s="1"/>
    </row>
    <row r="383" spans="2:15" ht="12.75">
      <c r="B383" s="1"/>
      <c r="C383" s="1"/>
      <c r="D383" s="1"/>
      <c r="E383" s="1"/>
      <c r="F383" s="1"/>
      <c r="G383" s="1"/>
      <c r="H383" s="1"/>
      <c r="I383" s="1"/>
      <c r="J383" s="1"/>
      <c r="K383" s="1"/>
      <c r="L383" s="1"/>
      <c r="M383" s="1"/>
      <c r="N383" s="1"/>
      <c r="O383" s="1"/>
    </row>
    <row r="384" spans="2:15" ht="12.75">
      <c r="B384" s="1"/>
      <c r="C384" s="1"/>
      <c r="D384" s="1"/>
      <c r="E384" s="1"/>
      <c r="F384" s="1"/>
      <c r="G384" s="1"/>
      <c r="H384" s="1"/>
      <c r="I384" s="1"/>
      <c r="J384" s="1"/>
      <c r="K384" s="1"/>
      <c r="L384" s="1"/>
      <c r="M384" s="1"/>
      <c r="N384" s="1"/>
      <c r="O384" s="1"/>
    </row>
    <row r="385" spans="2:15" ht="12.75">
      <c r="B385" s="1"/>
      <c r="C385" s="1"/>
      <c r="D385" s="1"/>
      <c r="E385" s="1"/>
      <c r="F385" s="1"/>
      <c r="G385" s="1"/>
      <c r="H385" s="1"/>
      <c r="I385" s="1"/>
      <c r="J385" s="1"/>
      <c r="K385" s="1"/>
      <c r="L385" s="1"/>
      <c r="M385" s="1"/>
      <c r="N385" s="1"/>
      <c r="O385" s="1"/>
    </row>
    <row r="386" spans="2:15" ht="12.75">
      <c r="B386" s="1"/>
      <c r="C386" s="1"/>
      <c r="D386" s="1"/>
      <c r="E386" s="1"/>
      <c r="F386" s="1"/>
      <c r="G386" s="1"/>
      <c r="H386" s="1"/>
      <c r="I386" s="1"/>
      <c r="J386" s="1"/>
      <c r="K386" s="1"/>
      <c r="L386" s="1"/>
      <c r="M386" s="1"/>
      <c r="N386" s="1"/>
      <c r="O386" s="1"/>
    </row>
    <row r="387" spans="2:15" ht="12.75">
      <c r="B387" s="1"/>
      <c r="C387" s="1"/>
      <c r="D387" s="1"/>
      <c r="E387" s="1"/>
      <c r="F387" s="1"/>
      <c r="G387" s="1"/>
      <c r="H387" s="1"/>
      <c r="I387" s="1"/>
      <c r="J387" s="1"/>
      <c r="K387" s="1"/>
      <c r="L387" s="1"/>
      <c r="M387" s="1"/>
      <c r="N387" s="1"/>
      <c r="O387" s="1"/>
    </row>
    <row r="388" spans="2:15" ht="12.75">
      <c r="B388" s="1"/>
      <c r="C388" s="1"/>
      <c r="D388" s="1"/>
      <c r="E388" s="1"/>
      <c r="F388" s="1"/>
      <c r="G388" s="1"/>
      <c r="H388" s="1"/>
      <c r="I388" s="1"/>
      <c r="J388" s="1"/>
      <c r="K388" s="1"/>
      <c r="L388" s="1"/>
      <c r="M388" s="1"/>
      <c r="N388" s="1"/>
      <c r="O388" s="1"/>
    </row>
    <row r="389" spans="2:15" ht="12.75">
      <c r="B389" s="1"/>
      <c r="C389" s="1"/>
      <c r="D389" s="1"/>
      <c r="E389" s="1"/>
      <c r="F389" s="1"/>
      <c r="G389" s="1"/>
      <c r="H389" s="1"/>
      <c r="I389" s="1"/>
      <c r="J389" s="1"/>
      <c r="K389" s="1"/>
      <c r="L389" s="1"/>
      <c r="M389" s="1"/>
      <c r="N389" s="1"/>
      <c r="O389" s="1"/>
    </row>
    <row r="390" spans="2:15" ht="12.75">
      <c r="B390" s="1"/>
      <c r="C390" s="1"/>
      <c r="D390" s="1"/>
      <c r="E390" s="1"/>
      <c r="F390" s="1"/>
      <c r="G390" s="1"/>
      <c r="H390" s="1"/>
      <c r="I390" s="1"/>
      <c r="J390" s="1"/>
      <c r="K390" s="1"/>
      <c r="L390" s="1"/>
      <c r="M390" s="1"/>
      <c r="N390" s="1"/>
      <c r="O390" s="1"/>
    </row>
    <row r="391" spans="2:15" ht="12.75">
      <c r="B391" s="1"/>
      <c r="C391" s="1"/>
      <c r="D391" s="1"/>
      <c r="E391" s="1"/>
      <c r="F391" s="1"/>
      <c r="G391" s="1"/>
      <c r="H391" s="1"/>
      <c r="I391" s="1"/>
      <c r="J391" s="1"/>
      <c r="K391" s="1"/>
      <c r="L391" s="1"/>
      <c r="M391" s="1"/>
      <c r="N391" s="1"/>
      <c r="O391" s="1"/>
    </row>
    <row r="392" spans="2:15" ht="12.75">
      <c r="B392" s="1"/>
      <c r="C392" s="1"/>
      <c r="D392" s="1"/>
      <c r="E392" s="1"/>
      <c r="F392" s="1"/>
      <c r="G392" s="1"/>
      <c r="H392" s="1"/>
      <c r="I392" s="1"/>
      <c r="J392" s="1"/>
      <c r="K392" s="1"/>
      <c r="L392" s="1"/>
      <c r="M392" s="1"/>
      <c r="N392" s="1"/>
      <c r="O392" s="1"/>
    </row>
    <row r="393" spans="2:15" ht="12.75">
      <c r="B393" s="1"/>
      <c r="C393" s="1"/>
      <c r="D393" s="1"/>
      <c r="E393" s="1"/>
      <c r="F393" s="1"/>
      <c r="G393" s="1"/>
      <c r="H393" s="1"/>
      <c r="I393" s="1"/>
      <c r="J393" s="1"/>
      <c r="K393" s="1"/>
      <c r="L393" s="1"/>
      <c r="M393" s="1"/>
      <c r="N393" s="1"/>
      <c r="O393" s="1"/>
    </row>
    <row r="394" spans="2:15" ht="12.75">
      <c r="B394" s="1"/>
      <c r="C394" s="1"/>
      <c r="D394" s="1"/>
      <c r="E394" s="1"/>
      <c r="F394" s="1"/>
      <c r="G394" s="1"/>
      <c r="H394" s="1"/>
      <c r="I394" s="1"/>
      <c r="J394" s="1"/>
      <c r="K394" s="1"/>
      <c r="L394" s="1"/>
      <c r="M394" s="1"/>
      <c r="N394" s="1"/>
      <c r="O394" s="1"/>
    </row>
    <row r="395" spans="2:15" ht="12.75">
      <c r="B395" s="1"/>
      <c r="C395" s="1"/>
      <c r="D395" s="1"/>
      <c r="E395" s="1"/>
      <c r="F395" s="1"/>
      <c r="G395" s="1"/>
      <c r="H395" s="1"/>
      <c r="I395" s="1"/>
      <c r="J395" s="1"/>
      <c r="K395" s="1"/>
      <c r="L395" s="1"/>
      <c r="M395" s="1"/>
      <c r="N395" s="1"/>
      <c r="O395" s="1"/>
    </row>
    <row r="396" spans="2:15" ht="12.75">
      <c r="B396" s="1"/>
      <c r="C396" s="1"/>
      <c r="D396" s="1"/>
      <c r="E396" s="1"/>
      <c r="F396" s="1"/>
      <c r="G396" s="1"/>
      <c r="H396" s="1"/>
      <c r="I396" s="1"/>
      <c r="J396" s="1"/>
      <c r="K396" s="1"/>
      <c r="L396" s="1"/>
      <c r="M396" s="1"/>
      <c r="N396" s="1"/>
      <c r="O396" s="1"/>
    </row>
    <row r="397" spans="2:15" ht="12.75">
      <c r="B397" s="1"/>
      <c r="C397" s="1"/>
      <c r="D397" s="1"/>
      <c r="E397" s="1"/>
      <c r="F397" s="1"/>
      <c r="G397" s="1"/>
      <c r="H397" s="1"/>
      <c r="I397" s="1"/>
      <c r="J397" s="1"/>
      <c r="K397" s="1"/>
      <c r="L397" s="1"/>
      <c r="M397" s="1"/>
      <c r="N397" s="1"/>
      <c r="O397" s="1"/>
    </row>
    <row r="398" spans="2:15" ht="12.75">
      <c r="B398" s="1"/>
      <c r="C398" s="1"/>
      <c r="D398" s="1"/>
      <c r="E398" s="1"/>
      <c r="F398" s="1"/>
      <c r="G398" s="1"/>
      <c r="H398" s="1"/>
      <c r="I398" s="1"/>
      <c r="J398" s="1"/>
      <c r="K398" s="1"/>
      <c r="L398" s="1"/>
      <c r="M398" s="1"/>
      <c r="N398" s="1"/>
      <c r="O398" s="1"/>
    </row>
    <row r="399" spans="2:15" ht="12.75">
      <c r="B399" s="1"/>
      <c r="C399" s="1"/>
      <c r="D399" s="1"/>
      <c r="E399" s="1"/>
      <c r="F399" s="1"/>
      <c r="G399" s="1"/>
      <c r="H399" s="1"/>
      <c r="I399" s="1"/>
      <c r="J399" s="1"/>
      <c r="K399" s="1"/>
      <c r="L399" s="1"/>
      <c r="M399" s="1"/>
      <c r="N399" s="1"/>
      <c r="O399" s="1"/>
    </row>
    <row r="400" spans="2:15" ht="12.75">
      <c r="B400" s="1"/>
      <c r="C400" s="1"/>
      <c r="D400" s="1"/>
      <c r="E400" s="1"/>
      <c r="F400" s="1"/>
      <c r="G400" s="1"/>
      <c r="H400" s="1"/>
      <c r="I400" s="1"/>
      <c r="J400" s="1"/>
      <c r="K400" s="1"/>
      <c r="L400" s="1"/>
      <c r="M400" s="1"/>
      <c r="N400" s="1"/>
      <c r="O400" s="1"/>
    </row>
    <row r="401" spans="2:15" ht="12.75">
      <c r="B401" s="1"/>
      <c r="C401" s="1"/>
      <c r="D401" s="1"/>
      <c r="E401" s="1"/>
      <c r="F401" s="1"/>
      <c r="G401" s="1"/>
      <c r="H401" s="1"/>
      <c r="I401" s="1"/>
      <c r="J401" s="1"/>
      <c r="K401" s="1"/>
      <c r="L401" s="1"/>
      <c r="M401" s="1"/>
      <c r="N401" s="1"/>
      <c r="O401" s="1"/>
    </row>
    <row r="402" spans="2:15" ht="12.75">
      <c r="B402" s="1"/>
      <c r="C402" s="1"/>
      <c r="D402" s="1"/>
      <c r="E402" s="1"/>
      <c r="F402" s="1"/>
      <c r="G402" s="1"/>
      <c r="H402" s="1"/>
      <c r="I402" s="1"/>
      <c r="J402" s="1"/>
      <c r="K402" s="1"/>
      <c r="L402" s="1"/>
      <c r="M402" s="1"/>
      <c r="N402" s="1"/>
      <c r="O402" s="1"/>
    </row>
    <row r="403" spans="2:15" ht="12.75">
      <c r="B403" s="1"/>
      <c r="C403" s="1"/>
      <c r="D403" s="1"/>
      <c r="E403" s="1"/>
      <c r="F403" s="1"/>
      <c r="G403" s="1"/>
      <c r="H403" s="1"/>
      <c r="I403" s="1"/>
      <c r="J403" s="1"/>
      <c r="K403" s="1"/>
      <c r="L403" s="1"/>
      <c r="M403" s="1"/>
      <c r="N403" s="1"/>
      <c r="O403" s="1"/>
    </row>
    <row r="404" spans="2:15" ht="12.75">
      <c r="B404" s="1"/>
      <c r="C404" s="1"/>
      <c r="D404" s="1"/>
      <c r="E404" s="1"/>
      <c r="F404" s="1"/>
      <c r="G404" s="1"/>
      <c r="H404" s="1"/>
      <c r="I404" s="1"/>
      <c r="J404" s="1"/>
      <c r="K404" s="1"/>
      <c r="L404" s="1"/>
      <c r="M404" s="1"/>
      <c r="N404" s="1"/>
      <c r="O404" s="1"/>
    </row>
    <row r="405" spans="2:15" ht="12.75">
      <c r="B405" s="1"/>
      <c r="C405" s="1"/>
      <c r="D405" s="1"/>
      <c r="E405" s="1"/>
      <c r="F405" s="1"/>
      <c r="G405" s="1"/>
      <c r="H405" s="1"/>
      <c r="I405" s="1"/>
      <c r="J405" s="1"/>
      <c r="K405" s="1"/>
      <c r="L405" s="1"/>
      <c r="M405" s="1"/>
      <c r="N405" s="1"/>
      <c r="O405" s="1"/>
    </row>
    <row r="406" spans="2:15" ht="12.75">
      <c r="B406" s="1"/>
      <c r="C406" s="1"/>
      <c r="D406" s="1"/>
      <c r="E406" s="1"/>
      <c r="F406" s="1"/>
      <c r="G406" s="1"/>
      <c r="H406" s="1"/>
      <c r="I406" s="1"/>
      <c r="J406" s="1"/>
      <c r="K406" s="1"/>
      <c r="L406" s="1"/>
      <c r="M406" s="1"/>
      <c r="N406" s="1"/>
      <c r="O406" s="1"/>
    </row>
    <row r="407" spans="2:15" ht="12.75">
      <c r="B407" s="1"/>
      <c r="C407" s="1"/>
      <c r="D407" s="1"/>
      <c r="E407" s="1"/>
      <c r="F407" s="1"/>
      <c r="G407" s="1"/>
      <c r="H407" s="1"/>
      <c r="I407" s="1"/>
      <c r="J407" s="1"/>
      <c r="K407" s="1"/>
      <c r="L407" s="1"/>
      <c r="M407" s="1"/>
      <c r="N407" s="1"/>
      <c r="O407" s="1"/>
    </row>
    <row r="408" spans="2:15" ht="12.75">
      <c r="B408" s="1"/>
      <c r="C408" s="1"/>
      <c r="D408" s="1"/>
      <c r="E408" s="1"/>
      <c r="F408" s="1"/>
      <c r="G408" s="1"/>
      <c r="H408" s="1"/>
      <c r="I408" s="1"/>
      <c r="J408" s="1"/>
      <c r="K408" s="1"/>
      <c r="L408" s="1"/>
      <c r="M408" s="1"/>
      <c r="N408" s="1"/>
      <c r="O408" s="1"/>
    </row>
    <row r="409" spans="2:15" ht="12.75">
      <c r="B409" s="1"/>
      <c r="C409" s="1"/>
      <c r="D409" s="1"/>
      <c r="E409" s="1"/>
      <c r="F409" s="1"/>
      <c r="G409" s="1"/>
      <c r="H409" s="1"/>
      <c r="I409" s="1"/>
      <c r="J409" s="1"/>
      <c r="K409" s="1"/>
      <c r="L409" s="1"/>
      <c r="M409" s="1"/>
      <c r="N409" s="1"/>
      <c r="O409" s="1"/>
    </row>
    <row r="410" spans="2:15" ht="12.75">
      <c r="B410" s="1"/>
      <c r="C410" s="1"/>
      <c r="D410" s="1"/>
      <c r="E410" s="1"/>
      <c r="F410" s="1"/>
      <c r="G410" s="1"/>
      <c r="H410" s="1"/>
      <c r="I410" s="1"/>
      <c r="J410" s="1"/>
      <c r="K410" s="1"/>
      <c r="L410" s="1"/>
      <c r="M410" s="1"/>
      <c r="N410" s="1"/>
      <c r="O410" s="1"/>
    </row>
    <row r="411" spans="2:15" ht="12.75">
      <c r="B411" s="1"/>
      <c r="C411" s="1"/>
      <c r="D411" s="1"/>
      <c r="E411" s="1"/>
      <c r="F411" s="1"/>
      <c r="G411" s="1"/>
      <c r="H411" s="1"/>
      <c r="I411" s="1"/>
      <c r="J411" s="1"/>
      <c r="K411" s="1"/>
      <c r="L411" s="1"/>
      <c r="M411" s="1"/>
      <c r="N411" s="1"/>
      <c r="O411" s="1"/>
    </row>
    <row r="412" spans="2:15" ht="12.75">
      <c r="B412" s="1"/>
      <c r="C412" s="1"/>
      <c r="D412" s="1"/>
      <c r="E412" s="1"/>
      <c r="F412" s="1"/>
      <c r="G412" s="1"/>
      <c r="H412" s="1"/>
      <c r="I412" s="1"/>
      <c r="J412" s="1"/>
      <c r="K412" s="1"/>
      <c r="L412" s="1"/>
      <c r="M412" s="1"/>
      <c r="N412" s="1"/>
      <c r="O412" s="1"/>
    </row>
    <row r="413" spans="2:15" ht="12.75">
      <c r="B413" s="1"/>
      <c r="C413" s="1"/>
      <c r="D413" s="1"/>
      <c r="E413" s="1"/>
      <c r="F413" s="1"/>
      <c r="G413" s="1"/>
      <c r="H413" s="1"/>
      <c r="I413" s="1"/>
      <c r="J413" s="1"/>
      <c r="K413" s="1"/>
      <c r="L413" s="1"/>
      <c r="M413" s="1"/>
      <c r="N413" s="1"/>
      <c r="O413" s="1"/>
    </row>
    <row r="414" spans="2:15" ht="12.75">
      <c r="B414" s="1"/>
      <c r="C414" s="1"/>
      <c r="D414" s="1"/>
      <c r="E414" s="1"/>
      <c r="F414" s="1"/>
      <c r="G414" s="1"/>
      <c r="H414" s="1"/>
      <c r="I414" s="1"/>
      <c r="J414" s="1"/>
      <c r="K414" s="1"/>
      <c r="L414" s="1"/>
      <c r="M414" s="1"/>
      <c r="N414" s="1"/>
      <c r="O414" s="1"/>
    </row>
    <row r="415" spans="2:15" ht="12.75">
      <c r="B415" s="1"/>
      <c r="C415" s="1"/>
      <c r="D415" s="1"/>
      <c r="E415" s="1"/>
      <c r="F415" s="1"/>
      <c r="G415" s="1"/>
      <c r="H415" s="1"/>
      <c r="I415" s="1"/>
      <c r="J415" s="1"/>
      <c r="K415" s="1"/>
      <c r="L415" s="1"/>
      <c r="M415" s="1"/>
      <c r="N415" s="1"/>
      <c r="O415" s="1"/>
    </row>
    <row r="416" spans="2:15" ht="12.75">
      <c r="B416" s="1"/>
      <c r="C416" s="1"/>
      <c r="D416" s="1"/>
      <c r="E416" s="1"/>
      <c r="F416" s="1"/>
      <c r="G416" s="1"/>
      <c r="H416" s="1"/>
      <c r="I416" s="1"/>
      <c r="J416" s="1"/>
      <c r="K416" s="1"/>
      <c r="L416" s="1"/>
      <c r="M416" s="1"/>
      <c r="N416" s="1"/>
      <c r="O416" s="1"/>
    </row>
    <row r="417" spans="2:15" ht="12.75">
      <c r="B417" s="1"/>
      <c r="C417" s="1"/>
      <c r="D417" s="1"/>
      <c r="E417" s="1"/>
      <c r="F417" s="1"/>
      <c r="G417" s="1"/>
      <c r="H417" s="1"/>
      <c r="I417" s="1"/>
      <c r="J417" s="1"/>
      <c r="K417" s="1"/>
      <c r="L417" s="1"/>
      <c r="M417" s="1"/>
      <c r="N417" s="1"/>
      <c r="O417" s="1"/>
    </row>
    <row r="418" spans="2:15" ht="12.75">
      <c r="B418" s="1"/>
      <c r="C418" s="1"/>
      <c r="D418" s="1"/>
      <c r="E418" s="1"/>
      <c r="F418" s="1"/>
      <c r="G418" s="1"/>
      <c r="H418" s="1"/>
      <c r="I418" s="1"/>
      <c r="J418" s="1"/>
      <c r="K418" s="1"/>
      <c r="L418" s="1"/>
      <c r="M418" s="1"/>
      <c r="N418" s="1"/>
      <c r="O418" s="1"/>
    </row>
    <row r="419" spans="2:15" ht="12.75">
      <c r="B419" s="1"/>
      <c r="C419" s="1"/>
      <c r="D419" s="1"/>
      <c r="E419" s="1"/>
      <c r="F419" s="1"/>
      <c r="G419" s="1"/>
      <c r="H419" s="1"/>
      <c r="I419" s="1"/>
      <c r="J419" s="1"/>
      <c r="K419" s="1"/>
      <c r="L419" s="1"/>
      <c r="M419" s="1"/>
      <c r="N419" s="1"/>
      <c r="O419" s="1"/>
    </row>
    <row r="420" spans="2:15" ht="12.75">
      <c r="B420" s="1"/>
      <c r="C420" s="1"/>
      <c r="D420" s="1"/>
      <c r="E420" s="1"/>
      <c r="F420" s="1"/>
      <c r="G420" s="1"/>
      <c r="H420" s="1"/>
      <c r="I420" s="1"/>
      <c r="J420" s="1"/>
      <c r="K420" s="1"/>
      <c r="L420" s="1"/>
      <c r="M420" s="1"/>
      <c r="N420" s="1"/>
      <c r="O420" s="1"/>
    </row>
    <row r="421" spans="2:15" ht="12.75">
      <c r="B421" s="1"/>
      <c r="C421" s="1"/>
      <c r="D421" s="1"/>
      <c r="E421" s="1"/>
      <c r="F421" s="1"/>
      <c r="G421" s="1"/>
      <c r="H421" s="1"/>
      <c r="I421" s="1"/>
      <c r="J421" s="1"/>
      <c r="K421" s="1"/>
      <c r="L421" s="1"/>
      <c r="M421" s="1"/>
      <c r="N421" s="1"/>
      <c r="O421" s="1"/>
    </row>
    <row r="422" spans="2:15" ht="12.75">
      <c r="B422" s="1"/>
      <c r="C422" s="1"/>
      <c r="D422" s="1"/>
      <c r="E422" s="1"/>
      <c r="F422" s="1"/>
      <c r="G422" s="1"/>
      <c r="H422" s="1"/>
      <c r="I422" s="1"/>
      <c r="J422" s="1"/>
      <c r="K422" s="1"/>
      <c r="L422" s="1"/>
      <c r="M422" s="1"/>
      <c r="N422" s="1"/>
      <c r="O422" s="1"/>
    </row>
    <row r="423" spans="2:15" ht="12.75">
      <c r="B423" s="1"/>
      <c r="C423" s="1"/>
      <c r="D423" s="1"/>
      <c r="E423" s="1"/>
      <c r="F423" s="1"/>
      <c r="G423" s="1"/>
      <c r="H423" s="1"/>
      <c r="I423" s="1"/>
      <c r="J423" s="1"/>
      <c r="K423" s="1"/>
      <c r="L423" s="1"/>
      <c r="M423" s="1"/>
      <c r="N423" s="1"/>
      <c r="O423" s="1"/>
    </row>
    <row r="424" spans="2:15" ht="12.75">
      <c r="B424" s="1"/>
      <c r="C424" s="1"/>
      <c r="D424" s="1"/>
      <c r="E424" s="1"/>
      <c r="F424" s="1"/>
      <c r="G424" s="1"/>
      <c r="H424" s="1"/>
      <c r="I424" s="1"/>
      <c r="J424" s="1"/>
      <c r="K424" s="1"/>
      <c r="L424" s="1"/>
      <c r="M424" s="1"/>
      <c r="N424" s="1"/>
      <c r="O424" s="1"/>
    </row>
    <row r="425" spans="2:15" ht="12.75">
      <c r="B425" s="1"/>
      <c r="C425" s="1"/>
      <c r="D425" s="1"/>
      <c r="E425" s="1"/>
      <c r="F425" s="1"/>
      <c r="G425" s="1"/>
      <c r="H425" s="1"/>
      <c r="I425" s="1"/>
      <c r="J425" s="1"/>
      <c r="K425" s="1"/>
      <c r="L425" s="1"/>
      <c r="M425" s="1"/>
      <c r="N425" s="1"/>
      <c r="O425" s="1"/>
    </row>
    <row r="426" spans="2:15" ht="12.75">
      <c r="B426" s="1"/>
      <c r="C426" s="1"/>
      <c r="D426" s="1"/>
      <c r="E426" s="1"/>
      <c r="F426" s="1"/>
      <c r="G426" s="1"/>
      <c r="H426" s="1"/>
      <c r="I426" s="1"/>
      <c r="J426" s="1"/>
      <c r="K426" s="1"/>
      <c r="L426" s="1"/>
      <c r="M426" s="1"/>
      <c r="N426" s="1"/>
      <c r="O426" s="1"/>
    </row>
    <row r="427" spans="2:15" ht="12.75">
      <c r="B427" s="1"/>
      <c r="C427" s="1"/>
      <c r="D427" s="1"/>
      <c r="E427" s="1"/>
      <c r="F427" s="1"/>
      <c r="G427" s="1"/>
      <c r="H427" s="1"/>
      <c r="I427" s="1"/>
      <c r="J427" s="1"/>
      <c r="K427" s="1"/>
      <c r="L427" s="1"/>
      <c r="M427" s="1"/>
      <c r="N427" s="1"/>
      <c r="O427" s="1"/>
    </row>
    <row r="428" spans="2:15" ht="12.75">
      <c r="B428" s="1"/>
      <c r="C428" s="1"/>
      <c r="D428" s="1"/>
      <c r="E428" s="1"/>
      <c r="F428" s="1"/>
      <c r="G428" s="1"/>
      <c r="H428" s="1"/>
      <c r="I428" s="1"/>
      <c r="J428" s="1"/>
      <c r="K428" s="1"/>
      <c r="L428" s="1"/>
      <c r="M428" s="1"/>
      <c r="N428" s="1"/>
      <c r="O428" s="1"/>
    </row>
    <row r="429" spans="2:15" ht="12.75">
      <c r="B429" s="1"/>
      <c r="C429" s="1"/>
      <c r="D429" s="1"/>
      <c r="E429" s="1"/>
      <c r="F429" s="1"/>
      <c r="G429" s="1"/>
      <c r="H429" s="1"/>
      <c r="I429" s="1"/>
      <c r="J429" s="1"/>
      <c r="K429" s="1"/>
      <c r="L429" s="1"/>
      <c r="M429" s="1"/>
      <c r="N429" s="1"/>
      <c r="O429" s="1"/>
    </row>
    <row r="430" spans="2:15" ht="12.75">
      <c r="B430" s="1"/>
      <c r="C430" s="1"/>
      <c r="D430" s="1"/>
      <c r="E430" s="1"/>
      <c r="F430" s="1"/>
      <c r="G430" s="1"/>
      <c r="H430" s="1"/>
      <c r="I430" s="1"/>
      <c r="J430" s="1"/>
      <c r="K430" s="1"/>
      <c r="L430" s="1"/>
      <c r="M430" s="1"/>
      <c r="N430" s="1"/>
      <c r="O430" s="1"/>
    </row>
    <row r="431" spans="2:15" ht="12.75">
      <c r="B431" s="1"/>
      <c r="C431" s="1"/>
      <c r="D431" s="1"/>
      <c r="E431" s="1"/>
      <c r="F431" s="1"/>
      <c r="G431" s="1"/>
      <c r="H431" s="1"/>
      <c r="I431" s="1"/>
      <c r="J431" s="1"/>
      <c r="K431" s="1"/>
      <c r="L431" s="1"/>
      <c r="M431" s="1"/>
      <c r="N431" s="1"/>
      <c r="O431" s="1"/>
    </row>
    <row r="432" spans="2:15" ht="12.75">
      <c r="B432" s="1"/>
      <c r="C432" s="1"/>
      <c r="D432" s="1"/>
      <c r="E432" s="1"/>
      <c r="F432" s="1"/>
      <c r="G432" s="1"/>
      <c r="H432" s="1"/>
      <c r="I432" s="1"/>
      <c r="J432" s="1"/>
      <c r="K432" s="1"/>
      <c r="L432" s="1"/>
      <c r="M432" s="1"/>
      <c r="N432" s="1"/>
      <c r="O432" s="1"/>
    </row>
    <row r="433" spans="2:15" ht="12.75">
      <c r="B433" s="1"/>
      <c r="C433" s="1"/>
      <c r="D433" s="1"/>
      <c r="E433" s="1"/>
      <c r="F433" s="1"/>
      <c r="G433" s="1"/>
      <c r="H433" s="1"/>
      <c r="I433" s="1"/>
      <c r="J433" s="1"/>
      <c r="K433" s="1"/>
      <c r="L433" s="1"/>
      <c r="M433" s="1"/>
      <c r="N433" s="1"/>
      <c r="O433" s="1"/>
    </row>
    <row r="434" spans="2:15" ht="12.75">
      <c r="B434" s="1"/>
      <c r="C434" s="1"/>
      <c r="D434" s="1"/>
      <c r="E434" s="1"/>
      <c r="F434" s="1"/>
      <c r="G434" s="1"/>
      <c r="H434" s="1"/>
      <c r="I434" s="1"/>
      <c r="J434" s="1"/>
      <c r="K434" s="1"/>
      <c r="L434" s="1"/>
      <c r="M434" s="1"/>
      <c r="N434" s="1"/>
      <c r="O434" s="1"/>
    </row>
    <row r="435" spans="2:15" ht="12.75">
      <c r="B435" s="1"/>
      <c r="C435" s="1"/>
      <c r="D435" s="1"/>
      <c r="E435" s="1"/>
      <c r="F435" s="1"/>
      <c r="G435" s="1"/>
      <c r="H435" s="1"/>
      <c r="I435" s="1"/>
      <c r="J435" s="1"/>
      <c r="K435" s="1"/>
      <c r="L435" s="1"/>
      <c r="M435" s="1"/>
      <c r="N435" s="1"/>
      <c r="O435" s="1"/>
    </row>
    <row r="436" spans="2:15" ht="12.75">
      <c r="B436" s="1"/>
      <c r="C436" s="1"/>
      <c r="D436" s="1"/>
      <c r="E436" s="1"/>
      <c r="F436" s="1"/>
      <c r="G436" s="1"/>
      <c r="H436" s="1"/>
      <c r="I436" s="1"/>
      <c r="J436" s="1"/>
      <c r="K436" s="1"/>
      <c r="L436" s="1"/>
      <c r="M436" s="1"/>
      <c r="N436" s="1"/>
      <c r="O436" s="1"/>
    </row>
    <row r="437" spans="2:15" ht="12.75">
      <c r="B437" s="1"/>
      <c r="C437" s="1"/>
      <c r="D437" s="1"/>
      <c r="E437" s="1"/>
      <c r="F437" s="1"/>
      <c r="G437" s="1"/>
      <c r="H437" s="1"/>
      <c r="I437" s="1"/>
      <c r="J437" s="1"/>
      <c r="K437" s="1"/>
      <c r="L437" s="1"/>
      <c r="M437" s="1"/>
      <c r="N437" s="1"/>
      <c r="O437" s="1"/>
    </row>
    <row r="438" spans="2:15" ht="12.75">
      <c r="B438" s="1"/>
      <c r="C438" s="1"/>
      <c r="D438" s="1"/>
      <c r="E438" s="1"/>
      <c r="F438" s="1"/>
      <c r="G438" s="1"/>
      <c r="H438" s="1"/>
      <c r="I438" s="1"/>
      <c r="J438" s="1"/>
      <c r="K438" s="1"/>
      <c r="L438" s="1"/>
      <c r="M438" s="1"/>
      <c r="N438" s="1"/>
      <c r="O438" s="1"/>
    </row>
    <row r="439" spans="2:15" ht="12.75">
      <c r="B439" s="1"/>
      <c r="C439" s="1"/>
      <c r="D439" s="1"/>
      <c r="E439" s="1"/>
      <c r="F439" s="1"/>
      <c r="G439" s="1"/>
      <c r="H439" s="1"/>
      <c r="I439" s="1"/>
      <c r="J439" s="1"/>
      <c r="K439" s="1"/>
      <c r="L439" s="1"/>
      <c r="M439" s="1"/>
      <c r="N439" s="1"/>
      <c r="O439" s="1"/>
    </row>
    <row r="440" spans="2:15" ht="12.75">
      <c r="B440" s="1"/>
      <c r="C440" s="1"/>
      <c r="D440" s="1"/>
      <c r="E440" s="1"/>
      <c r="F440" s="1"/>
      <c r="G440" s="1"/>
      <c r="H440" s="1"/>
      <c r="I440" s="1"/>
      <c r="J440" s="1"/>
      <c r="K440" s="1"/>
      <c r="L440" s="1"/>
      <c r="M440" s="1"/>
      <c r="N440" s="1"/>
      <c r="O440" s="1"/>
    </row>
    <row r="441" spans="2:15" ht="12.75">
      <c r="B441" s="1"/>
      <c r="C441" s="1"/>
      <c r="D441" s="1"/>
      <c r="E441" s="1"/>
      <c r="F441" s="1"/>
      <c r="G441" s="1"/>
      <c r="H441" s="1"/>
      <c r="I441" s="1"/>
      <c r="J441" s="1"/>
      <c r="K441" s="1"/>
      <c r="L441" s="1"/>
      <c r="M441" s="1"/>
      <c r="N441" s="1"/>
      <c r="O441" s="1"/>
    </row>
    <row r="442" spans="2:15" ht="12.75">
      <c r="B442" s="1"/>
      <c r="C442" s="1"/>
      <c r="D442" s="1"/>
      <c r="E442" s="1"/>
      <c r="F442" s="1"/>
      <c r="G442" s="1"/>
      <c r="H442" s="1"/>
      <c r="I442" s="1"/>
      <c r="J442" s="1"/>
      <c r="K442" s="1"/>
      <c r="L442" s="1"/>
      <c r="M442" s="1"/>
      <c r="N442" s="1"/>
      <c r="O442" s="1"/>
    </row>
    <row r="443" spans="2:15" ht="12.75">
      <c r="B443" s="1"/>
      <c r="C443" s="1"/>
      <c r="D443" s="1"/>
      <c r="E443" s="1"/>
      <c r="F443" s="1"/>
      <c r="G443" s="1"/>
      <c r="H443" s="1"/>
      <c r="I443" s="1"/>
      <c r="J443" s="1"/>
      <c r="K443" s="1"/>
      <c r="L443" s="1"/>
      <c r="M443" s="1"/>
      <c r="N443" s="1"/>
      <c r="O443" s="1"/>
    </row>
    <row r="444" spans="2:15" ht="12.75">
      <c r="B444" s="1"/>
      <c r="C444" s="1"/>
      <c r="D444" s="1"/>
      <c r="E444" s="1"/>
      <c r="F444" s="1"/>
      <c r="G444" s="1"/>
      <c r="H444" s="1"/>
      <c r="I444" s="1"/>
      <c r="J444" s="1"/>
      <c r="K444" s="1"/>
      <c r="L444" s="1"/>
      <c r="M444" s="1"/>
      <c r="N444" s="1"/>
      <c r="O444" s="1"/>
    </row>
    <row r="445" spans="2:15" ht="12.75">
      <c r="B445" s="1"/>
      <c r="C445" s="1"/>
      <c r="D445" s="1"/>
      <c r="E445" s="1"/>
      <c r="F445" s="1"/>
      <c r="G445" s="1"/>
      <c r="H445" s="1"/>
      <c r="I445" s="1"/>
      <c r="J445" s="1"/>
      <c r="K445" s="1"/>
      <c r="L445" s="1"/>
      <c r="M445" s="1"/>
      <c r="N445" s="1"/>
      <c r="O445" s="1"/>
    </row>
    <row r="446" spans="2:15" ht="12.75">
      <c r="B446" s="1"/>
      <c r="C446" s="1"/>
      <c r="D446" s="1"/>
      <c r="E446" s="1"/>
      <c r="F446" s="1"/>
      <c r="G446" s="1"/>
      <c r="H446" s="1"/>
      <c r="I446" s="1"/>
      <c r="J446" s="1"/>
      <c r="K446" s="1"/>
      <c r="L446" s="1"/>
      <c r="M446" s="1"/>
      <c r="N446" s="1"/>
      <c r="O446" s="1"/>
    </row>
    <row r="447" spans="2:15" ht="12.75">
      <c r="B447" s="1"/>
      <c r="C447" s="1"/>
      <c r="D447" s="1"/>
      <c r="E447" s="1"/>
      <c r="F447" s="1"/>
      <c r="G447" s="1"/>
      <c r="H447" s="1"/>
      <c r="I447" s="1"/>
      <c r="J447" s="1"/>
      <c r="K447" s="1"/>
      <c r="L447" s="1"/>
      <c r="M447" s="1"/>
      <c r="N447" s="1"/>
      <c r="O447" s="1"/>
    </row>
    <row r="448" spans="2:15" ht="12.75">
      <c r="B448" s="1"/>
      <c r="C448" s="1"/>
      <c r="D448" s="1"/>
      <c r="E448" s="1"/>
      <c r="F448" s="1"/>
      <c r="G448" s="1"/>
      <c r="H448" s="1"/>
      <c r="I448" s="1"/>
      <c r="J448" s="1"/>
      <c r="K448" s="1"/>
      <c r="L448" s="1"/>
      <c r="M448" s="1"/>
      <c r="N448" s="1"/>
      <c r="O448" s="1"/>
    </row>
    <row r="449" spans="2:15" ht="12.75">
      <c r="B449" s="1"/>
      <c r="C449" s="1"/>
      <c r="D449" s="1"/>
      <c r="E449" s="1"/>
      <c r="F449" s="1"/>
      <c r="G449" s="1"/>
      <c r="H449" s="1"/>
      <c r="I449" s="1"/>
      <c r="J449" s="1"/>
      <c r="K449" s="1"/>
      <c r="L449" s="1"/>
      <c r="M449" s="1"/>
      <c r="N449" s="1"/>
      <c r="O449" s="1"/>
    </row>
    <row r="450" spans="2:15" ht="12.75">
      <c r="B450" s="1"/>
      <c r="C450" s="1"/>
      <c r="D450" s="1"/>
      <c r="E450" s="1"/>
      <c r="F450" s="1"/>
      <c r="G450" s="1"/>
      <c r="H450" s="1"/>
      <c r="I450" s="1"/>
      <c r="J450" s="1"/>
      <c r="K450" s="1"/>
      <c r="L450" s="1"/>
      <c r="M450" s="1"/>
      <c r="N450" s="1"/>
      <c r="O450" s="1"/>
    </row>
    <row r="451" spans="2:15" ht="12.75">
      <c r="B451" s="1"/>
      <c r="C451" s="1"/>
      <c r="D451" s="1"/>
      <c r="E451" s="1"/>
      <c r="F451" s="1"/>
      <c r="G451" s="1"/>
      <c r="H451" s="1"/>
      <c r="I451" s="1"/>
      <c r="J451" s="1"/>
      <c r="K451" s="1"/>
      <c r="L451" s="1"/>
      <c r="M451" s="1"/>
      <c r="N451" s="1"/>
      <c r="O451" s="1"/>
    </row>
    <row r="452" spans="2:15" ht="12.75">
      <c r="B452" s="1"/>
      <c r="C452" s="1"/>
      <c r="D452" s="1"/>
      <c r="E452" s="1"/>
      <c r="F452" s="1"/>
      <c r="G452" s="1"/>
      <c r="H452" s="1"/>
      <c r="I452" s="1"/>
      <c r="J452" s="1"/>
      <c r="K452" s="1"/>
      <c r="L452" s="1"/>
      <c r="M452" s="1"/>
      <c r="N452" s="1"/>
      <c r="O452" s="1"/>
    </row>
    <row r="453" spans="2:15" ht="12.75">
      <c r="B453" s="1"/>
      <c r="C453" s="1"/>
      <c r="D453" s="1"/>
      <c r="E453" s="1"/>
      <c r="F453" s="1"/>
      <c r="G453" s="1"/>
      <c r="H453" s="1"/>
      <c r="I453" s="1"/>
      <c r="J453" s="1"/>
      <c r="K453" s="1"/>
      <c r="L453" s="1"/>
      <c r="M453" s="1"/>
      <c r="N453" s="1"/>
      <c r="O453" s="1"/>
    </row>
    <row r="454" spans="2:15" ht="12.75">
      <c r="B454" s="1"/>
      <c r="C454" s="1"/>
      <c r="D454" s="1"/>
      <c r="E454" s="1"/>
      <c r="F454" s="1"/>
      <c r="G454" s="1"/>
      <c r="H454" s="1"/>
      <c r="I454" s="1"/>
      <c r="J454" s="1"/>
      <c r="K454" s="1"/>
      <c r="L454" s="1"/>
      <c r="M454" s="1"/>
      <c r="N454" s="1"/>
      <c r="O454" s="1"/>
    </row>
    <row r="455" spans="2:15" ht="12.75">
      <c r="B455" s="1"/>
      <c r="C455" s="1"/>
      <c r="D455" s="1"/>
      <c r="E455" s="1"/>
      <c r="F455" s="1"/>
      <c r="G455" s="1"/>
      <c r="H455" s="1"/>
      <c r="I455" s="1"/>
      <c r="J455" s="1"/>
      <c r="K455" s="1"/>
      <c r="L455" s="1"/>
      <c r="M455" s="1"/>
      <c r="N455" s="1"/>
      <c r="O455" s="1"/>
    </row>
    <row r="456" spans="2:15" ht="12.75">
      <c r="B456" s="1"/>
      <c r="C456" s="1"/>
      <c r="D456" s="1"/>
      <c r="E456" s="1"/>
      <c r="F456" s="1"/>
      <c r="G456" s="1"/>
      <c r="H456" s="1"/>
      <c r="I456" s="1"/>
      <c r="J456" s="1"/>
      <c r="K456" s="1"/>
      <c r="L456" s="1"/>
      <c r="M456" s="1"/>
      <c r="N456" s="1"/>
      <c r="O456" s="1"/>
    </row>
    <row r="457" spans="2:15" ht="12.75">
      <c r="B457" s="1"/>
      <c r="C457" s="1"/>
      <c r="D457" s="1"/>
      <c r="E457" s="1"/>
      <c r="F457" s="1"/>
      <c r="G457" s="1"/>
      <c r="H457" s="1"/>
      <c r="I457" s="1"/>
      <c r="J457" s="1"/>
      <c r="K457" s="1"/>
      <c r="L457" s="1"/>
      <c r="M457" s="1"/>
      <c r="N457" s="1"/>
      <c r="O457" s="1"/>
    </row>
    <row r="458" spans="2:15" ht="12.75">
      <c r="B458" s="1"/>
      <c r="C458" s="1"/>
      <c r="D458" s="1"/>
      <c r="E458" s="1"/>
      <c r="F458" s="1"/>
      <c r="G458" s="1"/>
      <c r="H458" s="1"/>
      <c r="I458" s="1"/>
      <c r="J458" s="1"/>
      <c r="K458" s="1"/>
      <c r="L458" s="1"/>
      <c r="M458" s="1"/>
      <c r="N458" s="1"/>
      <c r="O458" s="1"/>
    </row>
    <row r="459" spans="2:15" ht="12.75">
      <c r="B459" s="1"/>
      <c r="C459" s="1"/>
      <c r="D459" s="1"/>
      <c r="E459" s="1"/>
      <c r="F459" s="1"/>
      <c r="G459" s="1"/>
      <c r="H459" s="1"/>
      <c r="I459" s="1"/>
      <c r="J459" s="1"/>
      <c r="K459" s="1"/>
      <c r="L459" s="1"/>
      <c r="M459" s="1"/>
      <c r="N459" s="1"/>
      <c r="O459" s="1"/>
    </row>
    <row r="460" spans="2:15" ht="12.75">
      <c r="B460" s="1"/>
      <c r="C460" s="1"/>
      <c r="D460" s="1"/>
      <c r="E460" s="1"/>
      <c r="F460" s="1"/>
      <c r="G460" s="1"/>
      <c r="H460" s="1"/>
      <c r="I460" s="1"/>
      <c r="J460" s="1"/>
      <c r="K460" s="1"/>
      <c r="L460" s="1"/>
      <c r="M460" s="1"/>
      <c r="N460" s="1"/>
      <c r="O460" s="1"/>
    </row>
    <row r="461" spans="2:15" ht="12.75">
      <c r="B461" s="1"/>
      <c r="C461" s="1"/>
      <c r="D461" s="1"/>
      <c r="E461" s="1"/>
      <c r="F461" s="1"/>
      <c r="G461" s="1"/>
      <c r="H461" s="1"/>
      <c r="I461" s="1"/>
      <c r="J461" s="1"/>
      <c r="K461" s="1"/>
      <c r="L461" s="1"/>
      <c r="M461" s="1"/>
      <c r="N461" s="1"/>
      <c r="O461" s="1"/>
    </row>
    <row r="462" spans="2:15" ht="12.75">
      <c r="B462" s="1"/>
      <c r="C462" s="1"/>
      <c r="D462" s="1"/>
      <c r="E462" s="1"/>
      <c r="F462" s="1"/>
      <c r="G462" s="1"/>
      <c r="H462" s="1"/>
      <c r="I462" s="1"/>
      <c r="J462" s="1"/>
      <c r="K462" s="1"/>
      <c r="L462" s="1"/>
      <c r="M462" s="1"/>
      <c r="N462" s="1"/>
      <c r="O462" s="1"/>
    </row>
    <row r="463" spans="2:15" ht="12.75">
      <c r="B463" s="1"/>
      <c r="C463" s="1"/>
      <c r="D463" s="1"/>
      <c r="E463" s="1"/>
      <c r="F463" s="1"/>
      <c r="G463" s="1"/>
      <c r="H463" s="1"/>
      <c r="I463" s="1"/>
      <c r="J463" s="1"/>
      <c r="K463" s="1"/>
      <c r="L463" s="1"/>
      <c r="M463" s="1"/>
      <c r="N463" s="1"/>
      <c r="O463" s="1"/>
    </row>
    <row r="464" spans="2:15" ht="12.75">
      <c r="B464" s="1"/>
      <c r="C464" s="1"/>
      <c r="D464" s="1"/>
      <c r="E464" s="1"/>
      <c r="F464" s="1"/>
      <c r="G464" s="1"/>
      <c r="H464" s="1"/>
      <c r="I464" s="1"/>
      <c r="J464" s="1"/>
      <c r="K464" s="1"/>
      <c r="L464" s="1"/>
      <c r="M464" s="1"/>
      <c r="N464" s="1"/>
      <c r="O464" s="1"/>
    </row>
    <row r="465" spans="2:15" ht="12.75">
      <c r="B465" s="1"/>
      <c r="C465" s="1"/>
      <c r="D465" s="1"/>
      <c r="E465" s="1"/>
      <c r="F465" s="1"/>
      <c r="G465" s="1"/>
      <c r="H465" s="1"/>
      <c r="I465" s="1"/>
      <c r="J465" s="1"/>
      <c r="K465" s="1"/>
      <c r="L465" s="1"/>
      <c r="M465" s="1"/>
      <c r="N465" s="1"/>
      <c r="O465" s="1"/>
    </row>
    <row r="466" spans="2:15" ht="12.75">
      <c r="B466" s="1"/>
      <c r="C466" s="1"/>
      <c r="D466" s="1"/>
      <c r="E466" s="1"/>
      <c r="F466" s="1"/>
      <c r="G466" s="1"/>
      <c r="H466" s="1"/>
      <c r="I466" s="1"/>
      <c r="J466" s="1"/>
      <c r="K466" s="1"/>
      <c r="L466" s="1"/>
      <c r="M466" s="1"/>
      <c r="N466" s="1"/>
      <c r="O466" s="1"/>
    </row>
    <row r="467" spans="2:15" ht="12.75">
      <c r="B467" s="1"/>
      <c r="C467" s="1"/>
      <c r="D467" s="1"/>
      <c r="E467" s="1"/>
      <c r="F467" s="1"/>
      <c r="G467" s="1"/>
      <c r="H467" s="1"/>
      <c r="I467" s="1"/>
      <c r="J467" s="1"/>
      <c r="K467" s="1"/>
      <c r="L467" s="1"/>
      <c r="M467" s="1"/>
      <c r="N467" s="1"/>
      <c r="O467" s="1"/>
    </row>
    <row r="468" spans="2:15" ht="12.75">
      <c r="B468" s="1"/>
      <c r="C468" s="1"/>
      <c r="D468" s="1"/>
      <c r="E468" s="1"/>
      <c r="F468" s="1"/>
      <c r="G468" s="1"/>
      <c r="H468" s="1"/>
      <c r="I468" s="1"/>
      <c r="J468" s="1"/>
      <c r="K468" s="1"/>
      <c r="L468" s="1"/>
      <c r="M468" s="1"/>
      <c r="N468" s="1"/>
      <c r="O468" s="1"/>
    </row>
    <row r="469" spans="2:15" ht="12.75">
      <c r="B469" s="1"/>
      <c r="C469" s="1"/>
      <c r="D469" s="1"/>
      <c r="E469" s="1"/>
      <c r="F469" s="1"/>
      <c r="G469" s="1"/>
      <c r="H469" s="1"/>
      <c r="I469" s="1"/>
      <c r="J469" s="1"/>
      <c r="K469" s="1"/>
      <c r="L469" s="1"/>
      <c r="M469" s="1"/>
      <c r="N469" s="1"/>
      <c r="O469" s="1"/>
    </row>
    <row r="470" spans="2:15" ht="12.75">
      <c r="B470" s="1"/>
      <c r="C470" s="1"/>
      <c r="D470" s="1"/>
      <c r="E470" s="1"/>
      <c r="F470" s="1"/>
      <c r="G470" s="1"/>
      <c r="H470" s="1"/>
      <c r="I470" s="1"/>
      <c r="J470" s="1"/>
      <c r="K470" s="1"/>
      <c r="L470" s="1"/>
      <c r="M470" s="1"/>
      <c r="N470" s="1"/>
      <c r="O470" s="1"/>
    </row>
    <row r="471" spans="2:15" ht="12.75">
      <c r="B471" s="1"/>
      <c r="C471" s="1"/>
      <c r="D471" s="1"/>
      <c r="E471" s="1"/>
      <c r="F471" s="1"/>
      <c r="G471" s="1"/>
      <c r="H471" s="1"/>
      <c r="I471" s="1"/>
      <c r="J471" s="1"/>
      <c r="K471" s="1"/>
      <c r="L471" s="1"/>
      <c r="M471" s="1"/>
      <c r="N471" s="1"/>
      <c r="O471" s="1"/>
    </row>
    <row r="472" spans="2:15" ht="12.75">
      <c r="B472" s="1"/>
      <c r="C472" s="1"/>
      <c r="D472" s="1"/>
      <c r="E472" s="1"/>
      <c r="F472" s="1"/>
      <c r="G472" s="1"/>
      <c r="H472" s="1"/>
      <c r="I472" s="1"/>
      <c r="J472" s="1"/>
      <c r="K472" s="1"/>
      <c r="L472" s="1"/>
      <c r="M472" s="1"/>
      <c r="N472" s="1"/>
      <c r="O472" s="1"/>
    </row>
    <row r="473" spans="2:15" ht="12.75">
      <c r="B473" s="1"/>
      <c r="C473" s="1"/>
      <c r="D473" s="1"/>
      <c r="E473" s="1"/>
      <c r="F473" s="1"/>
      <c r="G473" s="1"/>
      <c r="H473" s="1"/>
      <c r="I473" s="1"/>
      <c r="J473" s="1"/>
      <c r="K473" s="1"/>
      <c r="L473" s="1"/>
      <c r="M473" s="1"/>
      <c r="N473" s="1"/>
      <c r="O473" s="1"/>
    </row>
    <row r="474" spans="2:15" ht="12.75">
      <c r="B474" s="1"/>
      <c r="C474" s="1"/>
      <c r="D474" s="1"/>
      <c r="E474" s="1"/>
      <c r="F474" s="1"/>
      <c r="G474" s="1"/>
      <c r="H474" s="1"/>
      <c r="I474" s="1"/>
      <c r="J474" s="1"/>
      <c r="K474" s="1"/>
      <c r="L474" s="1"/>
      <c r="M474" s="1"/>
      <c r="N474" s="1"/>
      <c r="O474" s="1"/>
    </row>
    <row r="475" spans="2:15" ht="12.75">
      <c r="B475" s="1"/>
      <c r="C475" s="1"/>
      <c r="D475" s="1"/>
      <c r="E475" s="1"/>
      <c r="F475" s="1"/>
      <c r="G475" s="1"/>
      <c r="H475" s="1"/>
      <c r="I475" s="1"/>
      <c r="J475" s="1"/>
      <c r="K475" s="1"/>
      <c r="L475" s="1"/>
      <c r="M475" s="1"/>
      <c r="N475" s="1"/>
      <c r="O475" s="1"/>
    </row>
    <row r="476" spans="2:15" ht="12.75">
      <c r="B476" s="1"/>
      <c r="C476" s="1"/>
      <c r="D476" s="1"/>
      <c r="E476" s="1"/>
      <c r="F476" s="1"/>
      <c r="G476" s="1"/>
      <c r="H476" s="1"/>
      <c r="I476" s="1"/>
      <c r="J476" s="1"/>
      <c r="K476" s="1"/>
      <c r="L476" s="1"/>
      <c r="M476" s="1"/>
      <c r="N476" s="1"/>
      <c r="O476" s="1"/>
    </row>
    <row r="477" spans="2:15" ht="12.75">
      <c r="B477" s="1"/>
      <c r="C477" s="1"/>
      <c r="D477" s="1"/>
      <c r="E477" s="1"/>
      <c r="F477" s="1"/>
      <c r="G477" s="1"/>
      <c r="H477" s="1"/>
      <c r="I477" s="1"/>
      <c r="J477" s="1"/>
      <c r="K477" s="1"/>
      <c r="L477" s="1"/>
      <c r="M477" s="1"/>
      <c r="N477" s="1"/>
      <c r="O477" s="1"/>
    </row>
    <row r="478" spans="2:15" ht="12.75">
      <c r="B478" s="1"/>
      <c r="C478" s="1"/>
      <c r="D478" s="1"/>
      <c r="E478" s="1"/>
      <c r="F478" s="1"/>
      <c r="G478" s="1"/>
      <c r="H478" s="1"/>
      <c r="I478" s="1"/>
      <c r="J478" s="1"/>
      <c r="K478" s="1"/>
      <c r="L478" s="1"/>
      <c r="M478" s="1"/>
      <c r="N478" s="1"/>
      <c r="O478" s="1"/>
    </row>
    <row r="479" spans="2:15" ht="12.75">
      <c r="B479" s="1"/>
      <c r="C479" s="1"/>
      <c r="D479" s="1"/>
      <c r="E479" s="1"/>
      <c r="F479" s="1"/>
      <c r="G479" s="1"/>
      <c r="H479" s="1"/>
      <c r="I479" s="1"/>
      <c r="J479" s="1"/>
      <c r="K479" s="1"/>
      <c r="L479" s="1"/>
      <c r="M479" s="1"/>
      <c r="N479" s="1"/>
      <c r="O479" s="1"/>
    </row>
    <row r="480" spans="2:15" ht="12.75">
      <c r="B480" s="1"/>
      <c r="C480" s="1"/>
      <c r="D480" s="1"/>
      <c r="E480" s="1"/>
      <c r="F480" s="1"/>
      <c r="G480" s="1"/>
      <c r="H480" s="1"/>
      <c r="I480" s="1"/>
      <c r="J480" s="1"/>
      <c r="K480" s="1"/>
      <c r="L480" s="1"/>
      <c r="M480" s="1"/>
      <c r="N480" s="1"/>
      <c r="O480" s="1"/>
    </row>
    <row r="481" spans="2:15" ht="12.75">
      <c r="B481" s="1"/>
      <c r="C481" s="1"/>
      <c r="D481" s="1"/>
      <c r="E481" s="1"/>
      <c r="F481" s="1"/>
      <c r="G481" s="1"/>
      <c r="H481" s="1"/>
      <c r="I481" s="1"/>
      <c r="J481" s="1"/>
      <c r="K481" s="1"/>
      <c r="L481" s="1"/>
      <c r="M481" s="1"/>
      <c r="N481" s="1"/>
      <c r="O481" s="1"/>
    </row>
    <row r="482" spans="2:15" ht="12.75">
      <c r="B482" s="1"/>
      <c r="C482" s="1"/>
      <c r="D482" s="1"/>
      <c r="E482" s="1"/>
      <c r="F482" s="1"/>
      <c r="G482" s="1"/>
      <c r="H482" s="1"/>
      <c r="I482" s="1"/>
      <c r="J482" s="1"/>
      <c r="K482" s="1"/>
      <c r="L482" s="1"/>
      <c r="M482" s="1"/>
      <c r="N482" s="1"/>
      <c r="O482" s="1"/>
    </row>
    <row r="483" spans="2:15" ht="12.75">
      <c r="B483" s="1"/>
      <c r="C483" s="1"/>
      <c r="D483" s="1"/>
      <c r="E483" s="1"/>
      <c r="F483" s="1"/>
      <c r="G483" s="1"/>
      <c r="H483" s="1"/>
      <c r="I483" s="1"/>
      <c r="J483" s="1"/>
      <c r="K483" s="1"/>
      <c r="L483" s="1"/>
      <c r="M483" s="1"/>
      <c r="N483" s="1"/>
      <c r="O483" s="1"/>
    </row>
    <row r="484" spans="2:15" ht="12.75">
      <c r="B484" s="1"/>
      <c r="C484" s="1"/>
      <c r="D484" s="1"/>
      <c r="E484" s="1"/>
      <c r="F484" s="1"/>
      <c r="G484" s="1"/>
      <c r="H484" s="1"/>
      <c r="I484" s="1"/>
      <c r="J484" s="1"/>
      <c r="K484" s="1"/>
      <c r="L484" s="1"/>
      <c r="M484" s="1"/>
      <c r="N484" s="1"/>
      <c r="O484" s="1"/>
    </row>
    <row r="485" spans="2:15" ht="12.75">
      <c r="B485" s="1"/>
      <c r="C485" s="1"/>
      <c r="D485" s="1"/>
      <c r="E485" s="1"/>
      <c r="F485" s="1"/>
      <c r="G485" s="1"/>
      <c r="H485" s="1"/>
      <c r="I485" s="1"/>
      <c r="J485" s="1"/>
      <c r="K485" s="1"/>
      <c r="L485" s="1"/>
      <c r="M485" s="1"/>
      <c r="N485" s="1"/>
      <c r="O485" s="1"/>
    </row>
    <row r="486" spans="2:15" ht="12.75">
      <c r="B486" s="1"/>
      <c r="C486" s="1"/>
      <c r="D486" s="1"/>
      <c r="E486" s="1"/>
      <c r="F486" s="1"/>
      <c r="G486" s="1"/>
      <c r="H486" s="1"/>
      <c r="I486" s="1"/>
      <c r="J486" s="1"/>
      <c r="K486" s="1"/>
      <c r="L486" s="1"/>
      <c r="M486" s="1"/>
      <c r="N486" s="1"/>
      <c r="O486" s="1"/>
    </row>
    <row r="487" spans="2:15" ht="12.75">
      <c r="B487" s="1"/>
      <c r="C487" s="1"/>
      <c r="D487" s="1"/>
      <c r="E487" s="1"/>
      <c r="F487" s="1"/>
      <c r="G487" s="1"/>
      <c r="H487" s="1"/>
      <c r="I487" s="1"/>
      <c r="J487" s="1"/>
      <c r="K487" s="1"/>
      <c r="L487" s="1"/>
      <c r="M487" s="1"/>
      <c r="N487" s="1"/>
      <c r="O487" s="1"/>
    </row>
    <row r="488" spans="2:15" ht="12.75">
      <c r="B488" s="1"/>
      <c r="C488" s="1"/>
      <c r="D488" s="1"/>
      <c r="E488" s="1"/>
      <c r="F488" s="1"/>
      <c r="G488" s="1"/>
      <c r="H488" s="1"/>
      <c r="I488" s="1"/>
      <c r="J488" s="1"/>
      <c r="K488" s="1"/>
      <c r="L488" s="1"/>
      <c r="M488" s="1"/>
      <c r="N488" s="1"/>
      <c r="O488" s="1"/>
    </row>
    <row r="489" spans="2:15" ht="12.75">
      <c r="B489" s="1"/>
      <c r="C489" s="1"/>
      <c r="D489" s="1"/>
      <c r="E489" s="1"/>
      <c r="F489" s="1"/>
      <c r="G489" s="1"/>
      <c r="H489" s="1"/>
      <c r="I489" s="1"/>
      <c r="J489" s="1"/>
      <c r="K489" s="1"/>
      <c r="L489" s="1"/>
      <c r="M489" s="1"/>
      <c r="N489" s="1"/>
      <c r="O489" s="1"/>
    </row>
    <row r="490" spans="2:15" ht="12.75">
      <c r="B490" s="1"/>
      <c r="C490" s="1"/>
      <c r="D490" s="1"/>
      <c r="E490" s="1"/>
      <c r="F490" s="1"/>
      <c r="G490" s="1"/>
      <c r="H490" s="1"/>
      <c r="I490" s="1"/>
      <c r="J490" s="1"/>
      <c r="K490" s="1"/>
      <c r="L490" s="1"/>
      <c r="M490" s="1"/>
      <c r="N490" s="1"/>
      <c r="O490" s="1"/>
    </row>
    <row r="491" spans="2:15" ht="12.75">
      <c r="B491" s="1"/>
      <c r="C491" s="1"/>
      <c r="D491" s="1"/>
      <c r="E491" s="1"/>
      <c r="F491" s="1"/>
      <c r="G491" s="1"/>
      <c r="H491" s="1"/>
      <c r="I491" s="1"/>
      <c r="J491" s="1"/>
      <c r="K491" s="1"/>
      <c r="L491" s="1"/>
      <c r="M491" s="1"/>
      <c r="N491" s="1"/>
      <c r="O491" s="1"/>
    </row>
    <row r="492" spans="2:15" ht="12.75">
      <c r="B492" s="1"/>
      <c r="C492" s="1"/>
      <c r="D492" s="1"/>
      <c r="E492" s="1"/>
      <c r="F492" s="1"/>
      <c r="G492" s="1"/>
      <c r="H492" s="1"/>
      <c r="I492" s="1"/>
      <c r="J492" s="1"/>
      <c r="K492" s="1"/>
      <c r="L492" s="1"/>
      <c r="M492" s="1"/>
      <c r="N492" s="1"/>
      <c r="O492" s="1"/>
    </row>
    <row r="493" spans="2:15" ht="12.75">
      <c r="B493" s="1"/>
      <c r="C493" s="1"/>
      <c r="D493" s="1"/>
      <c r="E493" s="1"/>
      <c r="F493" s="1"/>
      <c r="G493" s="1"/>
      <c r="H493" s="1"/>
      <c r="I493" s="1"/>
      <c r="J493" s="1"/>
      <c r="K493" s="1"/>
      <c r="L493" s="1"/>
      <c r="M493" s="1"/>
      <c r="N493" s="1"/>
      <c r="O493" s="1"/>
    </row>
    <row r="494" spans="2:15" ht="12.75">
      <c r="B494" s="1"/>
      <c r="C494" s="1"/>
      <c r="D494" s="1"/>
      <c r="E494" s="1"/>
      <c r="F494" s="1"/>
      <c r="G494" s="1"/>
      <c r="H494" s="1"/>
      <c r="I494" s="1"/>
      <c r="J494" s="1"/>
      <c r="K494" s="1"/>
      <c r="L494" s="1"/>
      <c r="M494" s="1"/>
      <c r="N494" s="1"/>
      <c r="O494" s="1"/>
    </row>
    <row r="495" spans="2:15" ht="12.75">
      <c r="B495" s="1"/>
      <c r="C495" s="1"/>
      <c r="D495" s="1"/>
      <c r="E495" s="1"/>
      <c r="F495" s="1"/>
      <c r="G495" s="1"/>
      <c r="H495" s="1"/>
      <c r="I495" s="1"/>
      <c r="J495" s="1"/>
      <c r="K495" s="1"/>
      <c r="L495" s="1"/>
      <c r="M495" s="1"/>
      <c r="N495" s="1"/>
      <c r="O495" s="1"/>
    </row>
    <row r="496" spans="2:15" ht="12.75">
      <c r="B496" s="1"/>
      <c r="C496" s="1"/>
      <c r="D496" s="1"/>
      <c r="E496" s="1"/>
      <c r="F496" s="1"/>
      <c r="G496" s="1"/>
      <c r="H496" s="1"/>
      <c r="I496" s="1"/>
      <c r="J496" s="1"/>
      <c r="K496" s="1"/>
      <c r="L496" s="1"/>
      <c r="M496" s="1"/>
      <c r="N496" s="1"/>
      <c r="O496" s="1"/>
    </row>
    <row r="497" spans="2:15" ht="12.75">
      <c r="B497" s="1"/>
      <c r="C497" s="1"/>
      <c r="D497" s="1"/>
      <c r="E497" s="1"/>
      <c r="F497" s="1"/>
      <c r="G497" s="1"/>
      <c r="H497" s="1"/>
      <c r="I497" s="1"/>
      <c r="J497" s="1"/>
      <c r="K497" s="1"/>
      <c r="L497" s="1"/>
      <c r="M497" s="1"/>
      <c r="N497" s="1"/>
      <c r="O497" s="1"/>
    </row>
    <row r="498" spans="2:15" ht="12.75">
      <c r="B498" s="1"/>
      <c r="C498" s="1"/>
      <c r="D498" s="1"/>
      <c r="E498" s="1"/>
      <c r="F498" s="1"/>
      <c r="G498" s="1"/>
      <c r="H498" s="1"/>
      <c r="I498" s="1"/>
      <c r="J498" s="1"/>
      <c r="K498" s="1"/>
      <c r="L498" s="1"/>
      <c r="M498" s="1"/>
      <c r="N498" s="1"/>
      <c r="O498" s="1"/>
    </row>
    <row r="499" spans="2:15" ht="12.75">
      <c r="B499" s="1"/>
      <c r="C499" s="1"/>
      <c r="D499" s="1"/>
      <c r="E499" s="1"/>
      <c r="F499" s="1"/>
      <c r="G499" s="1"/>
      <c r="H499" s="1"/>
      <c r="I499" s="1"/>
      <c r="J499" s="1"/>
      <c r="K499" s="1"/>
      <c r="L499" s="1"/>
      <c r="M499" s="1"/>
      <c r="N499" s="1"/>
      <c r="O499" s="1"/>
    </row>
    <row r="500" spans="2:15" ht="12.75">
      <c r="B500" s="1"/>
      <c r="C500" s="1"/>
      <c r="D500" s="1"/>
      <c r="E500" s="1"/>
      <c r="F500" s="1"/>
      <c r="G500" s="1"/>
      <c r="H500" s="1"/>
      <c r="I500" s="1"/>
      <c r="J500" s="1"/>
      <c r="K500" s="1"/>
      <c r="L500" s="1"/>
      <c r="M500" s="1"/>
      <c r="N500" s="1"/>
      <c r="O500" s="1"/>
    </row>
    <row r="501" spans="2:15" ht="12.75">
      <c r="B501" s="1"/>
      <c r="C501" s="1"/>
      <c r="D501" s="1"/>
      <c r="E501" s="1"/>
      <c r="F501" s="1"/>
      <c r="G501" s="1"/>
      <c r="H501" s="1"/>
      <c r="I501" s="1"/>
      <c r="J501" s="1"/>
      <c r="K501" s="1"/>
      <c r="L501" s="1"/>
      <c r="M501" s="1"/>
      <c r="N501" s="1"/>
      <c r="O501" s="1"/>
    </row>
    <row r="502" spans="2:15" ht="12.75">
      <c r="B502" s="1"/>
      <c r="C502" s="1"/>
      <c r="D502" s="1"/>
      <c r="E502" s="1"/>
      <c r="F502" s="1"/>
      <c r="G502" s="1"/>
      <c r="H502" s="1"/>
      <c r="I502" s="1"/>
      <c r="J502" s="1"/>
      <c r="K502" s="1"/>
      <c r="L502" s="1"/>
      <c r="M502" s="1"/>
      <c r="N502" s="1"/>
      <c r="O502" s="1"/>
    </row>
    <row r="503" spans="2:15" ht="12.75">
      <c r="B503" s="1"/>
      <c r="C503" s="1"/>
      <c r="D503" s="1"/>
      <c r="E503" s="1"/>
      <c r="F503" s="1"/>
      <c r="G503" s="1"/>
      <c r="H503" s="1"/>
      <c r="I503" s="1"/>
      <c r="J503" s="1"/>
      <c r="K503" s="1"/>
      <c r="L503" s="1"/>
      <c r="M503" s="1"/>
      <c r="N503" s="1"/>
      <c r="O503" s="1"/>
    </row>
    <row r="504" spans="2:15" ht="12.75">
      <c r="B504" s="1"/>
      <c r="C504" s="1"/>
      <c r="D504" s="1"/>
      <c r="E504" s="1"/>
      <c r="F504" s="1"/>
      <c r="G504" s="1"/>
      <c r="H504" s="1"/>
      <c r="I504" s="1"/>
      <c r="J504" s="1"/>
      <c r="K504" s="1"/>
      <c r="L504" s="1"/>
      <c r="M504" s="1"/>
      <c r="N504" s="1"/>
      <c r="O504" s="1"/>
    </row>
    <row r="505" spans="2:15" ht="12.75">
      <c r="B505" s="1"/>
      <c r="C505" s="1"/>
      <c r="D505" s="1"/>
      <c r="E505" s="1"/>
      <c r="F505" s="1"/>
      <c r="G505" s="1"/>
      <c r="H505" s="1"/>
      <c r="I505" s="1"/>
      <c r="J505" s="1"/>
      <c r="K505" s="1"/>
      <c r="L505" s="1"/>
      <c r="M505" s="1"/>
      <c r="N505" s="1"/>
      <c r="O505" s="1"/>
    </row>
    <row r="506" spans="2:15" ht="12.75">
      <c r="B506" s="1"/>
      <c r="C506" s="1"/>
      <c r="D506" s="1"/>
      <c r="E506" s="1"/>
      <c r="F506" s="1"/>
      <c r="G506" s="1"/>
      <c r="H506" s="1"/>
      <c r="I506" s="1"/>
      <c r="J506" s="1"/>
      <c r="K506" s="1"/>
      <c r="L506" s="1"/>
      <c r="M506" s="1"/>
      <c r="N506" s="1"/>
      <c r="O506" s="1"/>
    </row>
    <row r="507" spans="2:15" ht="12.75">
      <c r="B507" s="1"/>
      <c r="C507" s="1"/>
      <c r="D507" s="1"/>
      <c r="E507" s="1"/>
      <c r="F507" s="1"/>
      <c r="G507" s="1"/>
      <c r="H507" s="1"/>
      <c r="I507" s="1"/>
      <c r="J507" s="1"/>
      <c r="K507" s="1"/>
      <c r="L507" s="1"/>
      <c r="M507" s="1"/>
      <c r="N507" s="1"/>
      <c r="O507" s="1"/>
    </row>
    <row r="508" spans="2:15" ht="12.75">
      <c r="B508" s="1"/>
      <c r="C508" s="1"/>
      <c r="D508" s="1"/>
      <c r="E508" s="1"/>
      <c r="F508" s="1"/>
      <c r="G508" s="1"/>
      <c r="H508" s="1"/>
      <c r="I508" s="1"/>
      <c r="J508" s="1"/>
      <c r="K508" s="1"/>
      <c r="L508" s="1"/>
      <c r="M508" s="1"/>
      <c r="N508" s="1"/>
      <c r="O508" s="1"/>
    </row>
    <row r="509" spans="2:15" ht="12.75">
      <c r="B509" s="1"/>
      <c r="C509" s="1"/>
      <c r="D509" s="1"/>
      <c r="E509" s="1"/>
      <c r="F509" s="1"/>
      <c r="G509" s="1"/>
      <c r="H509" s="1"/>
      <c r="I509" s="1"/>
      <c r="J509" s="1"/>
      <c r="K509" s="1"/>
      <c r="L509" s="1"/>
      <c r="M509" s="1"/>
      <c r="N509" s="1"/>
      <c r="O509" s="1"/>
    </row>
    <row r="510" spans="2:15" ht="12.75">
      <c r="B510" s="1"/>
      <c r="C510" s="1"/>
      <c r="D510" s="1"/>
      <c r="E510" s="1"/>
      <c r="F510" s="1"/>
      <c r="G510" s="1"/>
      <c r="H510" s="1"/>
      <c r="I510" s="1"/>
      <c r="J510" s="1"/>
      <c r="K510" s="1"/>
      <c r="L510" s="1"/>
      <c r="M510" s="1"/>
      <c r="N510" s="1"/>
      <c r="O510" s="1"/>
    </row>
    <row r="511" spans="2:15" ht="12.75">
      <c r="B511" s="1"/>
      <c r="C511" s="1"/>
      <c r="D511" s="1"/>
      <c r="E511" s="1"/>
      <c r="F511" s="1"/>
      <c r="G511" s="1"/>
      <c r="H511" s="1"/>
      <c r="I511" s="1"/>
      <c r="J511" s="1"/>
      <c r="K511" s="1"/>
      <c r="L511" s="1"/>
      <c r="M511" s="1"/>
      <c r="N511" s="1"/>
      <c r="O511" s="1"/>
    </row>
    <row r="512" spans="2:15" ht="12.75">
      <c r="B512" s="1"/>
      <c r="C512" s="1"/>
      <c r="D512" s="1"/>
      <c r="E512" s="1"/>
      <c r="F512" s="1"/>
      <c r="G512" s="1"/>
      <c r="H512" s="1"/>
      <c r="I512" s="1"/>
      <c r="J512" s="1"/>
      <c r="K512" s="1"/>
      <c r="L512" s="1"/>
      <c r="M512" s="1"/>
      <c r="N512" s="1"/>
      <c r="O512" s="1"/>
    </row>
    <row r="513" spans="2:15" ht="12.75">
      <c r="B513" s="1"/>
      <c r="C513" s="1"/>
      <c r="D513" s="1"/>
      <c r="E513" s="1"/>
      <c r="F513" s="1"/>
      <c r="G513" s="1"/>
      <c r="H513" s="1"/>
      <c r="I513" s="1"/>
      <c r="J513" s="1"/>
      <c r="K513" s="1"/>
      <c r="L513" s="1"/>
      <c r="M513" s="1"/>
      <c r="N513" s="1"/>
      <c r="O513" s="1"/>
    </row>
    <row r="514" spans="2:15" ht="12.75">
      <c r="B514" s="1"/>
      <c r="C514" s="1"/>
      <c r="D514" s="1"/>
      <c r="E514" s="1"/>
      <c r="F514" s="1"/>
      <c r="G514" s="1"/>
      <c r="H514" s="1"/>
      <c r="I514" s="1"/>
      <c r="J514" s="1"/>
      <c r="K514" s="1"/>
      <c r="L514" s="1"/>
      <c r="M514" s="1"/>
      <c r="N514" s="1"/>
      <c r="O514" s="1"/>
    </row>
    <row r="515" spans="2:15" ht="12.75">
      <c r="B515" s="1"/>
      <c r="C515" s="1"/>
      <c r="D515" s="1"/>
      <c r="E515" s="1"/>
      <c r="F515" s="1"/>
      <c r="G515" s="1"/>
      <c r="H515" s="1"/>
      <c r="I515" s="1"/>
      <c r="J515" s="1"/>
      <c r="K515" s="1"/>
      <c r="L515" s="1"/>
      <c r="M515" s="1"/>
      <c r="N515" s="1"/>
      <c r="O515" s="1"/>
    </row>
    <row r="516" spans="2:15" ht="12.75">
      <c r="B516" s="1"/>
      <c r="C516" s="1"/>
      <c r="D516" s="1"/>
      <c r="E516" s="1"/>
      <c r="F516" s="1"/>
      <c r="G516" s="1"/>
      <c r="H516" s="1"/>
      <c r="I516" s="1"/>
      <c r="J516" s="1"/>
      <c r="K516" s="1"/>
      <c r="L516" s="1"/>
      <c r="M516" s="1"/>
      <c r="N516" s="1"/>
      <c r="O516" s="1"/>
    </row>
    <row r="517" spans="2:15" ht="12.75">
      <c r="B517" s="1"/>
      <c r="C517" s="1"/>
      <c r="D517" s="1"/>
      <c r="E517" s="1"/>
      <c r="F517" s="1"/>
      <c r="G517" s="1"/>
      <c r="H517" s="1"/>
      <c r="I517" s="1"/>
      <c r="J517" s="1"/>
      <c r="K517" s="1"/>
      <c r="L517" s="1"/>
      <c r="M517" s="1"/>
      <c r="N517" s="1"/>
      <c r="O517" s="1"/>
    </row>
    <row r="518" spans="2:15" ht="12.75">
      <c r="B518" s="1"/>
      <c r="C518" s="1"/>
      <c r="D518" s="1"/>
      <c r="E518" s="1"/>
      <c r="F518" s="1"/>
      <c r="G518" s="1"/>
      <c r="H518" s="1"/>
      <c r="I518" s="1"/>
      <c r="J518" s="1"/>
      <c r="K518" s="1"/>
      <c r="L518" s="1"/>
      <c r="M518" s="1"/>
      <c r="N518" s="1"/>
      <c r="O518" s="1"/>
    </row>
    <row r="519" spans="2:15" ht="12.75">
      <c r="B519" s="1"/>
      <c r="C519" s="1"/>
      <c r="D519" s="1"/>
      <c r="E519" s="1"/>
      <c r="F519" s="1"/>
      <c r="G519" s="1"/>
      <c r="H519" s="1"/>
      <c r="I519" s="1"/>
      <c r="J519" s="1"/>
      <c r="K519" s="1"/>
      <c r="L519" s="1"/>
      <c r="M519" s="1"/>
      <c r="N519" s="1"/>
      <c r="O519" s="1"/>
    </row>
    <row r="520" spans="2:15" ht="12.75">
      <c r="B520" s="1"/>
      <c r="C520" s="1"/>
      <c r="D520" s="1"/>
      <c r="E520" s="1"/>
      <c r="F520" s="1"/>
      <c r="G520" s="1"/>
      <c r="H520" s="1"/>
      <c r="I520" s="1"/>
      <c r="J520" s="1"/>
      <c r="K520" s="1"/>
      <c r="L520" s="1"/>
      <c r="M520" s="1"/>
      <c r="N520" s="1"/>
      <c r="O520" s="1"/>
    </row>
    <row r="521" spans="2:15" ht="12.75">
      <c r="B521" s="1"/>
      <c r="C521" s="1"/>
      <c r="D521" s="1"/>
      <c r="E521" s="1"/>
      <c r="F521" s="1"/>
      <c r="G521" s="1"/>
      <c r="H521" s="1"/>
      <c r="I521" s="1"/>
      <c r="J521" s="1"/>
      <c r="K521" s="1"/>
      <c r="L521" s="1"/>
      <c r="M521" s="1"/>
      <c r="N521" s="1"/>
      <c r="O521" s="1"/>
    </row>
    <row r="522" spans="2:15" ht="12.75">
      <c r="B522" s="1"/>
      <c r="C522" s="1"/>
      <c r="D522" s="1"/>
      <c r="E522" s="1"/>
      <c r="F522" s="1"/>
      <c r="G522" s="1"/>
      <c r="H522" s="1"/>
      <c r="I522" s="1"/>
      <c r="J522" s="1"/>
      <c r="K522" s="1"/>
      <c r="L522" s="1"/>
      <c r="M522" s="1"/>
      <c r="N522" s="1"/>
      <c r="O522" s="1"/>
    </row>
    <row r="523" spans="2:15" ht="12.75">
      <c r="B523" s="1"/>
      <c r="C523" s="1"/>
      <c r="D523" s="1"/>
      <c r="E523" s="1"/>
      <c r="F523" s="1"/>
      <c r="G523" s="1"/>
      <c r="H523" s="1"/>
      <c r="I523" s="1"/>
      <c r="J523" s="1"/>
      <c r="K523" s="1"/>
      <c r="L523" s="1"/>
      <c r="M523" s="1"/>
      <c r="N523" s="1"/>
      <c r="O523" s="1"/>
    </row>
    <row r="524" spans="2:15" ht="12.75">
      <c r="B524" s="1"/>
      <c r="C524" s="1"/>
      <c r="D524" s="1"/>
      <c r="E524" s="1"/>
      <c r="F524" s="1"/>
      <c r="G524" s="1"/>
      <c r="H524" s="1"/>
      <c r="I524" s="1"/>
      <c r="J524" s="1"/>
      <c r="K524" s="1"/>
      <c r="L524" s="1"/>
      <c r="M524" s="1"/>
      <c r="N524" s="1"/>
      <c r="O524" s="1"/>
    </row>
    <row r="525" spans="2:15" ht="12.75">
      <c r="B525" s="1"/>
      <c r="C525" s="1"/>
      <c r="D525" s="1"/>
      <c r="E525" s="1"/>
      <c r="F525" s="1"/>
      <c r="G525" s="1"/>
      <c r="H525" s="1"/>
      <c r="I525" s="1"/>
      <c r="J525" s="1"/>
      <c r="K525" s="1"/>
      <c r="L525" s="1"/>
      <c r="M525" s="1"/>
      <c r="N525" s="1"/>
      <c r="O525" s="1"/>
    </row>
    <row r="526" spans="2:15" ht="12.75">
      <c r="B526" s="1"/>
      <c r="C526" s="1"/>
      <c r="D526" s="1"/>
      <c r="E526" s="1"/>
      <c r="F526" s="1"/>
      <c r="G526" s="1"/>
      <c r="H526" s="1"/>
      <c r="I526" s="1"/>
      <c r="J526" s="1"/>
      <c r="K526" s="1"/>
      <c r="L526" s="1"/>
      <c r="M526" s="1"/>
      <c r="N526" s="1"/>
      <c r="O526" s="1"/>
    </row>
    <row r="527" spans="2:15" ht="12.75">
      <c r="B527" s="1"/>
      <c r="C527" s="1"/>
      <c r="D527" s="1"/>
      <c r="E527" s="1"/>
      <c r="F527" s="1"/>
      <c r="G527" s="1"/>
      <c r="H527" s="1"/>
      <c r="I527" s="1"/>
      <c r="J527" s="1"/>
      <c r="K527" s="1"/>
      <c r="L527" s="1"/>
      <c r="M527" s="1"/>
      <c r="N527" s="1"/>
      <c r="O527" s="1"/>
    </row>
    <row r="528" spans="2:15" ht="12.75">
      <c r="B528" s="1"/>
      <c r="C528" s="1"/>
      <c r="D528" s="1"/>
      <c r="E528" s="1"/>
      <c r="F528" s="1"/>
      <c r="G528" s="1"/>
      <c r="H528" s="1"/>
      <c r="I528" s="1"/>
      <c r="J528" s="1"/>
      <c r="K528" s="1"/>
      <c r="L528" s="1"/>
      <c r="M528" s="1"/>
      <c r="N528" s="1"/>
      <c r="O528" s="1"/>
    </row>
    <row r="529" spans="2:15" ht="12.75">
      <c r="B529" s="1"/>
      <c r="C529" s="1"/>
      <c r="D529" s="1"/>
      <c r="E529" s="1"/>
      <c r="F529" s="1"/>
      <c r="G529" s="1"/>
      <c r="H529" s="1"/>
      <c r="I529" s="1"/>
      <c r="J529" s="1"/>
      <c r="K529" s="1"/>
      <c r="L529" s="1"/>
      <c r="M529" s="1"/>
      <c r="N529" s="1"/>
      <c r="O529" s="1"/>
    </row>
    <row r="530" spans="2:15" ht="12.75">
      <c r="B530" s="1"/>
      <c r="C530" s="1"/>
      <c r="D530" s="1"/>
      <c r="E530" s="1"/>
      <c r="F530" s="1"/>
      <c r="G530" s="1"/>
      <c r="H530" s="1"/>
      <c r="I530" s="1"/>
      <c r="J530" s="1"/>
      <c r="K530" s="1"/>
      <c r="L530" s="1"/>
      <c r="M530" s="1"/>
      <c r="N530" s="1"/>
      <c r="O530" s="1"/>
    </row>
    <row r="531" spans="2:15" ht="12.75">
      <c r="B531" s="1"/>
      <c r="C531" s="1"/>
      <c r="D531" s="1"/>
      <c r="E531" s="1"/>
      <c r="F531" s="1"/>
      <c r="G531" s="1"/>
      <c r="H531" s="1"/>
      <c r="I531" s="1"/>
      <c r="J531" s="1"/>
      <c r="K531" s="1"/>
      <c r="L531" s="1"/>
      <c r="M531" s="1"/>
      <c r="N531" s="1"/>
      <c r="O531" s="1"/>
    </row>
    <row r="532" spans="2:15" ht="12.75">
      <c r="B532" s="1"/>
      <c r="C532" s="1"/>
      <c r="D532" s="1"/>
      <c r="E532" s="1"/>
      <c r="F532" s="1"/>
      <c r="G532" s="1"/>
      <c r="H532" s="1"/>
      <c r="I532" s="1"/>
      <c r="J532" s="1"/>
      <c r="K532" s="1"/>
      <c r="L532" s="1"/>
      <c r="M532" s="1"/>
      <c r="N532" s="1"/>
      <c r="O532" s="1"/>
    </row>
    <row r="533" spans="2:15" ht="12.75">
      <c r="B533" s="1"/>
      <c r="C533" s="1"/>
      <c r="D533" s="1"/>
      <c r="E533" s="1"/>
      <c r="F533" s="1"/>
      <c r="G533" s="1"/>
      <c r="H533" s="1"/>
      <c r="I533" s="1"/>
      <c r="J533" s="1"/>
      <c r="K533" s="1"/>
      <c r="L533" s="1"/>
      <c r="M533" s="1"/>
      <c r="N533" s="1"/>
      <c r="O533" s="1"/>
    </row>
    <row r="534" spans="2:15" ht="12.75">
      <c r="B534" s="1"/>
      <c r="C534" s="1"/>
      <c r="D534" s="1"/>
      <c r="E534" s="1"/>
      <c r="F534" s="1"/>
      <c r="G534" s="1"/>
      <c r="H534" s="1"/>
      <c r="I534" s="1"/>
      <c r="J534" s="1"/>
      <c r="K534" s="1"/>
      <c r="L534" s="1"/>
      <c r="M534" s="1"/>
      <c r="N534" s="1"/>
      <c r="O534" s="1"/>
    </row>
    <row r="535" spans="2:15" ht="12.75">
      <c r="B535" s="1"/>
      <c r="C535" s="1"/>
      <c r="D535" s="1"/>
      <c r="E535" s="1"/>
      <c r="F535" s="1"/>
      <c r="G535" s="1"/>
      <c r="H535" s="1"/>
      <c r="I535" s="1"/>
      <c r="J535" s="1"/>
      <c r="K535" s="1"/>
      <c r="L535" s="1"/>
      <c r="M535" s="1"/>
      <c r="N535" s="1"/>
      <c r="O535" s="1"/>
    </row>
    <row r="536" spans="2:15" ht="12.75">
      <c r="B536" s="1"/>
      <c r="C536" s="1"/>
      <c r="D536" s="1"/>
      <c r="E536" s="1"/>
      <c r="F536" s="1"/>
      <c r="G536" s="1"/>
      <c r="H536" s="1"/>
      <c r="I536" s="1"/>
      <c r="J536" s="1"/>
      <c r="K536" s="1"/>
      <c r="L536" s="1"/>
      <c r="M536" s="1"/>
      <c r="N536" s="1"/>
      <c r="O536" s="1"/>
    </row>
    <row r="537" spans="2:15" ht="12.75">
      <c r="B537" s="1"/>
      <c r="C537" s="1"/>
      <c r="D537" s="1"/>
      <c r="E537" s="1"/>
      <c r="F537" s="1"/>
      <c r="G537" s="1"/>
      <c r="H537" s="1"/>
      <c r="I537" s="1"/>
      <c r="J537" s="1"/>
      <c r="K537" s="1"/>
      <c r="L537" s="1"/>
      <c r="M537" s="1"/>
      <c r="N537" s="1"/>
      <c r="O537" s="1"/>
    </row>
    <row r="538" spans="2:15" ht="12.75">
      <c r="B538" s="1"/>
      <c r="C538" s="1"/>
      <c r="D538" s="1"/>
      <c r="E538" s="1"/>
      <c r="F538" s="1"/>
      <c r="G538" s="1"/>
      <c r="H538" s="1"/>
      <c r="I538" s="1"/>
      <c r="J538" s="1"/>
      <c r="K538" s="1"/>
      <c r="L538" s="1"/>
      <c r="M538" s="1"/>
      <c r="N538" s="1"/>
      <c r="O538" s="1"/>
    </row>
    <row r="539" spans="2:15" ht="12.75">
      <c r="B539" s="1"/>
      <c r="C539" s="1"/>
      <c r="D539" s="1"/>
      <c r="E539" s="1"/>
      <c r="F539" s="1"/>
      <c r="G539" s="1"/>
      <c r="H539" s="1"/>
      <c r="I539" s="1"/>
      <c r="J539" s="1"/>
      <c r="K539" s="1"/>
      <c r="L539" s="1"/>
      <c r="M539" s="1"/>
      <c r="N539" s="1"/>
      <c r="O539" s="1"/>
    </row>
    <row r="540" spans="2:15" ht="12.75">
      <c r="B540" s="1"/>
      <c r="C540" s="1"/>
      <c r="D540" s="1"/>
      <c r="E540" s="1"/>
      <c r="F540" s="1"/>
      <c r="G540" s="1"/>
      <c r="H540" s="1"/>
      <c r="I540" s="1"/>
      <c r="J540" s="1"/>
      <c r="K540" s="1"/>
      <c r="L540" s="1"/>
      <c r="M540" s="1"/>
      <c r="N540" s="1"/>
      <c r="O540" s="1"/>
    </row>
    <row r="541" spans="2:15" ht="12.75">
      <c r="B541" s="1"/>
      <c r="C541" s="1"/>
      <c r="D541" s="1"/>
      <c r="E541" s="1"/>
      <c r="F541" s="1"/>
      <c r="G541" s="1"/>
      <c r="H541" s="1"/>
      <c r="I541" s="1"/>
      <c r="J541" s="1"/>
      <c r="K541" s="1"/>
      <c r="L541" s="1"/>
      <c r="M541" s="1"/>
      <c r="N541" s="1"/>
      <c r="O541" s="1"/>
    </row>
    <row r="542" spans="2:15" ht="12.75">
      <c r="B542" s="1"/>
      <c r="C542" s="1"/>
      <c r="D542" s="1"/>
      <c r="E542" s="1"/>
      <c r="F542" s="1"/>
      <c r="G542" s="1"/>
      <c r="H542" s="1"/>
      <c r="I542" s="1"/>
      <c r="J542" s="1"/>
      <c r="K542" s="1"/>
      <c r="L542" s="1"/>
      <c r="M542" s="1"/>
      <c r="N542" s="1"/>
      <c r="O542" s="1"/>
    </row>
    <row r="543" spans="2:15" ht="12.75">
      <c r="B543" s="1"/>
      <c r="C543" s="1"/>
      <c r="D543" s="1"/>
      <c r="E543" s="1"/>
      <c r="F543" s="1"/>
      <c r="G543" s="1"/>
      <c r="H543" s="1"/>
      <c r="I543" s="1"/>
      <c r="J543" s="1"/>
      <c r="K543" s="1"/>
      <c r="L543" s="1"/>
      <c r="M543" s="1"/>
      <c r="N543" s="1"/>
      <c r="O543" s="1"/>
    </row>
    <row r="544" spans="2:15" ht="12.75">
      <c r="B544" s="1"/>
      <c r="C544" s="1"/>
      <c r="D544" s="1"/>
      <c r="E544" s="1"/>
      <c r="F544" s="1"/>
      <c r="G544" s="1"/>
      <c r="H544" s="1"/>
      <c r="I544" s="1"/>
      <c r="J544" s="1"/>
      <c r="K544" s="1"/>
      <c r="L544" s="1"/>
      <c r="M544" s="1"/>
      <c r="N544" s="1"/>
      <c r="O544" s="1"/>
    </row>
    <row r="545" spans="2:15" ht="12.75">
      <c r="B545" s="1"/>
      <c r="C545" s="1"/>
      <c r="D545" s="1"/>
      <c r="E545" s="1"/>
      <c r="F545" s="1"/>
      <c r="G545" s="1"/>
      <c r="H545" s="1"/>
      <c r="I545" s="1"/>
      <c r="J545" s="1"/>
      <c r="K545" s="1"/>
      <c r="L545" s="1"/>
      <c r="M545" s="1"/>
      <c r="N545" s="1"/>
      <c r="O545" s="1"/>
    </row>
    <row r="546" spans="2:15" ht="12.75">
      <c r="B546" s="1"/>
      <c r="C546" s="1"/>
      <c r="D546" s="1"/>
      <c r="E546" s="1"/>
      <c r="F546" s="1"/>
      <c r="G546" s="1"/>
      <c r="H546" s="1"/>
      <c r="I546" s="1"/>
      <c r="J546" s="1"/>
      <c r="K546" s="1"/>
      <c r="L546" s="1"/>
      <c r="M546" s="1"/>
      <c r="N546" s="1"/>
      <c r="O546" s="1"/>
    </row>
    <row r="547" spans="2:15" ht="12.75">
      <c r="B547" s="1"/>
      <c r="C547" s="1"/>
      <c r="D547" s="1"/>
      <c r="E547" s="1"/>
      <c r="F547" s="1"/>
      <c r="G547" s="1"/>
      <c r="H547" s="1"/>
      <c r="I547" s="1"/>
      <c r="J547" s="1"/>
      <c r="K547" s="1"/>
      <c r="L547" s="1"/>
      <c r="M547" s="1"/>
      <c r="N547" s="1"/>
      <c r="O547" s="1"/>
    </row>
    <row r="548" spans="2:15" ht="12.75">
      <c r="B548" s="1"/>
      <c r="C548" s="1"/>
      <c r="D548" s="1"/>
      <c r="E548" s="1"/>
      <c r="F548" s="1"/>
      <c r="G548" s="1"/>
      <c r="H548" s="1"/>
      <c r="I548" s="1"/>
      <c r="J548" s="1"/>
      <c r="K548" s="1"/>
      <c r="L548" s="1"/>
      <c r="M548" s="1"/>
      <c r="N548" s="1"/>
      <c r="O548" s="1"/>
    </row>
    <row r="549" spans="2:15" ht="12.75">
      <c r="B549" s="1"/>
      <c r="C549" s="1"/>
      <c r="D549" s="1"/>
      <c r="E549" s="1"/>
      <c r="F549" s="1"/>
      <c r="G549" s="1"/>
      <c r="H549" s="1"/>
      <c r="I549" s="1"/>
      <c r="J549" s="1"/>
      <c r="K549" s="1"/>
      <c r="L549" s="1"/>
      <c r="M549" s="1"/>
      <c r="N549" s="1"/>
      <c r="O549" s="1"/>
    </row>
    <row r="550" spans="2:15" ht="12.75">
      <c r="B550" s="1"/>
      <c r="C550" s="1"/>
      <c r="D550" s="1"/>
      <c r="E550" s="1"/>
      <c r="F550" s="1"/>
      <c r="G550" s="1"/>
      <c r="H550" s="1"/>
      <c r="I550" s="1"/>
      <c r="J550" s="1"/>
      <c r="K550" s="1"/>
      <c r="L550" s="1"/>
      <c r="M550" s="1"/>
      <c r="N550" s="1"/>
      <c r="O550" s="1"/>
    </row>
    <row r="551" spans="2:15" ht="12.75">
      <c r="B551" s="1"/>
      <c r="C551" s="1"/>
      <c r="D551" s="1"/>
      <c r="E551" s="1"/>
      <c r="F551" s="1"/>
      <c r="G551" s="1"/>
      <c r="H551" s="1"/>
      <c r="I551" s="1"/>
      <c r="J551" s="1"/>
      <c r="K551" s="1"/>
      <c r="L551" s="1"/>
      <c r="M551" s="1"/>
      <c r="N551" s="1"/>
      <c r="O551" s="1"/>
    </row>
    <row r="552" spans="2:15" ht="12.75">
      <c r="B552" s="1"/>
      <c r="C552" s="1"/>
      <c r="D552" s="1"/>
      <c r="E552" s="1"/>
      <c r="F552" s="1"/>
      <c r="G552" s="1"/>
      <c r="H552" s="1"/>
      <c r="I552" s="1"/>
      <c r="J552" s="1"/>
      <c r="K552" s="1"/>
      <c r="L552" s="1"/>
      <c r="M552" s="1"/>
      <c r="N552" s="1"/>
      <c r="O552" s="1"/>
    </row>
    <row r="553" spans="2:15" ht="12.75">
      <c r="B553" s="1"/>
      <c r="C553" s="1"/>
      <c r="D553" s="1"/>
      <c r="E553" s="1"/>
      <c r="F553" s="1"/>
      <c r="G553" s="1"/>
      <c r="H553" s="1"/>
      <c r="I553" s="1"/>
      <c r="J553" s="1"/>
      <c r="K553" s="1"/>
      <c r="L553" s="1"/>
      <c r="M553" s="1"/>
      <c r="N553" s="1"/>
      <c r="O553" s="1"/>
    </row>
    <row r="554" spans="2:15" ht="12.75">
      <c r="B554" s="1"/>
      <c r="C554" s="1"/>
      <c r="D554" s="1"/>
      <c r="E554" s="1"/>
      <c r="F554" s="1"/>
      <c r="G554" s="1"/>
      <c r="H554" s="1"/>
      <c r="I554" s="1"/>
      <c r="J554" s="1"/>
      <c r="K554" s="1"/>
      <c r="L554" s="1"/>
      <c r="M554" s="1"/>
      <c r="N554" s="1"/>
      <c r="O554" s="1"/>
    </row>
    <row r="555" spans="2:15" ht="12.75">
      <c r="B555" s="1"/>
      <c r="C555" s="1"/>
      <c r="D555" s="1"/>
      <c r="E555" s="1"/>
      <c r="F555" s="1"/>
      <c r="G555" s="1"/>
      <c r="H555" s="1"/>
      <c r="I555" s="1"/>
      <c r="J555" s="1"/>
      <c r="K555" s="1"/>
      <c r="L555" s="1"/>
      <c r="M555" s="1"/>
      <c r="N555" s="1"/>
      <c r="O555" s="1"/>
    </row>
    <row r="556" spans="2:15" ht="12.75">
      <c r="B556" s="1"/>
      <c r="C556" s="1"/>
      <c r="D556" s="1"/>
      <c r="E556" s="1"/>
      <c r="F556" s="1"/>
      <c r="G556" s="1"/>
      <c r="H556" s="1"/>
      <c r="I556" s="1"/>
      <c r="J556" s="1"/>
      <c r="K556" s="1"/>
      <c r="L556" s="1"/>
      <c r="M556" s="1"/>
      <c r="N556" s="1"/>
      <c r="O556" s="1"/>
    </row>
    <row r="557" spans="2:15" ht="12.75">
      <c r="B557" s="1"/>
      <c r="C557" s="1"/>
      <c r="D557" s="1"/>
      <c r="E557" s="1"/>
      <c r="F557" s="1"/>
      <c r="G557" s="1"/>
      <c r="H557" s="1"/>
      <c r="I557" s="1"/>
      <c r="J557" s="1"/>
      <c r="K557" s="1"/>
      <c r="L557" s="1"/>
      <c r="M557" s="1"/>
      <c r="N557" s="1"/>
      <c r="O557" s="1"/>
    </row>
    <row r="558" spans="2:15" ht="12.75">
      <c r="B558" s="1"/>
      <c r="C558" s="1"/>
      <c r="D558" s="1"/>
      <c r="E558" s="1"/>
      <c r="F558" s="1"/>
      <c r="G558" s="1"/>
      <c r="H558" s="1"/>
      <c r="I558" s="1"/>
      <c r="J558" s="1"/>
      <c r="K558" s="1"/>
      <c r="L558" s="1"/>
      <c r="M558" s="1"/>
      <c r="N558" s="1"/>
      <c r="O558" s="1"/>
    </row>
    <row r="559" spans="2:15" ht="12.75">
      <c r="B559" s="1"/>
      <c r="C559" s="1"/>
      <c r="D559" s="1"/>
      <c r="E559" s="1"/>
      <c r="F559" s="1"/>
      <c r="G559" s="1"/>
      <c r="H559" s="1"/>
      <c r="I559" s="1"/>
      <c r="J559" s="1"/>
      <c r="K559" s="1"/>
      <c r="L559" s="1"/>
      <c r="M559" s="1"/>
      <c r="N559" s="1"/>
      <c r="O559" s="1"/>
    </row>
    <row r="560" spans="2:15" ht="12.75">
      <c r="B560" s="1"/>
      <c r="C560" s="1"/>
      <c r="D560" s="1"/>
      <c r="E560" s="1"/>
      <c r="F560" s="1"/>
      <c r="G560" s="1"/>
      <c r="H560" s="1"/>
      <c r="I560" s="1"/>
      <c r="J560" s="1"/>
      <c r="K560" s="1"/>
      <c r="L560" s="1"/>
      <c r="M560" s="1"/>
      <c r="N560" s="1"/>
      <c r="O560" s="1"/>
    </row>
    <row r="561" spans="2:15" ht="12.75">
      <c r="B561" s="1"/>
      <c r="C561" s="1"/>
      <c r="D561" s="1"/>
      <c r="E561" s="1"/>
      <c r="F561" s="1"/>
      <c r="G561" s="1"/>
      <c r="H561" s="1"/>
      <c r="I561" s="1"/>
      <c r="J561" s="1"/>
      <c r="K561" s="1"/>
      <c r="L561" s="1"/>
      <c r="M561" s="1"/>
      <c r="N561" s="1"/>
      <c r="O561" s="1"/>
    </row>
    <row r="562" spans="2:15" ht="12.75">
      <c r="B562" s="1"/>
      <c r="C562" s="1"/>
      <c r="D562" s="1"/>
      <c r="E562" s="1"/>
      <c r="F562" s="1"/>
      <c r="G562" s="1"/>
      <c r="H562" s="1"/>
      <c r="I562" s="1"/>
      <c r="J562" s="1"/>
      <c r="K562" s="1"/>
      <c r="L562" s="1"/>
      <c r="M562" s="1"/>
      <c r="N562" s="1"/>
      <c r="O562" s="1"/>
    </row>
    <row r="563" spans="2:15" ht="12.75">
      <c r="B563" s="1"/>
      <c r="C563" s="1"/>
      <c r="D563" s="1"/>
      <c r="E563" s="1"/>
      <c r="F563" s="1"/>
      <c r="G563" s="1"/>
      <c r="H563" s="1"/>
      <c r="I563" s="1"/>
      <c r="J563" s="1"/>
      <c r="K563" s="1"/>
      <c r="L563" s="1"/>
      <c r="M563" s="1"/>
      <c r="N563" s="1"/>
      <c r="O563" s="1"/>
    </row>
    <row r="564" spans="2:15" ht="12.75">
      <c r="B564" s="1"/>
      <c r="C564" s="1"/>
      <c r="D564" s="1"/>
      <c r="E564" s="1"/>
      <c r="F564" s="1"/>
      <c r="G564" s="1"/>
      <c r="H564" s="1"/>
      <c r="I564" s="1"/>
      <c r="J564" s="1"/>
      <c r="K564" s="1"/>
      <c r="L564" s="1"/>
      <c r="M564" s="1"/>
      <c r="N564" s="1"/>
      <c r="O564" s="1"/>
    </row>
    <row r="565" spans="2:15" ht="12.75">
      <c r="B565" s="1"/>
      <c r="C565" s="1"/>
      <c r="D565" s="1"/>
      <c r="E565" s="1"/>
      <c r="F565" s="1"/>
      <c r="G565" s="1"/>
      <c r="H565" s="1"/>
      <c r="I565" s="1"/>
      <c r="J565" s="1"/>
      <c r="K565" s="1"/>
      <c r="L565" s="1"/>
      <c r="M565" s="1"/>
      <c r="N565" s="1"/>
      <c r="O565" s="1"/>
    </row>
    <row r="566" spans="2:15" ht="12.75">
      <c r="B566" s="1"/>
      <c r="C566" s="1"/>
      <c r="D566" s="1"/>
      <c r="E566" s="1"/>
      <c r="F566" s="1"/>
      <c r="G566" s="1"/>
      <c r="H566" s="1"/>
      <c r="I566" s="1"/>
      <c r="J566" s="1"/>
      <c r="K566" s="1"/>
      <c r="L566" s="1"/>
      <c r="M566" s="1"/>
      <c r="N566" s="1"/>
      <c r="O566" s="1"/>
    </row>
    <row r="567" spans="2:15" ht="12.75">
      <c r="B567" s="1"/>
      <c r="C567" s="1"/>
      <c r="D567" s="1"/>
      <c r="E567" s="1"/>
      <c r="F567" s="1"/>
      <c r="G567" s="1"/>
      <c r="H567" s="1"/>
      <c r="I567" s="1"/>
      <c r="J567" s="1"/>
      <c r="K567" s="1"/>
      <c r="L567" s="1"/>
      <c r="M567" s="1"/>
      <c r="N567" s="1"/>
      <c r="O567" s="1"/>
    </row>
    <row r="568" spans="2:15" ht="12.75">
      <c r="B568" s="1"/>
      <c r="C568" s="1"/>
      <c r="D568" s="1"/>
      <c r="E568" s="1"/>
      <c r="F568" s="1"/>
      <c r="G568" s="1"/>
      <c r="H568" s="1"/>
      <c r="I568" s="1"/>
      <c r="J568" s="1"/>
      <c r="K568" s="1"/>
      <c r="L568" s="1"/>
      <c r="M568" s="1"/>
      <c r="N568" s="1"/>
      <c r="O568" s="1"/>
    </row>
    <row r="569" spans="2:15" ht="12.75">
      <c r="B569" s="1"/>
      <c r="C569" s="1"/>
      <c r="D569" s="1"/>
      <c r="E569" s="1"/>
      <c r="F569" s="1"/>
      <c r="G569" s="1"/>
      <c r="H569" s="1"/>
      <c r="I569" s="1"/>
      <c r="J569" s="1"/>
      <c r="K569" s="1"/>
      <c r="L569" s="1"/>
      <c r="M569" s="1"/>
      <c r="N569" s="1"/>
      <c r="O569" s="1"/>
    </row>
    <row r="570" spans="2:15" ht="12.75">
      <c r="B570" s="1"/>
      <c r="C570" s="1"/>
      <c r="D570" s="1"/>
      <c r="E570" s="1"/>
      <c r="F570" s="1"/>
      <c r="G570" s="1"/>
      <c r="H570" s="1"/>
      <c r="I570" s="1"/>
      <c r="J570" s="1"/>
      <c r="K570" s="1"/>
      <c r="L570" s="1"/>
      <c r="M570" s="1"/>
      <c r="N570" s="1"/>
      <c r="O570" s="1"/>
    </row>
    <row r="571" spans="2:15" ht="12.75">
      <c r="B571" s="1"/>
      <c r="C571" s="1"/>
      <c r="D571" s="1"/>
      <c r="E571" s="1"/>
      <c r="F571" s="1"/>
      <c r="G571" s="1"/>
      <c r="H571" s="1"/>
      <c r="I571" s="1"/>
      <c r="J571" s="1"/>
      <c r="K571" s="1"/>
      <c r="L571" s="1"/>
      <c r="M571" s="1"/>
      <c r="N571" s="1"/>
      <c r="O571" s="1"/>
    </row>
    <row r="572" spans="2:15" ht="12.75">
      <c r="B572" s="1"/>
      <c r="C572" s="1"/>
      <c r="D572" s="1"/>
      <c r="E572" s="1"/>
      <c r="F572" s="1"/>
      <c r="G572" s="1"/>
      <c r="H572" s="1"/>
      <c r="I572" s="1"/>
      <c r="J572" s="1"/>
      <c r="K572" s="1"/>
      <c r="L572" s="1"/>
      <c r="M572" s="1"/>
      <c r="N572" s="1"/>
      <c r="O572" s="1"/>
    </row>
    <row r="573" spans="2:15" ht="12.75">
      <c r="B573" s="1"/>
      <c r="C573" s="1"/>
      <c r="D573" s="1"/>
      <c r="E573" s="1"/>
      <c r="F573" s="1"/>
      <c r="G573" s="1"/>
      <c r="H573" s="1"/>
      <c r="I573" s="1"/>
      <c r="J573" s="1"/>
      <c r="K573" s="1"/>
      <c r="L573" s="1"/>
      <c r="M573" s="1"/>
      <c r="N573" s="1"/>
      <c r="O573" s="1"/>
    </row>
    <row r="574" spans="2:15" ht="12.75">
      <c r="B574" s="1"/>
      <c r="C574" s="1"/>
      <c r="D574" s="1"/>
      <c r="E574" s="1"/>
      <c r="F574" s="1"/>
      <c r="G574" s="1"/>
      <c r="H574" s="1"/>
      <c r="I574" s="1"/>
      <c r="J574" s="1"/>
      <c r="K574" s="1"/>
      <c r="L574" s="1"/>
      <c r="M574" s="1"/>
      <c r="N574" s="1"/>
      <c r="O574" s="1"/>
    </row>
    <row r="575" spans="2:15" ht="12.75">
      <c r="B575" s="1"/>
      <c r="C575" s="1"/>
      <c r="D575" s="1"/>
      <c r="E575" s="1"/>
      <c r="F575" s="1"/>
      <c r="G575" s="1"/>
      <c r="H575" s="1"/>
      <c r="I575" s="1"/>
      <c r="J575" s="1"/>
      <c r="K575" s="1"/>
      <c r="L575" s="1"/>
      <c r="M575" s="1"/>
      <c r="N575" s="1"/>
      <c r="O575" s="1"/>
    </row>
    <row r="576" spans="2:15" ht="12.75">
      <c r="B576" s="1"/>
      <c r="C576" s="1"/>
      <c r="D576" s="1"/>
      <c r="E576" s="1"/>
      <c r="F576" s="1"/>
      <c r="G576" s="1"/>
      <c r="H576" s="1"/>
      <c r="I576" s="1"/>
      <c r="J576" s="1"/>
      <c r="K576" s="1"/>
      <c r="L576" s="1"/>
      <c r="M576" s="1"/>
      <c r="N576" s="1"/>
      <c r="O576" s="1"/>
    </row>
    <row r="577" spans="2:15" ht="12.75">
      <c r="B577" s="1"/>
      <c r="C577" s="1"/>
      <c r="D577" s="1"/>
      <c r="E577" s="1"/>
      <c r="F577" s="1"/>
      <c r="G577" s="1"/>
      <c r="H577" s="1"/>
      <c r="I577" s="1"/>
      <c r="J577" s="1"/>
      <c r="K577" s="1"/>
      <c r="L577" s="1"/>
      <c r="M577" s="1"/>
      <c r="N577" s="1"/>
      <c r="O577" s="1"/>
    </row>
    <row r="578" spans="2:15" ht="12.75">
      <c r="B578" s="1"/>
      <c r="C578" s="1"/>
      <c r="D578" s="1"/>
      <c r="E578" s="1"/>
      <c r="F578" s="1"/>
      <c r="G578" s="1"/>
      <c r="H578" s="1"/>
      <c r="I578" s="1"/>
      <c r="J578" s="1"/>
      <c r="K578" s="1"/>
      <c r="L578" s="1"/>
      <c r="M578" s="1"/>
      <c r="N578" s="1"/>
      <c r="O578" s="1"/>
    </row>
    <row r="579" spans="2:15" ht="12.75">
      <c r="B579" s="1"/>
      <c r="C579" s="1"/>
      <c r="D579" s="1"/>
      <c r="E579" s="1"/>
      <c r="F579" s="1"/>
      <c r="G579" s="1"/>
      <c r="H579" s="1"/>
      <c r="I579" s="1"/>
      <c r="J579" s="1"/>
      <c r="K579" s="1"/>
      <c r="L579" s="1"/>
      <c r="M579" s="1"/>
      <c r="N579" s="1"/>
      <c r="O579" s="1"/>
    </row>
    <row r="580" spans="2:15" ht="12.75">
      <c r="B580" s="1"/>
      <c r="C580" s="1"/>
      <c r="D580" s="1"/>
      <c r="E580" s="1"/>
      <c r="F580" s="1"/>
      <c r="G580" s="1"/>
      <c r="H580" s="1"/>
      <c r="I580" s="1"/>
      <c r="J580" s="1"/>
      <c r="K580" s="1"/>
      <c r="L580" s="1"/>
      <c r="M580" s="1"/>
      <c r="N580" s="1"/>
      <c r="O580" s="1"/>
    </row>
    <row r="581" spans="2:15" ht="12.75">
      <c r="B581" s="1"/>
      <c r="C581" s="1"/>
      <c r="D581" s="1"/>
      <c r="E581" s="1"/>
      <c r="F581" s="1"/>
      <c r="G581" s="1"/>
      <c r="H581" s="1"/>
      <c r="I581" s="1"/>
      <c r="J581" s="1"/>
      <c r="K581" s="1"/>
      <c r="L581" s="1"/>
      <c r="M581" s="1"/>
      <c r="N581" s="1"/>
      <c r="O581" s="1"/>
    </row>
    <row r="582" spans="2:15" ht="12.75">
      <c r="B582" s="1"/>
      <c r="C582" s="1"/>
      <c r="D582" s="1"/>
      <c r="E582" s="1"/>
      <c r="F582" s="1"/>
      <c r="G582" s="1"/>
      <c r="H582" s="1"/>
      <c r="I582" s="1"/>
      <c r="J582" s="1"/>
      <c r="K582" s="1"/>
      <c r="L582" s="1"/>
      <c r="M582" s="1"/>
      <c r="N582" s="1"/>
      <c r="O582" s="1"/>
    </row>
    <row r="583" spans="2:15" ht="12.75">
      <c r="B583" s="1"/>
      <c r="C583" s="1"/>
      <c r="D583" s="1"/>
      <c r="E583" s="1"/>
      <c r="F583" s="1"/>
      <c r="G583" s="1"/>
      <c r="H583" s="1"/>
      <c r="I583" s="1"/>
      <c r="J583" s="1"/>
      <c r="K583" s="1"/>
      <c r="L583" s="1"/>
      <c r="M583" s="1"/>
      <c r="N583" s="1"/>
      <c r="O583" s="1"/>
    </row>
    <row r="584" spans="2:15" ht="12.75">
      <c r="B584" s="1"/>
      <c r="C584" s="1"/>
      <c r="D584" s="1"/>
      <c r="E584" s="1"/>
      <c r="F584" s="1"/>
      <c r="G584" s="1"/>
      <c r="H584" s="1"/>
      <c r="I584" s="1"/>
      <c r="J584" s="1"/>
      <c r="K584" s="1"/>
      <c r="L584" s="1"/>
      <c r="M584" s="1"/>
      <c r="N584" s="1"/>
      <c r="O584" s="1"/>
    </row>
    <row r="585" spans="2:15" ht="12.75">
      <c r="B585" s="1"/>
      <c r="C585" s="1"/>
      <c r="D585" s="1"/>
      <c r="E585" s="1"/>
      <c r="F585" s="1"/>
      <c r="G585" s="1"/>
      <c r="H585" s="1"/>
      <c r="I585" s="1"/>
      <c r="J585" s="1"/>
      <c r="K585" s="1"/>
      <c r="L585" s="1"/>
      <c r="M585" s="1"/>
      <c r="N585" s="1"/>
      <c r="O585" s="1"/>
    </row>
    <row r="586" spans="2:15" ht="12.75">
      <c r="B586" s="1"/>
      <c r="C586" s="1"/>
      <c r="D586" s="1"/>
      <c r="E586" s="1"/>
      <c r="F586" s="1"/>
      <c r="G586" s="1"/>
      <c r="H586" s="1"/>
      <c r="I586" s="1"/>
      <c r="J586" s="1"/>
      <c r="K586" s="1"/>
      <c r="L586" s="1"/>
      <c r="M586" s="1"/>
      <c r="N586" s="1"/>
      <c r="O586" s="1"/>
    </row>
    <row r="587" spans="2:15" ht="12.75">
      <c r="B587" s="1"/>
      <c r="C587" s="1"/>
      <c r="D587" s="1"/>
      <c r="E587" s="1"/>
      <c r="F587" s="1"/>
      <c r="G587" s="1"/>
      <c r="H587" s="1"/>
      <c r="I587" s="1"/>
      <c r="J587" s="1"/>
      <c r="K587" s="1"/>
      <c r="L587" s="1"/>
      <c r="M587" s="1"/>
      <c r="N587" s="1"/>
      <c r="O587" s="1"/>
    </row>
    <row r="588" spans="2:15" ht="12.75">
      <c r="B588" s="1"/>
      <c r="C588" s="1"/>
      <c r="D588" s="1"/>
      <c r="E588" s="1"/>
      <c r="F588" s="1"/>
      <c r="G588" s="1"/>
      <c r="H588" s="1"/>
      <c r="I588" s="1"/>
      <c r="J588" s="1"/>
      <c r="K588" s="1"/>
      <c r="L588" s="1"/>
      <c r="M588" s="1"/>
      <c r="N588" s="1"/>
      <c r="O588" s="1"/>
    </row>
    <row r="589" spans="2:15" ht="12.75">
      <c r="B589" s="1"/>
      <c r="C589" s="1"/>
      <c r="D589" s="1"/>
      <c r="E589" s="1"/>
      <c r="F589" s="1"/>
      <c r="G589" s="1"/>
      <c r="H589" s="1"/>
      <c r="I589" s="1"/>
      <c r="J589" s="1"/>
      <c r="K589" s="1"/>
      <c r="L589" s="1"/>
      <c r="M589" s="1"/>
      <c r="N589" s="1"/>
      <c r="O589" s="1"/>
    </row>
    <row r="590" spans="2:15" ht="12.75">
      <c r="B590" s="1"/>
      <c r="C590" s="1"/>
      <c r="D590" s="1"/>
      <c r="E590" s="1"/>
      <c r="F590" s="1"/>
      <c r="G590" s="1"/>
      <c r="H590" s="1"/>
      <c r="I590" s="1"/>
      <c r="J590" s="1"/>
      <c r="K590" s="1"/>
      <c r="L590" s="1"/>
      <c r="M590" s="1"/>
      <c r="N590" s="1"/>
      <c r="O590" s="1"/>
    </row>
    <row r="591" spans="2:15" ht="12.75">
      <c r="B591" s="1"/>
      <c r="C591" s="1"/>
      <c r="D591" s="1"/>
      <c r="E591" s="1"/>
      <c r="F591" s="1"/>
      <c r="G591" s="1"/>
      <c r="H591" s="1"/>
      <c r="I591" s="1"/>
      <c r="J591" s="1"/>
      <c r="K591" s="1"/>
      <c r="L591" s="1"/>
      <c r="M591" s="1"/>
      <c r="N591" s="1"/>
      <c r="O591" s="1"/>
    </row>
    <row r="592" spans="2:15" ht="12.75">
      <c r="B592" s="1"/>
      <c r="C592" s="1"/>
      <c r="D592" s="1"/>
      <c r="E592" s="1"/>
      <c r="F592" s="1"/>
      <c r="G592" s="1"/>
      <c r="H592" s="1"/>
      <c r="I592" s="1"/>
      <c r="J592" s="1"/>
      <c r="K592" s="1"/>
      <c r="L592" s="1"/>
      <c r="M592" s="1"/>
      <c r="N592" s="1"/>
      <c r="O592" s="1"/>
    </row>
    <row r="593" spans="2:15" ht="12.75">
      <c r="B593" s="1"/>
      <c r="C593" s="1"/>
      <c r="D593" s="1"/>
      <c r="E593" s="1"/>
      <c r="F593" s="1"/>
      <c r="G593" s="1"/>
      <c r="H593" s="1"/>
      <c r="I593" s="1"/>
      <c r="J593" s="1"/>
      <c r="K593" s="1"/>
      <c r="L593" s="1"/>
      <c r="M593" s="1"/>
      <c r="N593" s="1"/>
      <c r="O593" s="1"/>
    </row>
    <row r="594" spans="2:15" ht="12.75">
      <c r="B594" s="1"/>
      <c r="C594" s="1"/>
      <c r="D594" s="1"/>
      <c r="E594" s="1"/>
      <c r="F594" s="1"/>
      <c r="G594" s="1"/>
      <c r="H594" s="1"/>
      <c r="I594" s="1"/>
      <c r="J594" s="1"/>
      <c r="K594" s="1"/>
      <c r="L594" s="1"/>
      <c r="M594" s="1"/>
      <c r="N594" s="1"/>
      <c r="O594" s="1"/>
    </row>
    <row r="595" spans="2:15" ht="12.75">
      <c r="B595" s="1"/>
      <c r="C595" s="1"/>
      <c r="D595" s="1"/>
      <c r="E595" s="1"/>
      <c r="F595" s="1"/>
      <c r="G595" s="1"/>
      <c r="H595" s="1"/>
      <c r="I595" s="1"/>
      <c r="J595" s="1"/>
      <c r="K595" s="1"/>
      <c r="L595" s="1"/>
      <c r="M595" s="1"/>
      <c r="N595" s="1"/>
      <c r="O595" s="1"/>
    </row>
    <row r="596" spans="2:15" ht="12.75">
      <c r="B596" s="1"/>
      <c r="C596" s="1"/>
      <c r="D596" s="1"/>
      <c r="E596" s="1"/>
      <c r="F596" s="1"/>
      <c r="G596" s="1"/>
      <c r="H596" s="1"/>
      <c r="I596" s="1"/>
      <c r="J596" s="1"/>
      <c r="K596" s="1"/>
      <c r="L596" s="1"/>
      <c r="M596" s="1"/>
      <c r="N596" s="1"/>
      <c r="O596" s="1"/>
    </row>
    <row r="597" spans="2:15" ht="12.75">
      <c r="B597" s="1"/>
      <c r="C597" s="1"/>
      <c r="D597" s="1"/>
      <c r="E597" s="1"/>
      <c r="F597" s="1"/>
      <c r="G597" s="1"/>
      <c r="H597" s="1"/>
      <c r="I597" s="1"/>
      <c r="J597" s="1"/>
      <c r="K597" s="1"/>
      <c r="L597" s="1"/>
      <c r="M597" s="1"/>
      <c r="N597" s="1"/>
      <c r="O597" s="1"/>
    </row>
    <row r="598" spans="2:15" ht="12.75">
      <c r="B598" s="1"/>
      <c r="C598" s="1"/>
      <c r="D598" s="1"/>
      <c r="E598" s="1"/>
      <c r="F598" s="1"/>
      <c r="G598" s="1"/>
      <c r="H598" s="1"/>
      <c r="I598" s="1"/>
      <c r="J598" s="1"/>
      <c r="K598" s="1"/>
      <c r="L598" s="1"/>
      <c r="M598" s="1"/>
      <c r="N598" s="1"/>
      <c r="O598" s="1"/>
    </row>
    <row r="599" spans="2:15" ht="12.75">
      <c r="B599" s="1"/>
      <c r="C599" s="1"/>
      <c r="D599" s="1"/>
      <c r="E599" s="1"/>
      <c r="F599" s="1"/>
      <c r="G599" s="1"/>
      <c r="H599" s="1"/>
      <c r="I599" s="1"/>
      <c r="J599" s="1"/>
      <c r="K599" s="1"/>
      <c r="L599" s="1"/>
      <c r="M599" s="1"/>
      <c r="N599" s="1"/>
      <c r="O599" s="1"/>
    </row>
    <row r="600" spans="2:15" ht="12.75">
      <c r="B600" s="1"/>
      <c r="C600" s="1"/>
      <c r="D600" s="1"/>
      <c r="E600" s="1"/>
      <c r="F600" s="1"/>
      <c r="G600" s="1"/>
      <c r="H600" s="1"/>
      <c r="I600" s="1"/>
      <c r="J600" s="1"/>
      <c r="K600" s="1"/>
      <c r="L600" s="1"/>
      <c r="M600" s="1"/>
      <c r="N600" s="1"/>
      <c r="O600" s="1"/>
    </row>
    <row r="601" spans="2:15" ht="12.75">
      <c r="B601" s="1"/>
      <c r="C601" s="1"/>
      <c r="D601" s="1"/>
      <c r="E601" s="1"/>
      <c r="F601" s="1"/>
      <c r="G601" s="1"/>
      <c r="H601" s="1"/>
      <c r="I601" s="1"/>
      <c r="J601" s="1"/>
      <c r="K601" s="1"/>
      <c r="L601" s="1"/>
      <c r="M601" s="1"/>
      <c r="N601" s="1"/>
      <c r="O601" s="1"/>
    </row>
    <row r="602" spans="2:15" ht="12.75">
      <c r="B602" s="1"/>
      <c r="C602" s="1"/>
      <c r="D602" s="1"/>
      <c r="E602" s="1"/>
      <c r="F602" s="1"/>
      <c r="G602" s="1"/>
      <c r="H602" s="1"/>
      <c r="I602" s="1"/>
      <c r="J602" s="1"/>
      <c r="K602" s="1"/>
      <c r="L602" s="1"/>
      <c r="M602" s="1"/>
      <c r="N602" s="1"/>
      <c r="O602" s="1"/>
    </row>
    <row r="603" spans="2:15" ht="12.75">
      <c r="B603" s="1"/>
      <c r="C603" s="1"/>
      <c r="D603" s="1"/>
      <c r="E603" s="1"/>
      <c r="F603" s="1"/>
      <c r="G603" s="1"/>
      <c r="H603" s="1"/>
      <c r="I603" s="1"/>
      <c r="J603" s="1"/>
      <c r="K603" s="1"/>
      <c r="L603" s="1"/>
      <c r="M603" s="1"/>
      <c r="N603" s="1"/>
      <c r="O603" s="1"/>
    </row>
    <row r="604" spans="2:15" ht="12.75">
      <c r="B604" s="1"/>
      <c r="C604" s="1"/>
      <c r="D604" s="1"/>
      <c r="E604" s="1"/>
      <c r="F604" s="1"/>
      <c r="G604" s="1"/>
      <c r="H604" s="1"/>
      <c r="I604" s="1"/>
      <c r="J604" s="1"/>
      <c r="K604" s="1"/>
      <c r="L604" s="1"/>
      <c r="M604" s="1"/>
      <c r="N604" s="1"/>
      <c r="O604" s="1"/>
    </row>
    <row r="605" spans="2:15" ht="12.75">
      <c r="B605" s="1"/>
      <c r="C605" s="1"/>
      <c r="D605" s="1"/>
      <c r="E605" s="1"/>
      <c r="F605" s="1"/>
      <c r="G605" s="1"/>
      <c r="H605" s="1"/>
      <c r="I605" s="1"/>
      <c r="J605" s="1"/>
      <c r="K605" s="1"/>
      <c r="L605" s="1"/>
      <c r="M605" s="1"/>
      <c r="N605" s="1"/>
      <c r="O605" s="1"/>
    </row>
    <row r="606" spans="2:15" ht="12.75">
      <c r="B606" s="1"/>
      <c r="C606" s="1"/>
      <c r="D606" s="1"/>
      <c r="E606" s="1"/>
      <c r="F606" s="1"/>
      <c r="G606" s="1"/>
      <c r="H606" s="1"/>
      <c r="I606" s="1"/>
      <c r="J606" s="1"/>
      <c r="K606" s="1"/>
      <c r="L606" s="1"/>
      <c r="M606" s="1"/>
      <c r="N606" s="1"/>
      <c r="O606" s="1"/>
    </row>
    <row r="607" spans="2:15" ht="12.75">
      <c r="B607" s="1"/>
      <c r="C607" s="1"/>
      <c r="D607" s="1"/>
      <c r="E607" s="1"/>
      <c r="F607" s="1"/>
      <c r="G607" s="1"/>
      <c r="H607" s="1"/>
      <c r="I607" s="1"/>
      <c r="J607" s="1"/>
      <c r="K607" s="1"/>
      <c r="L607" s="1"/>
      <c r="M607" s="1"/>
      <c r="N607" s="1"/>
      <c r="O607" s="1"/>
    </row>
    <row r="608" spans="2:15" ht="12.75">
      <c r="B608" s="1"/>
      <c r="C608" s="1"/>
      <c r="D608" s="1"/>
      <c r="E608" s="1"/>
      <c r="F608" s="1"/>
      <c r="G608" s="1"/>
      <c r="H608" s="1"/>
      <c r="I608" s="1"/>
      <c r="J608" s="1"/>
      <c r="K608" s="1"/>
      <c r="L608" s="1"/>
      <c r="M608" s="1"/>
      <c r="N608" s="1"/>
      <c r="O608" s="1"/>
    </row>
    <row r="609" spans="2:15" ht="12.75">
      <c r="B609" s="1"/>
      <c r="C609" s="1"/>
      <c r="D609" s="1"/>
      <c r="E609" s="1"/>
      <c r="F609" s="1"/>
      <c r="G609" s="1"/>
      <c r="H609" s="1"/>
      <c r="I609" s="1"/>
      <c r="J609" s="1"/>
      <c r="K609" s="1"/>
      <c r="L609" s="1"/>
      <c r="M609" s="1"/>
      <c r="N609" s="1"/>
      <c r="O609" s="1"/>
    </row>
    <row r="610" spans="2:15" ht="12.75">
      <c r="B610" s="1"/>
      <c r="C610" s="1"/>
      <c r="D610" s="1"/>
      <c r="E610" s="1"/>
      <c r="F610" s="1"/>
      <c r="G610" s="1"/>
      <c r="H610" s="1"/>
      <c r="I610" s="1"/>
      <c r="J610" s="1"/>
      <c r="K610" s="1"/>
      <c r="L610" s="1"/>
      <c r="M610" s="1"/>
      <c r="N610" s="1"/>
      <c r="O610" s="1"/>
    </row>
    <row r="611" spans="2:15" ht="12.75">
      <c r="B611" s="1"/>
      <c r="C611" s="1"/>
      <c r="D611" s="1"/>
      <c r="E611" s="1"/>
      <c r="F611" s="1"/>
      <c r="G611" s="1"/>
      <c r="H611" s="1"/>
      <c r="I611" s="1"/>
      <c r="J611" s="1"/>
      <c r="K611" s="1"/>
      <c r="L611" s="1"/>
      <c r="M611" s="1"/>
      <c r="N611" s="1"/>
      <c r="O611" s="1"/>
    </row>
    <row r="612" spans="2:15" ht="12.75">
      <c r="B612" s="1"/>
      <c r="C612" s="1"/>
      <c r="D612" s="1"/>
      <c r="E612" s="1"/>
      <c r="F612" s="1"/>
      <c r="G612" s="1"/>
      <c r="H612" s="1"/>
      <c r="I612" s="1"/>
      <c r="J612" s="1"/>
      <c r="K612" s="1"/>
      <c r="L612" s="1"/>
      <c r="M612" s="1"/>
      <c r="N612" s="1"/>
      <c r="O612" s="1"/>
    </row>
    <row r="613" spans="2:15" ht="12.75">
      <c r="B613" s="1"/>
      <c r="C613" s="1"/>
      <c r="D613" s="1"/>
      <c r="E613" s="1"/>
      <c r="F613" s="1"/>
      <c r="G613" s="1"/>
      <c r="H613" s="1"/>
      <c r="I613" s="1"/>
      <c r="J613" s="1"/>
      <c r="K613" s="1"/>
      <c r="L613" s="1"/>
      <c r="M613" s="1"/>
      <c r="N613" s="1"/>
      <c r="O613" s="1"/>
    </row>
    <row r="614" spans="2:15" ht="12.75">
      <c r="B614" s="1"/>
      <c r="C614" s="1"/>
      <c r="D614" s="1"/>
      <c r="E614" s="1"/>
      <c r="F614" s="1"/>
      <c r="G614" s="1"/>
      <c r="H614" s="1"/>
      <c r="I614" s="1"/>
      <c r="J614" s="1"/>
      <c r="K614" s="1"/>
      <c r="L614" s="1"/>
      <c r="M614" s="1"/>
      <c r="N614" s="1"/>
      <c r="O614" s="1"/>
    </row>
    <row r="615" spans="2:15" ht="12.75">
      <c r="B615" s="1"/>
      <c r="C615" s="1"/>
      <c r="D615" s="1"/>
      <c r="E615" s="1"/>
      <c r="F615" s="1"/>
      <c r="G615" s="1"/>
      <c r="H615" s="1"/>
      <c r="I615" s="1"/>
      <c r="J615" s="1"/>
      <c r="K615" s="1"/>
      <c r="L615" s="1"/>
      <c r="M615" s="1"/>
      <c r="N615" s="1"/>
      <c r="O615" s="1"/>
    </row>
    <row r="616" spans="2:15" ht="12.75">
      <c r="B616" s="1"/>
      <c r="C616" s="1"/>
      <c r="D616" s="1"/>
      <c r="E616" s="1"/>
      <c r="F616" s="1"/>
      <c r="G616" s="1"/>
      <c r="H616" s="1"/>
      <c r="I616" s="1"/>
      <c r="J616" s="1"/>
      <c r="K616" s="1"/>
      <c r="L616" s="1"/>
      <c r="M616" s="1"/>
      <c r="N616" s="1"/>
      <c r="O616" s="1"/>
    </row>
    <row r="617" spans="2:15" ht="12.75">
      <c r="B617" s="1"/>
      <c r="C617" s="1"/>
      <c r="D617" s="1"/>
      <c r="E617" s="1"/>
      <c r="F617" s="1"/>
      <c r="G617" s="1"/>
      <c r="H617" s="1"/>
      <c r="I617" s="1"/>
      <c r="J617" s="1"/>
      <c r="K617" s="1"/>
      <c r="L617" s="1"/>
      <c r="M617" s="1"/>
      <c r="N617" s="1"/>
      <c r="O617" s="1"/>
    </row>
    <row r="618" spans="2:15" ht="12.75">
      <c r="B618" s="1"/>
      <c r="C618" s="1"/>
      <c r="D618" s="1"/>
      <c r="E618" s="1"/>
      <c r="F618" s="1"/>
      <c r="G618" s="1"/>
      <c r="H618" s="1"/>
      <c r="I618" s="1"/>
      <c r="J618" s="1"/>
      <c r="K618" s="1"/>
      <c r="L618" s="1"/>
      <c r="M618" s="1"/>
      <c r="N618" s="1"/>
      <c r="O618" s="1"/>
    </row>
    <row r="619" spans="2:15" ht="12.75">
      <c r="B619" s="1"/>
      <c r="C619" s="1"/>
      <c r="D619" s="1"/>
      <c r="E619" s="1"/>
      <c r="F619" s="1"/>
      <c r="G619" s="1"/>
      <c r="H619" s="1"/>
      <c r="I619" s="1"/>
      <c r="J619" s="1"/>
      <c r="K619" s="1"/>
      <c r="L619" s="1"/>
      <c r="M619" s="1"/>
      <c r="N619" s="1"/>
      <c r="O619" s="1"/>
    </row>
    <row r="620" spans="2:15" ht="12.75">
      <c r="B620" s="1"/>
      <c r="C620" s="1"/>
      <c r="D620" s="1"/>
      <c r="E620" s="1"/>
      <c r="F620" s="1"/>
      <c r="G620" s="1"/>
      <c r="H620" s="1"/>
      <c r="I620" s="1"/>
      <c r="J620" s="1"/>
      <c r="K620" s="1"/>
      <c r="L620" s="1"/>
      <c r="M620" s="1"/>
      <c r="N620" s="1"/>
      <c r="O620" s="1"/>
    </row>
    <row r="621" spans="2:15" ht="12.75">
      <c r="B621" s="1"/>
      <c r="C621" s="1"/>
      <c r="D621" s="1"/>
      <c r="E621" s="1"/>
      <c r="F621" s="1"/>
      <c r="G621" s="1"/>
      <c r="H621" s="1"/>
      <c r="I621" s="1"/>
      <c r="J621" s="1"/>
      <c r="K621" s="1"/>
      <c r="L621" s="1"/>
      <c r="M621" s="1"/>
      <c r="N621" s="1"/>
      <c r="O621" s="1"/>
    </row>
    <row r="622" spans="2:15" ht="12.75">
      <c r="B622" s="1"/>
      <c r="C622" s="1"/>
      <c r="D622" s="1"/>
      <c r="E622" s="1"/>
      <c r="F622" s="1"/>
      <c r="G622" s="1"/>
      <c r="H622" s="1"/>
      <c r="I622" s="1"/>
      <c r="J622" s="1"/>
      <c r="K622" s="1"/>
      <c r="L622" s="1"/>
      <c r="M622" s="1"/>
      <c r="N622" s="1"/>
      <c r="O622" s="1"/>
    </row>
    <row r="623" spans="2:15" ht="12.75">
      <c r="B623" s="1"/>
      <c r="C623" s="1"/>
      <c r="D623" s="1"/>
      <c r="E623" s="1"/>
      <c r="F623" s="1"/>
      <c r="G623" s="1"/>
      <c r="H623" s="1"/>
      <c r="I623" s="1"/>
      <c r="J623" s="1"/>
      <c r="K623" s="1"/>
      <c r="L623" s="1"/>
      <c r="M623" s="1"/>
      <c r="N623" s="1"/>
      <c r="O623" s="1"/>
    </row>
    <row r="624" spans="2:15" ht="12.75">
      <c r="B624" s="1"/>
      <c r="C624" s="1"/>
      <c r="D624" s="1"/>
      <c r="E624" s="1"/>
      <c r="F624" s="1"/>
      <c r="G624" s="1"/>
      <c r="H624" s="1"/>
      <c r="I624" s="1"/>
      <c r="J624" s="1"/>
      <c r="K624" s="1"/>
      <c r="L624" s="1"/>
      <c r="M624" s="1"/>
      <c r="N624" s="1"/>
      <c r="O624" s="1"/>
    </row>
    <row r="625" spans="2:15" ht="12.75">
      <c r="B625" s="1"/>
      <c r="C625" s="1"/>
      <c r="D625" s="1"/>
      <c r="E625" s="1"/>
      <c r="F625" s="1"/>
      <c r="G625" s="1"/>
      <c r="H625" s="1"/>
      <c r="I625" s="1"/>
      <c r="J625" s="1"/>
      <c r="K625" s="1"/>
      <c r="L625" s="1"/>
      <c r="M625" s="1"/>
      <c r="N625" s="1"/>
      <c r="O625" s="1"/>
    </row>
    <row r="626" spans="2:15" ht="12.75">
      <c r="B626" s="1"/>
      <c r="C626" s="1"/>
      <c r="D626" s="1"/>
      <c r="E626" s="1"/>
      <c r="F626" s="1"/>
      <c r="G626" s="1"/>
      <c r="H626" s="1"/>
      <c r="I626" s="1"/>
      <c r="J626" s="1"/>
      <c r="K626" s="1"/>
      <c r="L626" s="1"/>
      <c r="M626" s="1"/>
      <c r="N626" s="1"/>
      <c r="O626" s="1"/>
    </row>
    <row r="627" spans="2:15" ht="12.75">
      <c r="B627" s="1"/>
      <c r="C627" s="1"/>
      <c r="D627" s="1"/>
      <c r="E627" s="1"/>
      <c r="F627" s="1"/>
      <c r="G627" s="1"/>
      <c r="H627" s="1"/>
      <c r="I627" s="1"/>
      <c r="J627" s="1"/>
      <c r="K627" s="1"/>
      <c r="L627" s="1"/>
      <c r="M627" s="1"/>
      <c r="N627" s="1"/>
      <c r="O627" s="1"/>
    </row>
    <row r="628" spans="2:15" ht="12.75">
      <c r="B628" s="1"/>
      <c r="C628" s="1"/>
      <c r="D628" s="1"/>
      <c r="E628" s="1"/>
      <c r="F628" s="1"/>
      <c r="G628" s="1"/>
      <c r="H628" s="1"/>
      <c r="I628" s="1"/>
      <c r="J628" s="1"/>
      <c r="K628" s="1"/>
      <c r="L628" s="1"/>
      <c r="M628" s="1"/>
      <c r="N628" s="1"/>
      <c r="O628" s="1"/>
    </row>
    <row r="629" spans="2:15" ht="12.75">
      <c r="B629" s="1"/>
      <c r="C629" s="1"/>
      <c r="D629" s="1"/>
      <c r="E629" s="1"/>
      <c r="F629" s="1"/>
      <c r="G629" s="1"/>
      <c r="H629" s="1"/>
      <c r="I629" s="1"/>
      <c r="J629" s="1"/>
      <c r="K629" s="1"/>
      <c r="L629" s="1"/>
      <c r="M629" s="1"/>
      <c r="N629" s="1"/>
      <c r="O629" s="1"/>
    </row>
    <row r="630" spans="2:15" ht="12.75">
      <c r="B630" s="1"/>
      <c r="C630" s="1"/>
      <c r="D630" s="1"/>
      <c r="E630" s="1"/>
      <c r="F630" s="1"/>
      <c r="G630" s="1"/>
      <c r="H630" s="1"/>
      <c r="I630" s="1"/>
      <c r="J630" s="1"/>
      <c r="K630" s="1"/>
      <c r="L630" s="1"/>
      <c r="M630" s="1"/>
      <c r="N630" s="1"/>
      <c r="O630" s="1"/>
    </row>
    <row r="631" spans="2:15" ht="12.75">
      <c r="B631" s="1"/>
      <c r="C631" s="1"/>
      <c r="D631" s="1"/>
      <c r="E631" s="1"/>
      <c r="F631" s="1"/>
      <c r="G631" s="1"/>
      <c r="H631" s="1"/>
      <c r="I631" s="1"/>
      <c r="J631" s="1"/>
      <c r="K631" s="1"/>
      <c r="L631" s="1"/>
      <c r="M631" s="1"/>
      <c r="N631" s="1"/>
      <c r="O631" s="1"/>
    </row>
    <row r="632" spans="2:15" ht="12.75">
      <c r="B632" s="1"/>
      <c r="C632" s="1"/>
      <c r="D632" s="1"/>
      <c r="E632" s="1"/>
      <c r="F632" s="1"/>
      <c r="G632" s="1"/>
      <c r="H632" s="1"/>
      <c r="I632" s="1"/>
      <c r="J632" s="1"/>
      <c r="K632" s="1"/>
      <c r="L632" s="1"/>
      <c r="M632" s="1"/>
      <c r="N632" s="1"/>
      <c r="O632" s="1"/>
    </row>
    <row r="633" spans="2:15" ht="12.75">
      <c r="B633" s="1"/>
      <c r="C633" s="1"/>
      <c r="D633" s="1"/>
      <c r="E633" s="1"/>
      <c r="F633" s="1"/>
      <c r="G633" s="1"/>
      <c r="H633" s="1"/>
      <c r="I633" s="1"/>
      <c r="J633" s="1"/>
      <c r="K633" s="1"/>
      <c r="L633" s="1"/>
      <c r="M633" s="1"/>
      <c r="N633" s="1"/>
      <c r="O633" s="1"/>
    </row>
    <row r="634" spans="2:15" ht="12.75">
      <c r="B634" s="1"/>
      <c r="C634" s="1"/>
      <c r="D634" s="1"/>
      <c r="E634" s="1"/>
      <c r="F634" s="1"/>
      <c r="G634" s="1"/>
      <c r="H634" s="1"/>
      <c r="I634" s="1"/>
      <c r="J634" s="1"/>
      <c r="K634" s="1"/>
      <c r="L634" s="1"/>
      <c r="M634" s="1"/>
      <c r="N634" s="1"/>
      <c r="O634" s="1"/>
    </row>
    <row r="635" spans="2:15" ht="12.75">
      <c r="B635" s="1"/>
      <c r="C635" s="1"/>
      <c r="D635" s="1"/>
      <c r="E635" s="1"/>
      <c r="F635" s="1"/>
      <c r="G635" s="1"/>
      <c r="H635" s="1"/>
      <c r="I635" s="1"/>
      <c r="J635" s="1"/>
      <c r="K635" s="1"/>
      <c r="L635" s="1"/>
      <c r="M635" s="1"/>
      <c r="N635" s="1"/>
      <c r="O635" s="1"/>
    </row>
    <row r="636" spans="2:15" ht="12.75">
      <c r="B636" s="1"/>
      <c r="C636" s="1"/>
      <c r="D636" s="1"/>
      <c r="E636" s="1"/>
      <c r="F636" s="1"/>
      <c r="G636" s="1"/>
      <c r="H636" s="1"/>
      <c r="I636" s="1"/>
      <c r="J636" s="1"/>
      <c r="K636" s="1"/>
      <c r="L636" s="1"/>
      <c r="M636" s="1"/>
      <c r="N636" s="1"/>
      <c r="O636" s="1"/>
    </row>
    <row r="637" spans="2:15" ht="12.75">
      <c r="B637" s="1"/>
      <c r="C637" s="1"/>
      <c r="D637" s="1"/>
      <c r="E637" s="1"/>
      <c r="F637" s="1"/>
      <c r="G637" s="1"/>
      <c r="H637" s="1"/>
      <c r="I637" s="1"/>
      <c r="J637" s="1"/>
      <c r="K637" s="1"/>
      <c r="L637" s="1"/>
      <c r="M637" s="1"/>
      <c r="N637" s="1"/>
      <c r="O637" s="1"/>
    </row>
    <row r="638" spans="2:15" ht="12.75">
      <c r="B638" s="1"/>
      <c r="C638" s="1"/>
      <c r="D638" s="1"/>
      <c r="E638" s="1"/>
      <c r="F638" s="1"/>
      <c r="G638" s="1"/>
      <c r="H638" s="1"/>
      <c r="I638" s="1"/>
      <c r="J638" s="1"/>
      <c r="K638" s="1"/>
      <c r="L638" s="1"/>
      <c r="M638" s="1"/>
      <c r="N638" s="1"/>
      <c r="O638" s="1"/>
    </row>
    <row r="639" spans="2:15" ht="12.75">
      <c r="B639" s="1"/>
      <c r="C639" s="1"/>
      <c r="D639" s="1"/>
      <c r="E639" s="1"/>
      <c r="F639" s="1"/>
      <c r="G639" s="1"/>
      <c r="H639" s="1"/>
      <c r="I639" s="1"/>
      <c r="J639" s="1"/>
      <c r="K639" s="1"/>
      <c r="L639" s="1"/>
      <c r="M639" s="1"/>
      <c r="N639" s="1"/>
      <c r="O639" s="1"/>
    </row>
    <row r="640" spans="2:15" ht="12.75">
      <c r="B640" s="1"/>
      <c r="C640" s="1"/>
      <c r="D640" s="1"/>
      <c r="E640" s="1"/>
      <c r="F640" s="1"/>
      <c r="G640" s="1"/>
      <c r="H640" s="1"/>
      <c r="I640" s="1"/>
      <c r="J640" s="1"/>
      <c r="K640" s="1"/>
      <c r="L640" s="1"/>
      <c r="M640" s="1"/>
      <c r="N640" s="1"/>
      <c r="O640" s="1"/>
    </row>
    <row r="641" spans="2:15" ht="12.75">
      <c r="B641" s="1"/>
      <c r="C641" s="1"/>
      <c r="D641" s="1"/>
      <c r="E641" s="1"/>
      <c r="F641" s="1"/>
      <c r="G641" s="1"/>
      <c r="H641" s="1"/>
      <c r="I641" s="1"/>
      <c r="J641" s="1"/>
      <c r="K641" s="1"/>
      <c r="L641" s="1"/>
      <c r="M641" s="1"/>
      <c r="N641" s="1"/>
      <c r="O641" s="1"/>
    </row>
    <row r="642" spans="2:15" ht="12.75">
      <c r="B642" s="1"/>
      <c r="C642" s="1"/>
      <c r="D642" s="1"/>
      <c r="E642" s="1"/>
      <c r="F642" s="1"/>
      <c r="G642" s="1"/>
      <c r="H642" s="1"/>
      <c r="I642" s="1"/>
      <c r="J642" s="1"/>
      <c r="K642" s="1"/>
      <c r="L642" s="1"/>
      <c r="M642" s="1"/>
      <c r="N642" s="1"/>
      <c r="O642" s="1"/>
    </row>
    <row r="643" spans="2:15" ht="12.75">
      <c r="B643" s="1"/>
      <c r="C643" s="1"/>
      <c r="D643" s="1"/>
      <c r="E643" s="1"/>
      <c r="F643" s="1"/>
      <c r="G643" s="1"/>
      <c r="H643" s="1"/>
      <c r="I643" s="1"/>
      <c r="J643" s="1"/>
      <c r="K643" s="1"/>
      <c r="L643" s="1"/>
      <c r="M643" s="1"/>
      <c r="N643" s="1"/>
      <c r="O643" s="1"/>
    </row>
    <row r="644" spans="2:15" ht="12.75">
      <c r="B644" s="1"/>
      <c r="C644" s="1"/>
      <c r="D644" s="1"/>
      <c r="E644" s="1"/>
      <c r="F644" s="1"/>
      <c r="G644" s="1"/>
      <c r="H644" s="1"/>
      <c r="I644" s="1"/>
      <c r="J644" s="1"/>
      <c r="K644" s="1"/>
      <c r="L644" s="1"/>
      <c r="M644" s="1"/>
      <c r="N644" s="1"/>
      <c r="O644" s="1"/>
    </row>
    <row r="645" spans="2:15" ht="12.75">
      <c r="B645" s="1"/>
      <c r="C645" s="1"/>
      <c r="D645" s="1"/>
      <c r="E645" s="1"/>
      <c r="F645" s="1"/>
      <c r="G645" s="1"/>
      <c r="H645" s="1"/>
      <c r="I645" s="1"/>
      <c r="J645" s="1"/>
      <c r="K645" s="1"/>
      <c r="L645" s="1"/>
      <c r="M645" s="1"/>
      <c r="N645" s="1"/>
      <c r="O645" s="1"/>
    </row>
    <row r="646" spans="2:15" ht="12.75">
      <c r="B646" s="1"/>
      <c r="C646" s="1"/>
      <c r="D646" s="1"/>
      <c r="E646" s="1"/>
      <c r="F646" s="1"/>
      <c r="G646" s="1"/>
      <c r="H646" s="1"/>
      <c r="I646" s="1"/>
      <c r="J646" s="1"/>
      <c r="K646" s="1"/>
      <c r="L646" s="1"/>
      <c r="M646" s="1"/>
      <c r="N646" s="1"/>
      <c r="O646" s="1"/>
    </row>
    <row r="647" spans="2:15" ht="12.75">
      <c r="B647" s="1"/>
      <c r="C647" s="1"/>
      <c r="D647" s="1"/>
      <c r="E647" s="1"/>
      <c r="F647" s="1"/>
      <c r="G647" s="1"/>
      <c r="H647" s="1"/>
      <c r="I647" s="1"/>
      <c r="J647" s="1"/>
      <c r="K647" s="1"/>
      <c r="L647" s="1"/>
      <c r="M647" s="1"/>
      <c r="N647" s="1"/>
      <c r="O647" s="1"/>
    </row>
    <row r="648" spans="2:15" ht="12.75">
      <c r="B648" s="1"/>
      <c r="C648" s="1"/>
      <c r="D648" s="1"/>
      <c r="E648" s="1"/>
      <c r="F648" s="1"/>
      <c r="G648" s="1"/>
      <c r="H648" s="1"/>
      <c r="I648" s="1"/>
      <c r="J648" s="1"/>
      <c r="K648" s="1"/>
      <c r="L648" s="1"/>
      <c r="M648" s="1"/>
      <c r="N648" s="1"/>
      <c r="O648" s="1"/>
    </row>
    <row r="649" spans="2:15" ht="12.75">
      <c r="B649" s="1"/>
      <c r="C649" s="1"/>
      <c r="D649" s="1"/>
      <c r="E649" s="1"/>
      <c r="F649" s="1"/>
      <c r="G649" s="1"/>
      <c r="H649" s="1"/>
      <c r="I649" s="1"/>
      <c r="J649" s="1"/>
      <c r="K649" s="1"/>
      <c r="L649" s="1"/>
      <c r="M649" s="1"/>
      <c r="N649" s="1"/>
      <c r="O649" s="1"/>
    </row>
    <row r="650" spans="2:15" ht="12.75">
      <c r="B650" s="1"/>
      <c r="C650" s="1"/>
      <c r="D650" s="1"/>
      <c r="E650" s="1"/>
      <c r="F650" s="1"/>
      <c r="G650" s="1"/>
      <c r="H650" s="1"/>
      <c r="I650" s="1"/>
      <c r="J650" s="1"/>
      <c r="K650" s="1"/>
      <c r="L650" s="1"/>
      <c r="M650" s="1"/>
      <c r="N650" s="1"/>
      <c r="O650" s="1"/>
    </row>
    <row r="651" spans="2:15" ht="12.75">
      <c r="B651" s="1"/>
      <c r="C651" s="1"/>
      <c r="D651" s="1"/>
      <c r="E651" s="1"/>
      <c r="F651" s="1"/>
      <c r="G651" s="1"/>
      <c r="H651" s="1"/>
      <c r="I651" s="1"/>
      <c r="J651" s="1"/>
      <c r="K651" s="1"/>
      <c r="L651" s="1"/>
      <c r="M651" s="1"/>
      <c r="N651" s="1"/>
      <c r="O651" s="1"/>
    </row>
    <row r="652" spans="2:15" ht="12.75">
      <c r="B652" s="1"/>
      <c r="C652" s="1"/>
      <c r="D652" s="1"/>
      <c r="E652" s="1"/>
      <c r="F652" s="1"/>
      <c r="G652" s="1"/>
      <c r="H652" s="1"/>
      <c r="I652" s="1"/>
      <c r="J652" s="1"/>
      <c r="K652" s="1"/>
      <c r="L652" s="1"/>
      <c r="M652" s="1"/>
      <c r="N652" s="1"/>
      <c r="O652" s="1"/>
    </row>
    <row r="653" spans="2:15" ht="12.75">
      <c r="B653" s="1"/>
      <c r="C653" s="1"/>
      <c r="D653" s="1"/>
      <c r="E653" s="1"/>
      <c r="F653" s="1"/>
      <c r="G653" s="1"/>
      <c r="H653" s="1"/>
      <c r="I653" s="1"/>
      <c r="J653" s="1"/>
      <c r="K653" s="1"/>
      <c r="L653" s="1"/>
      <c r="M653" s="1"/>
      <c r="N653" s="1"/>
      <c r="O653" s="1"/>
    </row>
    <row r="654" spans="2:15" ht="12.75">
      <c r="B654" s="1"/>
      <c r="C654" s="1"/>
      <c r="D654" s="1"/>
      <c r="E654" s="1"/>
      <c r="F654" s="1"/>
      <c r="G654" s="1"/>
      <c r="H654" s="1"/>
      <c r="I654" s="1"/>
      <c r="J654" s="1"/>
      <c r="K654" s="1"/>
      <c r="L654" s="1"/>
      <c r="M654" s="1"/>
      <c r="N654" s="1"/>
      <c r="O654" s="1"/>
    </row>
    <row r="655" spans="2:15" ht="12.75">
      <c r="B655" s="1"/>
      <c r="C655" s="1"/>
      <c r="D655" s="1"/>
      <c r="E655" s="1"/>
      <c r="F655" s="1"/>
      <c r="G655" s="1"/>
      <c r="H655" s="1"/>
      <c r="I655" s="1"/>
      <c r="J655" s="1"/>
      <c r="K655" s="1"/>
      <c r="L655" s="1"/>
      <c r="M655" s="1"/>
      <c r="N655" s="1"/>
      <c r="O655" s="1"/>
    </row>
  </sheetData>
  <mergeCells count="1">
    <mergeCell ref="B1:O1"/>
  </mergeCells>
  <printOptions/>
  <pageMargins left="0.75" right="0.75" top="1" bottom="1" header="0.5" footer="0.5"/>
  <pageSetup fitToHeight="1" fitToWidth="1" horizontalDpi="300" verticalDpi="300" orientation="portrait" scale="70" r:id="rId1"/>
  <headerFooter alignWithMargins="0">
    <oddFooter>&amp;LSlice Cost Shift Study&amp;R'02 Rate Case</oddFooter>
  </headerFooter>
</worksheet>
</file>

<file path=xl/worksheets/sheet12.xml><?xml version="1.0" encoding="utf-8"?>
<worksheet xmlns="http://schemas.openxmlformats.org/spreadsheetml/2006/main" xmlns:r="http://schemas.openxmlformats.org/officeDocument/2006/relationships">
  <sheetPr codeName="Sheet3">
    <pageSetUpPr fitToPage="1"/>
  </sheetPr>
  <dimension ref="A1:O6"/>
  <sheetViews>
    <sheetView zoomScale="75" zoomScaleNormal="75" workbookViewId="0" topLeftCell="A1">
      <selection activeCell="B6" sqref="B6"/>
    </sheetView>
  </sheetViews>
  <sheetFormatPr defaultColWidth="9.33203125" defaultRowHeight="12.75"/>
  <cols>
    <col min="1" max="1" width="36.33203125" style="0" customWidth="1"/>
    <col min="2" max="2" width="10" style="0" bestFit="1" customWidth="1"/>
  </cols>
  <sheetData>
    <row r="1" spans="1:14" ht="12.75">
      <c r="A1" s="229" t="s">
        <v>158</v>
      </c>
      <c r="B1" s="229"/>
      <c r="C1" s="229"/>
      <c r="D1" s="229"/>
      <c r="E1" s="229"/>
      <c r="F1" s="229"/>
      <c r="G1" s="229"/>
      <c r="H1" s="229"/>
      <c r="I1" s="229"/>
      <c r="J1" s="229"/>
      <c r="K1" s="229"/>
      <c r="L1" s="229"/>
      <c r="M1" s="229"/>
      <c r="N1" s="229"/>
    </row>
    <row r="2" spans="1:15" s="2" customFormat="1" ht="12.75">
      <c r="A2" s="128"/>
      <c r="B2" s="145" t="s">
        <v>1</v>
      </c>
      <c r="C2" s="146" t="s">
        <v>2</v>
      </c>
      <c r="D2" s="146" t="s">
        <v>3</v>
      </c>
      <c r="E2" s="146" t="s">
        <v>4</v>
      </c>
      <c r="F2" s="146" t="s">
        <v>5</v>
      </c>
      <c r="G2" s="146" t="s">
        <v>6</v>
      </c>
      <c r="H2" s="146" t="s">
        <v>7</v>
      </c>
      <c r="I2" s="146" t="s">
        <v>8</v>
      </c>
      <c r="J2" s="146" t="s">
        <v>9</v>
      </c>
      <c r="K2" s="146" t="s">
        <v>10</v>
      </c>
      <c r="L2" s="146" t="s">
        <v>11</v>
      </c>
      <c r="M2" s="146" t="s">
        <v>12</v>
      </c>
      <c r="N2" s="146" t="s">
        <v>13</v>
      </c>
      <c r="O2" s="154" t="s">
        <v>14</v>
      </c>
    </row>
    <row r="3" spans="1:15" ht="12.75">
      <c r="A3" s="128" t="s">
        <v>16</v>
      </c>
      <c r="B3" s="131">
        <v>1000</v>
      </c>
      <c r="C3" s="131">
        <v>1000</v>
      </c>
      <c r="D3" s="131">
        <v>1000</v>
      </c>
      <c r="E3" s="131">
        <v>1000</v>
      </c>
      <c r="F3" s="131">
        <v>1000</v>
      </c>
      <c r="G3" s="131">
        <v>1000</v>
      </c>
      <c r="H3" s="131">
        <v>1000</v>
      </c>
      <c r="I3" s="131">
        <v>1000</v>
      </c>
      <c r="J3" s="131">
        <v>1000</v>
      </c>
      <c r="K3" s="131">
        <v>1000</v>
      </c>
      <c r="L3" s="131">
        <v>1000</v>
      </c>
      <c r="M3" s="131">
        <v>1000</v>
      </c>
      <c r="N3" s="131">
        <v>1000</v>
      </c>
      <c r="O3" s="131">
        <v>1000</v>
      </c>
    </row>
    <row r="4" spans="1:15" ht="12.75">
      <c r="A4" s="128" t="s">
        <v>198</v>
      </c>
      <c r="B4" s="131">
        <v>27</v>
      </c>
      <c r="C4" s="131">
        <v>27</v>
      </c>
      <c r="D4" s="131">
        <v>27</v>
      </c>
      <c r="E4" s="131">
        <v>28</v>
      </c>
      <c r="F4" s="131">
        <v>29</v>
      </c>
      <c r="G4" s="131">
        <v>31</v>
      </c>
      <c r="H4" s="131">
        <v>32</v>
      </c>
      <c r="I4" s="131">
        <v>31</v>
      </c>
      <c r="J4" s="131">
        <v>31</v>
      </c>
      <c r="K4" s="131">
        <v>30</v>
      </c>
      <c r="L4" s="131">
        <v>30</v>
      </c>
      <c r="M4" s="131">
        <v>27</v>
      </c>
      <c r="N4" s="131">
        <v>27</v>
      </c>
      <c r="O4" s="131">
        <v>27</v>
      </c>
    </row>
    <row r="5" spans="1:15" ht="12.75">
      <c r="A5" s="128" t="s">
        <v>197</v>
      </c>
      <c r="B5" s="131">
        <v>12</v>
      </c>
      <c r="C5" s="131">
        <v>12</v>
      </c>
      <c r="D5" s="131">
        <v>13</v>
      </c>
      <c r="E5" s="131">
        <v>13</v>
      </c>
      <c r="F5" s="131">
        <v>16</v>
      </c>
      <c r="G5" s="131">
        <v>19</v>
      </c>
      <c r="H5" s="131">
        <v>19</v>
      </c>
      <c r="I5" s="131">
        <v>19</v>
      </c>
      <c r="J5" s="131">
        <v>17</v>
      </c>
      <c r="K5" s="131">
        <v>16</v>
      </c>
      <c r="L5" s="131">
        <v>16</v>
      </c>
      <c r="M5" s="131">
        <v>15</v>
      </c>
      <c r="N5" s="131">
        <v>16</v>
      </c>
      <c r="O5" s="131">
        <v>13</v>
      </c>
    </row>
    <row r="6" spans="1:15" ht="12.75">
      <c r="A6" s="128" t="s">
        <v>17</v>
      </c>
      <c r="B6" s="131">
        <f aca="true" t="shared" si="0" ref="B6:O6">SUM(B3:B5)</f>
        <v>1039</v>
      </c>
      <c r="C6" s="131">
        <f t="shared" si="0"/>
        <v>1039</v>
      </c>
      <c r="D6" s="131">
        <f t="shared" si="0"/>
        <v>1040</v>
      </c>
      <c r="E6" s="131">
        <f t="shared" si="0"/>
        <v>1041</v>
      </c>
      <c r="F6" s="131">
        <f t="shared" si="0"/>
        <v>1045</v>
      </c>
      <c r="G6" s="131">
        <f t="shared" si="0"/>
        <v>1050</v>
      </c>
      <c r="H6" s="131">
        <f t="shared" si="0"/>
        <v>1051</v>
      </c>
      <c r="I6" s="131">
        <f t="shared" si="0"/>
        <v>1050</v>
      </c>
      <c r="J6" s="131">
        <f t="shared" si="0"/>
        <v>1048</v>
      </c>
      <c r="K6" s="131">
        <f t="shared" si="0"/>
        <v>1046</v>
      </c>
      <c r="L6" s="131">
        <f t="shared" si="0"/>
        <v>1046</v>
      </c>
      <c r="M6" s="131">
        <f t="shared" si="0"/>
        <v>1042</v>
      </c>
      <c r="N6" s="131">
        <f t="shared" si="0"/>
        <v>1043</v>
      </c>
      <c r="O6" s="131">
        <f t="shared" si="0"/>
        <v>1040</v>
      </c>
    </row>
  </sheetData>
  <mergeCells count="1">
    <mergeCell ref="A1:N1"/>
  </mergeCells>
  <printOptions/>
  <pageMargins left="0.75" right="0.75" top="2" bottom="1" header="0.5" footer="0.5"/>
  <pageSetup fitToHeight="1" fitToWidth="1" horizontalDpi="300" verticalDpi="300" orientation="landscape" scale="95" r:id="rId1"/>
  <headerFooter alignWithMargins="0">
    <oddFooter>&amp;LSlice Cost Shift Study&amp;R'02 Rate Case</oddFooter>
  </headerFooter>
</worksheet>
</file>

<file path=xl/worksheets/sheet13.xml><?xml version="1.0" encoding="utf-8"?>
<worksheet xmlns="http://schemas.openxmlformats.org/spreadsheetml/2006/main" xmlns:r="http://schemas.openxmlformats.org/officeDocument/2006/relationships">
  <sheetPr codeName="Sheet19">
    <pageSetUpPr fitToPage="1"/>
  </sheetPr>
  <dimension ref="A1:O35"/>
  <sheetViews>
    <sheetView workbookViewId="0" topLeftCell="A16">
      <selection activeCell="D22" sqref="D22"/>
    </sheetView>
  </sheetViews>
  <sheetFormatPr defaultColWidth="9.33203125" defaultRowHeight="12.75"/>
  <cols>
    <col min="1" max="1" width="27.66015625" style="0" bestFit="1" customWidth="1"/>
  </cols>
  <sheetData>
    <row r="1" spans="1:14" ht="12.75">
      <c r="A1" s="229" t="s">
        <v>185</v>
      </c>
      <c r="B1" s="229"/>
      <c r="C1" s="229"/>
      <c r="D1" s="229"/>
      <c r="E1" s="229"/>
      <c r="F1" s="229"/>
      <c r="G1" s="229"/>
      <c r="H1" s="229"/>
      <c r="I1" s="229"/>
      <c r="J1" s="229"/>
      <c r="K1" s="229"/>
      <c r="L1" s="229"/>
      <c r="M1" s="229"/>
      <c r="N1" s="229"/>
    </row>
    <row r="2" spans="1:15" ht="12.75">
      <c r="A2" s="128" t="s">
        <v>206</v>
      </c>
      <c r="B2" s="145" t="s">
        <v>1</v>
      </c>
      <c r="C2" s="146" t="s">
        <v>2</v>
      </c>
      <c r="D2" s="146" t="s">
        <v>3</v>
      </c>
      <c r="E2" s="146" t="s">
        <v>4</v>
      </c>
      <c r="F2" s="146" t="s">
        <v>5</v>
      </c>
      <c r="G2" s="146" t="s">
        <v>6</v>
      </c>
      <c r="H2" s="146" t="s">
        <v>7</v>
      </c>
      <c r="I2" s="146" t="s">
        <v>8</v>
      </c>
      <c r="J2" s="146" t="s">
        <v>9</v>
      </c>
      <c r="K2" s="146" t="s">
        <v>10</v>
      </c>
      <c r="L2" s="146" t="s">
        <v>11</v>
      </c>
      <c r="M2" s="146" t="s">
        <v>12</v>
      </c>
      <c r="N2" s="146" t="s">
        <v>13</v>
      </c>
      <c r="O2" s="154" t="s">
        <v>14</v>
      </c>
    </row>
    <row r="3" spans="1:15" ht="12.75">
      <c r="A3" s="128" t="s">
        <v>183</v>
      </c>
      <c r="B3" s="129">
        <v>105120</v>
      </c>
      <c r="C3" s="129">
        <v>112128</v>
      </c>
      <c r="D3" s="129">
        <v>210240</v>
      </c>
      <c r="E3" s="129">
        <v>217540</v>
      </c>
      <c r="F3" s="129">
        <v>210240</v>
      </c>
      <c r="G3" s="129">
        <v>217248</v>
      </c>
      <c r="H3" s="129">
        <v>217248</v>
      </c>
      <c r="I3" s="129">
        <v>196224</v>
      </c>
      <c r="J3" s="129">
        <v>217248</v>
      </c>
      <c r="K3" s="129">
        <v>104828</v>
      </c>
      <c r="L3" s="129">
        <v>105120</v>
      </c>
      <c r="M3" s="129">
        <v>217248</v>
      </c>
      <c r="N3" s="129">
        <v>210240</v>
      </c>
      <c r="O3" s="129">
        <v>217248</v>
      </c>
    </row>
    <row r="4" spans="1:15" ht="12.75">
      <c r="A4" s="128" t="s">
        <v>196</v>
      </c>
      <c r="B4" s="129">
        <v>5408</v>
      </c>
      <c r="C4" s="129">
        <v>5824</v>
      </c>
      <c r="D4" s="129">
        <v>9984</v>
      </c>
      <c r="E4" s="129">
        <v>11232</v>
      </c>
      <c r="F4" s="129">
        <v>10400</v>
      </c>
      <c r="G4" s="129">
        <v>10400</v>
      </c>
      <c r="H4" s="129">
        <v>10816</v>
      </c>
      <c r="I4" s="129">
        <v>9984</v>
      </c>
      <c r="J4" s="129">
        <v>10816</v>
      </c>
      <c r="K4" s="129">
        <v>5408</v>
      </c>
      <c r="L4" s="129">
        <v>5408</v>
      </c>
      <c r="M4" s="129">
        <v>10816</v>
      </c>
      <c r="N4" s="129">
        <v>10400</v>
      </c>
      <c r="O4" s="129">
        <v>10816</v>
      </c>
    </row>
    <row r="5" spans="1:15" ht="12.75">
      <c r="A5" s="155" t="s">
        <v>199</v>
      </c>
      <c r="B5" s="129">
        <v>-6416</v>
      </c>
      <c r="C5" s="129">
        <v>-6880</v>
      </c>
      <c r="D5" s="129">
        <v>-12288</v>
      </c>
      <c r="E5" s="129">
        <v>-13304</v>
      </c>
      <c r="F5" s="129">
        <v>-12560</v>
      </c>
      <c r="G5" s="129">
        <v>-12752</v>
      </c>
      <c r="H5" s="129">
        <v>-13024</v>
      </c>
      <c r="I5" s="129">
        <v>-11904</v>
      </c>
      <c r="J5" s="129">
        <v>-13024</v>
      </c>
      <c r="K5" s="129">
        <v>-5992</v>
      </c>
      <c r="L5" s="129">
        <v>-6000</v>
      </c>
      <c r="M5" s="129">
        <v>-12192</v>
      </c>
      <c r="N5" s="129">
        <v>-11760</v>
      </c>
      <c r="O5" s="129">
        <v>-12192</v>
      </c>
    </row>
    <row r="6" spans="1:15" ht="12.75">
      <c r="A6" s="155" t="s">
        <v>200</v>
      </c>
      <c r="B6" s="129">
        <v>33896</v>
      </c>
      <c r="C6" s="129">
        <v>36160</v>
      </c>
      <c r="D6" s="129">
        <v>67728</v>
      </c>
      <c r="E6" s="129">
        <v>70149</v>
      </c>
      <c r="F6" s="129">
        <v>67760</v>
      </c>
      <c r="G6" s="129">
        <v>69992</v>
      </c>
      <c r="H6" s="129">
        <v>70024</v>
      </c>
      <c r="I6" s="129">
        <v>63264</v>
      </c>
      <c r="J6" s="129">
        <v>70024</v>
      </c>
      <c r="K6" s="129">
        <v>32709</v>
      </c>
      <c r="L6" s="129">
        <v>32792</v>
      </c>
      <c r="M6" s="129">
        <v>67576</v>
      </c>
      <c r="N6" s="129">
        <v>65360</v>
      </c>
      <c r="O6" s="129">
        <v>67576</v>
      </c>
    </row>
    <row r="7" spans="1:15" ht="12.75">
      <c r="A7" s="155" t="s">
        <v>201</v>
      </c>
      <c r="B7" s="129">
        <v>16768</v>
      </c>
      <c r="C7" s="129">
        <v>17984</v>
      </c>
      <c r="D7" s="129">
        <v>32064</v>
      </c>
      <c r="E7" s="129">
        <v>34772</v>
      </c>
      <c r="F7" s="129">
        <v>32800</v>
      </c>
      <c r="G7" s="129">
        <v>33280</v>
      </c>
      <c r="H7" s="129">
        <v>34016</v>
      </c>
      <c r="I7" s="129">
        <v>31104</v>
      </c>
      <c r="J7" s="129">
        <v>34016</v>
      </c>
      <c r="K7" s="129">
        <v>14742</v>
      </c>
      <c r="L7" s="129">
        <v>14768</v>
      </c>
      <c r="M7" s="129">
        <v>30160</v>
      </c>
      <c r="N7" s="129">
        <v>29120</v>
      </c>
      <c r="O7" s="129">
        <v>30160</v>
      </c>
    </row>
    <row r="8" spans="1:15" ht="12.75">
      <c r="A8" s="155" t="s">
        <v>202</v>
      </c>
      <c r="B8" s="129">
        <v>0</v>
      </c>
      <c r="C8" s="129">
        <v>0</v>
      </c>
      <c r="D8" s="129">
        <v>0</v>
      </c>
      <c r="E8" s="129">
        <v>0</v>
      </c>
      <c r="F8" s="129">
        <v>0</v>
      </c>
      <c r="G8" s="129">
        <v>0</v>
      </c>
      <c r="H8" s="129">
        <v>0</v>
      </c>
      <c r="I8" s="129">
        <v>0</v>
      </c>
      <c r="J8" s="129">
        <v>0</v>
      </c>
      <c r="K8" s="129">
        <v>0</v>
      </c>
      <c r="L8" s="129">
        <v>0</v>
      </c>
      <c r="M8" s="129">
        <v>0</v>
      </c>
      <c r="N8" s="129">
        <v>0</v>
      </c>
      <c r="O8" s="129">
        <v>0</v>
      </c>
    </row>
    <row r="9" spans="1:15" ht="12.75">
      <c r="A9" s="155" t="s">
        <v>203</v>
      </c>
      <c r="B9" s="129">
        <v>-26728</v>
      </c>
      <c r="C9" s="129">
        <v>-28640</v>
      </c>
      <c r="D9" s="129">
        <v>-52944</v>
      </c>
      <c r="E9" s="129">
        <v>-55407</v>
      </c>
      <c r="F9" s="129">
        <v>-52480</v>
      </c>
      <c r="G9" s="129">
        <v>-53592</v>
      </c>
      <c r="H9" s="129">
        <v>-54392</v>
      </c>
      <c r="I9" s="129">
        <v>-50016</v>
      </c>
      <c r="J9" s="129">
        <v>-54456</v>
      </c>
      <c r="K9" s="129">
        <v>-26330</v>
      </c>
      <c r="L9" s="129">
        <v>-26368</v>
      </c>
      <c r="M9" s="129">
        <v>-53648</v>
      </c>
      <c r="N9" s="129">
        <v>-52640</v>
      </c>
      <c r="O9" s="129">
        <v>-53648</v>
      </c>
    </row>
    <row r="10" spans="1:15" ht="12.75">
      <c r="A10" s="155" t="s">
        <v>204</v>
      </c>
      <c r="B10" s="129">
        <v>61165.820538104</v>
      </c>
      <c r="C10" s="129">
        <v>59103.4731351293</v>
      </c>
      <c r="D10" s="129">
        <v>112988.416596872</v>
      </c>
      <c r="E10" s="129">
        <v>142555.228575756</v>
      </c>
      <c r="F10" s="129">
        <v>131483.909774436</v>
      </c>
      <c r="G10" s="129">
        <v>158050.145479062</v>
      </c>
      <c r="H10" s="129">
        <v>131982.291105121</v>
      </c>
      <c r="I10" s="129">
        <v>121826.345060685</v>
      </c>
      <c r="J10" s="129">
        <v>116336.19177577</v>
      </c>
      <c r="K10" s="129">
        <v>56016.9323680028</v>
      </c>
      <c r="L10" s="129">
        <v>55725.7383332081</v>
      </c>
      <c r="M10" s="129">
        <v>158412.320855615</v>
      </c>
      <c r="N10" s="129">
        <v>139326.836316671</v>
      </c>
      <c r="O10" s="129">
        <v>149008.002109983</v>
      </c>
    </row>
    <row r="11" spans="1:15" ht="12.75">
      <c r="A11" s="128" t="s">
        <v>205</v>
      </c>
      <c r="B11" s="130">
        <f>SUM(B3:B10)</f>
        <v>189213.820538104</v>
      </c>
      <c r="C11" s="130">
        <f aca="true" t="shared" si="0" ref="C11:O11">SUM(C3:C10)</f>
        <v>195679.47313512932</v>
      </c>
      <c r="D11" s="130">
        <f t="shared" si="0"/>
        <v>367772.41659687203</v>
      </c>
      <c r="E11" s="130">
        <f t="shared" si="0"/>
        <v>407537.22857575596</v>
      </c>
      <c r="F11" s="130">
        <f t="shared" si="0"/>
        <v>387643.90977443603</v>
      </c>
      <c r="G11" s="130">
        <f t="shared" si="0"/>
        <v>422626.145479062</v>
      </c>
      <c r="H11" s="130">
        <f t="shared" si="0"/>
        <v>396670.291105121</v>
      </c>
      <c r="I11" s="130">
        <f t="shared" si="0"/>
        <v>360482.345060685</v>
      </c>
      <c r="J11" s="130">
        <f t="shared" si="0"/>
        <v>380960.19177577</v>
      </c>
      <c r="K11" s="130">
        <f t="shared" si="0"/>
        <v>181381.9323680028</v>
      </c>
      <c r="L11" s="130">
        <f t="shared" si="0"/>
        <v>181445.7383332081</v>
      </c>
      <c r="M11" s="130">
        <f t="shared" si="0"/>
        <v>418372.32085561496</v>
      </c>
      <c r="N11" s="130">
        <f t="shared" si="0"/>
        <v>390046.836316671</v>
      </c>
      <c r="O11" s="130">
        <f t="shared" si="0"/>
        <v>408968.002109983</v>
      </c>
    </row>
    <row r="12" spans="1:15" ht="12.75">
      <c r="A12" s="131"/>
      <c r="B12" s="131"/>
      <c r="C12" s="131"/>
      <c r="D12" s="131"/>
      <c r="E12" s="131"/>
      <c r="F12" s="131"/>
      <c r="G12" s="131"/>
      <c r="H12" s="131"/>
      <c r="I12" s="131"/>
      <c r="J12" s="131"/>
      <c r="K12" s="131"/>
      <c r="L12" s="131"/>
      <c r="M12" s="131"/>
      <c r="N12" s="131"/>
      <c r="O12" s="131"/>
    </row>
    <row r="13" spans="1:15" ht="12.75">
      <c r="A13" s="128" t="s">
        <v>207</v>
      </c>
      <c r="B13" s="145" t="s">
        <v>1</v>
      </c>
      <c r="C13" s="146" t="s">
        <v>2</v>
      </c>
      <c r="D13" s="146" t="s">
        <v>3</v>
      </c>
      <c r="E13" s="146" t="s">
        <v>4</v>
      </c>
      <c r="F13" s="146" t="s">
        <v>5</v>
      </c>
      <c r="G13" s="146" t="s">
        <v>6</v>
      </c>
      <c r="H13" s="146" t="s">
        <v>7</v>
      </c>
      <c r="I13" s="146" t="s">
        <v>8</v>
      </c>
      <c r="J13" s="146" t="s">
        <v>9</v>
      </c>
      <c r="K13" s="146" t="s">
        <v>10</v>
      </c>
      <c r="L13" s="146" t="s">
        <v>11</v>
      </c>
      <c r="M13" s="146" t="s">
        <v>12</v>
      </c>
      <c r="N13" s="146" t="s">
        <v>13</v>
      </c>
      <c r="O13" s="154" t="s">
        <v>14</v>
      </c>
    </row>
    <row r="14" spans="1:15" ht="12.75">
      <c r="A14" s="128" t="s">
        <v>183</v>
      </c>
      <c r="B14" s="129">
        <v>0</v>
      </c>
      <c r="C14" s="129">
        <v>0</v>
      </c>
      <c r="D14" s="129">
        <v>0</v>
      </c>
      <c r="E14" s="129">
        <v>0</v>
      </c>
      <c r="F14" s="129">
        <v>0</v>
      </c>
      <c r="G14" s="129">
        <v>0</v>
      </c>
      <c r="H14" s="129">
        <v>0</v>
      </c>
      <c r="I14" s="129">
        <v>0</v>
      </c>
      <c r="J14" s="129">
        <v>0</v>
      </c>
      <c r="K14" s="129">
        <v>0</v>
      </c>
      <c r="L14" s="129">
        <v>0</v>
      </c>
      <c r="M14" s="129">
        <v>0</v>
      </c>
      <c r="N14" s="129">
        <v>0</v>
      </c>
      <c r="O14" s="129">
        <v>0</v>
      </c>
    </row>
    <row r="15" spans="1:15" ht="12.75">
      <c r="A15" s="128" t="s">
        <v>196</v>
      </c>
      <c r="B15" s="129">
        <v>3952</v>
      </c>
      <c r="C15" s="129">
        <v>4160</v>
      </c>
      <c r="D15" s="129">
        <v>8736</v>
      </c>
      <c r="E15" s="129">
        <v>8138</v>
      </c>
      <c r="F15" s="129">
        <v>8320</v>
      </c>
      <c r="G15" s="129">
        <v>8944</v>
      </c>
      <c r="H15" s="129">
        <v>8528</v>
      </c>
      <c r="I15" s="129">
        <v>7488</v>
      </c>
      <c r="J15" s="129">
        <v>8528</v>
      </c>
      <c r="K15" s="129">
        <v>3926</v>
      </c>
      <c r="L15" s="129">
        <v>3952</v>
      </c>
      <c r="M15" s="129">
        <v>8528</v>
      </c>
      <c r="N15" s="129">
        <v>8320</v>
      </c>
      <c r="O15" s="129">
        <v>8528</v>
      </c>
    </row>
    <row r="16" spans="1:15" ht="12.75">
      <c r="A16" s="155" t="s">
        <v>199</v>
      </c>
      <c r="B16" s="129">
        <v>-1144</v>
      </c>
      <c r="C16" s="129">
        <v>-1184</v>
      </c>
      <c r="D16" s="129">
        <v>-2832</v>
      </c>
      <c r="E16" s="129">
        <v>-2341</v>
      </c>
      <c r="F16" s="129">
        <v>-2560</v>
      </c>
      <c r="G16" s="129">
        <v>-2872</v>
      </c>
      <c r="H16" s="129">
        <v>-2600</v>
      </c>
      <c r="I16" s="129">
        <v>-2208</v>
      </c>
      <c r="J16" s="129">
        <v>-2600</v>
      </c>
      <c r="K16" s="129">
        <v>-1547</v>
      </c>
      <c r="L16" s="129">
        <v>-1560</v>
      </c>
      <c r="M16" s="129">
        <v>-3432</v>
      </c>
      <c r="N16" s="129">
        <v>-3360</v>
      </c>
      <c r="O16" s="129">
        <v>-3432</v>
      </c>
    </row>
    <row r="17" spans="1:15" ht="12.75">
      <c r="A17" s="155" t="s">
        <v>200</v>
      </c>
      <c r="B17" s="129">
        <v>304</v>
      </c>
      <c r="C17" s="129">
        <v>320</v>
      </c>
      <c r="D17" s="129">
        <v>672</v>
      </c>
      <c r="E17" s="129">
        <v>626</v>
      </c>
      <c r="F17" s="129">
        <v>640</v>
      </c>
      <c r="G17" s="129">
        <v>688</v>
      </c>
      <c r="H17" s="129">
        <v>656</v>
      </c>
      <c r="I17" s="129">
        <v>576</v>
      </c>
      <c r="J17" s="129">
        <v>656</v>
      </c>
      <c r="K17" s="129">
        <v>319</v>
      </c>
      <c r="L17" s="129">
        <v>328</v>
      </c>
      <c r="M17" s="129">
        <v>872</v>
      </c>
      <c r="N17" s="129">
        <v>880</v>
      </c>
      <c r="O17" s="129">
        <v>872</v>
      </c>
    </row>
    <row r="18" spans="1:15" ht="12.75">
      <c r="A18" s="155" t="s">
        <v>201</v>
      </c>
      <c r="B18" s="129">
        <v>512</v>
      </c>
      <c r="C18" s="129">
        <v>448</v>
      </c>
      <c r="D18" s="129">
        <v>2496</v>
      </c>
      <c r="E18" s="129">
        <v>988</v>
      </c>
      <c r="F18" s="129">
        <v>1760</v>
      </c>
      <c r="G18" s="129">
        <v>2432</v>
      </c>
      <c r="H18" s="129">
        <v>1696</v>
      </c>
      <c r="I18" s="129">
        <v>1152</v>
      </c>
      <c r="J18" s="129">
        <v>1696</v>
      </c>
      <c r="K18" s="129">
        <v>336</v>
      </c>
      <c r="L18" s="129">
        <v>352</v>
      </c>
      <c r="M18" s="129">
        <v>1088</v>
      </c>
      <c r="N18" s="129">
        <v>1120</v>
      </c>
      <c r="O18" s="129">
        <v>1088</v>
      </c>
    </row>
    <row r="19" spans="1:15" ht="12.75">
      <c r="A19" s="155" t="s">
        <v>202</v>
      </c>
      <c r="B19" s="129">
        <v>-16920</v>
      </c>
      <c r="C19" s="129">
        <v>-18048</v>
      </c>
      <c r="D19" s="129">
        <v>-33840</v>
      </c>
      <c r="E19" s="129">
        <v>-35015</v>
      </c>
      <c r="F19" s="129">
        <v>-33840</v>
      </c>
      <c r="G19" s="129">
        <v>-34968</v>
      </c>
      <c r="H19" s="129">
        <v>-34968</v>
      </c>
      <c r="I19" s="129">
        <v>-31584</v>
      </c>
      <c r="J19" s="129">
        <v>-34968</v>
      </c>
      <c r="K19" s="129">
        <v>-15078</v>
      </c>
      <c r="L19" s="129">
        <v>-15120</v>
      </c>
      <c r="M19" s="129">
        <v>-31248</v>
      </c>
      <c r="N19" s="129">
        <v>-30240</v>
      </c>
      <c r="O19" s="129">
        <v>-31248</v>
      </c>
    </row>
    <row r="20" spans="1:15" ht="12.75">
      <c r="A20" s="155" t="s">
        <v>203</v>
      </c>
      <c r="B20" s="129">
        <v>-2072</v>
      </c>
      <c r="C20" s="129">
        <v>-2080</v>
      </c>
      <c r="D20" s="129">
        <v>-4656</v>
      </c>
      <c r="E20" s="129">
        <v>-4193</v>
      </c>
      <c r="F20" s="129">
        <v>-5120</v>
      </c>
      <c r="G20" s="129">
        <v>-5928</v>
      </c>
      <c r="H20" s="129">
        <v>-5128</v>
      </c>
      <c r="I20" s="129">
        <v>-3744</v>
      </c>
      <c r="J20" s="129">
        <v>-5064</v>
      </c>
      <c r="K20" s="129">
        <v>-2031</v>
      </c>
      <c r="L20" s="129">
        <v>-2072</v>
      </c>
      <c r="M20" s="129">
        <v>-5128</v>
      </c>
      <c r="N20" s="129">
        <v>-4240</v>
      </c>
      <c r="O20" s="129">
        <v>-5128</v>
      </c>
    </row>
    <row r="21" spans="1:15" ht="12.75">
      <c r="A21" s="155" t="s">
        <v>204</v>
      </c>
      <c r="B21" s="129">
        <v>28474.179461896</v>
      </c>
      <c r="C21" s="129">
        <v>28448.5268648707</v>
      </c>
      <c r="D21" s="129">
        <v>47571.5834031283</v>
      </c>
      <c r="E21" s="129">
        <v>59339.7714242444</v>
      </c>
      <c r="F21" s="129">
        <v>58596.0902255639</v>
      </c>
      <c r="G21" s="129">
        <v>63661.8545209379</v>
      </c>
      <c r="H21" s="129">
        <v>60713.7088948787</v>
      </c>
      <c r="I21" s="129">
        <v>60285.6549393148</v>
      </c>
      <c r="J21" s="129">
        <v>61479.8082242301</v>
      </c>
      <c r="K21" s="129">
        <v>32297.0676319972</v>
      </c>
      <c r="L21" s="129">
        <v>30674.2616667919</v>
      </c>
      <c r="M21" s="129">
        <v>76691.679144385</v>
      </c>
      <c r="N21" s="129">
        <v>65153.163683329</v>
      </c>
      <c r="O21" s="129">
        <v>69727.9978900171</v>
      </c>
    </row>
    <row r="22" spans="1:15" ht="12.75">
      <c r="A22" s="155" t="s">
        <v>208</v>
      </c>
      <c r="B22" s="129">
        <f>SUM(B14:B21)</f>
        <v>13106.179461896001</v>
      </c>
      <c r="C22" s="129">
        <f aca="true" t="shared" si="1" ref="C22:O22">SUM(C14:C21)</f>
        <v>12064.526864870699</v>
      </c>
      <c r="D22" s="129">
        <f t="shared" si="1"/>
        <v>18147.5834031283</v>
      </c>
      <c r="E22" s="129">
        <f t="shared" si="1"/>
        <v>27542.771424244398</v>
      </c>
      <c r="F22" s="129">
        <f t="shared" si="1"/>
        <v>27796.0902255639</v>
      </c>
      <c r="G22" s="129">
        <f t="shared" si="1"/>
        <v>31957.8545209379</v>
      </c>
      <c r="H22" s="129">
        <f t="shared" si="1"/>
        <v>28897.7088948787</v>
      </c>
      <c r="I22" s="129">
        <f t="shared" si="1"/>
        <v>31965.6549393148</v>
      </c>
      <c r="J22" s="129">
        <f t="shared" si="1"/>
        <v>29727.808224230102</v>
      </c>
      <c r="K22" s="129">
        <f t="shared" si="1"/>
        <v>18222.0676319972</v>
      </c>
      <c r="L22" s="129">
        <f t="shared" si="1"/>
        <v>16554.2616667919</v>
      </c>
      <c r="M22" s="129">
        <f t="shared" si="1"/>
        <v>47371.679144384994</v>
      </c>
      <c r="N22" s="129">
        <f t="shared" si="1"/>
        <v>37633.163683329</v>
      </c>
      <c r="O22" s="129">
        <f t="shared" si="1"/>
        <v>40407.9978900171</v>
      </c>
    </row>
    <row r="23" spans="1:15" ht="12.75">
      <c r="A23" s="131"/>
      <c r="B23" s="156"/>
      <c r="C23" s="156"/>
      <c r="D23" s="156"/>
      <c r="E23" s="156"/>
      <c r="F23" s="156"/>
      <c r="G23" s="156"/>
      <c r="H23" s="156"/>
      <c r="I23" s="156"/>
      <c r="J23" s="156"/>
      <c r="K23" s="156"/>
      <c r="L23" s="156"/>
      <c r="M23" s="156"/>
      <c r="N23" s="156"/>
      <c r="O23" s="156"/>
    </row>
    <row r="24" spans="1:15" ht="12.75">
      <c r="A24" s="128" t="s">
        <v>0</v>
      </c>
      <c r="B24" s="156"/>
      <c r="C24" s="156"/>
      <c r="D24" s="156"/>
      <c r="E24" s="156"/>
      <c r="F24" s="156"/>
      <c r="G24" s="156"/>
      <c r="H24" s="156"/>
      <c r="I24" s="156"/>
      <c r="J24" s="156"/>
      <c r="K24" s="156"/>
      <c r="L24" s="156"/>
      <c r="M24" s="156"/>
      <c r="N24" s="156"/>
      <c r="O24" s="156"/>
    </row>
    <row r="25" spans="1:15" ht="12.75">
      <c r="A25" s="128" t="s">
        <v>209</v>
      </c>
      <c r="B25" s="156">
        <f>B11/'HLH-LLH Loads'!N$4</f>
        <v>909.6818295101153</v>
      </c>
      <c r="C25" s="156">
        <f>C11/'HLH-LLH Loads'!O$4</f>
        <v>873.569076496113</v>
      </c>
      <c r="D25" s="156">
        <f>D11/'HLH-LLH Loads'!P$4</f>
        <v>884.0683091270962</v>
      </c>
      <c r="E25" s="156">
        <f>E11/'HLH-LLH Loads'!Q$4</f>
        <v>979.6567994609518</v>
      </c>
      <c r="F25" s="156">
        <f>F11/'HLH-LLH Loads'!R$4</f>
        <v>931.8363215731636</v>
      </c>
      <c r="G25" s="156">
        <f>G11/'HLH-LLH Loads'!S$4</f>
        <v>1015.9282343246682</v>
      </c>
      <c r="H25" s="156">
        <f>H11/'HLH-LLH Loads'!T$4</f>
        <v>918.2182664470394</v>
      </c>
      <c r="I25" s="156">
        <f>I11/'HLH-LLH Loads'!U$4</f>
        <v>938.7561069288672</v>
      </c>
      <c r="J25" s="156">
        <f>J11/'HLH-LLH Loads'!V$4</f>
        <v>881.8522957772453</v>
      </c>
      <c r="K25" s="156">
        <f>K11/'HLH-LLH Loads'!W$4</f>
        <v>944.6975644166813</v>
      </c>
      <c r="L25" s="156">
        <f>L11/'HLH-LLH Loads'!X$4</f>
        <v>872.3352804481159</v>
      </c>
      <c r="M25" s="156">
        <f>M11/'HLH-LLH Loads'!Y$4</f>
        <v>968.4544464250347</v>
      </c>
      <c r="N25" s="156">
        <f>N11/'HLH-LLH Loads'!Z$4</f>
        <v>937.6125872996898</v>
      </c>
      <c r="O25" s="156">
        <f>O11/'HLH-LLH Loads'!AA$4</f>
        <v>983.0961589182284</v>
      </c>
    </row>
    <row r="26" spans="1:15" ht="12.75">
      <c r="A26" s="128"/>
      <c r="B26" s="156"/>
      <c r="C26" s="156"/>
      <c r="D26" s="156"/>
      <c r="E26" s="156"/>
      <c r="F26" s="156"/>
      <c r="G26" s="156"/>
      <c r="H26" s="156"/>
      <c r="I26" s="156"/>
      <c r="J26" s="156"/>
      <c r="K26" s="156"/>
      <c r="L26" s="156"/>
      <c r="M26" s="156"/>
      <c r="N26" s="156"/>
      <c r="O26" s="156"/>
    </row>
    <row r="27" spans="1:15" ht="12.75">
      <c r="A27" s="131"/>
      <c r="B27" s="156"/>
      <c r="C27" s="156"/>
      <c r="D27" s="156"/>
      <c r="E27" s="156"/>
      <c r="F27" s="156"/>
      <c r="G27" s="156"/>
      <c r="H27" s="156"/>
      <c r="I27" s="156"/>
      <c r="J27" s="156"/>
      <c r="K27" s="156"/>
      <c r="L27" s="156"/>
      <c r="M27" s="156"/>
      <c r="N27" s="156"/>
      <c r="O27" s="156"/>
    </row>
    <row r="28" spans="1:15" ht="12.75">
      <c r="A28" s="128" t="s">
        <v>15</v>
      </c>
      <c r="B28" s="156"/>
      <c r="C28" s="156"/>
      <c r="D28" s="156"/>
      <c r="E28" s="156"/>
      <c r="F28" s="156"/>
      <c r="G28" s="156"/>
      <c r="H28" s="156"/>
      <c r="I28" s="156"/>
      <c r="J28" s="156"/>
      <c r="K28" s="156"/>
      <c r="L28" s="156"/>
      <c r="M28" s="156"/>
      <c r="N28" s="156"/>
      <c r="O28" s="156"/>
    </row>
    <row r="29" spans="1:15" ht="12.75">
      <c r="A29" s="128" t="s">
        <v>208</v>
      </c>
      <c r="B29" s="156">
        <f>B22/'HLH-LLH Loads'!N$5</f>
        <v>86.22486488089474</v>
      </c>
      <c r="C29" s="156">
        <f>C22/'HLH-LLH Loads'!O$5</f>
        <v>75.40329290544187</v>
      </c>
      <c r="D29" s="156">
        <f>D22/'HLH-LLH Loads'!P$5</f>
        <v>59.695998036606255</v>
      </c>
      <c r="E29" s="156">
        <f>E22/'HLH-LLH Loads'!Q$5</f>
        <v>83.97186409830609</v>
      </c>
      <c r="F29" s="156">
        <f>F22/'HLH-LLH Loads'!R$5</f>
        <v>91.43450732093389</v>
      </c>
      <c r="G29" s="156">
        <f>G22/'HLH-LLH Loads'!S$5</f>
        <v>97.43248329554238</v>
      </c>
      <c r="H29" s="156">
        <f>H22/'HLH-LLH Loads'!T$5</f>
        <v>92.62086184255993</v>
      </c>
      <c r="I29" s="156">
        <f>I22/'HLH-LLH Loads'!U$5</f>
        <v>110.99185742817639</v>
      </c>
      <c r="J29" s="156">
        <f>J22/'HLH-LLH Loads'!V$5</f>
        <v>95.28143661612212</v>
      </c>
      <c r="K29" s="156">
        <f>K22/'HLH-LLH Loads'!W$5</f>
        <v>108.46468828569762</v>
      </c>
      <c r="L29" s="156">
        <f>L22/'HLH-LLH Loads'!X$5</f>
        <v>108.90961622889408</v>
      </c>
      <c r="M29" s="156">
        <f>M22/'HLH-LLH Loads'!Y$5</f>
        <v>151.83230494995192</v>
      </c>
      <c r="N29" s="156">
        <f>N22/'HLH-LLH Loads'!Z$5</f>
        <v>123.79330158989804</v>
      </c>
      <c r="O29" s="156">
        <f>O22/'HLH-LLH Loads'!AA$5</f>
        <v>123.1951155183448</v>
      </c>
    </row>
    <row r="30" spans="1:15" ht="12.75">
      <c r="A30" s="128"/>
      <c r="B30" s="156"/>
      <c r="C30" s="156"/>
      <c r="D30" s="156"/>
      <c r="E30" s="156"/>
      <c r="F30" s="156"/>
      <c r="G30" s="156"/>
      <c r="H30" s="156"/>
      <c r="I30" s="156"/>
      <c r="J30" s="156"/>
      <c r="K30" s="156"/>
      <c r="L30" s="156"/>
      <c r="M30" s="156"/>
      <c r="N30" s="156"/>
      <c r="O30" s="156"/>
    </row>
    <row r="31" spans="1:15" ht="12.75">
      <c r="A31" s="131"/>
      <c r="B31" s="156"/>
      <c r="C31" s="156"/>
      <c r="D31" s="156"/>
      <c r="E31" s="156"/>
      <c r="F31" s="156"/>
      <c r="G31" s="156"/>
      <c r="H31" s="156"/>
      <c r="I31" s="156"/>
      <c r="J31" s="156"/>
      <c r="K31" s="156"/>
      <c r="L31" s="156"/>
      <c r="M31" s="156"/>
      <c r="N31" s="156"/>
      <c r="O31" s="156"/>
    </row>
    <row r="32" spans="1:15" ht="12.75">
      <c r="A32" s="128" t="s">
        <v>184</v>
      </c>
      <c r="B32" s="156"/>
      <c r="C32" s="156"/>
      <c r="D32" s="156"/>
      <c r="E32" s="156"/>
      <c r="F32" s="156"/>
      <c r="G32" s="156"/>
      <c r="H32" s="156"/>
      <c r="I32" s="156"/>
      <c r="J32" s="156"/>
      <c r="K32" s="156"/>
      <c r="L32" s="156"/>
      <c r="M32" s="156"/>
      <c r="N32" s="156"/>
      <c r="O32" s="156"/>
    </row>
    <row r="33" spans="1:15" ht="12.75">
      <c r="A33" s="128" t="s">
        <v>0</v>
      </c>
      <c r="B33" s="156">
        <f>B25</f>
        <v>909.6818295101153</v>
      </c>
      <c r="C33" s="156">
        <f aca="true" t="shared" si="2" ref="C33:O33">C25</f>
        <v>873.569076496113</v>
      </c>
      <c r="D33" s="156">
        <f t="shared" si="2"/>
        <v>884.0683091270962</v>
      </c>
      <c r="E33" s="156">
        <f t="shared" si="2"/>
        <v>979.6567994609518</v>
      </c>
      <c r="F33" s="156">
        <f t="shared" si="2"/>
        <v>931.8363215731636</v>
      </c>
      <c r="G33" s="156">
        <f t="shared" si="2"/>
        <v>1015.9282343246682</v>
      </c>
      <c r="H33" s="156">
        <f t="shared" si="2"/>
        <v>918.2182664470394</v>
      </c>
      <c r="I33" s="156">
        <f t="shared" si="2"/>
        <v>938.7561069288672</v>
      </c>
      <c r="J33" s="156">
        <f t="shared" si="2"/>
        <v>881.8522957772453</v>
      </c>
      <c r="K33" s="156">
        <f t="shared" si="2"/>
        <v>944.6975644166813</v>
      </c>
      <c r="L33" s="156">
        <f t="shared" si="2"/>
        <v>872.3352804481159</v>
      </c>
      <c r="M33" s="156">
        <f t="shared" si="2"/>
        <v>968.4544464250347</v>
      </c>
      <c r="N33" s="156">
        <f t="shared" si="2"/>
        <v>937.6125872996898</v>
      </c>
      <c r="O33" s="156">
        <f t="shared" si="2"/>
        <v>983.0961589182284</v>
      </c>
    </row>
    <row r="34" spans="1:15" ht="12.75">
      <c r="A34" s="128" t="s">
        <v>15</v>
      </c>
      <c r="B34" s="156">
        <f>B29</f>
        <v>86.22486488089474</v>
      </c>
      <c r="C34" s="156">
        <f aca="true" t="shared" si="3" ref="C34:O34">C29</f>
        <v>75.40329290544187</v>
      </c>
      <c r="D34" s="156">
        <f t="shared" si="3"/>
        <v>59.695998036606255</v>
      </c>
      <c r="E34" s="156">
        <f t="shared" si="3"/>
        <v>83.97186409830609</v>
      </c>
      <c r="F34" s="156">
        <f t="shared" si="3"/>
        <v>91.43450732093389</v>
      </c>
      <c r="G34" s="156">
        <f t="shared" si="3"/>
        <v>97.43248329554238</v>
      </c>
      <c r="H34" s="156">
        <f t="shared" si="3"/>
        <v>92.62086184255993</v>
      </c>
      <c r="I34" s="156">
        <f t="shared" si="3"/>
        <v>110.99185742817639</v>
      </c>
      <c r="J34" s="156">
        <f t="shared" si="3"/>
        <v>95.28143661612212</v>
      </c>
      <c r="K34" s="156">
        <f t="shared" si="3"/>
        <v>108.46468828569762</v>
      </c>
      <c r="L34" s="156">
        <f t="shared" si="3"/>
        <v>108.90961622889408</v>
      </c>
      <c r="M34" s="156">
        <f t="shared" si="3"/>
        <v>151.83230494995192</v>
      </c>
      <c r="N34" s="156">
        <f t="shared" si="3"/>
        <v>123.79330158989804</v>
      </c>
      <c r="O34" s="156">
        <f t="shared" si="3"/>
        <v>123.1951155183448</v>
      </c>
    </row>
    <row r="35" spans="1:15" ht="12.75">
      <c r="A35" s="128" t="s">
        <v>46</v>
      </c>
      <c r="B35" s="156">
        <f>(B11+B22)/'HLH-LLH Loads'!N3</f>
        <v>562</v>
      </c>
      <c r="C35" s="156">
        <f>(C11+C22)/'HLH-LLH Loads'!O3</f>
        <v>541</v>
      </c>
      <c r="D35" s="156">
        <f>(D11+D22)/'HLH-LLH Loads'!P3</f>
        <v>536.0000000000005</v>
      </c>
      <c r="E35" s="156">
        <f>(E11+E22)/'HLH-LLH Loads'!Q3</f>
        <v>584.7849462365596</v>
      </c>
      <c r="F35" s="156">
        <f>(F11+F22)/'HLH-LLH Loads'!R3</f>
        <v>576.9999999999999</v>
      </c>
      <c r="G35" s="156">
        <f>(G11+G22)/'HLH-LLH Loads'!S3</f>
        <v>610.9999999999999</v>
      </c>
      <c r="H35" s="156">
        <f>(H11+H22)/'HLH-LLH Loads'!T3</f>
        <v>571.9999999999997</v>
      </c>
      <c r="I35" s="156">
        <f>(I11+I22)/'HLH-LLH Loads'!U3</f>
        <v>583.9999999999998</v>
      </c>
      <c r="J35" s="156">
        <f>(J11+J22)/'HLH-LLH Loads'!V3</f>
        <v>552.0000000000001</v>
      </c>
      <c r="K35" s="156">
        <f>(K11+K22)/'HLH-LLH Loads'!W3</f>
        <v>554.4555555555555</v>
      </c>
      <c r="L35" s="156">
        <f>(L11+L22)/'HLH-LLH Loads'!X3</f>
        <v>550</v>
      </c>
      <c r="M35" s="156">
        <f>(M11+M22)/'HLH-LLH Loads'!Y3</f>
        <v>625.9999999999999</v>
      </c>
      <c r="N35" s="156">
        <f>(N11+N22)/'HLH-LLH Loads'!Z3</f>
        <v>594</v>
      </c>
      <c r="O35" s="156">
        <f>(O11+O22)/'HLH-LLH Loads'!AA3</f>
        <v>604.0000000000001</v>
      </c>
    </row>
  </sheetData>
  <mergeCells count="1">
    <mergeCell ref="A1:N1"/>
  </mergeCells>
  <printOptions/>
  <pageMargins left="0.75" right="0.75" top="1" bottom="1" header="0.5" footer="0.5"/>
  <pageSetup fitToHeight="1" fitToWidth="1" horizontalDpi="300" verticalDpi="300" orientation="landscape" scale="82" r:id="rId1"/>
</worksheet>
</file>

<file path=xl/worksheets/sheet14.xml><?xml version="1.0" encoding="utf-8"?>
<worksheet xmlns="http://schemas.openxmlformats.org/spreadsheetml/2006/main" xmlns:r="http://schemas.openxmlformats.org/officeDocument/2006/relationships">
  <sheetPr codeName="Sheet4">
    <pageSetUpPr fitToPage="1"/>
  </sheetPr>
  <dimension ref="A1:O52"/>
  <sheetViews>
    <sheetView zoomScale="75" zoomScaleNormal="75" workbookViewId="0" topLeftCell="A1">
      <selection activeCell="B3" sqref="B3"/>
    </sheetView>
  </sheetViews>
  <sheetFormatPr defaultColWidth="9.33203125" defaultRowHeight="12.75"/>
  <cols>
    <col min="1" max="1" width="10.33203125" style="2" bestFit="1" customWidth="1"/>
  </cols>
  <sheetData>
    <row r="1" spans="1:14" ht="14.25">
      <c r="A1" s="236" t="s">
        <v>159</v>
      </c>
      <c r="B1" s="236"/>
      <c r="C1" s="236"/>
      <c r="D1" s="236"/>
      <c r="E1" s="236"/>
      <c r="F1" s="236"/>
      <c r="G1" s="236"/>
      <c r="H1" s="236"/>
      <c r="I1" s="236"/>
      <c r="J1" s="236"/>
      <c r="K1" s="236"/>
      <c r="L1" s="236"/>
      <c r="M1" s="236"/>
      <c r="N1" s="236"/>
    </row>
    <row r="2" spans="1:15" s="2" customFormat="1" ht="12.75">
      <c r="A2" s="123" t="s">
        <v>18</v>
      </c>
      <c r="B2" s="121" t="s">
        <v>1</v>
      </c>
      <c r="C2" s="121" t="s">
        <v>2</v>
      </c>
      <c r="D2" s="121" t="s">
        <v>3</v>
      </c>
      <c r="E2" s="121" t="s">
        <v>4</v>
      </c>
      <c r="F2" s="121" t="s">
        <v>5</v>
      </c>
      <c r="G2" s="121" t="s">
        <v>6</v>
      </c>
      <c r="H2" s="121" t="s">
        <v>7</v>
      </c>
      <c r="I2" s="121" t="s">
        <v>8</v>
      </c>
      <c r="J2" s="121" t="s">
        <v>9</v>
      </c>
      <c r="K2" s="121" t="s">
        <v>10</v>
      </c>
      <c r="L2" s="121" t="s">
        <v>11</v>
      </c>
      <c r="M2" s="121" t="s">
        <v>12</v>
      </c>
      <c r="N2" s="121" t="s">
        <v>13</v>
      </c>
      <c r="O2" s="124" t="s">
        <v>14</v>
      </c>
    </row>
    <row r="3" spans="1:15" ht="12.75">
      <c r="A3" s="122">
        <v>1929</v>
      </c>
      <c r="B3" s="126"/>
      <c r="C3" s="126"/>
      <c r="D3" s="126"/>
      <c r="E3" s="126"/>
      <c r="F3" s="126"/>
      <c r="G3" s="126"/>
      <c r="H3" s="126"/>
      <c r="I3" s="126"/>
      <c r="J3" s="126"/>
      <c r="K3" s="126"/>
      <c r="L3" s="126"/>
      <c r="M3" s="126"/>
      <c r="N3" s="126"/>
      <c r="O3" s="126"/>
    </row>
    <row r="4" spans="1:15" ht="12.75">
      <c r="A4" s="122">
        <v>1930</v>
      </c>
      <c r="B4" s="126"/>
      <c r="C4" s="126"/>
      <c r="D4" s="126"/>
      <c r="E4" s="126"/>
      <c r="F4" s="126"/>
      <c r="G4" s="126"/>
      <c r="H4" s="126"/>
      <c r="I4" s="126"/>
      <c r="J4" s="126"/>
      <c r="K4" s="126"/>
      <c r="L4" s="126"/>
      <c r="M4" s="126"/>
      <c r="N4" s="126"/>
      <c r="O4" s="126"/>
    </row>
    <row r="5" spans="1:15" ht="12.75">
      <c r="A5" s="122">
        <v>1931</v>
      </c>
      <c r="B5" s="126"/>
      <c r="C5" s="126"/>
      <c r="D5" s="126"/>
      <c r="E5" s="126"/>
      <c r="F5" s="126"/>
      <c r="G5" s="126"/>
      <c r="H5" s="126"/>
      <c r="I5" s="126"/>
      <c r="J5" s="126"/>
      <c r="K5" s="126"/>
      <c r="L5" s="126"/>
      <c r="M5" s="126"/>
      <c r="N5" s="126"/>
      <c r="O5" s="126"/>
    </row>
    <row r="6" spans="1:15" ht="12.75">
      <c r="A6" s="122">
        <v>1932</v>
      </c>
      <c r="B6" s="126"/>
      <c r="C6" s="126"/>
      <c r="D6" s="126"/>
      <c r="E6" s="126"/>
      <c r="F6" s="126"/>
      <c r="G6" s="126"/>
      <c r="H6" s="126"/>
      <c r="I6" s="126"/>
      <c r="J6" s="126"/>
      <c r="K6" s="126"/>
      <c r="L6" s="126"/>
      <c r="M6" s="126"/>
      <c r="N6" s="126"/>
      <c r="O6" s="126"/>
    </row>
    <row r="7" spans="1:15" ht="12.75">
      <c r="A7" s="122">
        <v>1933</v>
      </c>
      <c r="B7" s="126"/>
      <c r="C7" s="126"/>
      <c r="D7" s="126"/>
      <c r="E7" s="126"/>
      <c r="F7" s="126"/>
      <c r="G7" s="126"/>
      <c r="H7" s="126"/>
      <c r="I7" s="126"/>
      <c r="J7" s="126"/>
      <c r="K7" s="126"/>
      <c r="L7" s="126"/>
      <c r="M7" s="126"/>
      <c r="N7" s="126"/>
      <c r="O7" s="126"/>
    </row>
    <row r="8" spans="1:15" ht="12.75">
      <c r="A8" s="122">
        <v>1934</v>
      </c>
      <c r="B8" s="126"/>
      <c r="C8" s="126"/>
      <c r="D8" s="126"/>
      <c r="E8" s="126"/>
      <c r="F8" s="126"/>
      <c r="G8" s="126"/>
      <c r="H8" s="126"/>
      <c r="I8" s="126"/>
      <c r="J8" s="126"/>
      <c r="K8" s="126"/>
      <c r="L8" s="126"/>
      <c r="M8" s="126"/>
      <c r="N8" s="126"/>
      <c r="O8" s="126"/>
    </row>
    <row r="9" spans="1:15" ht="12.75">
      <c r="A9" s="122">
        <v>1935</v>
      </c>
      <c r="B9" s="126"/>
      <c r="C9" s="126"/>
      <c r="D9" s="126"/>
      <c r="E9" s="126"/>
      <c r="F9" s="126"/>
      <c r="G9" s="126"/>
      <c r="H9" s="126"/>
      <c r="I9" s="126"/>
      <c r="J9" s="126"/>
      <c r="K9" s="126"/>
      <c r="L9" s="126"/>
      <c r="M9" s="126"/>
      <c r="N9" s="126"/>
      <c r="O9" s="126"/>
    </row>
    <row r="10" spans="1:15" ht="12.75">
      <c r="A10" s="122">
        <v>1936</v>
      </c>
      <c r="B10" s="126"/>
      <c r="C10" s="126"/>
      <c r="D10" s="126"/>
      <c r="E10" s="126"/>
      <c r="F10" s="126"/>
      <c r="G10" s="126"/>
      <c r="H10" s="126"/>
      <c r="I10" s="126"/>
      <c r="J10" s="126"/>
      <c r="K10" s="126"/>
      <c r="L10" s="126"/>
      <c r="M10" s="126"/>
      <c r="N10" s="126"/>
      <c r="O10" s="126"/>
    </row>
    <row r="11" spans="1:15" ht="12.75">
      <c r="A11" s="122">
        <v>1937</v>
      </c>
      <c r="B11" s="126"/>
      <c r="C11" s="126"/>
      <c r="D11" s="126"/>
      <c r="E11" s="126"/>
      <c r="F11" s="126"/>
      <c r="G11" s="126"/>
      <c r="H11" s="126"/>
      <c r="I11" s="126"/>
      <c r="J11" s="126"/>
      <c r="K11" s="126"/>
      <c r="L11" s="126"/>
      <c r="M11" s="126"/>
      <c r="N11" s="126"/>
      <c r="O11" s="126"/>
    </row>
    <row r="12" spans="1:15" ht="12.75">
      <c r="A12" s="122">
        <v>1938</v>
      </c>
      <c r="B12" s="126"/>
      <c r="C12" s="126"/>
      <c r="D12" s="126"/>
      <c r="E12" s="126"/>
      <c r="F12" s="126"/>
      <c r="G12" s="126"/>
      <c r="H12" s="126"/>
      <c r="I12" s="126"/>
      <c r="J12" s="126"/>
      <c r="K12" s="126"/>
      <c r="L12" s="126"/>
      <c r="M12" s="126"/>
      <c r="N12" s="126"/>
      <c r="O12" s="126"/>
    </row>
    <row r="13" spans="1:15" ht="12.75">
      <c r="A13" s="122">
        <v>1939</v>
      </c>
      <c r="B13" s="126"/>
      <c r="C13" s="126"/>
      <c r="D13" s="126"/>
      <c r="E13" s="126"/>
      <c r="F13" s="126"/>
      <c r="G13" s="126"/>
      <c r="H13" s="126"/>
      <c r="I13" s="126"/>
      <c r="J13" s="126"/>
      <c r="K13" s="126"/>
      <c r="L13" s="126"/>
      <c r="M13" s="126"/>
      <c r="N13" s="126"/>
      <c r="O13" s="126"/>
    </row>
    <row r="14" spans="1:15" ht="12.75">
      <c r="A14" s="122">
        <v>1940</v>
      </c>
      <c r="B14" s="126"/>
      <c r="C14" s="126"/>
      <c r="D14" s="126"/>
      <c r="E14" s="126"/>
      <c r="F14" s="126"/>
      <c r="G14" s="126"/>
      <c r="H14" s="126"/>
      <c r="I14" s="126"/>
      <c r="J14" s="126"/>
      <c r="K14" s="126"/>
      <c r="L14" s="126"/>
      <c r="M14" s="126"/>
      <c r="N14" s="126"/>
      <c r="O14" s="126"/>
    </row>
    <row r="15" spans="1:15" ht="12.75">
      <c r="A15" s="122">
        <v>1941</v>
      </c>
      <c r="B15" s="126"/>
      <c r="C15" s="126"/>
      <c r="D15" s="126"/>
      <c r="E15" s="126"/>
      <c r="F15" s="126"/>
      <c r="G15" s="126"/>
      <c r="H15" s="126"/>
      <c r="I15" s="126"/>
      <c r="J15" s="126"/>
      <c r="K15" s="126"/>
      <c r="L15" s="126"/>
      <c r="M15" s="126"/>
      <c r="N15" s="126"/>
      <c r="O15" s="126"/>
    </row>
    <row r="16" spans="1:15" ht="12.75">
      <c r="A16" s="122">
        <v>1942</v>
      </c>
      <c r="B16" s="126"/>
      <c r="C16" s="126"/>
      <c r="D16" s="126"/>
      <c r="E16" s="126"/>
      <c r="F16" s="126"/>
      <c r="G16" s="126"/>
      <c r="H16" s="126"/>
      <c r="I16" s="126"/>
      <c r="J16" s="126"/>
      <c r="K16" s="126"/>
      <c r="L16" s="126"/>
      <c r="M16" s="126"/>
      <c r="N16" s="126"/>
      <c r="O16" s="126"/>
    </row>
    <row r="17" spans="1:15" ht="12.75">
      <c r="A17" s="122">
        <v>1943</v>
      </c>
      <c r="B17" s="126"/>
      <c r="C17" s="126"/>
      <c r="D17" s="126"/>
      <c r="E17" s="126"/>
      <c r="F17" s="126"/>
      <c r="G17" s="126"/>
      <c r="H17" s="126"/>
      <c r="I17" s="126"/>
      <c r="J17" s="126"/>
      <c r="K17" s="126"/>
      <c r="L17" s="126"/>
      <c r="M17" s="126"/>
      <c r="N17" s="126"/>
      <c r="O17" s="126"/>
    </row>
    <row r="18" spans="1:15" ht="12.75">
      <c r="A18" s="122">
        <v>1944</v>
      </c>
      <c r="B18" s="126"/>
      <c r="C18" s="126"/>
      <c r="D18" s="126"/>
      <c r="E18" s="126"/>
      <c r="F18" s="126"/>
      <c r="G18" s="126"/>
      <c r="H18" s="126"/>
      <c r="I18" s="126"/>
      <c r="J18" s="126"/>
      <c r="K18" s="126"/>
      <c r="L18" s="126"/>
      <c r="M18" s="126"/>
      <c r="N18" s="126"/>
      <c r="O18" s="126"/>
    </row>
    <row r="19" spans="1:15" ht="12.75">
      <c r="A19" s="122">
        <v>1945</v>
      </c>
      <c r="B19" s="126"/>
      <c r="C19" s="126"/>
      <c r="D19" s="126"/>
      <c r="E19" s="126"/>
      <c r="F19" s="126"/>
      <c r="G19" s="126"/>
      <c r="H19" s="126"/>
      <c r="I19" s="126"/>
      <c r="J19" s="126"/>
      <c r="K19" s="126"/>
      <c r="L19" s="126"/>
      <c r="M19" s="126"/>
      <c r="N19" s="126"/>
      <c r="O19" s="126"/>
    </row>
    <row r="20" spans="1:15" ht="12.75">
      <c r="A20" s="122">
        <v>1946</v>
      </c>
      <c r="B20" s="126"/>
      <c r="C20" s="126"/>
      <c r="D20" s="126"/>
      <c r="E20" s="126"/>
      <c r="F20" s="126"/>
      <c r="G20" s="126"/>
      <c r="H20" s="126"/>
      <c r="I20" s="126"/>
      <c r="J20" s="126"/>
      <c r="K20" s="126"/>
      <c r="L20" s="126"/>
      <c r="M20" s="126"/>
      <c r="N20" s="126"/>
      <c r="O20" s="126"/>
    </row>
    <row r="21" spans="1:15" ht="12.75">
      <c r="A21" s="122">
        <v>1947</v>
      </c>
      <c r="B21" s="126"/>
      <c r="C21" s="126"/>
      <c r="D21" s="126"/>
      <c r="E21" s="126"/>
      <c r="F21" s="126"/>
      <c r="G21" s="126"/>
      <c r="H21" s="126"/>
      <c r="I21" s="126"/>
      <c r="J21" s="126"/>
      <c r="K21" s="126"/>
      <c r="L21" s="126"/>
      <c r="M21" s="126"/>
      <c r="N21" s="126"/>
      <c r="O21" s="126"/>
    </row>
    <row r="22" spans="1:15" ht="12.75">
      <c r="A22" s="122">
        <v>1948</v>
      </c>
      <c r="B22" s="126"/>
      <c r="C22" s="126"/>
      <c r="D22" s="126"/>
      <c r="E22" s="126"/>
      <c r="F22" s="126"/>
      <c r="G22" s="126"/>
      <c r="H22" s="126"/>
      <c r="I22" s="126"/>
      <c r="J22" s="126"/>
      <c r="K22" s="126"/>
      <c r="L22" s="126"/>
      <c r="M22" s="126"/>
      <c r="N22" s="126"/>
      <c r="O22" s="126"/>
    </row>
    <row r="23" spans="1:15" ht="12.75">
      <c r="A23" s="122">
        <v>1949</v>
      </c>
      <c r="B23" s="126"/>
      <c r="C23" s="126"/>
      <c r="D23" s="126"/>
      <c r="E23" s="126"/>
      <c r="F23" s="126"/>
      <c r="G23" s="126"/>
      <c r="H23" s="126"/>
      <c r="I23" s="126"/>
      <c r="J23" s="126"/>
      <c r="K23" s="126"/>
      <c r="L23" s="126"/>
      <c r="M23" s="126"/>
      <c r="N23" s="126"/>
      <c r="O23" s="126"/>
    </row>
    <row r="24" spans="1:15" ht="12.75">
      <c r="A24" s="122">
        <v>1950</v>
      </c>
      <c r="B24" s="126"/>
      <c r="C24" s="126"/>
      <c r="D24" s="126"/>
      <c r="E24" s="126"/>
      <c r="F24" s="126"/>
      <c r="G24" s="126"/>
      <c r="H24" s="126"/>
      <c r="I24" s="126"/>
      <c r="J24" s="126"/>
      <c r="K24" s="126"/>
      <c r="L24" s="126"/>
      <c r="M24" s="126"/>
      <c r="N24" s="126"/>
      <c r="O24" s="126"/>
    </row>
    <row r="25" spans="1:15" ht="12.75">
      <c r="A25" s="122">
        <v>1951</v>
      </c>
      <c r="B25" s="126"/>
      <c r="C25" s="126"/>
      <c r="D25" s="126"/>
      <c r="E25" s="126"/>
      <c r="F25" s="126"/>
      <c r="G25" s="126"/>
      <c r="H25" s="126"/>
      <c r="I25" s="126"/>
      <c r="J25" s="126"/>
      <c r="K25" s="126"/>
      <c r="L25" s="126"/>
      <c r="M25" s="126"/>
      <c r="N25" s="126"/>
      <c r="O25" s="126"/>
    </row>
    <row r="26" spans="1:15" ht="12.75">
      <c r="A26" s="122">
        <v>1952</v>
      </c>
      <c r="B26" s="126"/>
      <c r="C26" s="126"/>
      <c r="D26" s="126"/>
      <c r="E26" s="126"/>
      <c r="F26" s="126"/>
      <c r="G26" s="126"/>
      <c r="H26" s="126"/>
      <c r="I26" s="126"/>
      <c r="J26" s="126"/>
      <c r="K26" s="126"/>
      <c r="L26" s="126"/>
      <c r="M26" s="126"/>
      <c r="N26" s="126"/>
      <c r="O26" s="126"/>
    </row>
    <row r="27" spans="1:15" ht="12.75">
      <c r="A27" s="122">
        <v>1953</v>
      </c>
      <c r="B27" s="126"/>
      <c r="C27" s="126"/>
      <c r="D27" s="126"/>
      <c r="E27" s="126"/>
      <c r="F27" s="126"/>
      <c r="G27" s="126"/>
      <c r="H27" s="126"/>
      <c r="I27" s="126"/>
      <c r="J27" s="126"/>
      <c r="K27" s="126"/>
      <c r="L27" s="126"/>
      <c r="M27" s="126"/>
      <c r="N27" s="126"/>
      <c r="O27" s="126"/>
    </row>
    <row r="28" spans="1:15" ht="12.75">
      <c r="A28" s="122">
        <v>1954</v>
      </c>
      <c r="B28" s="126"/>
      <c r="C28" s="126"/>
      <c r="D28" s="126"/>
      <c r="E28" s="126"/>
      <c r="F28" s="126"/>
      <c r="G28" s="126"/>
      <c r="H28" s="126"/>
      <c r="I28" s="126"/>
      <c r="J28" s="126"/>
      <c r="K28" s="126"/>
      <c r="L28" s="126"/>
      <c r="M28" s="126"/>
      <c r="N28" s="126"/>
      <c r="O28" s="126"/>
    </row>
    <row r="29" spans="1:15" ht="12.75">
      <c r="A29" s="122">
        <v>1955</v>
      </c>
      <c r="B29" s="126"/>
      <c r="C29" s="126"/>
      <c r="D29" s="126"/>
      <c r="E29" s="126"/>
      <c r="F29" s="126"/>
      <c r="G29" s="126"/>
      <c r="H29" s="126"/>
      <c r="I29" s="126"/>
      <c r="J29" s="126"/>
      <c r="K29" s="126"/>
      <c r="L29" s="126"/>
      <c r="M29" s="126"/>
      <c r="N29" s="126"/>
      <c r="O29" s="126"/>
    </row>
    <row r="30" spans="1:15" ht="12.75">
      <c r="A30" s="122">
        <v>1956</v>
      </c>
      <c r="B30" s="126"/>
      <c r="C30" s="126"/>
      <c r="D30" s="126"/>
      <c r="E30" s="126"/>
      <c r="F30" s="126"/>
      <c r="G30" s="126"/>
      <c r="H30" s="126"/>
      <c r="I30" s="126"/>
      <c r="J30" s="126"/>
      <c r="K30" s="126"/>
      <c r="L30" s="126"/>
      <c r="M30" s="126"/>
      <c r="N30" s="126"/>
      <c r="O30" s="126"/>
    </row>
    <row r="31" spans="1:15" ht="12.75">
      <c r="A31" s="122">
        <v>1957</v>
      </c>
      <c r="B31" s="126"/>
      <c r="C31" s="126"/>
      <c r="D31" s="126"/>
      <c r="E31" s="126"/>
      <c r="F31" s="126"/>
      <c r="G31" s="126"/>
      <c r="H31" s="126"/>
      <c r="I31" s="126"/>
      <c r="J31" s="126"/>
      <c r="K31" s="126"/>
      <c r="L31" s="126"/>
      <c r="M31" s="126"/>
      <c r="N31" s="126"/>
      <c r="O31" s="126"/>
    </row>
    <row r="32" spans="1:15" ht="12.75">
      <c r="A32" s="122">
        <v>1958</v>
      </c>
      <c r="B32" s="126"/>
      <c r="C32" s="126"/>
      <c r="D32" s="126"/>
      <c r="E32" s="126"/>
      <c r="F32" s="126"/>
      <c r="G32" s="126"/>
      <c r="H32" s="126"/>
      <c r="I32" s="126"/>
      <c r="J32" s="126"/>
      <c r="K32" s="126"/>
      <c r="L32" s="126"/>
      <c r="M32" s="126"/>
      <c r="N32" s="126"/>
      <c r="O32" s="126"/>
    </row>
    <row r="33" spans="1:15" ht="12.75">
      <c r="A33" s="122">
        <v>1959</v>
      </c>
      <c r="B33" s="126"/>
      <c r="C33" s="126"/>
      <c r="D33" s="126"/>
      <c r="E33" s="126"/>
      <c r="F33" s="126"/>
      <c r="G33" s="126"/>
      <c r="H33" s="126"/>
      <c r="I33" s="126"/>
      <c r="J33" s="126"/>
      <c r="K33" s="126"/>
      <c r="L33" s="126"/>
      <c r="M33" s="126"/>
      <c r="N33" s="126"/>
      <c r="O33" s="126"/>
    </row>
    <row r="34" spans="1:15" ht="12.75">
      <c r="A34" s="122">
        <v>1960</v>
      </c>
      <c r="B34" s="126"/>
      <c r="C34" s="126"/>
      <c r="D34" s="126"/>
      <c r="E34" s="126"/>
      <c r="F34" s="126"/>
      <c r="G34" s="126"/>
      <c r="H34" s="126"/>
      <c r="I34" s="126"/>
      <c r="J34" s="126"/>
      <c r="K34" s="126"/>
      <c r="L34" s="126"/>
      <c r="M34" s="126"/>
      <c r="N34" s="126"/>
      <c r="O34" s="126"/>
    </row>
    <row r="35" spans="1:15" ht="12.75">
      <c r="A35" s="122">
        <v>1961</v>
      </c>
      <c r="B35" s="126"/>
      <c r="C35" s="126"/>
      <c r="D35" s="126"/>
      <c r="E35" s="126"/>
      <c r="F35" s="126"/>
      <c r="G35" s="126"/>
      <c r="H35" s="126"/>
      <c r="I35" s="126"/>
      <c r="J35" s="126"/>
      <c r="K35" s="126"/>
      <c r="L35" s="126"/>
      <c r="M35" s="126"/>
      <c r="N35" s="126"/>
      <c r="O35" s="126"/>
    </row>
    <row r="36" spans="1:15" ht="12.75">
      <c r="A36" s="122">
        <v>1962</v>
      </c>
      <c r="B36" s="126"/>
      <c r="C36" s="126"/>
      <c r="D36" s="126"/>
      <c r="E36" s="126"/>
      <c r="F36" s="126"/>
      <c r="G36" s="126"/>
      <c r="H36" s="126"/>
      <c r="I36" s="126"/>
      <c r="J36" s="126"/>
      <c r="K36" s="126"/>
      <c r="L36" s="126"/>
      <c r="M36" s="126"/>
      <c r="N36" s="126"/>
      <c r="O36" s="126"/>
    </row>
    <row r="37" spans="1:15" ht="12.75">
      <c r="A37" s="122">
        <v>1963</v>
      </c>
      <c r="B37" s="126"/>
      <c r="C37" s="126"/>
      <c r="D37" s="126"/>
      <c r="E37" s="126"/>
      <c r="F37" s="126"/>
      <c r="G37" s="126"/>
      <c r="H37" s="126"/>
      <c r="I37" s="126"/>
      <c r="J37" s="126"/>
      <c r="K37" s="126"/>
      <c r="L37" s="126"/>
      <c r="M37" s="126"/>
      <c r="N37" s="126"/>
      <c r="O37" s="126"/>
    </row>
    <row r="38" spans="1:15" ht="12.75">
      <c r="A38" s="122">
        <v>1964</v>
      </c>
      <c r="B38" s="126"/>
      <c r="C38" s="126"/>
      <c r="D38" s="126"/>
      <c r="E38" s="126"/>
      <c r="F38" s="126"/>
      <c r="G38" s="126"/>
      <c r="H38" s="126"/>
      <c r="I38" s="126"/>
      <c r="J38" s="126"/>
      <c r="K38" s="126"/>
      <c r="L38" s="126"/>
      <c r="M38" s="126"/>
      <c r="N38" s="126"/>
      <c r="O38" s="126"/>
    </row>
    <row r="39" spans="1:15" ht="12.75">
      <c r="A39" s="122">
        <v>1965</v>
      </c>
      <c r="B39" s="126"/>
      <c r="C39" s="126"/>
      <c r="D39" s="126"/>
      <c r="E39" s="126"/>
      <c r="F39" s="126"/>
      <c r="G39" s="126"/>
      <c r="H39" s="126"/>
      <c r="I39" s="126"/>
      <c r="J39" s="126"/>
      <c r="K39" s="126"/>
      <c r="L39" s="126"/>
      <c r="M39" s="126"/>
      <c r="N39" s="126"/>
      <c r="O39" s="126"/>
    </row>
    <row r="40" spans="1:15" ht="12.75">
      <c r="A40" s="122">
        <v>1966</v>
      </c>
      <c r="B40" s="126"/>
      <c r="C40" s="126"/>
      <c r="D40" s="126"/>
      <c r="E40" s="126"/>
      <c r="F40" s="126"/>
      <c r="G40" s="126"/>
      <c r="H40" s="126"/>
      <c r="I40" s="126"/>
      <c r="J40" s="126"/>
      <c r="K40" s="126"/>
      <c r="L40" s="126"/>
      <c r="M40" s="126"/>
      <c r="N40" s="126"/>
      <c r="O40" s="126"/>
    </row>
    <row r="41" spans="1:15" ht="12.75">
      <c r="A41" s="122">
        <v>1967</v>
      </c>
      <c r="B41" s="126"/>
      <c r="C41" s="126"/>
      <c r="D41" s="126"/>
      <c r="E41" s="126"/>
      <c r="F41" s="126"/>
      <c r="G41" s="126"/>
      <c r="H41" s="126"/>
      <c r="I41" s="126"/>
      <c r="J41" s="126"/>
      <c r="K41" s="126"/>
      <c r="L41" s="126"/>
      <c r="M41" s="126"/>
      <c r="N41" s="126"/>
      <c r="O41" s="126"/>
    </row>
    <row r="42" spans="1:15" ht="12.75">
      <c r="A42" s="122">
        <v>1968</v>
      </c>
      <c r="B42" s="126"/>
      <c r="C42" s="126"/>
      <c r="D42" s="126"/>
      <c r="E42" s="126"/>
      <c r="F42" s="126"/>
      <c r="G42" s="126"/>
      <c r="H42" s="126"/>
      <c r="I42" s="126"/>
      <c r="J42" s="126"/>
      <c r="K42" s="126"/>
      <c r="L42" s="126"/>
      <c r="M42" s="126"/>
      <c r="N42" s="126"/>
      <c r="O42" s="126"/>
    </row>
    <row r="43" spans="1:15" ht="12.75">
      <c r="A43" s="122">
        <v>1969</v>
      </c>
      <c r="B43" s="126"/>
      <c r="C43" s="126"/>
      <c r="D43" s="126"/>
      <c r="E43" s="126"/>
      <c r="F43" s="126"/>
      <c r="G43" s="126"/>
      <c r="H43" s="126"/>
      <c r="I43" s="126"/>
      <c r="J43" s="126"/>
      <c r="K43" s="126"/>
      <c r="L43" s="126"/>
      <c r="M43" s="126"/>
      <c r="N43" s="126"/>
      <c r="O43" s="126"/>
    </row>
    <row r="44" spans="1:15" ht="12.75">
      <c r="A44" s="122">
        <v>1970</v>
      </c>
      <c r="B44" s="126"/>
      <c r="C44" s="126"/>
      <c r="D44" s="126"/>
      <c r="E44" s="126"/>
      <c r="F44" s="126"/>
      <c r="G44" s="126"/>
      <c r="H44" s="126"/>
      <c r="I44" s="126"/>
      <c r="J44" s="126"/>
      <c r="K44" s="126"/>
      <c r="L44" s="126"/>
      <c r="M44" s="126"/>
      <c r="N44" s="126"/>
      <c r="O44" s="126"/>
    </row>
    <row r="45" spans="1:15" ht="12.75">
      <c r="A45" s="122">
        <v>1971</v>
      </c>
      <c r="B45" s="126"/>
      <c r="C45" s="126"/>
      <c r="D45" s="126"/>
      <c r="E45" s="126"/>
      <c r="F45" s="126"/>
      <c r="G45" s="126"/>
      <c r="H45" s="126"/>
      <c r="I45" s="126"/>
      <c r="J45" s="126"/>
      <c r="K45" s="126"/>
      <c r="L45" s="126"/>
      <c r="M45" s="126"/>
      <c r="N45" s="126"/>
      <c r="O45" s="126"/>
    </row>
    <row r="46" spans="1:15" ht="12.75">
      <c r="A46" s="122">
        <v>1972</v>
      </c>
      <c r="B46" s="126"/>
      <c r="C46" s="126"/>
      <c r="D46" s="126"/>
      <c r="E46" s="126"/>
      <c r="F46" s="126"/>
      <c r="G46" s="126"/>
      <c r="H46" s="126"/>
      <c r="I46" s="126"/>
      <c r="J46" s="126"/>
      <c r="K46" s="126"/>
      <c r="L46" s="126"/>
      <c r="M46" s="126"/>
      <c r="N46" s="126"/>
      <c r="O46" s="126"/>
    </row>
    <row r="47" spans="1:15" ht="12.75">
      <c r="A47" s="122">
        <v>1973</v>
      </c>
      <c r="B47" s="126"/>
      <c r="C47" s="126"/>
      <c r="D47" s="126"/>
      <c r="E47" s="126"/>
      <c r="F47" s="126"/>
      <c r="G47" s="126"/>
      <c r="H47" s="126"/>
      <c r="I47" s="126"/>
      <c r="J47" s="126"/>
      <c r="K47" s="126"/>
      <c r="L47" s="126"/>
      <c r="M47" s="126"/>
      <c r="N47" s="126"/>
      <c r="O47" s="126"/>
    </row>
    <row r="48" spans="1:15" ht="12.75">
      <c r="A48" s="122">
        <v>1974</v>
      </c>
      <c r="B48" s="126"/>
      <c r="C48" s="126"/>
      <c r="D48" s="126"/>
      <c r="E48" s="126"/>
      <c r="F48" s="126"/>
      <c r="G48" s="126"/>
      <c r="H48" s="126"/>
      <c r="I48" s="126"/>
      <c r="J48" s="126"/>
      <c r="K48" s="126"/>
      <c r="L48" s="126"/>
      <c r="M48" s="126"/>
      <c r="N48" s="126"/>
      <c r="O48" s="126"/>
    </row>
    <row r="49" spans="1:15" ht="12.75">
      <c r="A49" s="122">
        <v>1975</v>
      </c>
      <c r="B49" s="126"/>
      <c r="C49" s="126"/>
      <c r="D49" s="126"/>
      <c r="E49" s="126"/>
      <c r="F49" s="126"/>
      <c r="G49" s="126"/>
      <c r="H49" s="126"/>
      <c r="I49" s="126"/>
      <c r="J49" s="126"/>
      <c r="K49" s="126"/>
      <c r="L49" s="126"/>
      <c r="M49" s="126"/>
      <c r="N49" s="126"/>
      <c r="O49" s="126"/>
    </row>
    <row r="50" spans="1:15" ht="12.75">
      <c r="A50" s="122">
        <v>1976</v>
      </c>
      <c r="B50" s="126"/>
      <c r="C50" s="126"/>
      <c r="D50" s="126"/>
      <c r="E50" s="126"/>
      <c r="F50" s="126"/>
      <c r="G50" s="126"/>
      <c r="H50" s="126"/>
      <c r="I50" s="126"/>
      <c r="J50" s="126"/>
      <c r="K50" s="126"/>
      <c r="L50" s="126"/>
      <c r="M50" s="126"/>
      <c r="N50" s="126"/>
      <c r="O50" s="126"/>
    </row>
    <row r="51" spans="1:15" ht="12.75">
      <c r="A51" s="122">
        <v>1977</v>
      </c>
      <c r="B51" s="126"/>
      <c r="C51" s="126"/>
      <c r="D51" s="126"/>
      <c r="E51" s="126"/>
      <c r="F51" s="126"/>
      <c r="G51" s="126"/>
      <c r="H51" s="126"/>
      <c r="I51" s="126"/>
      <c r="J51" s="126"/>
      <c r="K51" s="126"/>
      <c r="L51" s="126"/>
      <c r="M51" s="126"/>
      <c r="N51" s="126"/>
      <c r="O51" s="126"/>
    </row>
    <row r="52" spans="1:15" ht="12.75">
      <c r="A52" s="122">
        <v>1978</v>
      </c>
      <c r="B52" s="126"/>
      <c r="C52" s="126"/>
      <c r="D52" s="126"/>
      <c r="E52" s="126"/>
      <c r="F52" s="126"/>
      <c r="G52" s="126"/>
      <c r="H52" s="126"/>
      <c r="I52" s="126"/>
      <c r="J52" s="126"/>
      <c r="K52" s="126"/>
      <c r="L52" s="126"/>
      <c r="M52" s="126"/>
      <c r="N52" s="126"/>
      <c r="O52" s="126"/>
    </row>
  </sheetData>
  <mergeCells count="1">
    <mergeCell ref="A1:N1"/>
  </mergeCells>
  <printOptions/>
  <pageMargins left="0.75" right="0.75" top="1" bottom="1" header="0.5" footer="0.5"/>
  <pageSetup fitToHeight="1" fitToWidth="1" horizontalDpi="300" verticalDpi="300" orientation="portrait" scale="70" r:id="rId3"/>
  <headerFooter alignWithMargins="0">
    <oddFooter>&amp;LSlice Cost Shift Study&amp;R'02 Rate Case</oddFooter>
  </headerFooter>
  <legacyDrawing r:id="rId2"/>
</worksheet>
</file>

<file path=xl/worksheets/sheet15.xml><?xml version="1.0" encoding="utf-8"?>
<worksheet xmlns="http://schemas.openxmlformats.org/spreadsheetml/2006/main" xmlns:r="http://schemas.openxmlformats.org/officeDocument/2006/relationships">
  <sheetPr codeName="Sheet5">
    <pageSetUpPr fitToPage="1"/>
  </sheetPr>
  <dimension ref="A1:S106"/>
  <sheetViews>
    <sheetView tabSelected="1" zoomScale="75" zoomScaleNormal="75" workbookViewId="0" topLeftCell="A1">
      <selection activeCell="B3" sqref="B3"/>
    </sheetView>
  </sheetViews>
  <sheetFormatPr defaultColWidth="9.33203125" defaultRowHeight="12.75"/>
  <cols>
    <col min="1" max="1" width="8.83203125" style="2" customWidth="1"/>
    <col min="16" max="16" width="10.33203125" style="0" bestFit="1" customWidth="1"/>
    <col min="19" max="19" width="10.33203125" style="0" bestFit="1" customWidth="1"/>
  </cols>
  <sheetData>
    <row r="1" spans="1:16" ht="12.75">
      <c r="A1" s="237" t="s">
        <v>191</v>
      </c>
      <c r="B1" s="237"/>
      <c r="C1" s="237"/>
      <c r="D1" s="237"/>
      <c r="E1" s="237"/>
      <c r="F1" s="237"/>
      <c r="G1" s="237"/>
      <c r="H1" s="237"/>
      <c r="I1" s="237"/>
      <c r="J1" s="237"/>
      <c r="K1" s="237"/>
      <c r="L1" s="237"/>
      <c r="M1" s="237"/>
      <c r="N1" s="237"/>
      <c r="O1" s="237"/>
      <c r="P1" s="237"/>
    </row>
    <row r="2" spans="1:19" s="2" customFormat="1" ht="38.25">
      <c r="A2" s="145" t="s">
        <v>0</v>
      </c>
      <c r="B2" s="146" t="s">
        <v>1</v>
      </c>
      <c r="C2" s="146" t="s">
        <v>2</v>
      </c>
      <c r="D2" s="146" t="s">
        <v>3</v>
      </c>
      <c r="E2" s="146" t="s">
        <v>4</v>
      </c>
      <c r="F2" s="146" t="s">
        <v>5</v>
      </c>
      <c r="G2" s="146" t="s">
        <v>6</v>
      </c>
      <c r="H2" s="146" t="s">
        <v>7</v>
      </c>
      <c r="I2" s="146" t="s">
        <v>8</v>
      </c>
      <c r="J2" s="146" t="s">
        <v>9</v>
      </c>
      <c r="K2" s="146" t="s">
        <v>10</v>
      </c>
      <c r="L2" s="146" t="s">
        <v>11</v>
      </c>
      <c r="M2" s="146" t="s">
        <v>12</v>
      </c>
      <c r="N2" s="146" t="s">
        <v>13</v>
      </c>
      <c r="O2" s="146" t="s">
        <v>14</v>
      </c>
      <c r="P2" s="150" t="s">
        <v>61</v>
      </c>
      <c r="Q2" s="128"/>
      <c r="R2" s="128" t="s">
        <v>186</v>
      </c>
      <c r="S2" s="153">
        <v>0</v>
      </c>
    </row>
    <row r="3" spans="1:18" ht="12.75">
      <c r="A3" s="128">
        <v>1929</v>
      </c>
      <c r="B3" s="130">
        <f>(1-Losses)*('HLH Hyd Gen'!B3+Thermal!B$6+'Fed Hyd Ini'!B3)-'System Obligations'!B$33</f>
        <v>11699.236249848764</v>
      </c>
      <c r="C3" s="130">
        <f>(1-Losses)*('HLH Hyd Gen'!C3+Thermal!C$6+'Fed Hyd Ini'!C3)-'System Obligations'!C$33</f>
        <v>8235.59133042432</v>
      </c>
      <c r="D3" s="130">
        <f>(1-Losses)*('HLH Hyd Gen'!D3+Thermal!D$6+'Fed Hyd Ini'!D3)-'System Obligations'!D$33</f>
        <v>7608.948625636609</v>
      </c>
      <c r="E3" s="130">
        <f>(1-Losses)*('HLH Hyd Gen'!E3+Thermal!E$6+'Fed Hyd Ini'!E3)-'System Obligations'!E$33</f>
        <v>8833.973033871334</v>
      </c>
      <c r="F3" s="130">
        <f>(1-Losses)*('HLH Hyd Gen'!F3+Thermal!F$6+'Fed Hyd Ini'!F3)-'System Obligations'!F$33</f>
        <v>7094.607920274775</v>
      </c>
      <c r="G3" s="130">
        <f>(1-Losses)*('HLH Hyd Gen'!G3+Thermal!G$6+'Fed Hyd Ini'!G3)-'System Obligations'!G$33</f>
        <v>9121.629824418898</v>
      </c>
      <c r="H3" s="130">
        <f>(1-Losses)*('HLH Hyd Gen'!H3+Thermal!H$6+'Fed Hyd Ini'!H3)-'System Obligations'!H$33</f>
        <v>7348.971837722099</v>
      </c>
      <c r="I3" s="130">
        <f>(1-Losses)*('HLH Hyd Gen'!I3+Thermal!I$6+'Fed Hyd Ini'!I3)-'System Obligations'!I$33</f>
        <v>8550.173420404077</v>
      </c>
      <c r="J3" s="130">
        <f>(1-Losses)*('HLH Hyd Gen'!J3+Thermal!J$6+'Fed Hyd Ini'!J3)-'System Obligations'!J$33</f>
        <v>7080.138736785709</v>
      </c>
      <c r="K3" s="130">
        <f>(1-Losses)*('HLH Hyd Gen'!K3+Thermal!K$6+'Fed Hyd Ini'!K3)-'System Obligations'!K$33</f>
        <v>6641.67222765262</v>
      </c>
      <c r="L3" s="130">
        <f>(1-Losses)*('HLH Hyd Gen'!L3+Thermal!L$6+'Fed Hyd Ini'!L3)-'System Obligations'!L$33</f>
        <v>8913.66263025035</v>
      </c>
      <c r="M3" s="130">
        <f>(1-Losses)*('HLH Hyd Gen'!M3+Thermal!M$6+'Fed Hyd Ini'!M3)-'System Obligations'!M$33</f>
        <v>8107.8520209430435</v>
      </c>
      <c r="N3" s="130">
        <f>(1-Losses)*('HLH Hyd Gen'!N3+Thermal!N$6+'Fed Hyd Ini'!N3)-'System Obligations'!N$33</f>
        <v>10698.313122904929</v>
      </c>
      <c r="O3" s="130">
        <f>(1-Losses)*('HLH Hyd Gen'!O3+Thermal!O$6+'Fed Hyd Ini'!O3)-'System Obligations'!O$33</f>
        <v>8973.73208134493</v>
      </c>
      <c r="P3" s="131">
        <f>SUMPRODUCT(B3:O3,'HLH-LLH Loads'!$N$4:$AA$4)</f>
        <v>42196472.044570714</v>
      </c>
      <c r="Q3" s="131"/>
      <c r="R3" s="131"/>
    </row>
    <row r="4" spans="1:18" ht="12.75">
      <c r="A4" s="128">
        <v>1930</v>
      </c>
      <c r="B4" s="130">
        <f>(1-Losses)*('HLH Hyd Gen'!B4+Thermal!B$6+'Fed Hyd Ini'!B4)-'System Obligations'!B$33</f>
        <v>8149.892070592202</v>
      </c>
      <c r="C4" s="130">
        <f>(1-Losses)*('HLH Hyd Gen'!C4+Thermal!C$6+'Fed Hyd Ini'!C4)-'System Obligations'!C$33</f>
        <v>7731.896593577647</v>
      </c>
      <c r="D4" s="130">
        <f>(1-Losses)*('HLH Hyd Gen'!D4+Thermal!D$6+'Fed Hyd Ini'!D4)-'System Obligations'!D$33</f>
        <v>7666.651255447154</v>
      </c>
      <c r="E4" s="130">
        <f>(1-Losses)*('HLH Hyd Gen'!E4+Thermal!E$6+'Fed Hyd Ini'!E4)-'System Obligations'!E$33</f>
        <v>8034.962566940163</v>
      </c>
      <c r="F4" s="130">
        <f>(1-Losses)*('HLH Hyd Gen'!F4+Thermal!F$6+'Fed Hyd Ini'!F4)-'System Obligations'!F$33</f>
        <v>8040.3662027767305</v>
      </c>
      <c r="G4" s="130">
        <f>(1-Losses)*('HLH Hyd Gen'!G4+Thermal!G$6+'Fed Hyd Ini'!G4)-'System Obligations'!G$33</f>
        <v>9389.507704252064</v>
      </c>
      <c r="H4" s="130">
        <f>(1-Losses)*('HLH Hyd Gen'!H4+Thermal!H$6+'Fed Hyd Ini'!H4)-'System Obligations'!H$33</f>
        <v>7427.870127151063</v>
      </c>
      <c r="I4" s="130">
        <f>(1-Losses)*('HLH Hyd Gen'!I4+Thermal!I$6+'Fed Hyd Ini'!I4)-'System Obligations'!I$33</f>
        <v>7866.284235369421</v>
      </c>
      <c r="J4" s="130">
        <f>(1-Losses)*('HLH Hyd Gen'!J4+Thermal!J$6+'Fed Hyd Ini'!J4)-'System Obligations'!J$33</f>
        <v>6777.110159980915</v>
      </c>
      <c r="K4" s="130">
        <f>(1-Losses)*('HLH Hyd Gen'!K4+Thermal!K$6+'Fed Hyd Ini'!K4)-'System Obligations'!K$33</f>
        <v>8210.809418135734</v>
      </c>
      <c r="L4" s="130">
        <f>(1-Losses)*('HLH Hyd Gen'!L4+Thermal!L$6+'Fed Hyd Ini'!L4)-'System Obligations'!L$33</f>
        <v>12367.240471028963</v>
      </c>
      <c r="M4" s="130">
        <f>(1-Losses)*('HLH Hyd Gen'!M4+Thermal!M$6+'Fed Hyd Ini'!M4)-'System Obligations'!M$33</f>
        <v>7439.879362555178</v>
      </c>
      <c r="N4" s="130">
        <f>(1-Losses)*('HLH Hyd Gen'!N4+Thermal!N$6+'Fed Hyd Ini'!N4)-'System Obligations'!N$33</f>
        <v>7854.784722610412</v>
      </c>
      <c r="O4" s="130">
        <f>(1-Losses)*('HLH Hyd Gen'!O4+Thermal!O$6+'Fed Hyd Ini'!O4)-'System Obligations'!O$33</f>
        <v>9415.37902702876</v>
      </c>
      <c r="P4" s="131">
        <f>SUMPRODUCT(B4:O4,'HLH-LLH Loads'!$N$4:$AA$4)</f>
        <v>40914303.34423437</v>
      </c>
      <c r="Q4" s="131"/>
      <c r="R4" s="131"/>
    </row>
    <row r="5" spans="1:18" ht="12.75">
      <c r="A5" s="128">
        <v>1931</v>
      </c>
      <c r="B5" s="130">
        <f>(1-Losses)*('HLH Hyd Gen'!B5+Thermal!B$6+'Fed Hyd Ini'!B5)-'System Obligations'!B$33</f>
        <v>9088.060331554627</v>
      </c>
      <c r="C5" s="130">
        <f>(1-Losses)*('HLH Hyd Gen'!C5+Thermal!C$6+'Fed Hyd Ini'!C5)-'System Obligations'!C$33</f>
        <v>8280.074583437681</v>
      </c>
      <c r="D5" s="130">
        <f>(1-Losses)*('HLH Hyd Gen'!D5+Thermal!D$6+'Fed Hyd Ini'!D5)-'System Obligations'!D$33</f>
        <v>7017.699359713382</v>
      </c>
      <c r="E5" s="130">
        <f>(1-Losses)*('HLH Hyd Gen'!E5+Thermal!E$6+'Fed Hyd Ini'!E5)-'System Obligations'!E$33</f>
        <v>7858.153955997512</v>
      </c>
      <c r="F5" s="130">
        <f>(1-Losses)*('HLH Hyd Gen'!F5+Thermal!F$6+'Fed Hyd Ini'!F5)-'System Obligations'!F$33</f>
        <v>8135.153991903183</v>
      </c>
      <c r="G5" s="130">
        <f>(1-Losses)*('HLH Hyd Gen'!G5+Thermal!G$6+'Fed Hyd Ini'!G5)-'System Obligations'!G$33</f>
        <v>9772.269049523558</v>
      </c>
      <c r="H5" s="130">
        <f>(1-Losses)*('HLH Hyd Gen'!H5+Thermal!H$6+'Fed Hyd Ini'!H5)-'System Obligations'!H$33</f>
        <v>6429.758780356459</v>
      </c>
      <c r="I5" s="130">
        <f>(1-Losses)*('HLH Hyd Gen'!I5+Thermal!I$6+'Fed Hyd Ini'!I5)-'System Obligations'!I$33</f>
        <v>6323.845623044806</v>
      </c>
      <c r="J5" s="130">
        <f>(1-Losses)*('HLH Hyd Gen'!J5+Thermal!J$6+'Fed Hyd Ini'!J5)-'System Obligations'!J$33</f>
        <v>6739.4618343246475</v>
      </c>
      <c r="K5" s="130">
        <f>(1-Losses)*('HLH Hyd Gen'!K5+Thermal!K$6+'Fed Hyd Ini'!K5)-'System Obligations'!K$33</f>
        <v>9625.8348871509</v>
      </c>
      <c r="L5" s="130">
        <f>(1-Losses)*('HLH Hyd Gen'!L5+Thermal!L$6+'Fed Hyd Ini'!L5)-'System Obligations'!L$33</f>
        <v>8023.4707256477</v>
      </c>
      <c r="M5" s="130">
        <f>(1-Losses)*('HLH Hyd Gen'!M5+Thermal!M$6+'Fed Hyd Ini'!M5)-'System Obligations'!M$33</f>
        <v>11043.247438713064</v>
      </c>
      <c r="N5" s="130">
        <f>(1-Losses)*('HLH Hyd Gen'!N5+Thermal!N$6+'Fed Hyd Ini'!N5)-'System Obligations'!N$33</f>
        <v>8596.975198959854</v>
      </c>
      <c r="O5" s="130">
        <f>(1-Losses)*('HLH Hyd Gen'!O5+Thermal!O$6+'Fed Hyd Ini'!O5)-'System Obligations'!O$33</f>
        <v>9733.780129741564</v>
      </c>
      <c r="P5" s="131">
        <f>SUMPRODUCT(B5:O5,'HLH-LLH Loads'!$N$4:$AA$4)</f>
        <v>41413675.56454563</v>
      </c>
      <c r="Q5" s="131"/>
      <c r="R5" s="131"/>
    </row>
    <row r="6" spans="1:18" ht="12.75">
      <c r="A6" s="128">
        <v>1932</v>
      </c>
      <c r="B6" s="130">
        <f>(1-Losses)*('HLH Hyd Gen'!B6+Thermal!B$6+'Fed Hyd Ini'!B6)-'System Obligations'!B$33</f>
        <v>8442.993963250585</v>
      </c>
      <c r="C6" s="130">
        <f>(1-Losses)*('HLH Hyd Gen'!C6+Thermal!C$6+'Fed Hyd Ini'!C6)-'System Obligations'!C$33</f>
        <v>7376.424546353845</v>
      </c>
      <c r="D6" s="130">
        <f>(1-Losses)*('HLH Hyd Gen'!D6+Thermal!D$6+'Fed Hyd Ini'!D6)-'System Obligations'!D$33</f>
        <v>6897.572871065702</v>
      </c>
      <c r="E6" s="130">
        <f>(1-Losses)*('HLH Hyd Gen'!E6+Thermal!E$6+'Fed Hyd Ini'!E6)-'System Obligations'!E$33</f>
        <v>7999.991316802652</v>
      </c>
      <c r="F6" s="130">
        <f>(1-Losses)*('HLH Hyd Gen'!F6+Thermal!F$6+'Fed Hyd Ini'!F6)-'System Obligations'!F$33</f>
        <v>8024.102267966585</v>
      </c>
      <c r="G6" s="130">
        <f>(1-Losses)*('HLH Hyd Gen'!G6+Thermal!G$6+'Fed Hyd Ini'!G6)-'System Obligations'!G$33</f>
        <v>8650.448246535769</v>
      </c>
      <c r="H6" s="130">
        <f>(1-Losses)*('HLH Hyd Gen'!H6+Thermal!H$6+'Fed Hyd Ini'!H6)-'System Obligations'!H$33</f>
        <v>6545.081224310409</v>
      </c>
      <c r="I6" s="130">
        <f>(1-Losses)*('HLH Hyd Gen'!I6+Thermal!I$6+'Fed Hyd Ini'!I6)-'System Obligations'!I$33</f>
        <v>8093.937770622153</v>
      </c>
      <c r="J6" s="130">
        <f>(1-Losses)*('HLH Hyd Gen'!J6+Thermal!J$6+'Fed Hyd Ini'!J6)-'System Obligations'!J$33</f>
        <v>10893.382786568598</v>
      </c>
      <c r="K6" s="130">
        <f>(1-Losses)*('HLH Hyd Gen'!K6+Thermal!K$6+'Fed Hyd Ini'!K6)-'System Obligations'!K$33</f>
        <v>14165.18077614001</v>
      </c>
      <c r="L6" s="130">
        <f>(1-Losses)*('HLH Hyd Gen'!L6+Thermal!L$6+'Fed Hyd Ini'!L6)-'System Obligations'!L$33</f>
        <v>12922.507706734696</v>
      </c>
      <c r="M6" s="130">
        <f>(1-Losses)*('HLH Hyd Gen'!M6+Thermal!M$6+'Fed Hyd Ini'!M6)-'System Obligations'!M$33</f>
        <v>13788.562658289193</v>
      </c>
      <c r="N6" s="130">
        <f>(1-Losses)*('HLH Hyd Gen'!N6+Thermal!N$6+'Fed Hyd Ini'!N6)-'System Obligations'!N$33</f>
        <v>13703.858935111166</v>
      </c>
      <c r="O6" s="130">
        <f>(1-Losses)*('HLH Hyd Gen'!O6+Thermal!O$6+'Fed Hyd Ini'!O6)-'System Obligations'!O$33</f>
        <v>11179.134985963528</v>
      </c>
      <c r="P6" s="131">
        <f>SUMPRODUCT(B6:O6,'HLH-LLH Loads'!$N$4:$AA$4)</f>
        <v>48899530.96711194</v>
      </c>
      <c r="Q6" s="131"/>
      <c r="R6" s="131"/>
    </row>
    <row r="7" spans="1:18" ht="12.75">
      <c r="A7" s="128">
        <v>1933</v>
      </c>
      <c r="B7" s="130">
        <f>(1-Losses)*('HLH Hyd Gen'!B7+Thermal!B$6+'Fed Hyd Ini'!B7)-'System Obligations'!B$33</f>
        <v>9560.848856302911</v>
      </c>
      <c r="C7" s="130">
        <f>(1-Losses)*('HLH Hyd Gen'!C7+Thermal!C$6+'Fed Hyd Ini'!C7)-'System Obligations'!C$33</f>
        <v>8833.313246688898</v>
      </c>
      <c r="D7" s="130">
        <f>(1-Losses)*('HLH Hyd Gen'!D7+Thermal!D$6+'Fed Hyd Ini'!D7)-'System Obligations'!D$33</f>
        <v>8052.656376690837</v>
      </c>
      <c r="E7" s="130">
        <f>(1-Losses)*('HLH Hyd Gen'!E7+Thermal!E$6+'Fed Hyd Ini'!E7)-'System Obligations'!E$33</f>
        <v>8936.493603102295</v>
      </c>
      <c r="F7" s="130">
        <f>(1-Losses)*('HLH Hyd Gen'!F7+Thermal!F$6+'Fed Hyd Ini'!F7)-'System Obligations'!F$33</f>
        <v>7763.750474346966</v>
      </c>
      <c r="G7" s="130">
        <f>(1-Losses)*('HLH Hyd Gen'!G7+Thermal!G$6+'Fed Hyd Ini'!G7)-'System Obligations'!G$33</f>
        <v>9470.077197936169</v>
      </c>
      <c r="H7" s="130">
        <f>(1-Losses)*('HLH Hyd Gen'!H7+Thermal!H$6+'Fed Hyd Ini'!H7)-'System Obligations'!H$33</f>
        <v>14633.620502894259</v>
      </c>
      <c r="I7" s="130">
        <f>(1-Losses)*('HLH Hyd Gen'!I7+Thermal!I$6+'Fed Hyd Ini'!I7)-'System Obligations'!I$33</f>
        <v>11754.755049883473</v>
      </c>
      <c r="J7" s="130">
        <f>(1-Losses)*('HLH Hyd Gen'!J7+Thermal!J$6+'Fed Hyd Ini'!J7)-'System Obligations'!J$33</f>
        <v>8270.042490926202</v>
      </c>
      <c r="K7" s="130">
        <f>(1-Losses)*('HLH Hyd Gen'!K7+Thermal!K$6+'Fed Hyd Ini'!K7)-'System Obligations'!K$33</f>
        <v>11653.521973904963</v>
      </c>
      <c r="L7" s="130">
        <f>(1-Losses)*('HLH Hyd Gen'!L7+Thermal!L$6+'Fed Hyd Ini'!L7)-'System Obligations'!L$33</f>
        <v>9000.2210356841</v>
      </c>
      <c r="M7" s="130">
        <f>(1-Losses)*('HLH Hyd Gen'!M7+Thermal!M$6+'Fed Hyd Ini'!M7)-'System Obligations'!M$33</f>
        <v>11716.792767076646</v>
      </c>
      <c r="N7" s="130">
        <f>(1-Losses)*('HLH Hyd Gen'!N7+Thermal!N$6+'Fed Hyd Ini'!N7)-'System Obligations'!N$33</f>
        <v>15805.649821536554</v>
      </c>
      <c r="O7" s="130">
        <f>(1-Losses)*('HLH Hyd Gen'!O7+Thermal!O$6+'Fed Hyd Ini'!O7)-'System Obligations'!O$33</f>
        <v>13193.592505344399</v>
      </c>
      <c r="P7" s="131">
        <f>SUMPRODUCT(B7:O7,'HLH-LLH Loads'!$N$4:$AA$4)</f>
        <v>53847147.26289038</v>
      </c>
      <c r="Q7" s="131"/>
      <c r="R7" s="131"/>
    </row>
    <row r="8" spans="1:18" ht="12.75">
      <c r="A8" s="128">
        <v>1934</v>
      </c>
      <c r="B8" s="130">
        <f>(1-Losses)*('HLH Hyd Gen'!B8+Thermal!B$6+'Fed Hyd Ini'!B8)-'System Obligations'!B$33</f>
        <v>11590.930903721117</v>
      </c>
      <c r="C8" s="130">
        <f>(1-Losses)*('HLH Hyd Gen'!C8+Thermal!C$6+'Fed Hyd Ini'!C8)-'System Obligations'!C$33</f>
        <v>11705.03015191646</v>
      </c>
      <c r="D8" s="130">
        <f>(1-Losses)*('HLH Hyd Gen'!D8+Thermal!D$6+'Fed Hyd Ini'!D8)-'System Obligations'!D$33</f>
        <v>8747.83594246177</v>
      </c>
      <c r="E8" s="130">
        <f>(1-Losses)*('HLH Hyd Gen'!E8+Thermal!E$6+'Fed Hyd Ini'!E8)-'System Obligations'!E$33</f>
        <v>10518.355003099095</v>
      </c>
      <c r="F8" s="130">
        <f>(1-Losses)*('HLH Hyd Gen'!F8+Thermal!F$6+'Fed Hyd Ini'!F8)-'System Obligations'!F$33</f>
        <v>10538.193960760673</v>
      </c>
      <c r="G8" s="130">
        <f>(1-Losses)*('HLH Hyd Gen'!G8+Thermal!G$6+'Fed Hyd Ini'!G8)-'System Obligations'!G$33</f>
        <v>15326.142852422687</v>
      </c>
      <c r="H8" s="130">
        <f>(1-Losses)*('HLH Hyd Gen'!H8+Thermal!H$6+'Fed Hyd Ini'!H8)-'System Obligations'!H$33</f>
        <v>16977.804062338757</v>
      </c>
      <c r="I8" s="130">
        <f>(1-Losses)*('HLH Hyd Gen'!I8+Thermal!I$6+'Fed Hyd Ini'!I8)-'System Obligations'!I$33</f>
        <v>15028.767001831768</v>
      </c>
      <c r="J8" s="130">
        <f>(1-Losses)*('HLH Hyd Gen'!J8+Thermal!J$6+'Fed Hyd Ini'!J8)-'System Obligations'!J$33</f>
        <v>13028.061873867522</v>
      </c>
      <c r="K8" s="130">
        <f>(1-Losses)*('HLH Hyd Gen'!K8+Thermal!K$6+'Fed Hyd Ini'!K8)-'System Obligations'!K$33</f>
        <v>14769.488285834566</v>
      </c>
      <c r="L8" s="130">
        <f>(1-Losses)*('HLH Hyd Gen'!L8+Thermal!L$6+'Fed Hyd Ini'!L8)-'System Obligations'!L$33</f>
        <v>14234.908515533614</v>
      </c>
      <c r="M8" s="130">
        <f>(1-Losses)*('HLH Hyd Gen'!M8+Thermal!M$6+'Fed Hyd Ini'!M8)-'System Obligations'!M$33</f>
        <v>12964.29621919752</v>
      </c>
      <c r="N8" s="130">
        <f>(1-Losses)*('HLH Hyd Gen'!N8+Thermal!N$6+'Fed Hyd Ini'!N8)-'System Obligations'!N$33</f>
        <v>9845.228627446922</v>
      </c>
      <c r="O8" s="130">
        <f>(1-Losses)*('HLH Hyd Gen'!O8+Thermal!O$6+'Fed Hyd Ini'!O8)-'System Obligations'!O$33</f>
        <v>8052.704306877024</v>
      </c>
      <c r="P8" s="131">
        <f>SUMPRODUCT(B8:O8,'HLH-LLH Loads'!$N$4:$AA$4)</f>
        <v>61383439.33226869</v>
      </c>
      <c r="Q8" s="131"/>
      <c r="R8" s="131"/>
    </row>
    <row r="9" spans="1:18" ht="12.75">
      <c r="A9" s="128">
        <v>1935</v>
      </c>
      <c r="B9" s="130">
        <f>(1-Losses)*('HLH Hyd Gen'!B9+Thermal!B$6+'Fed Hyd Ini'!B9)-'System Obligations'!B$33</f>
        <v>7209.368130168352</v>
      </c>
      <c r="C9" s="130">
        <f>(1-Losses)*('HLH Hyd Gen'!C9+Thermal!C$6+'Fed Hyd Ini'!C9)-'System Obligations'!C$33</f>
        <v>6652.5437050718465</v>
      </c>
      <c r="D9" s="130">
        <f>(1-Losses)*('HLH Hyd Gen'!D9+Thermal!D$6+'Fed Hyd Ini'!D9)-'System Obligations'!D$33</f>
        <v>7189.880988224346</v>
      </c>
      <c r="E9" s="130">
        <f>(1-Losses)*('HLH Hyd Gen'!E9+Thermal!E$6+'Fed Hyd Ini'!E9)-'System Obligations'!E$33</f>
        <v>7620.075377633266</v>
      </c>
      <c r="F9" s="130">
        <f>(1-Losses)*('HLH Hyd Gen'!F9+Thermal!F$6+'Fed Hyd Ini'!F9)-'System Obligations'!F$33</f>
        <v>7261.620963685288</v>
      </c>
      <c r="G9" s="130">
        <f>(1-Losses)*('HLH Hyd Gen'!G9+Thermal!G$6+'Fed Hyd Ini'!G9)-'System Obligations'!G$33</f>
        <v>8851.63740487599</v>
      </c>
      <c r="H9" s="130">
        <f>(1-Losses)*('HLH Hyd Gen'!H9+Thermal!H$6+'Fed Hyd Ini'!H9)-'System Obligations'!H$33</f>
        <v>14078.720094865914</v>
      </c>
      <c r="I9" s="130">
        <f>(1-Losses)*('HLH Hyd Gen'!I9+Thermal!I$6+'Fed Hyd Ini'!I9)-'System Obligations'!I$33</f>
        <v>10807.777181344196</v>
      </c>
      <c r="J9" s="130">
        <f>(1-Losses)*('HLH Hyd Gen'!J9+Thermal!J$6+'Fed Hyd Ini'!J9)-'System Obligations'!J$33</f>
        <v>10026.058124600382</v>
      </c>
      <c r="K9" s="130">
        <f>(1-Losses)*('HLH Hyd Gen'!K9+Thermal!K$6+'Fed Hyd Ini'!K9)-'System Obligations'!K$33</f>
        <v>12179.74793845275</v>
      </c>
      <c r="L9" s="130">
        <f>(1-Losses)*('HLH Hyd Gen'!L9+Thermal!L$6+'Fed Hyd Ini'!L9)-'System Obligations'!L$33</f>
        <v>10251.459758046323</v>
      </c>
      <c r="M9" s="130">
        <f>(1-Losses)*('HLH Hyd Gen'!M9+Thermal!M$6+'Fed Hyd Ini'!M9)-'System Obligations'!M$33</f>
        <v>10751.908581135036</v>
      </c>
      <c r="N9" s="130">
        <f>(1-Losses)*('HLH Hyd Gen'!N9+Thermal!N$6+'Fed Hyd Ini'!N9)-'System Obligations'!N$33</f>
        <v>12404.474553940445</v>
      </c>
      <c r="O9" s="130">
        <f>(1-Losses)*('HLH Hyd Gen'!O9+Thermal!O$6+'Fed Hyd Ini'!O9)-'System Obligations'!O$33</f>
        <v>11166.950144668297</v>
      </c>
      <c r="P9" s="131">
        <f>SUMPRODUCT(B9:O9,'HLH-LLH Loads'!$N$4:$AA$4)</f>
        <v>49338578.73450312</v>
      </c>
      <c r="Q9" s="131"/>
      <c r="R9" s="131"/>
    </row>
    <row r="10" spans="1:18" ht="12.75">
      <c r="A10" s="128">
        <v>1936</v>
      </c>
      <c r="B10" s="130">
        <f>(1-Losses)*('HLH Hyd Gen'!B10+Thermal!B$6+'Fed Hyd Ini'!B10)-'System Obligations'!B$33</f>
        <v>9974.82103442132</v>
      </c>
      <c r="C10" s="130">
        <f>(1-Losses)*('HLH Hyd Gen'!C10+Thermal!C$6+'Fed Hyd Ini'!C10)-'System Obligations'!C$33</f>
        <v>6844.878645823177</v>
      </c>
      <c r="D10" s="130">
        <f>(1-Losses)*('HLH Hyd Gen'!D10+Thermal!D$6+'Fed Hyd Ini'!D10)-'System Obligations'!D$33</f>
        <v>7331.804721940061</v>
      </c>
      <c r="E10" s="130">
        <f>(1-Losses)*('HLH Hyd Gen'!E10+Thermal!E$6+'Fed Hyd Ini'!E10)-'System Obligations'!E$33</f>
        <v>8440.034930253032</v>
      </c>
      <c r="F10" s="130">
        <f>(1-Losses)*('HLH Hyd Gen'!F10+Thermal!F$6+'Fed Hyd Ini'!F10)-'System Obligations'!F$33</f>
        <v>7531.949920433416</v>
      </c>
      <c r="G10" s="130">
        <f>(1-Losses)*('HLH Hyd Gen'!G10+Thermal!G$6+'Fed Hyd Ini'!G10)-'System Obligations'!G$33</f>
        <v>9335.63558021417</v>
      </c>
      <c r="H10" s="130">
        <f>(1-Losses)*('HLH Hyd Gen'!H10+Thermal!H$6+'Fed Hyd Ini'!H10)-'System Obligations'!H$33</f>
        <v>8014.2499704953</v>
      </c>
      <c r="I10" s="130">
        <f>(1-Losses)*('HLH Hyd Gen'!I10+Thermal!I$6+'Fed Hyd Ini'!I10)-'System Obligations'!I$33</f>
        <v>8742.064649084878</v>
      </c>
      <c r="J10" s="130">
        <f>(1-Losses)*('HLH Hyd Gen'!J10+Thermal!J$6+'Fed Hyd Ini'!J10)-'System Obligations'!J$33</f>
        <v>7735.397129967079</v>
      </c>
      <c r="K10" s="130">
        <f>(1-Losses)*('HLH Hyd Gen'!K10+Thermal!K$6+'Fed Hyd Ini'!K10)-'System Obligations'!K$33</f>
        <v>7886.788643634834</v>
      </c>
      <c r="L10" s="130">
        <f>(1-Losses)*('HLH Hyd Gen'!L10+Thermal!L$6+'Fed Hyd Ini'!L10)-'System Obligations'!L$33</f>
        <v>13995.764913043657</v>
      </c>
      <c r="M10" s="130">
        <f>(1-Losses)*('HLH Hyd Gen'!M10+Thermal!M$6+'Fed Hyd Ini'!M10)-'System Obligations'!M$33</f>
        <v>14841.586140068073</v>
      </c>
      <c r="N10" s="130">
        <f>(1-Losses)*('HLH Hyd Gen'!N10+Thermal!N$6+'Fed Hyd Ini'!N10)-'System Obligations'!N$33</f>
        <v>10720.92515597852</v>
      </c>
      <c r="O10" s="130">
        <f>(1-Losses)*('HLH Hyd Gen'!O10+Thermal!O$6+'Fed Hyd Ini'!O10)-'System Obligations'!O$33</f>
        <v>10790.649033389464</v>
      </c>
      <c r="P10" s="131">
        <f>SUMPRODUCT(B10:O10,'HLH-LLH Loads'!$N$4:$AA$4)</f>
        <v>47132579.42483155</v>
      </c>
      <c r="Q10" s="131"/>
      <c r="R10" s="131"/>
    </row>
    <row r="11" spans="1:18" ht="12.75">
      <c r="A11" s="128">
        <v>1937</v>
      </c>
      <c r="B11" s="130">
        <f>(1-Losses)*('HLH Hyd Gen'!B11+Thermal!B$6+'Fed Hyd Ini'!B11)-'System Obligations'!B$33</f>
        <v>8696.12587905122</v>
      </c>
      <c r="C11" s="130">
        <f>(1-Losses)*('HLH Hyd Gen'!C11+Thermal!C$6+'Fed Hyd Ini'!C11)-'System Obligations'!C$33</f>
        <v>7772.713647863353</v>
      </c>
      <c r="D11" s="130">
        <f>(1-Losses)*('HLH Hyd Gen'!D11+Thermal!D$6+'Fed Hyd Ini'!D11)-'System Obligations'!D$33</f>
        <v>7679.439238308829</v>
      </c>
      <c r="E11" s="130">
        <f>(1-Losses)*('HLH Hyd Gen'!E11+Thermal!E$6+'Fed Hyd Ini'!E11)-'System Obligations'!E$33</f>
        <v>8057.895900527232</v>
      </c>
      <c r="F11" s="130">
        <f>(1-Losses)*('HLH Hyd Gen'!F11+Thermal!F$6+'Fed Hyd Ini'!F11)-'System Obligations'!F$33</f>
        <v>7656.192596876807</v>
      </c>
      <c r="G11" s="130">
        <f>(1-Losses)*('HLH Hyd Gen'!G11+Thermal!G$6+'Fed Hyd Ini'!G11)-'System Obligations'!G$33</f>
        <v>9225.308112967263</v>
      </c>
      <c r="H11" s="130">
        <f>(1-Losses)*('HLH Hyd Gen'!H11+Thermal!H$6+'Fed Hyd Ini'!H11)-'System Obligations'!H$33</f>
        <v>7341.616446683495</v>
      </c>
      <c r="I11" s="130">
        <f>(1-Losses)*('HLH Hyd Gen'!I11+Thermal!I$6+'Fed Hyd Ini'!I11)-'System Obligations'!I$33</f>
        <v>7693.781917345215</v>
      </c>
      <c r="J11" s="130">
        <f>(1-Losses)*('HLH Hyd Gen'!J11+Thermal!J$6+'Fed Hyd Ini'!J11)-'System Obligations'!J$33</f>
        <v>6321.608211936812</v>
      </c>
      <c r="K11" s="130">
        <f>(1-Losses)*('HLH Hyd Gen'!K11+Thermal!K$6+'Fed Hyd Ini'!K11)-'System Obligations'!K$33</f>
        <v>6373.800588800106</v>
      </c>
      <c r="L11" s="130">
        <f>(1-Losses)*('HLH Hyd Gen'!L11+Thermal!L$6+'Fed Hyd Ini'!L11)-'System Obligations'!L$33</f>
        <v>6328.699528684537</v>
      </c>
      <c r="M11" s="130">
        <f>(1-Losses)*('HLH Hyd Gen'!M11+Thermal!M$6+'Fed Hyd Ini'!M11)-'System Obligations'!M$33</f>
        <v>9946.914537532186</v>
      </c>
      <c r="N11" s="130">
        <f>(1-Losses)*('HLH Hyd Gen'!N11+Thermal!N$6+'Fed Hyd Ini'!N11)-'System Obligations'!N$33</f>
        <v>8459.617377819242</v>
      </c>
      <c r="O11" s="130">
        <f>(1-Losses)*('HLH Hyd Gen'!O11+Thermal!O$6+'Fed Hyd Ini'!O11)-'System Obligations'!O$33</f>
        <v>8958.06534606762</v>
      </c>
      <c r="P11" s="131">
        <f>SUMPRODUCT(B11:O11,'HLH-LLH Loads'!$N$4:$AA$4)</f>
        <v>40059205.37016636</v>
      </c>
      <c r="Q11" s="131"/>
      <c r="R11" s="131"/>
    </row>
    <row r="12" spans="1:18" ht="12.75">
      <c r="A12" s="128">
        <v>1938</v>
      </c>
      <c r="B12" s="130">
        <f>(1-Losses)*('HLH Hyd Gen'!B12+Thermal!B$6+'Fed Hyd Ini'!B12)-'System Obligations'!B$33</f>
        <v>8882.771030233334</v>
      </c>
      <c r="C12" s="130">
        <f>(1-Losses)*('HLH Hyd Gen'!C12+Thermal!C$6+'Fed Hyd Ini'!C12)-'System Obligations'!C$33</f>
        <v>7925.026753529373</v>
      </c>
      <c r="D12" s="130">
        <f>(1-Losses)*('HLH Hyd Gen'!D12+Thermal!D$6+'Fed Hyd Ini'!D12)-'System Obligations'!D$33</f>
        <v>7956.405924830073</v>
      </c>
      <c r="E12" s="130">
        <f>(1-Losses)*('HLH Hyd Gen'!E12+Thermal!E$6+'Fed Hyd Ini'!E12)-'System Obligations'!E$33</f>
        <v>8201.061044864435</v>
      </c>
      <c r="F12" s="130">
        <f>(1-Losses)*('HLH Hyd Gen'!F12+Thermal!F$6+'Fed Hyd Ini'!F12)-'System Obligations'!F$33</f>
        <v>8238.628035356885</v>
      </c>
      <c r="G12" s="130">
        <f>(1-Losses)*('HLH Hyd Gen'!G12+Thermal!G$6+'Fed Hyd Ini'!G12)-'System Obligations'!G$33</f>
        <v>9968.337629201356</v>
      </c>
      <c r="H12" s="130">
        <f>(1-Losses)*('HLH Hyd Gen'!H12+Thermal!H$6+'Fed Hyd Ini'!H12)-'System Obligations'!H$33</f>
        <v>13640.302426193653</v>
      </c>
      <c r="I12" s="130">
        <f>(1-Losses)*('HLH Hyd Gen'!I12+Thermal!I$6+'Fed Hyd Ini'!I12)-'System Obligations'!I$33</f>
        <v>9685.048572750811</v>
      </c>
      <c r="J12" s="130">
        <f>(1-Losses)*('HLH Hyd Gen'!J12+Thermal!J$6+'Fed Hyd Ini'!J12)-'System Obligations'!J$33</f>
        <v>12607.366221916327</v>
      </c>
      <c r="K12" s="130">
        <f>(1-Losses)*('HLH Hyd Gen'!K12+Thermal!K$6+'Fed Hyd Ini'!K12)-'System Obligations'!K$33</f>
        <v>12186.403276021218</v>
      </c>
      <c r="L12" s="130">
        <f>(1-Losses)*('HLH Hyd Gen'!L12+Thermal!L$6+'Fed Hyd Ini'!L12)-'System Obligations'!L$33</f>
        <v>12179.388528570898</v>
      </c>
      <c r="M12" s="130">
        <f>(1-Losses)*('HLH Hyd Gen'!M12+Thermal!M$6+'Fed Hyd Ini'!M12)-'System Obligations'!M$33</f>
        <v>14051.962769049447</v>
      </c>
      <c r="N12" s="130">
        <f>(1-Losses)*('HLH Hyd Gen'!N12+Thermal!N$6+'Fed Hyd Ini'!N12)-'System Obligations'!N$33</f>
        <v>13575.01513442097</v>
      </c>
      <c r="O12" s="130">
        <f>(1-Losses)*('HLH Hyd Gen'!O12+Thermal!O$6+'Fed Hyd Ini'!O12)-'System Obligations'!O$33</f>
        <v>10055.077732337097</v>
      </c>
      <c r="P12" s="131">
        <f>SUMPRODUCT(B12:O12,'HLH-LLH Loads'!$N$4:$AA$4)</f>
        <v>53750146.64258762</v>
      </c>
      <c r="Q12" s="131"/>
      <c r="R12" s="131"/>
    </row>
    <row r="13" spans="1:18" ht="12.75">
      <c r="A13" s="128">
        <v>1939</v>
      </c>
      <c r="B13" s="130">
        <f>(1-Losses)*('HLH Hyd Gen'!B13+Thermal!B$6+'Fed Hyd Ini'!B13)-'System Obligations'!B$33</f>
        <v>8294.689988052853</v>
      </c>
      <c r="C13" s="130">
        <f>(1-Losses)*('HLH Hyd Gen'!C13+Thermal!C$6+'Fed Hyd Ini'!C13)-'System Obligations'!C$33</f>
        <v>6918.255605474936</v>
      </c>
      <c r="D13" s="130">
        <f>(1-Losses)*('HLH Hyd Gen'!D13+Thermal!D$6+'Fed Hyd Ini'!D13)-'System Obligations'!D$33</f>
        <v>7501.339477123878</v>
      </c>
      <c r="E13" s="130">
        <f>(1-Losses)*('HLH Hyd Gen'!E13+Thermal!E$6+'Fed Hyd Ini'!E13)-'System Obligations'!E$33</f>
        <v>8940.948802819064</v>
      </c>
      <c r="F13" s="130">
        <f>(1-Losses)*('HLH Hyd Gen'!F13+Thermal!F$6+'Fed Hyd Ini'!F13)-'System Obligations'!F$33</f>
        <v>7208.043250396343</v>
      </c>
      <c r="G13" s="130">
        <f>(1-Losses)*('HLH Hyd Gen'!G13+Thermal!G$6+'Fed Hyd Ini'!G13)-'System Obligations'!G$33</f>
        <v>8917.862124934392</v>
      </c>
      <c r="H13" s="130">
        <f>(1-Losses)*('HLH Hyd Gen'!H13+Thermal!H$6+'Fed Hyd Ini'!H13)-'System Obligations'!H$33</f>
        <v>7452.293389926409</v>
      </c>
      <c r="I13" s="130">
        <f>(1-Losses)*('HLH Hyd Gen'!I13+Thermal!I$6+'Fed Hyd Ini'!I13)-'System Obligations'!I$33</f>
        <v>11438.914794966571</v>
      </c>
      <c r="J13" s="130">
        <f>(1-Losses)*('HLH Hyd Gen'!J13+Thermal!J$6+'Fed Hyd Ini'!J13)-'System Obligations'!J$33</f>
        <v>10383.721812654005</v>
      </c>
      <c r="K13" s="130">
        <f>(1-Losses)*('HLH Hyd Gen'!K13+Thermal!K$6+'Fed Hyd Ini'!K13)-'System Obligations'!K$33</f>
        <v>11566.055351284665</v>
      </c>
      <c r="L13" s="130">
        <f>(1-Losses)*('HLH Hyd Gen'!L13+Thermal!L$6+'Fed Hyd Ini'!L13)-'System Obligations'!L$33</f>
        <v>11815.581182615424</v>
      </c>
      <c r="M13" s="130">
        <f>(1-Losses)*('HLH Hyd Gen'!M13+Thermal!M$6+'Fed Hyd Ini'!M13)-'System Obligations'!M$33</f>
        <v>11774.658431520878</v>
      </c>
      <c r="N13" s="130">
        <f>(1-Losses)*('HLH Hyd Gen'!N13+Thermal!N$6+'Fed Hyd Ini'!N13)-'System Obligations'!N$33</f>
        <v>7671.620407319345</v>
      </c>
      <c r="O13" s="130">
        <f>(1-Losses)*('HLH Hyd Gen'!O13+Thermal!O$6+'Fed Hyd Ini'!O13)-'System Obligations'!O$33</f>
        <v>11437.666452481428</v>
      </c>
      <c r="P13" s="131">
        <f>SUMPRODUCT(B13:O13,'HLH-LLH Loads'!$N$4:$AA$4)</f>
        <v>46635494.47204193</v>
      </c>
      <c r="Q13" s="131"/>
      <c r="R13" s="131"/>
    </row>
    <row r="14" spans="1:18" ht="12.75">
      <c r="A14" s="128">
        <v>1940</v>
      </c>
      <c r="B14" s="130">
        <f>(1-Losses)*('HLH Hyd Gen'!B14+Thermal!B$6+'Fed Hyd Ini'!B14)-'System Obligations'!B$33</f>
        <v>9709.832274546481</v>
      </c>
      <c r="C14" s="130">
        <f>(1-Losses)*('HLH Hyd Gen'!C14+Thermal!C$6+'Fed Hyd Ini'!C14)-'System Obligations'!C$33</f>
        <v>7575.509318277569</v>
      </c>
      <c r="D14" s="130">
        <f>(1-Losses)*('HLH Hyd Gen'!D14+Thermal!D$6+'Fed Hyd Ini'!D14)-'System Obligations'!D$33</f>
        <v>7656.845202469671</v>
      </c>
      <c r="E14" s="130">
        <f>(1-Losses)*('HLH Hyd Gen'!E14+Thermal!E$6+'Fed Hyd Ini'!E14)-'System Obligations'!E$33</f>
        <v>8896.502486710573</v>
      </c>
      <c r="F14" s="130">
        <f>(1-Losses)*('HLH Hyd Gen'!F14+Thermal!F$6+'Fed Hyd Ini'!F14)-'System Obligations'!F$33</f>
        <v>7771.8540696301525</v>
      </c>
      <c r="G14" s="130">
        <f>(1-Losses)*('HLH Hyd Gen'!G14+Thermal!G$6+'Fed Hyd Ini'!G14)-'System Obligations'!G$33</f>
        <v>9113.047403370969</v>
      </c>
      <c r="H14" s="130">
        <f>(1-Losses)*('HLH Hyd Gen'!H14+Thermal!H$6+'Fed Hyd Ini'!H14)-'System Obligations'!H$33</f>
        <v>8743.820568069945</v>
      </c>
      <c r="I14" s="130">
        <f>(1-Losses)*('HLH Hyd Gen'!I14+Thermal!I$6+'Fed Hyd Ini'!I14)-'System Obligations'!I$33</f>
        <v>10028.368010366165</v>
      </c>
      <c r="J14" s="130">
        <f>(1-Losses)*('HLH Hyd Gen'!J14+Thermal!J$6+'Fed Hyd Ini'!J14)-'System Obligations'!J$33</f>
        <v>12601.287851338511</v>
      </c>
      <c r="K14" s="130">
        <f>(1-Losses)*('HLH Hyd Gen'!K14+Thermal!K$6+'Fed Hyd Ini'!K14)-'System Obligations'!K$33</f>
        <v>11555.60046282321</v>
      </c>
      <c r="L14" s="130">
        <f>(1-Losses)*('HLH Hyd Gen'!L14+Thermal!L$6+'Fed Hyd Ini'!L14)-'System Obligations'!L$33</f>
        <v>11561.214051375046</v>
      </c>
      <c r="M14" s="130">
        <f>(1-Losses)*('HLH Hyd Gen'!M14+Thermal!M$6+'Fed Hyd Ini'!M14)-'System Obligations'!M$33</f>
        <v>9906.925640155052</v>
      </c>
      <c r="N14" s="130">
        <f>(1-Losses)*('HLH Hyd Gen'!N14+Thermal!N$6+'Fed Hyd Ini'!N14)-'System Obligations'!N$33</f>
        <v>6755.714142909603</v>
      </c>
      <c r="O14" s="130">
        <f>(1-Losses)*('HLH Hyd Gen'!O14+Thermal!O$6+'Fed Hyd Ini'!O14)-'System Obligations'!O$33</f>
        <v>9333.076654028928</v>
      </c>
      <c r="P14" s="131">
        <f>SUMPRODUCT(B14:O14,'HLH-LLH Loads'!$N$4:$AA$4)</f>
        <v>46294987.66465384</v>
      </c>
      <c r="Q14" s="131"/>
      <c r="R14" s="131"/>
    </row>
    <row r="15" spans="1:18" ht="12.75">
      <c r="A15" s="128">
        <v>1941</v>
      </c>
      <c r="B15" s="130">
        <f>(1-Losses)*('HLH Hyd Gen'!B15+Thermal!B$6+'Fed Hyd Ini'!B15)-'System Obligations'!B$33</f>
        <v>8751.98593280526</v>
      </c>
      <c r="C15" s="130">
        <f>(1-Losses)*('HLH Hyd Gen'!C15+Thermal!C$6+'Fed Hyd Ini'!C15)-'System Obligations'!C$33</f>
        <v>7341.259412738802</v>
      </c>
      <c r="D15" s="130">
        <f>(1-Losses)*('HLH Hyd Gen'!D15+Thermal!D$6+'Fed Hyd Ini'!D15)-'System Obligations'!D$33</f>
        <v>8124.245590153094</v>
      </c>
      <c r="E15" s="130">
        <f>(1-Losses)*('HLH Hyd Gen'!E15+Thermal!E$6+'Fed Hyd Ini'!E15)-'System Obligations'!E$33</f>
        <v>9105.419326145451</v>
      </c>
      <c r="F15" s="130">
        <f>(1-Losses)*('HLH Hyd Gen'!F15+Thermal!F$6+'Fed Hyd Ini'!F15)-'System Obligations'!F$33</f>
        <v>7583.297969667511</v>
      </c>
      <c r="G15" s="130">
        <f>(1-Losses)*('HLH Hyd Gen'!G15+Thermal!G$6+'Fed Hyd Ini'!G15)-'System Obligations'!G$33</f>
        <v>9137.31147965166</v>
      </c>
      <c r="H15" s="130">
        <f>(1-Losses)*('HLH Hyd Gen'!H15+Thermal!H$6+'Fed Hyd Ini'!H15)-'System Obligations'!H$33</f>
        <v>8443.838871302507</v>
      </c>
      <c r="I15" s="130">
        <f>(1-Losses)*('HLH Hyd Gen'!I15+Thermal!I$6+'Fed Hyd Ini'!I15)-'System Obligations'!I$33</f>
        <v>8019.969058634046</v>
      </c>
      <c r="J15" s="130">
        <f>(1-Losses)*('HLH Hyd Gen'!J15+Thermal!J$6+'Fed Hyd Ini'!J15)-'System Obligations'!J$33</f>
        <v>8796.950783197237</v>
      </c>
      <c r="K15" s="130">
        <f>(1-Losses)*('HLH Hyd Gen'!K15+Thermal!K$6+'Fed Hyd Ini'!K15)-'System Obligations'!K$33</f>
        <v>7388.979484602016</v>
      </c>
      <c r="L15" s="130">
        <f>(1-Losses)*('HLH Hyd Gen'!L15+Thermal!L$6+'Fed Hyd Ini'!L15)-'System Obligations'!L$33</f>
        <v>9732.580766954588</v>
      </c>
      <c r="M15" s="130">
        <f>(1-Losses)*('HLH Hyd Gen'!M15+Thermal!M$6+'Fed Hyd Ini'!M15)-'System Obligations'!M$33</f>
        <v>9337.828686850551</v>
      </c>
      <c r="N15" s="130">
        <f>(1-Losses)*('HLH Hyd Gen'!N15+Thermal!N$6+'Fed Hyd Ini'!N15)-'System Obligations'!N$33</f>
        <v>10251.095919403964</v>
      </c>
      <c r="O15" s="130">
        <f>(1-Losses)*('HLH Hyd Gen'!O15+Thermal!O$6+'Fed Hyd Ini'!O15)-'System Obligations'!O$33</f>
        <v>7998.57325870868</v>
      </c>
      <c r="P15" s="131">
        <f>SUMPRODUCT(B15:O15,'HLH-LLH Loads'!$N$4:$AA$4)</f>
        <v>43184723.79921775</v>
      </c>
      <c r="Q15" s="131"/>
      <c r="R15" s="131"/>
    </row>
    <row r="16" spans="1:18" ht="12.75">
      <c r="A16" s="128">
        <v>1942</v>
      </c>
      <c r="B16" s="130">
        <f>(1-Losses)*('HLH Hyd Gen'!B16+Thermal!B$6+'Fed Hyd Ini'!B16)-'System Obligations'!B$33</f>
        <v>8205.722879652963</v>
      </c>
      <c r="C16" s="130">
        <f>(1-Losses)*('HLH Hyd Gen'!C16+Thermal!C$6+'Fed Hyd Ini'!C16)-'System Obligations'!C$33</f>
        <v>7467.504527957266</v>
      </c>
      <c r="D16" s="130">
        <f>(1-Losses)*('HLH Hyd Gen'!D16+Thermal!D$6+'Fed Hyd Ini'!D16)-'System Obligations'!D$33</f>
        <v>7458.969002398588</v>
      </c>
      <c r="E16" s="130">
        <f>(1-Losses)*('HLH Hyd Gen'!E16+Thermal!E$6+'Fed Hyd Ini'!E16)-'System Obligations'!E$33</f>
        <v>8891.645980278972</v>
      </c>
      <c r="F16" s="130">
        <f>(1-Losses)*('HLH Hyd Gen'!F16+Thermal!F$6+'Fed Hyd Ini'!F16)-'System Obligations'!F$33</f>
        <v>8201.536393298971</v>
      </c>
      <c r="G16" s="130">
        <f>(1-Losses)*('HLH Hyd Gen'!G16+Thermal!G$6+'Fed Hyd Ini'!G16)-'System Obligations'!G$33</f>
        <v>12840.354594798824</v>
      </c>
      <c r="H16" s="130">
        <f>(1-Losses)*('HLH Hyd Gen'!H16+Thermal!H$6+'Fed Hyd Ini'!H16)-'System Obligations'!H$33</f>
        <v>13586.76453862121</v>
      </c>
      <c r="I16" s="130">
        <f>(1-Losses)*('HLH Hyd Gen'!I16+Thermal!I$6+'Fed Hyd Ini'!I16)-'System Obligations'!I$33</f>
        <v>10937.073699264049</v>
      </c>
      <c r="J16" s="130">
        <f>(1-Losses)*('HLH Hyd Gen'!J16+Thermal!J$6+'Fed Hyd Ini'!J16)-'System Obligations'!J$33</f>
        <v>6930.786414599256</v>
      </c>
      <c r="K16" s="130">
        <f>(1-Losses)*('HLH Hyd Gen'!K16+Thermal!K$6+'Fed Hyd Ini'!K16)-'System Obligations'!K$33</f>
        <v>9789.184443603204</v>
      </c>
      <c r="L16" s="130">
        <f>(1-Losses)*('HLH Hyd Gen'!L16+Thermal!L$6+'Fed Hyd Ini'!L16)-'System Obligations'!L$33</f>
        <v>10345.62999259717</v>
      </c>
      <c r="M16" s="130">
        <f>(1-Losses)*('HLH Hyd Gen'!M16+Thermal!M$6+'Fed Hyd Ini'!M16)-'System Obligations'!M$33</f>
        <v>11633.831425156166</v>
      </c>
      <c r="N16" s="130">
        <f>(1-Losses)*('HLH Hyd Gen'!N16+Thermal!N$6+'Fed Hyd Ini'!N16)-'System Obligations'!N$33</f>
        <v>11826.914436214432</v>
      </c>
      <c r="O16" s="130">
        <f>(1-Losses)*('HLH Hyd Gen'!O16+Thermal!O$6+'Fed Hyd Ini'!O16)-'System Obligations'!O$33</f>
        <v>12070.554139981543</v>
      </c>
      <c r="P16" s="131">
        <f>SUMPRODUCT(B16:O16,'HLH-LLH Loads'!$N$4:$AA$4)</f>
        <v>50996788.72437845</v>
      </c>
      <c r="Q16" s="131"/>
      <c r="R16" s="131"/>
    </row>
    <row r="17" spans="1:18" ht="12.75">
      <c r="A17" s="128">
        <v>1943</v>
      </c>
      <c r="B17" s="130">
        <f>(1-Losses)*('HLH Hyd Gen'!B17+Thermal!B$6+'Fed Hyd Ini'!B17)-'System Obligations'!B$33</f>
        <v>11952.059088803671</v>
      </c>
      <c r="C17" s="130">
        <f>(1-Losses)*('HLH Hyd Gen'!C17+Thermal!C$6+'Fed Hyd Ini'!C17)-'System Obligations'!C$33</f>
        <v>9464.659494932459</v>
      </c>
      <c r="D17" s="130">
        <f>(1-Losses)*('HLH Hyd Gen'!D17+Thermal!D$6+'Fed Hyd Ini'!D17)-'System Obligations'!D$33</f>
        <v>8322.365882340488</v>
      </c>
      <c r="E17" s="130">
        <f>(1-Losses)*('HLH Hyd Gen'!E17+Thermal!E$6+'Fed Hyd Ini'!E17)-'System Obligations'!E$33</f>
        <v>8719.274820752744</v>
      </c>
      <c r="F17" s="130">
        <f>(1-Losses)*('HLH Hyd Gen'!F17+Thermal!F$6+'Fed Hyd Ini'!F17)-'System Obligations'!F$33</f>
        <v>7274.230158741174</v>
      </c>
      <c r="G17" s="130">
        <f>(1-Losses)*('HLH Hyd Gen'!G17+Thermal!G$6+'Fed Hyd Ini'!G17)-'System Obligations'!G$33</f>
        <v>9019.583166006843</v>
      </c>
      <c r="H17" s="130">
        <f>(1-Losses)*('HLH Hyd Gen'!H17+Thermal!H$6+'Fed Hyd Ini'!H17)-'System Obligations'!H$33</f>
        <v>13863.604510264411</v>
      </c>
      <c r="I17" s="130">
        <f>(1-Losses)*('HLH Hyd Gen'!I17+Thermal!I$6+'Fed Hyd Ini'!I17)-'System Obligations'!I$33</f>
        <v>13785.345601560188</v>
      </c>
      <c r="J17" s="130">
        <f>(1-Losses)*('HLH Hyd Gen'!J17+Thermal!J$6+'Fed Hyd Ini'!J17)-'System Obligations'!J$33</f>
        <v>12716.01988467388</v>
      </c>
      <c r="K17" s="130">
        <f>(1-Losses)*('HLH Hyd Gen'!K17+Thermal!K$6+'Fed Hyd Ini'!K17)-'System Obligations'!K$33</f>
        <v>15678.47411638256</v>
      </c>
      <c r="L17" s="130">
        <f>(1-Losses)*('HLH Hyd Gen'!L17+Thermal!L$6+'Fed Hyd Ini'!L17)-'System Obligations'!L$33</f>
        <v>15000.31091055506</v>
      </c>
      <c r="M17" s="130">
        <f>(1-Losses)*('HLH Hyd Gen'!M17+Thermal!M$6+'Fed Hyd Ini'!M17)-'System Obligations'!M$33</f>
        <v>13775.083966118973</v>
      </c>
      <c r="N17" s="130">
        <f>(1-Losses)*('HLH Hyd Gen'!N17+Thermal!N$6+'Fed Hyd Ini'!N17)-'System Obligations'!N$33</f>
        <v>14131.76289819312</v>
      </c>
      <c r="O17" s="130">
        <f>(1-Losses)*('HLH Hyd Gen'!O17+Thermal!O$6+'Fed Hyd Ini'!O17)-'System Obligations'!O$33</f>
        <v>12603.713626843684</v>
      </c>
      <c r="P17" s="131">
        <f>SUMPRODUCT(B17:O17,'HLH-LLH Loads'!$N$4:$AA$4)</f>
        <v>58452757.550050065</v>
      </c>
      <c r="Q17" s="131"/>
      <c r="R17" s="131"/>
    </row>
    <row r="18" spans="1:18" ht="12.75">
      <c r="A18" s="128">
        <v>1944</v>
      </c>
      <c r="B18" s="130">
        <f>(1-Losses)*('HLH Hyd Gen'!B18+Thermal!B$6+'Fed Hyd Ini'!B18)-'System Obligations'!B$33</f>
        <v>11606.581611217163</v>
      </c>
      <c r="C18" s="130">
        <f>(1-Losses)*('HLH Hyd Gen'!C18+Thermal!C$6+'Fed Hyd Ini'!C18)-'System Obligations'!C$33</f>
        <v>9898.150860079297</v>
      </c>
      <c r="D18" s="130">
        <f>(1-Losses)*('HLH Hyd Gen'!D18+Thermal!D$6+'Fed Hyd Ini'!D18)-'System Obligations'!D$33</f>
        <v>7569.91366133902</v>
      </c>
      <c r="E18" s="130">
        <f>(1-Losses)*('HLH Hyd Gen'!E18+Thermal!E$6+'Fed Hyd Ini'!E18)-'System Obligations'!E$33</f>
        <v>8992.494747441242</v>
      </c>
      <c r="F18" s="130">
        <f>(1-Losses)*('HLH Hyd Gen'!F18+Thermal!F$6+'Fed Hyd Ini'!F18)-'System Obligations'!F$33</f>
        <v>7174.08642605592</v>
      </c>
      <c r="G18" s="130">
        <f>(1-Losses)*('HLH Hyd Gen'!G18+Thermal!G$6+'Fed Hyd Ini'!G18)-'System Obligations'!G$33</f>
        <v>9069.96709658198</v>
      </c>
      <c r="H18" s="130">
        <f>(1-Losses)*('HLH Hyd Gen'!H18+Thermal!H$6+'Fed Hyd Ini'!H18)-'System Obligations'!H$33</f>
        <v>7439.45047304876</v>
      </c>
      <c r="I18" s="130">
        <f>(1-Losses)*('HLH Hyd Gen'!I18+Thermal!I$6+'Fed Hyd Ini'!I18)-'System Obligations'!I$33</f>
        <v>8949.523636275613</v>
      </c>
      <c r="J18" s="130">
        <f>(1-Losses)*('HLH Hyd Gen'!J18+Thermal!J$6+'Fed Hyd Ini'!J18)-'System Obligations'!J$33</f>
        <v>6311.316416043567</v>
      </c>
      <c r="K18" s="130">
        <f>(1-Losses)*('HLH Hyd Gen'!K18+Thermal!K$6+'Fed Hyd Ini'!K18)-'System Obligations'!K$33</f>
        <v>6670.741911014093</v>
      </c>
      <c r="L18" s="130">
        <f>(1-Losses)*('HLH Hyd Gen'!L18+Thermal!L$6+'Fed Hyd Ini'!L18)-'System Obligations'!L$33</f>
        <v>8345.516751457364</v>
      </c>
      <c r="M18" s="130">
        <f>(1-Losses)*('HLH Hyd Gen'!M18+Thermal!M$6+'Fed Hyd Ini'!M18)-'System Obligations'!M$33</f>
        <v>8865.888853781826</v>
      </c>
      <c r="N18" s="130">
        <f>(1-Losses)*('HLH Hyd Gen'!N18+Thermal!N$6+'Fed Hyd Ini'!N18)-'System Obligations'!N$33</f>
        <v>9191.004390884038</v>
      </c>
      <c r="O18" s="130">
        <f>(1-Losses)*('HLH Hyd Gen'!O18+Thermal!O$6+'Fed Hyd Ini'!O18)-'System Obligations'!O$33</f>
        <v>7896.869348684635</v>
      </c>
      <c r="P18" s="131">
        <f>SUMPRODUCT(B18:O18,'HLH-LLH Loads'!$N$4:$AA$4)</f>
        <v>41611060.69539075</v>
      </c>
      <c r="Q18" s="131"/>
      <c r="R18" s="131"/>
    </row>
    <row r="19" spans="1:18" ht="12.75">
      <c r="A19" s="128">
        <v>1945</v>
      </c>
      <c r="B19" s="130">
        <f>(1-Losses)*('HLH Hyd Gen'!B19+Thermal!B$6+'Fed Hyd Ini'!B19)-'System Obligations'!B$33</f>
        <v>8432.73873941283</v>
      </c>
      <c r="C19" s="130">
        <f>(1-Losses)*('HLH Hyd Gen'!C19+Thermal!C$6+'Fed Hyd Ini'!C19)-'System Obligations'!C$33</f>
        <v>7336.464801926335</v>
      </c>
      <c r="D19" s="130">
        <f>(1-Losses)*('HLH Hyd Gen'!D19+Thermal!D$6+'Fed Hyd Ini'!D19)-'System Obligations'!D$33</f>
        <v>6889.905005463506</v>
      </c>
      <c r="E19" s="130">
        <f>(1-Losses)*('HLH Hyd Gen'!E19+Thermal!E$6+'Fed Hyd Ini'!E19)-'System Obligations'!E$33</f>
        <v>8146.132109427874</v>
      </c>
      <c r="F19" s="130">
        <f>(1-Losses)*('HLH Hyd Gen'!F19+Thermal!F$6+'Fed Hyd Ini'!F19)-'System Obligations'!F$33</f>
        <v>8100.364423001726</v>
      </c>
      <c r="G19" s="130">
        <f>(1-Losses)*('HLH Hyd Gen'!G19+Thermal!G$6+'Fed Hyd Ini'!G19)-'System Obligations'!G$33</f>
        <v>8628.702554716938</v>
      </c>
      <c r="H19" s="130">
        <f>(1-Losses)*('HLH Hyd Gen'!H19+Thermal!H$6+'Fed Hyd Ini'!H19)-'System Obligations'!H$33</f>
        <v>6645.95902007225</v>
      </c>
      <c r="I19" s="130">
        <f>(1-Losses)*('HLH Hyd Gen'!I19+Thermal!I$6+'Fed Hyd Ini'!I19)-'System Obligations'!I$33</f>
        <v>7033.776910341705</v>
      </c>
      <c r="J19" s="130">
        <f>(1-Losses)*('HLH Hyd Gen'!J19+Thermal!J$6+'Fed Hyd Ini'!J19)-'System Obligations'!J$33</f>
        <v>6795.353123142459</v>
      </c>
      <c r="K19" s="130">
        <f>(1-Losses)*('HLH Hyd Gen'!K19+Thermal!K$6+'Fed Hyd Ini'!K19)-'System Obligations'!K$33</f>
        <v>7512.812649201476</v>
      </c>
      <c r="L19" s="130">
        <f>(1-Losses)*('HLH Hyd Gen'!L19+Thermal!L$6+'Fed Hyd Ini'!L19)-'System Obligations'!L$33</f>
        <v>9151.877751732025</v>
      </c>
      <c r="M19" s="130">
        <f>(1-Losses)*('HLH Hyd Gen'!M19+Thermal!M$6+'Fed Hyd Ini'!M19)-'System Obligations'!M$33</f>
        <v>12417.422701030106</v>
      </c>
      <c r="N19" s="130">
        <f>(1-Losses)*('HLH Hyd Gen'!N19+Thermal!N$6+'Fed Hyd Ini'!N19)-'System Obligations'!N$33</f>
        <v>11266.636218880252</v>
      </c>
      <c r="O19" s="130">
        <f>(1-Losses)*('HLH Hyd Gen'!O19+Thermal!O$6+'Fed Hyd Ini'!O19)-'System Obligations'!O$33</f>
        <v>10985.63813752005</v>
      </c>
      <c r="P19" s="131">
        <f>SUMPRODUCT(B19:O19,'HLH-LLH Loads'!$N$4:$AA$4)</f>
        <v>43086601.595509596</v>
      </c>
      <c r="Q19" s="131"/>
      <c r="R19" s="131"/>
    </row>
    <row r="20" spans="1:18" ht="12.75">
      <c r="A20" s="128">
        <v>1946</v>
      </c>
      <c r="B20" s="130">
        <f>(1-Losses)*('HLH Hyd Gen'!B20+Thermal!B$6+'Fed Hyd Ini'!B20)-'System Obligations'!B$33</f>
        <v>9246.80225258426</v>
      </c>
      <c r="C20" s="130">
        <f>(1-Losses)*('HLH Hyd Gen'!C20+Thermal!C$6+'Fed Hyd Ini'!C20)-'System Obligations'!C$33</f>
        <v>8363.360044987465</v>
      </c>
      <c r="D20" s="130">
        <f>(1-Losses)*('HLH Hyd Gen'!D20+Thermal!D$6+'Fed Hyd Ini'!D20)-'System Obligations'!D$33</f>
        <v>7834.320406557967</v>
      </c>
      <c r="E20" s="130">
        <f>(1-Losses)*('HLH Hyd Gen'!E20+Thermal!E$6+'Fed Hyd Ini'!E20)-'System Obligations'!E$33</f>
        <v>7948.3114222698005</v>
      </c>
      <c r="F20" s="130">
        <f>(1-Losses)*('HLH Hyd Gen'!F20+Thermal!F$6+'Fed Hyd Ini'!F20)-'System Obligations'!F$33</f>
        <v>7403.701257262436</v>
      </c>
      <c r="G20" s="130">
        <f>(1-Losses)*('HLH Hyd Gen'!G20+Thermal!G$6+'Fed Hyd Ini'!G20)-'System Obligations'!G$33</f>
        <v>10546.209196482738</v>
      </c>
      <c r="H20" s="130">
        <f>(1-Losses)*('HLH Hyd Gen'!H20+Thermal!H$6+'Fed Hyd Ini'!H20)-'System Obligations'!H$33</f>
        <v>14914.377207308926</v>
      </c>
      <c r="I20" s="130">
        <f>(1-Losses)*('HLH Hyd Gen'!I20+Thermal!I$6+'Fed Hyd Ini'!I20)-'System Obligations'!I$33</f>
        <v>10227.90598917224</v>
      </c>
      <c r="J20" s="130">
        <f>(1-Losses)*('HLH Hyd Gen'!J20+Thermal!J$6+'Fed Hyd Ini'!J20)-'System Obligations'!J$33</f>
        <v>11515.865211136177</v>
      </c>
      <c r="K20" s="130">
        <f>(1-Losses)*('HLH Hyd Gen'!K20+Thermal!K$6+'Fed Hyd Ini'!K20)-'System Obligations'!K$33</f>
        <v>12437.76501362846</v>
      </c>
      <c r="L20" s="130">
        <f>(1-Losses)*('HLH Hyd Gen'!L20+Thermal!L$6+'Fed Hyd Ini'!L20)-'System Obligations'!L$33</f>
        <v>13432.6657674581</v>
      </c>
      <c r="M20" s="130">
        <f>(1-Losses)*('HLH Hyd Gen'!M20+Thermal!M$6+'Fed Hyd Ini'!M20)-'System Obligations'!M$33</f>
        <v>14224.871216652695</v>
      </c>
      <c r="N20" s="130">
        <f>(1-Losses)*('HLH Hyd Gen'!N20+Thermal!N$6+'Fed Hyd Ini'!N20)-'System Obligations'!N$33</f>
        <v>13832.535767834708</v>
      </c>
      <c r="O20" s="130">
        <f>(1-Losses)*('HLH Hyd Gen'!O20+Thermal!O$6+'Fed Hyd Ini'!O20)-'System Obligations'!O$33</f>
        <v>11584.550325456772</v>
      </c>
      <c r="P20" s="131">
        <f>SUMPRODUCT(B20:O20,'HLH-LLH Loads'!$N$4:$AA$4)</f>
        <v>55075543.27542665</v>
      </c>
      <c r="Q20" s="131"/>
      <c r="R20" s="131"/>
    </row>
    <row r="21" spans="1:18" ht="12.75">
      <c r="A21" s="128">
        <v>1947</v>
      </c>
      <c r="B21" s="130">
        <f>(1-Losses)*('HLH Hyd Gen'!B21+Thermal!B$6+'Fed Hyd Ini'!B21)-'System Obligations'!B$33</f>
        <v>10983.315726416544</v>
      </c>
      <c r="C21" s="130">
        <f>(1-Losses)*('HLH Hyd Gen'!C21+Thermal!C$6+'Fed Hyd Ini'!C21)-'System Obligations'!C$33</f>
        <v>7462.685824116035</v>
      </c>
      <c r="D21" s="130">
        <f>(1-Losses)*('HLH Hyd Gen'!D21+Thermal!D$6+'Fed Hyd Ini'!D21)-'System Obligations'!D$33</f>
        <v>8323.049292936725</v>
      </c>
      <c r="E21" s="130">
        <f>(1-Losses)*('HLH Hyd Gen'!E21+Thermal!E$6+'Fed Hyd Ini'!E21)-'System Obligations'!E$33</f>
        <v>8982.099547685248</v>
      </c>
      <c r="F21" s="130">
        <f>(1-Losses)*('HLH Hyd Gen'!F21+Thermal!F$6+'Fed Hyd Ini'!F21)-'System Obligations'!F$33</f>
        <v>7583.559862132491</v>
      </c>
      <c r="G21" s="130">
        <f>(1-Losses)*('HLH Hyd Gen'!G21+Thermal!G$6+'Fed Hyd Ini'!G21)-'System Obligations'!G$33</f>
        <v>12672.283473110949</v>
      </c>
      <c r="H21" s="130">
        <f>(1-Losses)*('HLH Hyd Gen'!H21+Thermal!H$6+'Fed Hyd Ini'!H21)-'System Obligations'!H$33</f>
        <v>15730.908365310466</v>
      </c>
      <c r="I21" s="130">
        <f>(1-Losses)*('HLH Hyd Gen'!I21+Thermal!I$6+'Fed Hyd Ini'!I21)-'System Obligations'!I$33</f>
        <v>14978.308226322304</v>
      </c>
      <c r="J21" s="130">
        <f>(1-Losses)*('HLH Hyd Gen'!J21+Thermal!J$6+'Fed Hyd Ini'!J21)-'System Obligations'!J$33</f>
        <v>11213.591328975013</v>
      </c>
      <c r="K21" s="130">
        <f>(1-Losses)*('HLH Hyd Gen'!K21+Thermal!K$6+'Fed Hyd Ini'!K21)-'System Obligations'!K$33</f>
        <v>11942.94370623589</v>
      </c>
      <c r="L21" s="130">
        <f>(1-Losses)*('HLH Hyd Gen'!L21+Thermal!L$6+'Fed Hyd Ini'!L21)-'System Obligations'!L$33</f>
        <v>11790.578177273199</v>
      </c>
      <c r="M21" s="130">
        <f>(1-Losses)*('HLH Hyd Gen'!M21+Thermal!M$6+'Fed Hyd Ini'!M21)-'System Obligations'!M$33</f>
        <v>14008.256940555873</v>
      </c>
      <c r="N21" s="130">
        <f>(1-Losses)*('HLH Hyd Gen'!N21+Thermal!N$6+'Fed Hyd Ini'!N21)-'System Obligations'!N$33</f>
        <v>13333.982908797218</v>
      </c>
      <c r="O21" s="130">
        <f>(1-Losses)*('HLH Hyd Gen'!O21+Thermal!O$6+'Fed Hyd Ini'!O21)-'System Obligations'!O$33</f>
        <v>11136.447065017997</v>
      </c>
      <c r="P21" s="131">
        <f>SUMPRODUCT(B21:O21,'HLH-LLH Loads'!$N$4:$AA$4)</f>
        <v>57949989.58759312</v>
      </c>
      <c r="Q21" s="131"/>
      <c r="R21" s="131"/>
    </row>
    <row r="22" spans="1:18" ht="12.75">
      <c r="A22" s="128">
        <v>1948</v>
      </c>
      <c r="B22" s="130">
        <f>(1-Losses)*('HLH Hyd Gen'!B22+Thermal!B$6+'Fed Hyd Ini'!B22)-'System Obligations'!B$33</f>
        <v>10870.900672093936</v>
      </c>
      <c r="C22" s="130">
        <f>(1-Losses)*('HLH Hyd Gen'!C22+Thermal!C$6+'Fed Hyd Ini'!C22)-'System Obligations'!C$33</f>
        <v>7919.711271582206</v>
      </c>
      <c r="D22" s="130">
        <f>(1-Losses)*('HLH Hyd Gen'!D22+Thermal!D$6+'Fed Hyd Ini'!D22)-'System Obligations'!D$33</f>
        <v>8080.050908668292</v>
      </c>
      <c r="E22" s="130">
        <f>(1-Losses)*('HLH Hyd Gen'!E22+Thermal!E$6+'Fed Hyd Ini'!E22)-'System Obligations'!E$33</f>
        <v>12322.94796011782</v>
      </c>
      <c r="F22" s="130">
        <f>(1-Losses)*('HLH Hyd Gen'!F22+Thermal!F$6+'Fed Hyd Ini'!F22)-'System Obligations'!F$33</f>
        <v>9679.588266464074</v>
      </c>
      <c r="G22" s="130">
        <f>(1-Losses)*('HLH Hyd Gen'!G22+Thermal!G$6+'Fed Hyd Ini'!G22)-'System Obligations'!G$33</f>
        <v>10697.784240929856</v>
      </c>
      <c r="H22" s="130">
        <f>(1-Losses)*('HLH Hyd Gen'!H22+Thermal!H$6+'Fed Hyd Ini'!H22)-'System Obligations'!H$33</f>
        <v>15952.044842782345</v>
      </c>
      <c r="I22" s="130">
        <f>(1-Losses)*('HLH Hyd Gen'!I22+Thermal!I$6+'Fed Hyd Ini'!I22)-'System Obligations'!I$33</f>
        <v>13252.797464499703</v>
      </c>
      <c r="J22" s="130">
        <f>(1-Losses)*('HLH Hyd Gen'!J22+Thermal!J$6+'Fed Hyd Ini'!J22)-'System Obligations'!J$33</f>
        <v>9847.323084010217</v>
      </c>
      <c r="K22" s="130">
        <f>(1-Losses)*('HLH Hyd Gen'!K22+Thermal!K$6+'Fed Hyd Ini'!K22)-'System Obligations'!K$33</f>
        <v>10273.241792225508</v>
      </c>
      <c r="L22" s="130">
        <f>(1-Losses)*('HLH Hyd Gen'!L22+Thermal!L$6+'Fed Hyd Ini'!L22)-'System Obligations'!L$33</f>
        <v>12546.085521366227</v>
      </c>
      <c r="M22" s="130">
        <f>(1-Losses)*('HLH Hyd Gen'!M22+Thermal!M$6+'Fed Hyd Ini'!M22)-'System Obligations'!M$33</f>
        <v>16102.831561764031</v>
      </c>
      <c r="N22" s="130">
        <f>(1-Losses)*('HLH Hyd Gen'!N22+Thermal!N$6+'Fed Hyd Ini'!N22)-'System Obligations'!N$33</f>
        <v>17231.477770413814</v>
      </c>
      <c r="O22" s="130">
        <f>(1-Losses)*('HLH Hyd Gen'!O22+Thermal!O$6+'Fed Hyd Ini'!O22)-'System Obligations'!O$33</f>
        <v>12650.910617251338</v>
      </c>
      <c r="P22" s="131">
        <f>SUMPRODUCT(B22:O22,'HLH-LLH Loads'!$N$4:$AA$4)</f>
        <v>61203743.344365366</v>
      </c>
      <c r="Q22" s="131"/>
      <c r="R22" s="131"/>
    </row>
    <row r="23" spans="1:18" ht="12.75">
      <c r="A23" s="128">
        <v>1949</v>
      </c>
      <c r="B23" s="130">
        <f>(1-Losses)*('HLH Hyd Gen'!B23+Thermal!B$6+'Fed Hyd Ini'!B23)-'System Obligations'!B$33</f>
        <v>11779.55171299453</v>
      </c>
      <c r="C23" s="130">
        <f>(1-Losses)*('HLH Hyd Gen'!C23+Thermal!C$6+'Fed Hyd Ini'!C23)-'System Obligations'!C$33</f>
        <v>11994.304607251343</v>
      </c>
      <c r="D23" s="130">
        <f>(1-Losses)*('HLH Hyd Gen'!D23+Thermal!D$6+'Fed Hyd Ini'!D23)-'System Obligations'!D$33</f>
        <v>8973.074697648262</v>
      </c>
      <c r="E23" s="130">
        <f>(1-Losses)*('HLH Hyd Gen'!E23+Thermal!E$6+'Fed Hyd Ini'!E23)-'System Obligations'!E$33</f>
        <v>9486.906576750485</v>
      </c>
      <c r="F23" s="130">
        <f>(1-Losses)*('HLH Hyd Gen'!F23+Thermal!F$6+'Fed Hyd Ini'!F23)-'System Obligations'!F$33</f>
        <v>7362.531036148693</v>
      </c>
      <c r="G23" s="130">
        <f>(1-Losses)*('HLH Hyd Gen'!G23+Thermal!G$6+'Fed Hyd Ini'!G23)-'System Obligations'!G$33</f>
        <v>8928.966675398598</v>
      </c>
      <c r="H23" s="130">
        <f>(1-Losses)*('HLH Hyd Gen'!H23+Thermal!H$6+'Fed Hyd Ini'!H23)-'System Obligations'!H$33</f>
        <v>12061.671585200591</v>
      </c>
      <c r="I23" s="130">
        <f>(1-Losses)*('HLH Hyd Gen'!I23+Thermal!I$6+'Fed Hyd Ini'!I23)-'System Obligations'!I$33</f>
        <v>9811.451709448304</v>
      </c>
      <c r="J23" s="130">
        <f>(1-Losses)*('HLH Hyd Gen'!J23+Thermal!J$6+'Fed Hyd Ini'!J23)-'System Obligations'!J$33</f>
        <v>14630.624675083203</v>
      </c>
      <c r="K23" s="130">
        <f>(1-Losses)*('HLH Hyd Gen'!K23+Thermal!K$6+'Fed Hyd Ini'!K23)-'System Obligations'!K$33</f>
        <v>13007.293182068015</v>
      </c>
      <c r="L23" s="130">
        <f>(1-Losses)*('HLH Hyd Gen'!L23+Thermal!L$6+'Fed Hyd Ini'!L23)-'System Obligations'!L$33</f>
        <v>13801.31641276212</v>
      </c>
      <c r="M23" s="130">
        <f>(1-Losses)*('HLH Hyd Gen'!M23+Thermal!M$6+'Fed Hyd Ini'!M23)-'System Obligations'!M$33</f>
        <v>14642.04287131941</v>
      </c>
      <c r="N23" s="130">
        <f>(1-Losses)*('HLH Hyd Gen'!N23+Thermal!N$6+'Fed Hyd Ini'!N23)-'System Obligations'!N$33</f>
        <v>13103.550726884005</v>
      </c>
      <c r="O23" s="130">
        <f>(1-Losses)*('HLH Hyd Gen'!O23+Thermal!O$6+'Fed Hyd Ini'!O23)-'System Obligations'!O$33</f>
        <v>7581.640010288909</v>
      </c>
      <c r="P23" s="131">
        <f>SUMPRODUCT(B23:O23,'HLH-LLH Loads'!$N$4:$AA$4)</f>
        <v>55190631.65923696</v>
      </c>
      <c r="Q23" s="131"/>
      <c r="R23" s="131"/>
    </row>
    <row r="24" spans="1:18" ht="12.75">
      <c r="A24" s="128">
        <v>1950</v>
      </c>
      <c r="B24" s="130">
        <f>(1-Losses)*('HLH Hyd Gen'!B24+Thermal!B$6+'Fed Hyd Ini'!B24)-'System Obligations'!B$33</f>
        <v>6957.629611781079</v>
      </c>
      <c r="C24" s="130">
        <f>(1-Losses)*('HLH Hyd Gen'!C24+Thermal!C$6+'Fed Hyd Ini'!C24)-'System Obligations'!C$33</f>
        <v>6247.866532230136</v>
      </c>
      <c r="D24" s="130">
        <f>(1-Losses)*('HLH Hyd Gen'!D24+Thermal!D$6+'Fed Hyd Ini'!D24)-'System Obligations'!D$33</f>
        <v>7487.0644855956125</v>
      </c>
      <c r="E24" s="130">
        <f>(1-Losses)*('HLH Hyd Gen'!E24+Thermal!E$6+'Fed Hyd Ini'!E24)-'System Obligations'!E$33</f>
        <v>8226.127831401142</v>
      </c>
      <c r="F24" s="130">
        <f>(1-Losses)*('HLH Hyd Gen'!F24+Thermal!F$6+'Fed Hyd Ini'!F24)-'System Obligations'!F$33</f>
        <v>6959.712953166916</v>
      </c>
      <c r="G24" s="130">
        <f>(1-Losses)*('HLH Hyd Gen'!G24+Thermal!G$6+'Fed Hyd Ini'!G24)-'System Obligations'!G$33</f>
        <v>10347.828469855103</v>
      </c>
      <c r="H24" s="130">
        <f>(1-Losses)*('HLH Hyd Gen'!H24+Thermal!H$6+'Fed Hyd Ini'!H24)-'System Obligations'!H$33</f>
        <v>14686.542808413235</v>
      </c>
      <c r="I24" s="130">
        <f>(1-Losses)*('HLH Hyd Gen'!I24+Thermal!I$6+'Fed Hyd Ini'!I24)-'System Obligations'!I$33</f>
        <v>13224.789819477657</v>
      </c>
      <c r="J24" s="130">
        <f>(1-Losses)*('HLH Hyd Gen'!J24+Thermal!J$6+'Fed Hyd Ini'!J24)-'System Obligations'!J$33</f>
        <v>13925.156449214128</v>
      </c>
      <c r="K24" s="130">
        <f>(1-Losses)*('HLH Hyd Gen'!K24+Thermal!K$6+'Fed Hyd Ini'!K24)-'System Obligations'!K$33</f>
        <v>14644.494406147915</v>
      </c>
      <c r="L24" s="130">
        <f>(1-Losses)*('HLH Hyd Gen'!L24+Thermal!L$6+'Fed Hyd Ini'!L24)-'System Obligations'!L$33</f>
        <v>13173.55771488844</v>
      </c>
      <c r="M24" s="130">
        <f>(1-Losses)*('HLH Hyd Gen'!M24+Thermal!M$6+'Fed Hyd Ini'!M24)-'System Obligations'!M$33</f>
        <v>13558.943583533584</v>
      </c>
      <c r="N24" s="130">
        <f>(1-Losses)*('HLH Hyd Gen'!N24+Thermal!N$6+'Fed Hyd Ini'!N24)-'System Obligations'!N$33</f>
        <v>15874.899042884736</v>
      </c>
      <c r="O24" s="130">
        <f>(1-Losses)*('HLH Hyd Gen'!O24+Thermal!O$6+'Fed Hyd Ini'!O24)-'System Obligations'!O$33</f>
        <v>12830.013679063532</v>
      </c>
      <c r="P24" s="131">
        <f>SUMPRODUCT(B24:O24,'HLH-LLH Loads'!$N$4:$AA$4)</f>
        <v>57372457.91938645</v>
      </c>
      <c r="Q24" s="131"/>
      <c r="R24" s="131"/>
    </row>
    <row r="25" spans="1:18" ht="12.75">
      <c r="A25" s="128">
        <v>1951</v>
      </c>
      <c r="B25" s="130">
        <f>(1-Losses)*('HLH Hyd Gen'!B25+Thermal!B$6+'Fed Hyd Ini'!B25)-'System Obligations'!B$33</f>
        <v>11192.037771760175</v>
      </c>
      <c r="C25" s="130">
        <f>(1-Losses)*('HLH Hyd Gen'!C25+Thermal!C$6+'Fed Hyd Ini'!C25)-'System Obligations'!C$33</f>
        <v>10415.678555797416</v>
      </c>
      <c r="D25" s="130">
        <f>(1-Losses)*('HLH Hyd Gen'!D25+Thermal!D$6+'Fed Hyd Ini'!D25)-'System Obligations'!D$33</f>
        <v>8308.230773166646</v>
      </c>
      <c r="E25" s="130">
        <f>(1-Losses)*('HLH Hyd Gen'!E25+Thermal!E$6+'Fed Hyd Ini'!E25)-'System Obligations'!E$33</f>
        <v>10595.452726268108</v>
      </c>
      <c r="F25" s="130">
        <f>(1-Losses)*('HLH Hyd Gen'!F25+Thermal!F$6+'Fed Hyd Ini'!F25)-'System Obligations'!F$33</f>
        <v>10351.73320612471</v>
      </c>
      <c r="G25" s="130">
        <f>(1-Losses)*('HLH Hyd Gen'!G25+Thermal!G$6+'Fed Hyd Ini'!G25)-'System Obligations'!G$33</f>
        <v>13831.652358919984</v>
      </c>
      <c r="H25" s="130">
        <f>(1-Losses)*('HLH Hyd Gen'!H25+Thermal!H$6+'Fed Hyd Ini'!H25)-'System Obligations'!H$33</f>
        <v>16566.12460385934</v>
      </c>
      <c r="I25" s="130">
        <f>(1-Losses)*('HLH Hyd Gen'!I25+Thermal!I$6+'Fed Hyd Ini'!I25)-'System Obligations'!I$33</f>
        <v>16316.265103585487</v>
      </c>
      <c r="J25" s="130">
        <f>(1-Losses)*('HLH Hyd Gen'!J25+Thermal!J$6+'Fed Hyd Ini'!J25)-'System Obligations'!J$33</f>
        <v>13222.834888210598</v>
      </c>
      <c r="K25" s="130">
        <f>(1-Losses)*('HLH Hyd Gen'!K25+Thermal!K$6+'Fed Hyd Ini'!K25)-'System Obligations'!K$33</f>
        <v>14315.113470572238</v>
      </c>
      <c r="L25" s="130">
        <f>(1-Losses)*('HLH Hyd Gen'!L25+Thermal!L$6+'Fed Hyd Ini'!L25)-'System Obligations'!L$33</f>
        <v>13755.444157057525</v>
      </c>
      <c r="M25" s="130">
        <f>(1-Losses)*('HLH Hyd Gen'!M25+Thermal!M$6+'Fed Hyd Ini'!M25)-'System Obligations'!M$33</f>
        <v>14222.027662014674</v>
      </c>
      <c r="N25" s="130">
        <f>(1-Losses)*('HLH Hyd Gen'!N25+Thermal!N$6+'Fed Hyd Ini'!N25)-'System Obligations'!N$33</f>
        <v>12108.607971668902</v>
      </c>
      <c r="O25" s="130">
        <f>(1-Losses)*('HLH Hyd Gen'!O25+Thermal!O$6+'Fed Hyd Ini'!O25)-'System Obligations'!O$33</f>
        <v>12318.962500308646</v>
      </c>
      <c r="P25" s="131">
        <f>SUMPRODUCT(B25:O25,'HLH-LLH Loads'!$N$4:$AA$4)</f>
        <v>63634972.321550064</v>
      </c>
      <c r="Q25" s="131"/>
      <c r="R25" s="131"/>
    </row>
    <row r="26" spans="1:18" ht="12.75">
      <c r="A26" s="128">
        <v>1952</v>
      </c>
      <c r="B26" s="130">
        <f>(1-Losses)*('HLH Hyd Gen'!B26+Thermal!B$6+'Fed Hyd Ini'!B26)-'System Obligations'!B$33</f>
        <v>11769.272739725224</v>
      </c>
      <c r="C26" s="130">
        <f>(1-Losses)*('HLH Hyd Gen'!C26+Thermal!C$6+'Fed Hyd Ini'!C26)-'System Obligations'!C$33</f>
        <v>10670.19441386816</v>
      </c>
      <c r="D26" s="130">
        <f>(1-Losses)*('HLH Hyd Gen'!D26+Thermal!D$6+'Fed Hyd Ini'!D26)-'System Obligations'!D$33</f>
        <v>8262.247866212896</v>
      </c>
      <c r="E26" s="130">
        <f>(1-Losses)*('HLH Hyd Gen'!E26+Thermal!E$6+'Fed Hyd Ini'!E26)-'System Obligations'!E$33</f>
        <v>11545.910927733074</v>
      </c>
      <c r="F26" s="130">
        <f>(1-Losses)*('HLH Hyd Gen'!F26+Thermal!F$6+'Fed Hyd Ini'!F26)-'System Obligations'!F$33</f>
        <v>8317.549426063115</v>
      </c>
      <c r="G26" s="130">
        <f>(1-Losses)*('HLH Hyd Gen'!G26+Thermal!G$6+'Fed Hyd Ini'!G26)-'System Obligations'!G$33</f>
        <v>11471.074263671026</v>
      </c>
      <c r="H26" s="130">
        <f>(1-Losses)*('HLH Hyd Gen'!H26+Thermal!H$6+'Fed Hyd Ini'!H26)-'System Obligations'!H$33</f>
        <v>15346.634986352758</v>
      </c>
      <c r="I26" s="130">
        <f>(1-Losses)*('HLH Hyd Gen'!I26+Thermal!I$6+'Fed Hyd Ini'!I26)-'System Obligations'!I$33</f>
        <v>12569.954317781556</v>
      </c>
      <c r="J26" s="130">
        <f>(1-Losses)*('HLH Hyd Gen'!J26+Thermal!J$6+'Fed Hyd Ini'!J26)-'System Obligations'!J$33</f>
        <v>10756.989931600945</v>
      </c>
      <c r="K26" s="130">
        <f>(1-Losses)*('HLH Hyd Gen'!K26+Thermal!K$6+'Fed Hyd Ini'!K26)-'System Obligations'!K$33</f>
        <v>14657.394920090755</v>
      </c>
      <c r="L26" s="130">
        <f>(1-Losses)*('HLH Hyd Gen'!L26+Thermal!L$6+'Fed Hyd Ini'!L26)-'System Obligations'!L$33</f>
        <v>14495.326340177728</v>
      </c>
      <c r="M26" s="130">
        <f>(1-Losses)*('HLH Hyd Gen'!M26+Thermal!M$6+'Fed Hyd Ini'!M26)-'System Obligations'!M$33</f>
        <v>15328.246992650596</v>
      </c>
      <c r="N26" s="130">
        <f>(1-Losses)*('HLH Hyd Gen'!N26+Thermal!N$6+'Fed Hyd Ini'!N26)-'System Obligations'!N$33</f>
        <v>13897.565927698826</v>
      </c>
      <c r="O26" s="130">
        <f>(1-Losses)*('HLH Hyd Gen'!O26+Thermal!O$6+'Fed Hyd Ini'!O26)-'System Obligations'!O$33</f>
        <v>10435.344917336033</v>
      </c>
      <c r="P26" s="131">
        <f>SUMPRODUCT(B26:O26,'HLH-LLH Loads'!$N$4:$AA$4)</f>
        <v>59987563.530138314</v>
      </c>
      <c r="Q26" s="131"/>
      <c r="R26" s="131"/>
    </row>
    <row r="27" spans="1:18" ht="12.75">
      <c r="A27" s="128">
        <v>1953</v>
      </c>
      <c r="B27" s="130">
        <f>(1-Losses)*('HLH Hyd Gen'!B27+Thermal!B$6+'Fed Hyd Ini'!B27)-'System Obligations'!B$33</f>
        <v>10978.501128650973</v>
      </c>
      <c r="C27" s="130">
        <f>(1-Losses)*('HLH Hyd Gen'!C27+Thermal!C$6+'Fed Hyd Ini'!C27)-'System Obligations'!C$33</f>
        <v>7584.889655016204</v>
      </c>
      <c r="D27" s="130">
        <f>(1-Losses)*('HLH Hyd Gen'!D27+Thermal!D$6+'Fed Hyd Ini'!D27)-'System Obligations'!D$33</f>
        <v>7535.933984084439</v>
      </c>
      <c r="E27" s="130">
        <f>(1-Losses)*('HLH Hyd Gen'!E27+Thermal!E$6+'Fed Hyd Ini'!E27)-'System Obligations'!E$33</f>
        <v>8396.01248301402</v>
      </c>
      <c r="F27" s="130">
        <f>(1-Losses)*('HLH Hyd Gen'!F27+Thermal!F$6+'Fed Hyd Ini'!F27)-'System Obligations'!F$33</f>
        <v>7296.060432477995</v>
      </c>
      <c r="G27" s="130">
        <f>(1-Losses)*('HLH Hyd Gen'!G27+Thermal!G$6+'Fed Hyd Ini'!G27)-'System Obligations'!G$33</f>
        <v>9398.660721979511</v>
      </c>
      <c r="H27" s="130">
        <f>(1-Losses)*('HLH Hyd Gen'!H27+Thermal!H$6+'Fed Hyd Ini'!H27)-'System Obligations'!H$33</f>
        <v>8703.814433344152</v>
      </c>
      <c r="I27" s="130">
        <f>(1-Losses)*('HLH Hyd Gen'!I27+Thermal!I$6+'Fed Hyd Ini'!I27)-'System Obligations'!I$33</f>
        <v>15461.868897109027</v>
      </c>
      <c r="J27" s="130">
        <f>(1-Losses)*('HLH Hyd Gen'!J27+Thermal!J$6+'Fed Hyd Ini'!J27)-'System Obligations'!J$33</f>
        <v>12055.115716645956</v>
      </c>
      <c r="K27" s="130">
        <f>(1-Losses)*('HLH Hyd Gen'!K27+Thermal!K$6+'Fed Hyd Ini'!K27)-'System Obligations'!K$33</f>
        <v>9330.024747306972</v>
      </c>
      <c r="L27" s="130">
        <f>(1-Losses)*('HLH Hyd Gen'!L27+Thermal!L$6+'Fed Hyd Ini'!L27)-'System Obligations'!L$33</f>
        <v>10013.692773630028</v>
      </c>
      <c r="M27" s="130">
        <f>(1-Losses)*('HLH Hyd Gen'!M27+Thermal!M$6+'Fed Hyd Ini'!M27)-'System Obligations'!M$33</f>
        <v>12195.684849189161</v>
      </c>
      <c r="N27" s="130">
        <f>(1-Losses)*('HLH Hyd Gen'!N27+Thermal!N$6+'Fed Hyd Ini'!N27)-'System Obligations'!N$33</f>
        <v>14717.944211797048</v>
      </c>
      <c r="O27" s="130">
        <f>(1-Losses)*('HLH Hyd Gen'!O27+Thermal!O$6+'Fed Hyd Ini'!O27)-'System Obligations'!O$33</f>
        <v>12621.017229731242</v>
      </c>
      <c r="P27" s="131">
        <f>SUMPRODUCT(B27:O27,'HLH-LLH Loads'!$N$4:$AA$4)</f>
        <v>52976209.39225939</v>
      </c>
      <c r="Q27" s="131"/>
      <c r="R27" s="131"/>
    </row>
    <row r="28" spans="1:18" ht="12.75">
      <c r="A28" s="128">
        <v>1954</v>
      </c>
      <c r="B28" s="130">
        <f>(1-Losses)*('HLH Hyd Gen'!B28+Thermal!B$6+'Fed Hyd Ini'!B28)-'System Obligations'!B$33</f>
        <v>11841.84184248576</v>
      </c>
      <c r="C28" s="130">
        <f>(1-Losses)*('HLH Hyd Gen'!C28+Thermal!C$6+'Fed Hyd Ini'!C28)-'System Obligations'!C$33</f>
        <v>10485.629987005077</v>
      </c>
      <c r="D28" s="130">
        <f>(1-Losses)*('HLH Hyd Gen'!D28+Thermal!D$6+'Fed Hyd Ini'!D28)-'System Obligations'!D$33</f>
        <v>8389.311176320218</v>
      </c>
      <c r="E28" s="130">
        <f>(1-Losses)*('HLH Hyd Gen'!E28+Thermal!E$6+'Fed Hyd Ini'!E28)-'System Obligations'!E$33</f>
        <v>9470.08064352563</v>
      </c>
      <c r="F28" s="130">
        <f>(1-Losses)*('HLH Hyd Gen'!F28+Thermal!F$6+'Fed Hyd Ini'!F28)-'System Obligations'!F$33</f>
        <v>7843.6047096843495</v>
      </c>
      <c r="G28" s="130">
        <f>(1-Losses)*('HLH Hyd Gen'!G28+Thermal!G$6+'Fed Hyd Ini'!G28)-'System Obligations'!G$33</f>
        <v>9524.811353167015</v>
      </c>
      <c r="H28" s="130">
        <f>(1-Losses)*('HLH Hyd Gen'!H28+Thermal!H$6+'Fed Hyd Ini'!H28)-'System Obligations'!H$33</f>
        <v>12965.709203132341</v>
      </c>
      <c r="I28" s="130">
        <f>(1-Losses)*('HLH Hyd Gen'!I28+Thermal!I$6+'Fed Hyd Ini'!I28)-'System Obligations'!I$33</f>
        <v>15945.394527889297</v>
      </c>
      <c r="J28" s="130">
        <f>(1-Losses)*('HLH Hyd Gen'!J28+Thermal!J$6+'Fed Hyd Ini'!J28)-'System Obligations'!J$33</f>
        <v>11038.3767473723</v>
      </c>
      <c r="K28" s="130">
        <f>(1-Losses)*('HLH Hyd Gen'!K28+Thermal!K$6+'Fed Hyd Ini'!K28)-'System Obligations'!K$33</f>
        <v>12103.103092177</v>
      </c>
      <c r="L28" s="130">
        <f>(1-Losses)*('HLH Hyd Gen'!L28+Thermal!L$6+'Fed Hyd Ini'!L28)-'System Obligations'!L$33</f>
        <v>11567.315622955595</v>
      </c>
      <c r="M28" s="130">
        <f>(1-Losses)*('HLH Hyd Gen'!M28+Thermal!M$6+'Fed Hyd Ini'!M28)-'System Obligations'!M$33</f>
        <v>13738.417702423634</v>
      </c>
      <c r="N28" s="130">
        <f>(1-Losses)*('HLH Hyd Gen'!N28+Thermal!N$6+'Fed Hyd Ini'!N28)-'System Obligations'!N$33</f>
        <v>14508.186007640517</v>
      </c>
      <c r="O28" s="130">
        <f>(1-Losses)*('HLH Hyd Gen'!O28+Thermal!O$6+'Fed Hyd Ini'!O28)-'System Obligations'!O$33</f>
        <v>12966.686755545055</v>
      </c>
      <c r="P28" s="131">
        <f>SUMPRODUCT(B28:O28,'HLH-LLH Loads'!$N$4:$AA$4)</f>
        <v>58053789.889060676</v>
      </c>
      <c r="Q28" s="131"/>
      <c r="R28" s="131"/>
    </row>
    <row r="29" spans="1:18" ht="12.75">
      <c r="A29" s="128">
        <v>1955</v>
      </c>
      <c r="B29" s="130">
        <f>(1-Losses)*('HLH Hyd Gen'!B29+Thermal!B$6+'Fed Hyd Ini'!B29)-'System Obligations'!B$33</f>
        <v>12150.384886335933</v>
      </c>
      <c r="C29" s="130">
        <f>(1-Losses)*('HLH Hyd Gen'!C29+Thermal!C$6+'Fed Hyd Ini'!C29)-'System Obligations'!C$33</f>
        <v>11293.460895020318</v>
      </c>
      <c r="D29" s="130">
        <f>(1-Losses)*('HLH Hyd Gen'!D29+Thermal!D$6+'Fed Hyd Ini'!D29)-'System Obligations'!D$33</f>
        <v>12014.132833929998</v>
      </c>
      <c r="E29" s="130">
        <f>(1-Losses)*('HLH Hyd Gen'!E29+Thermal!E$6+'Fed Hyd Ini'!E29)-'System Obligations'!E$33</f>
        <v>10459.069297238138</v>
      </c>
      <c r="F29" s="130">
        <f>(1-Losses)*('HLH Hyd Gen'!F29+Thermal!F$6+'Fed Hyd Ini'!F29)-'System Obligations'!F$33</f>
        <v>8889.048823996136</v>
      </c>
      <c r="G29" s="130">
        <f>(1-Losses)*('HLH Hyd Gen'!G29+Thermal!G$6+'Fed Hyd Ini'!G29)-'System Obligations'!G$33</f>
        <v>9846.936934214657</v>
      </c>
      <c r="H29" s="130">
        <f>(1-Losses)*('HLH Hyd Gen'!H29+Thermal!H$6+'Fed Hyd Ini'!H29)-'System Obligations'!H$33</f>
        <v>11891.497321642957</v>
      </c>
      <c r="I29" s="130">
        <f>(1-Losses)*('HLH Hyd Gen'!I29+Thermal!I$6+'Fed Hyd Ini'!I29)-'System Obligations'!I$33</f>
        <v>10916.305819936295</v>
      </c>
      <c r="J29" s="130">
        <f>(1-Losses)*('HLH Hyd Gen'!J29+Thermal!J$6+'Fed Hyd Ini'!J29)-'System Obligations'!J$33</f>
        <v>6802.16440036629</v>
      </c>
      <c r="K29" s="130">
        <f>(1-Losses)*('HLH Hyd Gen'!K29+Thermal!K$6+'Fed Hyd Ini'!K29)-'System Obligations'!K$33</f>
        <v>10257.557173628482</v>
      </c>
      <c r="L29" s="130">
        <f>(1-Losses)*('HLH Hyd Gen'!L29+Thermal!L$6+'Fed Hyd Ini'!L29)-'System Obligations'!L$33</f>
        <v>10583.739723391669</v>
      </c>
      <c r="M29" s="130">
        <f>(1-Losses)*('HLH Hyd Gen'!M29+Thermal!M$6+'Fed Hyd Ini'!M29)-'System Obligations'!M$33</f>
        <v>10154.15401611369</v>
      </c>
      <c r="N29" s="130">
        <f>(1-Losses)*('HLH Hyd Gen'!N29+Thermal!N$6+'Fed Hyd Ini'!N29)-'System Obligations'!N$33</f>
        <v>15444.470652459602</v>
      </c>
      <c r="O29" s="130">
        <f>(1-Losses)*('HLH Hyd Gen'!O29+Thermal!O$6+'Fed Hyd Ini'!O29)-'System Obligations'!O$33</f>
        <v>13297.990919936983</v>
      </c>
      <c r="P29" s="131">
        <f>SUMPRODUCT(B29:O29,'HLH-LLH Loads'!$N$4:$AA$4)</f>
        <v>54981888.14646782</v>
      </c>
      <c r="Q29" s="131"/>
      <c r="R29" s="131"/>
    </row>
    <row r="30" spans="1:18" ht="12.75">
      <c r="A30" s="128">
        <v>1956</v>
      </c>
      <c r="B30" s="130">
        <f>(1-Losses)*('HLH Hyd Gen'!B30+Thermal!B$6+'Fed Hyd Ini'!B30)-'System Obligations'!B$33</f>
        <v>11592.281285110796</v>
      </c>
      <c r="C30" s="130">
        <f>(1-Losses)*('HLH Hyd Gen'!C30+Thermal!C$6+'Fed Hyd Ini'!C30)-'System Obligations'!C$33</f>
        <v>11189.783020768324</v>
      </c>
      <c r="D30" s="130">
        <f>(1-Losses)*('HLH Hyd Gen'!D30+Thermal!D$6+'Fed Hyd Ini'!D30)-'System Obligations'!D$33</f>
        <v>8536.156556390612</v>
      </c>
      <c r="E30" s="130">
        <f>(1-Losses)*('HLH Hyd Gen'!E30+Thermal!E$6+'Fed Hyd Ini'!E30)-'System Obligations'!E$33</f>
        <v>10155.406250176347</v>
      </c>
      <c r="F30" s="130">
        <f>(1-Losses)*('HLH Hyd Gen'!F30+Thermal!F$6+'Fed Hyd Ini'!F30)-'System Obligations'!F$33</f>
        <v>9428.588336502573</v>
      </c>
      <c r="G30" s="130">
        <f>(1-Losses)*('HLH Hyd Gen'!G30+Thermal!G$6+'Fed Hyd Ini'!G30)-'System Obligations'!G$33</f>
        <v>13505.377793984371</v>
      </c>
      <c r="H30" s="130">
        <f>(1-Losses)*('HLH Hyd Gen'!H30+Thermal!H$6+'Fed Hyd Ini'!H30)-'System Obligations'!H$33</f>
        <v>16816.902477972053</v>
      </c>
      <c r="I30" s="130">
        <f>(1-Losses)*('HLH Hyd Gen'!I30+Thermal!I$6+'Fed Hyd Ini'!I30)-'System Obligations'!I$33</f>
        <v>15044.140234030909</v>
      </c>
      <c r="J30" s="130">
        <f>(1-Losses)*('HLH Hyd Gen'!J30+Thermal!J$6+'Fed Hyd Ini'!J30)-'System Obligations'!J$33</f>
        <v>13349.789376951383</v>
      </c>
      <c r="K30" s="130">
        <f>(1-Losses)*('HLH Hyd Gen'!K30+Thermal!K$6+'Fed Hyd Ini'!K30)-'System Obligations'!K$33</f>
        <v>13835.3481191709</v>
      </c>
      <c r="L30" s="130">
        <f>(1-Losses)*('HLH Hyd Gen'!L30+Thermal!L$6+'Fed Hyd Ini'!L30)-'System Obligations'!L$33</f>
        <v>15372.59896192067</v>
      </c>
      <c r="M30" s="130">
        <f>(1-Losses)*('HLH Hyd Gen'!M30+Thermal!M$6+'Fed Hyd Ini'!M30)-'System Obligations'!M$33</f>
        <v>15766.44801849194</v>
      </c>
      <c r="N30" s="130">
        <f>(1-Losses)*('HLH Hyd Gen'!N30+Thermal!N$6+'Fed Hyd Ini'!N30)-'System Obligations'!N$33</f>
        <v>16349.353317728655</v>
      </c>
      <c r="O30" s="130">
        <f>(1-Losses)*('HLH Hyd Gen'!O30+Thermal!O$6+'Fed Hyd Ini'!O30)-'System Obligations'!O$33</f>
        <v>12599.77555701256</v>
      </c>
      <c r="P30" s="131">
        <f>SUMPRODUCT(B30:O30,'HLH-LLH Loads'!$N$4:$AA$4)</f>
        <v>65750717.251805544</v>
      </c>
      <c r="Q30" s="131"/>
      <c r="R30" s="131"/>
    </row>
    <row r="31" spans="1:18" ht="12.75">
      <c r="A31" s="128">
        <v>1957</v>
      </c>
      <c r="B31" s="130">
        <f>(1-Losses)*('HLH Hyd Gen'!B31+Thermal!B$6+'Fed Hyd Ini'!B31)-'System Obligations'!B$33</f>
        <v>12032.27029424634</v>
      </c>
      <c r="C31" s="130">
        <f>(1-Losses)*('HLH Hyd Gen'!C31+Thermal!C$6+'Fed Hyd Ini'!C31)-'System Obligations'!C$33</f>
        <v>10673.075909739702</v>
      </c>
      <c r="D31" s="130">
        <f>(1-Losses)*('HLH Hyd Gen'!D31+Thermal!D$6+'Fed Hyd Ini'!D31)-'System Obligations'!D$33</f>
        <v>8164.704137938033</v>
      </c>
      <c r="E31" s="130">
        <f>(1-Losses)*('HLH Hyd Gen'!E31+Thermal!E$6+'Fed Hyd Ini'!E31)-'System Obligations'!E$33</f>
        <v>9647.142247329873</v>
      </c>
      <c r="F31" s="130">
        <f>(1-Losses)*('HLH Hyd Gen'!F31+Thermal!F$6+'Fed Hyd Ini'!F31)-'System Obligations'!F$33</f>
        <v>7195.476671448469</v>
      </c>
      <c r="G31" s="130">
        <f>(1-Losses)*('HLH Hyd Gen'!G31+Thermal!G$6+'Fed Hyd Ini'!G31)-'System Obligations'!G$33</f>
        <v>10130.184026724886</v>
      </c>
      <c r="H31" s="130">
        <f>(1-Losses)*('HLH Hyd Gen'!H31+Thermal!H$6+'Fed Hyd Ini'!H31)-'System Obligations'!H$33</f>
        <v>11567.462747215048</v>
      </c>
      <c r="I31" s="130">
        <f>(1-Losses)*('HLH Hyd Gen'!I31+Thermal!I$6+'Fed Hyd Ini'!I31)-'System Obligations'!I$33</f>
        <v>14001.674238367952</v>
      </c>
      <c r="J31" s="130">
        <f>(1-Losses)*('HLH Hyd Gen'!J31+Thermal!J$6+'Fed Hyd Ini'!J31)-'System Obligations'!J$33</f>
        <v>10885.813555349681</v>
      </c>
      <c r="K31" s="130">
        <f>(1-Losses)*('HLH Hyd Gen'!K31+Thermal!K$6+'Fed Hyd Ini'!K31)-'System Obligations'!K$33</f>
        <v>14240.524663745558</v>
      </c>
      <c r="L31" s="130">
        <f>(1-Losses)*('HLH Hyd Gen'!L31+Thermal!L$6+'Fed Hyd Ini'!L31)-'System Obligations'!L$33</f>
        <v>10790.073763133276</v>
      </c>
      <c r="M31" s="130">
        <f>(1-Losses)*('HLH Hyd Gen'!M31+Thermal!M$6+'Fed Hyd Ini'!M31)-'System Obligations'!M$33</f>
        <v>16278.337256549663</v>
      </c>
      <c r="N31" s="130">
        <f>(1-Losses)*('HLH Hyd Gen'!N31+Thermal!N$6+'Fed Hyd Ini'!N31)-'System Obligations'!N$33</f>
        <v>14935.623909170514</v>
      </c>
      <c r="O31" s="130">
        <f>(1-Losses)*('HLH Hyd Gen'!O31+Thermal!O$6+'Fed Hyd Ini'!O31)-'System Obligations'!O$33</f>
        <v>10163.082248284878</v>
      </c>
      <c r="P31" s="131">
        <f>SUMPRODUCT(B31:O31,'HLH-LLH Loads'!$N$4:$AA$4)</f>
        <v>57038961.97643952</v>
      </c>
      <c r="Q31" s="131"/>
      <c r="R31" s="131"/>
    </row>
    <row r="32" spans="1:18" ht="12.75">
      <c r="A32" s="128">
        <v>1958</v>
      </c>
      <c r="B32" s="130">
        <f>(1-Losses)*('HLH Hyd Gen'!B32+Thermal!B$6+'Fed Hyd Ini'!B32)-'System Obligations'!B$33</f>
        <v>9553.122552583201</v>
      </c>
      <c r="C32" s="130">
        <f>(1-Losses)*('HLH Hyd Gen'!C32+Thermal!C$6+'Fed Hyd Ini'!C32)-'System Obligations'!C$33</f>
        <v>7744.083795396322</v>
      </c>
      <c r="D32" s="130">
        <f>(1-Losses)*('HLH Hyd Gen'!D32+Thermal!D$6+'Fed Hyd Ini'!D32)-'System Obligations'!D$33</f>
        <v>7703.3758659645955</v>
      </c>
      <c r="E32" s="130">
        <f>(1-Losses)*('HLH Hyd Gen'!E32+Thermal!E$6+'Fed Hyd Ini'!E32)-'System Obligations'!E$33</f>
        <v>8698.742237069708</v>
      </c>
      <c r="F32" s="130">
        <f>(1-Losses)*('HLH Hyd Gen'!F32+Thermal!F$6+'Fed Hyd Ini'!F32)-'System Obligations'!F$33</f>
        <v>7142.645672336541</v>
      </c>
      <c r="G32" s="130">
        <f>(1-Losses)*('HLH Hyd Gen'!G32+Thermal!G$6+'Fed Hyd Ini'!G32)-'System Obligations'!G$33</f>
        <v>9037.319362827038</v>
      </c>
      <c r="H32" s="130">
        <f>(1-Losses)*('HLH Hyd Gen'!H32+Thermal!H$6+'Fed Hyd Ini'!H32)-'System Obligations'!H$33</f>
        <v>11660.756799733113</v>
      </c>
      <c r="I32" s="130">
        <f>(1-Losses)*('HLH Hyd Gen'!I32+Thermal!I$6+'Fed Hyd Ini'!I32)-'System Obligations'!I$33</f>
        <v>15214.887192513072</v>
      </c>
      <c r="J32" s="130">
        <f>(1-Losses)*('HLH Hyd Gen'!J32+Thermal!J$6+'Fed Hyd Ini'!J32)-'System Obligations'!J$33</f>
        <v>9785.110022432596</v>
      </c>
      <c r="K32" s="130">
        <f>(1-Losses)*('HLH Hyd Gen'!K32+Thermal!K$6+'Fed Hyd Ini'!K32)-'System Obligations'!K$33</f>
        <v>10462.56439649976</v>
      </c>
      <c r="L32" s="130">
        <f>(1-Losses)*('HLH Hyd Gen'!L32+Thermal!L$6+'Fed Hyd Ini'!L32)-'System Obligations'!L$33</f>
        <v>12982.28209832766</v>
      </c>
      <c r="M32" s="130">
        <f>(1-Losses)*('HLH Hyd Gen'!M32+Thermal!M$6+'Fed Hyd Ini'!M32)-'System Obligations'!M$33</f>
        <v>15662.069760830951</v>
      </c>
      <c r="N32" s="130">
        <f>(1-Losses)*('HLH Hyd Gen'!N32+Thermal!N$6+'Fed Hyd Ini'!N32)-'System Obligations'!N$33</f>
        <v>14205.733333655337</v>
      </c>
      <c r="O32" s="130">
        <f>(1-Losses)*('HLH Hyd Gen'!O32+Thermal!O$6+'Fed Hyd Ini'!O32)-'System Obligations'!O$33</f>
        <v>9568.720812217523</v>
      </c>
      <c r="P32" s="131">
        <f>SUMPRODUCT(B32:O32,'HLH-LLH Loads'!$N$4:$AA$4)</f>
        <v>53748316.097639196</v>
      </c>
      <c r="Q32" s="131"/>
      <c r="R32" s="131"/>
    </row>
    <row r="33" spans="1:18" ht="12.75">
      <c r="A33" s="128">
        <v>1959</v>
      </c>
      <c r="B33" s="130">
        <f>(1-Losses)*('HLH Hyd Gen'!B33+Thermal!B$6+'Fed Hyd Ini'!B33)-'System Obligations'!B$33</f>
        <v>9395.356437702658</v>
      </c>
      <c r="C33" s="130">
        <f>(1-Losses)*('HLH Hyd Gen'!C33+Thermal!C$6+'Fed Hyd Ini'!C33)-'System Obligations'!C$33</f>
        <v>7941.167174464088</v>
      </c>
      <c r="D33" s="130">
        <f>(1-Losses)*('HLH Hyd Gen'!D33+Thermal!D$6+'Fed Hyd Ini'!D33)-'System Obligations'!D$33</f>
        <v>7678.803369727235</v>
      </c>
      <c r="E33" s="130">
        <f>(1-Losses)*('HLH Hyd Gen'!E33+Thermal!E$6+'Fed Hyd Ini'!E33)-'System Obligations'!E$33</f>
        <v>9314.488278864977</v>
      </c>
      <c r="F33" s="130">
        <f>(1-Losses)*('HLH Hyd Gen'!F33+Thermal!F$6+'Fed Hyd Ini'!F33)-'System Obligations'!F$33</f>
        <v>8572.301014473984</v>
      </c>
      <c r="G33" s="130">
        <f>(1-Losses)*('HLH Hyd Gen'!G33+Thermal!G$6+'Fed Hyd Ini'!G33)-'System Obligations'!G$33</f>
        <v>11443.473139421723</v>
      </c>
      <c r="H33" s="130">
        <f>(1-Losses)*('HLH Hyd Gen'!H33+Thermal!H$6+'Fed Hyd Ini'!H33)-'System Obligations'!H$33</f>
        <v>16588.837241232683</v>
      </c>
      <c r="I33" s="130">
        <f>(1-Losses)*('HLH Hyd Gen'!I33+Thermal!I$6+'Fed Hyd Ini'!I33)-'System Obligations'!I$33</f>
        <v>15178.231283953772</v>
      </c>
      <c r="J33" s="130">
        <f>(1-Losses)*('HLH Hyd Gen'!J33+Thermal!J$6+'Fed Hyd Ini'!J33)-'System Obligations'!J$33</f>
        <v>12090.811368323415</v>
      </c>
      <c r="K33" s="130">
        <f>(1-Losses)*('HLH Hyd Gen'!K33+Thermal!K$6+'Fed Hyd Ini'!K33)-'System Obligations'!K$33</f>
        <v>12058.148602489679</v>
      </c>
      <c r="L33" s="130">
        <f>(1-Losses)*('HLH Hyd Gen'!L33+Thermal!L$6+'Fed Hyd Ini'!L33)-'System Obligations'!L$33</f>
        <v>9956.877429400573</v>
      </c>
      <c r="M33" s="130">
        <f>(1-Losses)*('HLH Hyd Gen'!M33+Thermal!M$6+'Fed Hyd Ini'!M33)-'System Obligations'!M$33</f>
        <v>13338.192816901763</v>
      </c>
      <c r="N33" s="130">
        <f>(1-Losses)*('HLH Hyd Gen'!N33+Thermal!N$6+'Fed Hyd Ini'!N33)-'System Obligations'!N$33</f>
        <v>14484.26568394874</v>
      </c>
      <c r="O33" s="130">
        <f>(1-Losses)*('HLH Hyd Gen'!O33+Thermal!O$6+'Fed Hyd Ini'!O33)-'System Obligations'!O$33</f>
        <v>12682.738785219812</v>
      </c>
      <c r="P33" s="131">
        <f>SUMPRODUCT(B33:O33,'HLH-LLH Loads'!$N$4:$AA$4)</f>
        <v>58796644.165392585</v>
      </c>
      <c r="Q33" s="131"/>
      <c r="R33" s="131"/>
    </row>
    <row r="34" spans="1:18" ht="12.75">
      <c r="A34" s="128">
        <v>1960</v>
      </c>
      <c r="B34" s="130">
        <f>(1-Losses)*('HLH Hyd Gen'!B34+Thermal!B$6+'Fed Hyd Ini'!B34)-'System Obligations'!B$33</f>
        <v>11781.904989845805</v>
      </c>
      <c r="C34" s="130">
        <f>(1-Losses)*('HLH Hyd Gen'!C34+Thermal!C$6+'Fed Hyd Ini'!C34)-'System Obligations'!C$33</f>
        <v>10203.899506269005</v>
      </c>
      <c r="D34" s="130">
        <f>(1-Losses)*('HLH Hyd Gen'!D34+Thermal!D$6+'Fed Hyd Ini'!D34)-'System Obligations'!D$33</f>
        <v>11833.433748392403</v>
      </c>
      <c r="E34" s="130">
        <f>(1-Losses)*('HLH Hyd Gen'!E34+Thermal!E$6+'Fed Hyd Ini'!E34)-'System Obligations'!E$33</f>
        <v>13218.909796185078</v>
      </c>
      <c r="F34" s="130">
        <f>(1-Losses)*('HLH Hyd Gen'!F34+Thermal!F$6+'Fed Hyd Ini'!F34)-'System Obligations'!F$33</f>
        <v>10975.50550655218</v>
      </c>
      <c r="G34" s="130">
        <f>(1-Losses)*('HLH Hyd Gen'!G34+Thermal!G$6+'Fed Hyd Ini'!G34)-'System Obligations'!G$33</f>
        <v>12019.231212679939</v>
      </c>
      <c r="H34" s="130">
        <f>(1-Losses)*('HLH Hyd Gen'!H34+Thermal!H$6+'Fed Hyd Ini'!H34)-'System Obligations'!H$33</f>
        <v>15082.200797163749</v>
      </c>
      <c r="I34" s="130">
        <f>(1-Losses)*('HLH Hyd Gen'!I34+Thermal!I$6+'Fed Hyd Ini'!I34)-'System Obligations'!I$33</f>
        <v>11312.177379309665</v>
      </c>
      <c r="J34" s="130">
        <f>(1-Losses)*('HLH Hyd Gen'!J34+Thermal!J$6+'Fed Hyd Ini'!J34)-'System Obligations'!J$33</f>
        <v>11605.43292716834</v>
      </c>
      <c r="K34" s="130">
        <f>(1-Losses)*('HLH Hyd Gen'!K34+Thermal!K$6+'Fed Hyd Ini'!K34)-'System Obligations'!K$33</f>
        <v>16026.458537417093</v>
      </c>
      <c r="L34" s="130">
        <f>(1-Losses)*('HLH Hyd Gen'!L34+Thermal!L$6+'Fed Hyd Ini'!L34)-'System Obligations'!L$33</f>
        <v>12877.950320451415</v>
      </c>
      <c r="M34" s="130">
        <f>(1-Losses)*('HLH Hyd Gen'!M34+Thermal!M$6+'Fed Hyd Ini'!M34)-'System Obligations'!M$33</f>
        <v>11634.359864591615</v>
      </c>
      <c r="N34" s="130">
        <f>(1-Losses)*('HLH Hyd Gen'!N34+Thermal!N$6+'Fed Hyd Ini'!N34)-'System Obligations'!N$33</f>
        <v>12509.582205224473</v>
      </c>
      <c r="O34" s="130">
        <f>(1-Losses)*('HLH Hyd Gen'!O34+Thermal!O$6+'Fed Hyd Ini'!O34)-'System Obligations'!O$33</f>
        <v>11470.73141869055</v>
      </c>
      <c r="P34" s="131">
        <f>SUMPRODUCT(B34:O34,'HLH-LLH Loads'!$N$4:$AA$4)</f>
        <v>61354376.63449355</v>
      </c>
      <c r="Q34" s="131"/>
      <c r="R34" s="131"/>
    </row>
    <row r="35" spans="1:18" ht="12.75">
      <c r="A35" s="128">
        <v>1961</v>
      </c>
      <c r="B35" s="130">
        <f>(1-Losses)*('HLH Hyd Gen'!B35+Thermal!B$6+'Fed Hyd Ini'!B35)-'System Obligations'!B$33</f>
        <v>11268.551074644945</v>
      </c>
      <c r="C35" s="130">
        <f>(1-Losses)*('HLH Hyd Gen'!C35+Thermal!C$6+'Fed Hyd Ini'!C35)-'System Obligations'!C$33</f>
        <v>7613.509005549839</v>
      </c>
      <c r="D35" s="130">
        <f>(1-Losses)*('HLH Hyd Gen'!D35+Thermal!D$6+'Fed Hyd Ini'!D35)-'System Obligations'!D$33</f>
        <v>7995.505131235059</v>
      </c>
      <c r="E35" s="130">
        <f>(1-Losses)*('HLH Hyd Gen'!E35+Thermal!E$6+'Fed Hyd Ini'!E35)-'System Obligations'!E$33</f>
        <v>9403.370225462175</v>
      </c>
      <c r="F35" s="130">
        <f>(1-Losses)*('HLH Hyd Gen'!F35+Thermal!F$6+'Fed Hyd Ini'!F35)-'System Obligations'!F$33</f>
        <v>8011.195249517051</v>
      </c>
      <c r="G35" s="130">
        <f>(1-Losses)*('HLH Hyd Gen'!G35+Thermal!G$6+'Fed Hyd Ini'!G35)-'System Obligations'!G$33</f>
        <v>8439.60344360377</v>
      </c>
      <c r="H35" s="130">
        <f>(1-Losses)*('HLH Hyd Gen'!H35+Thermal!H$6+'Fed Hyd Ini'!H35)-'System Obligations'!H$33</f>
        <v>14015.832722983341</v>
      </c>
      <c r="I35" s="130">
        <f>(1-Losses)*('HLH Hyd Gen'!I35+Thermal!I$6+'Fed Hyd Ini'!I35)-'System Obligations'!I$33</f>
        <v>15277.120020919428</v>
      </c>
      <c r="J35" s="130">
        <f>(1-Losses)*('HLH Hyd Gen'!J35+Thermal!J$6+'Fed Hyd Ini'!J35)-'System Obligations'!J$33</f>
        <v>11984.755890835933</v>
      </c>
      <c r="K35" s="130">
        <f>(1-Losses)*('HLH Hyd Gen'!K35+Thermal!K$6+'Fed Hyd Ini'!K35)-'System Obligations'!K$33</f>
        <v>11754.580463075707</v>
      </c>
      <c r="L35" s="130">
        <f>(1-Losses)*('HLH Hyd Gen'!L35+Thermal!L$6+'Fed Hyd Ini'!L35)-'System Obligations'!L$33</f>
        <v>9013.287461161517</v>
      </c>
      <c r="M35" s="130">
        <f>(1-Losses)*('HLH Hyd Gen'!M35+Thermal!M$6+'Fed Hyd Ini'!M35)-'System Obligations'!M$33</f>
        <v>13714.903609371097</v>
      </c>
      <c r="N35" s="130">
        <f>(1-Losses)*('HLH Hyd Gen'!N35+Thermal!N$6+'Fed Hyd Ini'!N35)-'System Obligations'!N$33</f>
        <v>14462.697185659608</v>
      </c>
      <c r="O35" s="130">
        <f>(1-Losses)*('HLH Hyd Gen'!O35+Thermal!O$6+'Fed Hyd Ini'!O35)-'System Obligations'!O$33</f>
        <v>10792.481194043592</v>
      </c>
      <c r="P35" s="131">
        <f>SUMPRODUCT(B35:O35,'HLH-LLH Loads'!$N$4:$AA$4)</f>
        <v>55792053.220733576</v>
      </c>
      <c r="Q35" s="131"/>
      <c r="R35" s="131"/>
    </row>
    <row r="36" spans="1:18" ht="12.75">
      <c r="A36" s="128">
        <v>1962</v>
      </c>
      <c r="B36" s="130">
        <f>(1-Losses)*('HLH Hyd Gen'!B36+Thermal!B$6+'Fed Hyd Ini'!B36)-'System Obligations'!B$33</f>
        <v>10621.597030639925</v>
      </c>
      <c r="C36" s="130">
        <f>(1-Losses)*('HLH Hyd Gen'!C36+Thermal!C$6+'Fed Hyd Ini'!C36)-'System Obligations'!C$33</f>
        <v>8054.59122484947</v>
      </c>
      <c r="D36" s="130">
        <f>(1-Losses)*('HLH Hyd Gen'!D36+Thermal!D$6+'Fed Hyd Ini'!D36)-'System Obligations'!D$33</f>
        <v>7439.72416139833</v>
      </c>
      <c r="E36" s="130">
        <f>(1-Losses)*('HLH Hyd Gen'!E36+Thermal!E$6+'Fed Hyd Ini'!E36)-'System Obligations'!E$33</f>
        <v>9041.43260168412</v>
      </c>
      <c r="F36" s="130">
        <f>(1-Losses)*('HLH Hyd Gen'!F36+Thermal!F$6+'Fed Hyd Ini'!F36)-'System Obligations'!F$33</f>
        <v>6975.294622855801</v>
      </c>
      <c r="G36" s="130">
        <f>(1-Losses)*('HLH Hyd Gen'!G36+Thermal!G$6+'Fed Hyd Ini'!G36)-'System Obligations'!G$33</f>
        <v>8721.442214204491</v>
      </c>
      <c r="H36" s="130">
        <f>(1-Losses)*('HLH Hyd Gen'!H36+Thermal!H$6+'Fed Hyd Ini'!H36)-'System Obligations'!H$33</f>
        <v>14117.838273970718</v>
      </c>
      <c r="I36" s="130">
        <f>(1-Losses)*('HLH Hyd Gen'!I36+Thermal!I$6+'Fed Hyd Ini'!I36)-'System Obligations'!I$33</f>
        <v>9158.09317568269</v>
      </c>
      <c r="J36" s="130">
        <f>(1-Losses)*('HLH Hyd Gen'!J36+Thermal!J$6+'Fed Hyd Ini'!J36)-'System Obligations'!J$33</f>
        <v>8762.49297835208</v>
      </c>
      <c r="K36" s="130">
        <f>(1-Losses)*('HLH Hyd Gen'!K36+Thermal!K$6+'Fed Hyd Ini'!K36)-'System Obligations'!K$33</f>
        <v>13183.407329369944</v>
      </c>
      <c r="L36" s="130">
        <f>(1-Losses)*('HLH Hyd Gen'!L36+Thermal!L$6+'Fed Hyd Ini'!L36)-'System Obligations'!L$33</f>
        <v>13333.773989026206</v>
      </c>
      <c r="M36" s="130">
        <f>(1-Losses)*('HLH Hyd Gen'!M36+Thermal!M$6+'Fed Hyd Ini'!M36)-'System Obligations'!M$33</f>
        <v>12034.15476496839</v>
      </c>
      <c r="N36" s="130">
        <f>(1-Losses)*('HLH Hyd Gen'!N36+Thermal!N$6+'Fed Hyd Ini'!N36)-'System Obligations'!N$33</f>
        <v>10606.067168821273</v>
      </c>
      <c r="O36" s="130">
        <f>(1-Losses)*('HLH Hyd Gen'!O36+Thermal!O$6+'Fed Hyd Ini'!O36)-'System Obligations'!O$33</f>
        <v>11935.447313065739</v>
      </c>
      <c r="P36" s="131">
        <f>SUMPRODUCT(B36:O36,'HLH-LLH Loads'!$N$4:$AA$4)</f>
        <v>50681199.31475219</v>
      </c>
      <c r="Q36" s="131"/>
      <c r="R36" s="131"/>
    </row>
    <row r="37" spans="1:18" ht="12.75">
      <c r="A37" s="128">
        <v>1963</v>
      </c>
      <c r="B37" s="130">
        <f>(1-Losses)*('HLH Hyd Gen'!B37+Thermal!B$6+'Fed Hyd Ini'!B37)-'System Obligations'!B$33</f>
        <v>11715.223459310551</v>
      </c>
      <c r="C37" s="130">
        <f>(1-Losses)*('HLH Hyd Gen'!C37+Thermal!C$6+'Fed Hyd Ini'!C37)-'System Obligations'!C$33</f>
        <v>9452.065218370042</v>
      </c>
      <c r="D37" s="130">
        <f>(1-Losses)*('HLH Hyd Gen'!D37+Thermal!D$6+'Fed Hyd Ini'!D37)-'System Obligations'!D$33</f>
        <v>7643.801549510181</v>
      </c>
      <c r="E37" s="130">
        <f>(1-Losses)*('HLH Hyd Gen'!E37+Thermal!E$6+'Fed Hyd Ini'!E37)-'System Obligations'!E$33</f>
        <v>10055.044819367167</v>
      </c>
      <c r="F37" s="130">
        <f>(1-Losses)*('HLH Hyd Gen'!F37+Thermal!F$6+'Fed Hyd Ini'!F37)-'System Obligations'!F$33</f>
        <v>8827.774408672816</v>
      </c>
      <c r="G37" s="130">
        <f>(1-Losses)*('HLH Hyd Gen'!G37+Thermal!G$6+'Fed Hyd Ini'!G37)-'System Obligations'!G$33</f>
        <v>11445.014018410508</v>
      </c>
      <c r="H37" s="130">
        <f>(1-Losses)*('HLH Hyd Gen'!H37+Thermal!H$6+'Fed Hyd Ini'!H37)-'System Obligations'!H$33</f>
        <v>14822.526173809272</v>
      </c>
      <c r="I37" s="130">
        <f>(1-Losses)*('HLH Hyd Gen'!I37+Thermal!I$6+'Fed Hyd Ini'!I37)-'System Obligations'!I$33</f>
        <v>12286.599388728515</v>
      </c>
      <c r="J37" s="130">
        <f>(1-Losses)*('HLH Hyd Gen'!J37+Thermal!J$6+'Fed Hyd Ini'!J37)-'System Obligations'!J$33</f>
        <v>9109.30411366153</v>
      </c>
      <c r="K37" s="130">
        <f>(1-Losses)*('HLH Hyd Gen'!K37+Thermal!K$6+'Fed Hyd Ini'!K37)-'System Obligations'!K$33</f>
        <v>11190.132730128105</v>
      </c>
      <c r="L37" s="130">
        <f>(1-Losses)*('HLH Hyd Gen'!L37+Thermal!L$6+'Fed Hyd Ini'!L37)-'System Obligations'!L$33</f>
        <v>11080.003984041543</v>
      </c>
      <c r="M37" s="130">
        <f>(1-Losses)*('HLH Hyd Gen'!M37+Thermal!M$6+'Fed Hyd Ini'!M37)-'System Obligations'!M$33</f>
        <v>11193.86924269707</v>
      </c>
      <c r="N37" s="130">
        <f>(1-Losses)*('HLH Hyd Gen'!N37+Thermal!N$6+'Fed Hyd Ini'!N37)-'System Obligations'!N$33</f>
        <v>12719.184164799342</v>
      </c>
      <c r="O37" s="130">
        <f>(1-Losses)*('HLH Hyd Gen'!O37+Thermal!O$6+'Fed Hyd Ini'!O37)-'System Obligations'!O$33</f>
        <v>11610.542962980755</v>
      </c>
      <c r="P37" s="131">
        <f>SUMPRODUCT(B37:O37,'HLH-LLH Loads'!$N$4:$AA$4)</f>
        <v>54816898.32389715</v>
      </c>
      <c r="Q37" s="131"/>
      <c r="R37" s="131"/>
    </row>
    <row r="38" spans="1:18" ht="12.75">
      <c r="A38" s="128">
        <v>1964</v>
      </c>
      <c r="B38" s="130">
        <f>(1-Losses)*('HLH Hyd Gen'!B38+Thermal!B$6+'Fed Hyd Ini'!B38)-'System Obligations'!B$33</f>
        <v>11469.153720946668</v>
      </c>
      <c r="C38" s="130">
        <f>(1-Losses)*('HLH Hyd Gen'!C38+Thermal!C$6+'Fed Hyd Ini'!C38)-'System Obligations'!C$33</f>
        <v>9132.816002423946</v>
      </c>
      <c r="D38" s="130">
        <f>(1-Losses)*('HLH Hyd Gen'!D38+Thermal!D$6+'Fed Hyd Ini'!D38)-'System Obligations'!D$33</f>
        <v>8867.643763710903</v>
      </c>
      <c r="E38" s="130">
        <f>(1-Losses)*('HLH Hyd Gen'!E38+Thermal!E$6+'Fed Hyd Ini'!E38)-'System Obligations'!E$33</f>
        <v>8895.632398470172</v>
      </c>
      <c r="F38" s="130">
        <f>(1-Losses)*('HLH Hyd Gen'!F38+Thermal!F$6+'Fed Hyd Ini'!F38)-'System Obligations'!F$33</f>
        <v>7191.950749732042</v>
      </c>
      <c r="G38" s="130">
        <f>(1-Losses)*('HLH Hyd Gen'!G38+Thermal!G$6+'Fed Hyd Ini'!G38)-'System Obligations'!G$33</f>
        <v>8603.366335954883</v>
      </c>
      <c r="H38" s="130">
        <f>(1-Losses)*('HLH Hyd Gen'!H38+Thermal!H$6+'Fed Hyd Ini'!H38)-'System Obligations'!H$33</f>
        <v>11350.345755773773</v>
      </c>
      <c r="I38" s="130">
        <f>(1-Losses)*('HLH Hyd Gen'!I38+Thermal!I$6+'Fed Hyd Ini'!I38)-'System Obligations'!I$33</f>
        <v>13990.278905880697</v>
      </c>
      <c r="J38" s="130">
        <f>(1-Losses)*('HLH Hyd Gen'!J38+Thermal!J$6+'Fed Hyd Ini'!J38)-'System Obligations'!J$33</f>
        <v>7812.403892478942</v>
      </c>
      <c r="K38" s="130">
        <f>(1-Losses)*('HLH Hyd Gen'!K38+Thermal!K$6+'Fed Hyd Ini'!K38)-'System Obligations'!K$33</f>
        <v>11675.157568537748</v>
      </c>
      <c r="L38" s="130">
        <f>(1-Losses)*('HLH Hyd Gen'!L38+Thermal!L$6+'Fed Hyd Ini'!L38)-'System Obligations'!L$33</f>
        <v>9575.081272526348</v>
      </c>
      <c r="M38" s="130">
        <f>(1-Losses)*('HLH Hyd Gen'!M38+Thermal!M$6+'Fed Hyd Ini'!M38)-'System Obligations'!M$33</f>
        <v>11701.084491914027</v>
      </c>
      <c r="N38" s="130">
        <f>(1-Losses)*('HLH Hyd Gen'!N38+Thermal!N$6+'Fed Hyd Ini'!N38)-'System Obligations'!N$33</f>
        <v>15508.86384641954</v>
      </c>
      <c r="O38" s="130">
        <f>(1-Losses)*('HLH Hyd Gen'!O38+Thermal!O$6+'Fed Hyd Ini'!O38)-'System Obligations'!O$33</f>
        <v>13010.030100578952</v>
      </c>
      <c r="P38" s="131">
        <f>SUMPRODUCT(B38:O38,'HLH-LLH Loads'!$N$4:$AA$4)</f>
        <v>53194260.03781928</v>
      </c>
      <c r="Q38" s="131"/>
      <c r="R38" s="131"/>
    </row>
    <row r="39" spans="1:18" ht="12.75">
      <c r="A39" s="128">
        <v>1965</v>
      </c>
      <c r="B39" s="130">
        <f>(1-Losses)*('HLH Hyd Gen'!B39+Thermal!B$6+'Fed Hyd Ini'!B39)-'System Obligations'!B$33</f>
        <v>11847.431877319787</v>
      </c>
      <c r="C39" s="130">
        <f>(1-Losses)*('HLH Hyd Gen'!C39+Thermal!C$6+'Fed Hyd Ini'!C39)-'System Obligations'!C$33</f>
        <v>11127.134519546833</v>
      </c>
      <c r="D39" s="130">
        <f>(1-Losses)*('HLH Hyd Gen'!D39+Thermal!D$6+'Fed Hyd Ini'!D39)-'System Obligations'!D$33</f>
        <v>9362.371827187191</v>
      </c>
      <c r="E39" s="130">
        <f>(1-Losses)*('HLH Hyd Gen'!E39+Thermal!E$6+'Fed Hyd Ini'!E39)-'System Obligations'!E$33</f>
        <v>10540.819416543676</v>
      </c>
      <c r="F39" s="130">
        <f>(1-Losses)*('HLH Hyd Gen'!F39+Thermal!F$6+'Fed Hyd Ini'!F39)-'System Obligations'!F$33</f>
        <v>8138.603639167209</v>
      </c>
      <c r="G39" s="130">
        <f>(1-Losses)*('HLH Hyd Gen'!G39+Thermal!G$6+'Fed Hyd Ini'!G39)-'System Obligations'!G$33</f>
        <v>14001.074714692555</v>
      </c>
      <c r="H39" s="130">
        <f>(1-Losses)*('HLH Hyd Gen'!H39+Thermal!H$6+'Fed Hyd Ini'!H39)-'System Obligations'!H$33</f>
        <v>17597.711512456153</v>
      </c>
      <c r="I39" s="130">
        <f>(1-Losses)*('HLH Hyd Gen'!I39+Thermal!I$6+'Fed Hyd Ini'!I39)-'System Obligations'!I$33</f>
        <v>15599.412161193202</v>
      </c>
      <c r="J39" s="130">
        <f>(1-Losses)*('HLH Hyd Gen'!J39+Thermal!J$6+'Fed Hyd Ini'!J39)-'System Obligations'!J$33</f>
        <v>13389.736059680143</v>
      </c>
      <c r="K39" s="130">
        <f>(1-Losses)*('HLH Hyd Gen'!K39+Thermal!K$6+'Fed Hyd Ini'!K39)-'System Obligations'!K$33</f>
        <v>11872.344703375391</v>
      </c>
      <c r="L39" s="130">
        <f>(1-Losses)*('HLH Hyd Gen'!L39+Thermal!L$6+'Fed Hyd Ini'!L39)-'System Obligations'!L$33</f>
        <v>14477.428703070635</v>
      </c>
      <c r="M39" s="130">
        <f>(1-Losses)*('HLH Hyd Gen'!M39+Thermal!M$6+'Fed Hyd Ini'!M39)-'System Obligations'!M$33</f>
        <v>14450.643248086148</v>
      </c>
      <c r="N39" s="130">
        <f>(1-Losses)*('HLH Hyd Gen'!N39+Thermal!N$6+'Fed Hyd Ini'!N39)-'System Obligations'!N$33</f>
        <v>14803.699127462305</v>
      </c>
      <c r="O39" s="130">
        <f>(1-Losses)*('HLH Hyd Gen'!O39+Thermal!O$6+'Fed Hyd Ini'!O39)-'System Obligations'!O$33</f>
        <v>11503.040305516599</v>
      </c>
      <c r="P39" s="131">
        <f>SUMPRODUCT(B39:O39,'HLH-LLH Loads'!$N$4:$AA$4)</f>
        <v>64300406.17709898</v>
      </c>
      <c r="Q39" s="131"/>
      <c r="R39" s="131"/>
    </row>
    <row r="40" spans="1:18" ht="12.75">
      <c r="A40" s="128">
        <v>1966</v>
      </c>
      <c r="B40" s="130">
        <f>(1-Losses)*('HLH Hyd Gen'!B40+Thermal!B$6+'Fed Hyd Ini'!B40)-'System Obligations'!B$33</f>
        <v>11770.159054327469</v>
      </c>
      <c r="C40" s="130">
        <f>(1-Losses)*('HLH Hyd Gen'!C40+Thermal!C$6+'Fed Hyd Ini'!C40)-'System Obligations'!C$33</f>
        <v>10819.403178322322</v>
      </c>
      <c r="D40" s="130">
        <f>(1-Losses)*('HLH Hyd Gen'!D40+Thermal!D$6+'Fed Hyd Ini'!D40)-'System Obligations'!D$33</f>
        <v>8338.32034773046</v>
      </c>
      <c r="E40" s="130">
        <f>(1-Losses)*('HLH Hyd Gen'!E40+Thermal!E$6+'Fed Hyd Ini'!E40)-'System Obligations'!E$33</f>
        <v>9867.283935706511</v>
      </c>
      <c r="F40" s="130">
        <f>(1-Losses)*('HLH Hyd Gen'!F40+Thermal!F$6+'Fed Hyd Ini'!F40)-'System Obligations'!F$33</f>
        <v>8223.718229430555</v>
      </c>
      <c r="G40" s="130">
        <f>(1-Losses)*('HLH Hyd Gen'!G40+Thermal!G$6+'Fed Hyd Ini'!G40)-'System Obligations'!G$33</f>
        <v>10018.871232591393</v>
      </c>
      <c r="H40" s="130">
        <f>(1-Losses)*('HLH Hyd Gen'!H40+Thermal!H$6+'Fed Hyd Ini'!H40)-'System Obligations'!H$33</f>
        <v>13782.445695134673</v>
      </c>
      <c r="I40" s="130">
        <f>(1-Losses)*('HLH Hyd Gen'!I40+Thermal!I$6+'Fed Hyd Ini'!I40)-'System Obligations'!I$33</f>
        <v>13251.327012424437</v>
      </c>
      <c r="J40" s="130">
        <f>(1-Losses)*('HLH Hyd Gen'!J40+Thermal!J$6+'Fed Hyd Ini'!J40)-'System Obligations'!J$33</f>
        <v>9008.080983712158</v>
      </c>
      <c r="K40" s="130">
        <f>(1-Losses)*('HLH Hyd Gen'!K40+Thermal!K$6+'Fed Hyd Ini'!K40)-'System Obligations'!K$33</f>
        <v>13804.188345316761</v>
      </c>
      <c r="L40" s="130">
        <f>(1-Losses)*('HLH Hyd Gen'!L40+Thermal!L$6+'Fed Hyd Ini'!L40)-'System Obligations'!L$33</f>
        <v>10557.75690615567</v>
      </c>
      <c r="M40" s="130">
        <f>(1-Losses)*('HLH Hyd Gen'!M40+Thermal!M$6+'Fed Hyd Ini'!M40)-'System Obligations'!M$33</f>
        <v>10918.34404970647</v>
      </c>
      <c r="N40" s="130">
        <f>(1-Losses)*('HLH Hyd Gen'!N40+Thermal!N$6+'Fed Hyd Ini'!N40)-'System Obligations'!N$33</f>
        <v>9715.432690909134</v>
      </c>
      <c r="O40" s="130">
        <f>(1-Losses)*('HLH Hyd Gen'!O40+Thermal!O$6+'Fed Hyd Ini'!O40)-'System Obligations'!O$33</f>
        <v>11945.926552826384</v>
      </c>
      <c r="P40" s="131">
        <f>SUMPRODUCT(B40:O40,'HLH-LLH Loads'!$N$4:$AA$4)</f>
        <v>53542472.765036404</v>
      </c>
      <c r="Q40" s="131"/>
      <c r="R40" s="131"/>
    </row>
    <row r="41" spans="1:18" ht="12.75">
      <c r="A41" s="128">
        <v>1967</v>
      </c>
      <c r="B41" s="130">
        <f>(1-Losses)*('HLH Hyd Gen'!B41+Thermal!B$6+'Fed Hyd Ini'!B41)-'System Obligations'!B$33</f>
        <v>11577.415822864159</v>
      </c>
      <c r="C41" s="130">
        <f>(1-Losses)*('HLH Hyd Gen'!C41+Thermal!C$6+'Fed Hyd Ini'!C41)-'System Obligations'!C$33</f>
        <v>7825.561028188249</v>
      </c>
      <c r="D41" s="130">
        <f>(1-Losses)*('HLH Hyd Gen'!D41+Thermal!D$6+'Fed Hyd Ini'!D41)-'System Obligations'!D$33</f>
        <v>7760.1768121384575</v>
      </c>
      <c r="E41" s="130">
        <f>(1-Losses)*('HLH Hyd Gen'!E41+Thermal!E$6+'Fed Hyd Ini'!E41)-'System Obligations'!E$33</f>
        <v>8818.606634100479</v>
      </c>
      <c r="F41" s="130">
        <f>(1-Losses)*('HLH Hyd Gen'!F41+Thermal!F$6+'Fed Hyd Ini'!F41)-'System Obligations'!F$33</f>
        <v>7181.721809181153</v>
      </c>
      <c r="G41" s="130">
        <f>(1-Losses)*('HLH Hyd Gen'!G41+Thermal!G$6+'Fed Hyd Ini'!G41)-'System Obligations'!G$33</f>
        <v>9271.216179360474</v>
      </c>
      <c r="H41" s="130">
        <f>(1-Losses)*('HLH Hyd Gen'!H41+Thermal!H$6+'Fed Hyd Ini'!H41)-'System Obligations'!H$33</f>
        <v>15030.42720608043</v>
      </c>
      <c r="I41" s="130">
        <f>(1-Losses)*('HLH Hyd Gen'!I41+Thermal!I$6+'Fed Hyd Ini'!I41)-'System Obligations'!I$33</f>
        <v>14993.357473318045</v>
      </c>
      <c r="J41" s="130">
        <f>(1-Losses)*('HLH Hyd Gen'!J41+Thermal!J$6+'Fed Hyd Ini'!J41)-'System Obligations'!J$33</f>
        <v>11185.05555501536</v>
      </c>
      <c r="K41" s="130">
        <f>(1-Losses)*('HLH Hyd Gen'!K41+Thermal!K$6+'Fed Hyd Ini'!K41)-'System Obligations'!K$33</f>
        <v>10837.430090879014</v>
      </c>
      <c r="L41" s="130">
        <f>(1-Losses)*('HLH Hyd Gen'!L41+Thermal!L$6+'Fed Hyd Ini'!L41)-'System Obligations'!L$33</f>
        <v>7479.184847383237</v>
      </c>
      <c r="M41" s="130">
        <f>(1-Losses)*('HLH Hyd Gen'!M41+Thermal!M$6+'Fed Hyd Ini'!M41)-'System Obligations'!M$33</f>
        <v>11376.765640267682</v>
      </c>
      <c r="N41" s="130">
        <f>(1-Losses)*('HLH Hyd Gen'!N41+Thermal!N$6+'Fed Hyd Ini'!N41)-'System Obligations'!N$33</f>
        <v>14949.382080219524</v>
      </c>
      <c r="O41" s="130">
        <f>(1-Losses)*('HLH Hyd Gen'!O41+Thermal!O$6+'Fed Hyd Ini'!O41)-'System Obligations'!O$33</f>
        <v>12691.721848051151</v>
      </c>
      <c r="P41" s="131">
        <f>SUMPRODUCT(B41:O41,'HLH-LLH Loads'!$N$4:$AA$4)</f>
        <v>55034681.11734686</v>
      </c>
      <c r="Q41" s="131"/>
      <c r="R41" s="131"/>
    </row>
    <row r="42" spans="1:18" ht="12.75">
      <c r="A42" s="128">
        <v>1968</v>
      </c>
      <c r="B42" s="130">
        <f>(1-Losses)*('HLH Hyd Gen'!B42+Thermal!B$6+'Fed Hyd Ini'!B42)-'System Obligations'!B$33</f>
        <v>11472.989463649003</v>
      </c>
      <c r="C42" s="130">
        <f>(1-Losses)*('HLH Hyd Gen'!C42+Thermal!C$6+'Fed Hyd Ini'!C42)-'System Obligations'!C$33</f>
        <v>10795.076910853646</v>
      </c>
      <c r="D42" s="130">
        <f>(1-Losses)*('HLH Hyd Gen'!D42+Thermal!D$6+'Fed Hyd Ini'!D42)-'System Obligations'!D$33</f>
        <v>8604.906173701991</v>
      </c>
      <c r="E42" s="130">
        <f>(1-Losses)*('HLH Hyd Gen'!E42+Thermal!E$6+'Fed Hyd Ini'!E42)-'System Obligations'!E$33</f>
        <v>9570.43266509991</v>
      </c>
      <c r="F42" s="130">
        <f>(1-Losses)*('HLH Hyd Gen'!F42+Thermal!F$6+'Fed Hyd Ini'!F42)-'System Obligations'!F$33</f>
        <v>7875.376902846935</v>
      </c>
      <c r="G42" s="130">
        <f>(1-Losses)*('HLH Hyd Gen'!G42+Thermal!G$6+'Fed Hyd Ini'!G42)-'System Obligations'!G$33</f>
        <v>9895.907218180942</v>
      </c>
      <c r="H42" s="130">
        <f>(1-Losses)*('HLH Hyd Gen'!H42+Thermal!H$6+'Fed Hyd Ini'!H42)-'System Obligations'!H$33</f>
        <v>14642.673105371707</v>
      </c>
      <c r="I42" s="130">
        <f>(1-Losses)*('HLH Hyd Gen'!I42+Thermal!I$6+'Fed Hyd Ini'!I42)-'System Obligations'!I$33</f>
        <v>14792.927735575086</v>
      </c>
      <c r="J42" s="130">
        <f>(1-Losses)*('HLH Hyd Gen'!J42+Thermal!J$6+'Fed Hyd Ini'!J42)-'System Obligations'!J$33</f>
        <v>11997.62835773521</v>
      </c>
      <c r="K42" s="130">
        <f>(1-Losses)*('HLH Hyd Gen'!K42+Thermal!K$6+'Fed Hyd Ini'!K42)-'System Obligations'!K$33</f>
        <v>8293.875200565115</v>
      </c>
      <c r="L42" s="130">
        <f>(1-Losses)*('HLH Hyd Gen'!L42+Thermal!L$6+'Fed Hyd Ini'!L42)-'System Obligations'!L$33</f>
        <v>8922.57752348508</v>
      </c>
      <c r="M42" s="130">
        <f>(1-Losses)*('HLH Hyd Gen'!M42+Thermal!M$6+'Fed Hyd Ini'!M42)-'System Obligations'!M$33</f>
        <v>8698.553339656293</v>
      </c>
      <c r="N42" s="130">
        <f>(1-Losses)*('HLH Hyd Gen'!N42+Thermal!N$6+'Fed Hyd Ini'!N42)-'System Obligations'!N$33</f>
        <v>12812.717485373632</v>
      </c>
      <c r="O42" s="130">
        <f>(1-Losses)*('HLH Hyd Gen'!O42+Thermal!O$6+'Fed Hyd Ini'!O42)-'System Obligations'!O$33</f>
        <v>11675.33855349677</v>
      </c>
      <c r="P42" s="131">
        <f>SUMPRODUCT(B42:O42,'HLH-LLH Loads'!$N$4:$AA$4)</f>
        <v>54340495.18857741</v>
      </c>
      <c r="Q42" s="131"/>
      <c r="R42" s="131"/>
    </row>
    <row r="43" spans="1:18" ht="12.75">
      <c r="A43" s="128">
        <v>1969</v>
      </c>
      <c r="B43" s="130">
        <f>(1-Losses)*('HLH Hyd Gen'!B43+Thermal!B$6+'Fed Hyd Ini'!B43)-'System Obligations'!B$33</f>
        <v>11748.768481801899</v>
      </c>
      <c r="C43" s="130">
        <f>(1-Losses)*('HLH Hyd Gen'!C43+Thermal!C$6+'Fed Hyd Ini'!C43)-'System Obligations'!C$33</f>
        <v>10881.438138418236</v>
      </c>
      <c r="D43" s="130">
        <f>(1-Losses)*('HLH Hyd Gen'!D43+Thermal!D$6+'Fed Hyd Ini'!D43)-'System Obligations'!D$33</f>
        <v>10363.399064359373</v>
      </c>
      <c r="E43" s="130">
        <f>(1-Losses)*('HLH Hyd Gen'!E43+Thermal!E$6+'Fed Hyd Ini'!E43)-'System Obligations'!E$33</f>
        <v>10707.684880649418</v>
      </c>
      <c r="F43" s="130">
        <f>(1-Losses)*('HLH Hyd Gen'!F43+Thermal!F$6+'Fed Hyd Ini'!F43)-'System Obligations'!F$33</f>
        <v>9642.879121793057</v>
      </c>
      <c r="G43" s="130">
        <f>(1-Losses)*('HLH Hyd Gen'!G43+Thermal!G$6+'Fed Hyd Ini'!G43)-'System Obligations'!G$33</f>
        <v>11107.747313445034</v>
      </c>
      <c r="H43" s="130">
        <f>(1-Losses)*('HLH Hyd Gen'!H43+Thermal!H$6+'Fed Hyd Ini'!H43)-'System Obligations'!H$33</f>
        <v>16873.740707911937</v>
      </c>
      <c r="I43" s="130">
        <f>(1-Losses)*('HLH Hyd Gen'!I43+Thermal!I$6+'Fed Hyd Ini'!I43)-'System Obligations'!I$33</f>
        <v>15453.496211275135</v>
      </c>
      <c r="J43" s="130">
        <f>(1-Losses)*('HLH Hyd Gen'!J43+Thermal!J$6+'Fed Hyd Ini'!J43)-'System Obligations'!J$33</f>
        <v>12572.58946189306</v>
      </c>
      <c r="K43" s="130">
        <f>(1-Losses)*('HLH Hyd Gen'!K43+Thermal!K$6+'Fed Hyd Ini'!K43)-'System Obligations'!K$33</f>
        <v>14022.006848921623</v>
      </c>
      <c r="L43" s="130">
        <f>(1-Losses)*('HLH Hyd Gen'!L43+Thermal!L$6+'Fed Hyd Ini'!L43)-'System Obligations'!L$33</f>
        <v>15060.55519950422</v>
      </c>
      <c r="M43" s="130">
        <f>(1-Losses)*('HLH Hyd Gen'!M43+Thermal!M$6+'Fed Hyd Ini'!M43)-'System Obligations'!M$33</f>
        <v>15626.697125027227</v>
      </c>
      <c r="N43" s="130">
        <f>(1-Losses)*('HLH Hyd Gen'!N43+Thermal!N$6+'Fed Hyd Ini'!N43)-'System Obligations'!N$33</f>
        <v>14520.868277300953</v>
      </c>
      <c r="O43" s="130">
        <f>(1-Losses)*('HLH Hyd Gen'!O43+Thermal!O$6+'Fed Hyd Ini'!O43)-'System Obligations'!O$33</f>
        <v>11577.28194172833</v>
      </c>
      <c r="P43" s="131">
        <f>SUMPRODUCT(B43:O43,'HLH-LLH Loads'!$N$4:$AA$4)</f>
        <v>64366359.12950637</v>
      </c>
      <c r="Q43" s="131"/>
      <c r="R43" s="131"/>
    </row>
    <row r="44" spans="1:18" ht="12.75">
      <c r="A44" s="128">
        <v>1970</v>
      </c>
      <c r="B44" s="130">
        <f>(1-Losses)*('HLH Hyd Gen'!B44+Thermal!B$6+'Fed Hyd Ini'!B44)-'System Obligations'!B$33</f>
        <v>10180.03757820082</v>
      </c>
      <c r="C44" s="130">
        <f>(1-Losses)*('HLH Hyd Gen'!C44+Thermal!C$6+'Fed Hyd Ini'!C44)-'System Obligations'!C$33</f>
        <v>7085.372125061592</v>
      </c>
      <c r="D44" s="130">
        <f>(1-Losses)*('HLH Hyd Gen'!D44+Thermal!D$6+'Fed Hyd Ini'!D44)-'System Obligations'!D$33</f>
        <v>7689.9008435387095</v>
      </c>
      <c r="E44" s="130">
        <f>(1-Losses)*('HLH Hyd Gen'!E44+Thermal!E$6+'Fed Hyd Ini'!E44)-'System Obligations'!E$33</f>
        <v>9540.271221233807</v>
      </c>
      <c r="F44" s="130">
        <f>(1-Losses)*('HLH Hyd Gen'!F44+Thermal!F$6+'Fed Hyd Ini'!F44)-'System Obligations'!F$33</f>
        <v>7166.9713404390095</v>
      </c>
      <c r="G44" s="130">
        <f>(1-Losses)*('HLH Hyd Gen'!G44+Thermal!G$6+'Fed Hyd Ini'!G44)-'System Obligations'!G$33</f>
        <v>8748.620026400236</v>
      </c>
      <c r="H44" s="130">
        <f>(1-Losses)*('HLH Hyd Gen'!H44+Thermal!H$6+'Fed Hyd Ini'!H44)-'System Obligations'!H$33</f>
        <v>10888.234774160812</v>
      </c>
      <c r="I44" s="130">
        <f>(1-Losses)*('HLH Hyd Gen'!I44+Thermal!I$6+'Fed Hyd Ini'!I44)-'System Obligations'!I$33</f>
        <v>14474.918365366648</v>
      </c>
      <c r="J44" s="130">
        <f>(1-Losses)*('HLH Hyd Gen'!J44+Thermal!J$6+'Fed Hyd Ini'!J44)-'System Obligations'!J$33</f>
        <v>10356.517332633079</v>
      </c>
      <c r="K44" s="130">
        <f>(1-Losses)*('HLH Hyd Gen'!K44+Thermal!K$6+'Fed Hyd Ini'!K44)-'System Obligations'!K$33</f>
        <v>9261.873193322264</v>
      </c>
      <c r="L44" s="130">
        <f>(1-Losses)*('HLH Hyd Gen'!L44+Thermal!L$6+'Fed Hyd Ini'!L44)-'System Obligations'!L$33</f>
        <v>10307.056091608398</v>
      </c>
      <c r="M44" s="130">
        <f>(1-Losses)*('HLH Hyd Gen'!M44+Thermal!M$6+'Fed Hyd Ini'!M44)-'System Obligations'!M$33</f>
        <v>11909.24002373164</v>
      </c>
      <c r="N44" s="130">
        <f>(1-Losses)*('HLH Hyd Gen'!N44+Thermal!N$6+'Fed Hyd Ini'!N44)-'System Obligations'!N$33</f>
        <v>13431.178600579984</v>
      </c>
      <c r="O44" s="130">
        <f>(1-Losses)*('HLH Hyd Gen'!O44+Thermal!O$6+'Fed Hyd Ini'!O44)-'System Obligations'!O$33</f>
        <v>10317.334275120033</v>
      </c>
      <c r="P44" s="131">
        <f>SUMPRODUCT(B44:O44,'HLH-LLH Loads'!$N$4:$AA$4)</f>
        <v>51175630.6889815</v>
      </c>
      <c r="Q44" s="131"/>
      <c r="R44" s="131"/>
    </row>
    <row r="45" spans="1:18" ht="12.75">
      <c r="A45" s="128">
        <v>1971</v>
      </c>
      <c r="B45" s="130">
        <f>(1-Losses)*('HLH Hyd Gen'!B45+Thermal!B$6+'Fed Hyd Ini'!B45)-'System Obligations'!B$33</f>
        <v>10271.151549092288</v>
      </c>
      <c r="C45" s="130">
        <f>(1-Losses)*('HLH Hyd Gen'!C45+Thermal!C$6+'Fed Hyd Ini'!C45)-'System Obligations'!C$33</f>
        <v>7825.009031606265</v>
      </c>
      <c r="D45" s="130">
        <f>(1-Losses)*('HLH Hyd Gen'!D45+Thermal!D$6+'Fed Hyd Ini'!D45)-'System Obligations'!D$33</f>
        <v>7410.592923808783</v>
      </c>
      <c r="E45" s="130">
        <f>(1-Losses)*('HLH Hyd Gen'!E45+Thermal!E$6+'Fed Hyd Ini'!E45)-'System Obligations'!E$33</f>
        <v>8622.034239536124</v>
      </c>
      <c r="F45" s="130">
        <f>(1-Losses)*('HLH Hyd Gen'!F45+Thermal!F$6+'Fed Hyd Ini'!F45)-'System Obligations'!F$33</f>
        <v>6951.028166631345</v>
      </c>
      <c r="G45" s="130">
        <f>(1-Losses)*('HLH Hyd Gen'!G45+Thermal!G$6+'Fed Hyd Ini'!G45)-'System Obligations'!G$33</f>
        <v>10406.750193946811</v>
      </c>
      <c r="H45" s="130">
        <f>(1-Losses)*('HLH Hyd Gen'!H45+Thermal!H$6+'Fed Hyd Ini'!H45)-'System Obligations'!H$33</f>
        <v>17093.045823730095</v>
      </c>
      <c r="I45" s="130">
        <f>(1-Losses)*('HLH Hyd Gen'!I45+Thermal!I$6+'Fed Hyd Ini'!I45)-'System Obligations'!I$33</f>
        <v>16485.24649554348</v>
      </c>
      <c r="J45" s="130">
        <f>(1-Losses)*('HLH Hyd Gen'!J45+Thermal!J$6+'Fed Hyd Ini'!J45)-'System Obligations'!J$33</f>
        <v>13548.413530298409</v>
      </c>
      <c r="K45" s="130">
        <f>(1-Losses)*('HLH Hyd Gen'!K45+Thermal!K$6+'Fed Hyd Ini'!K45)-'System Obligations'!K$33</f>
        <v>13869.395921411266</v>
      </c>
      <c r="L45" s="130">
        <f>(1-Losses)*('HLH Hyd Gen'!L45+Thermal!L$6+'Fed Hyd Ini'!L45)-'System Obligations'!L$33</f>
        <v>12928.80525915288</v>
      </c>
      <c r="M45" s="130">
        <f>(1-Losses)*('HLH Hyd Gen'!M45+Thermal!M$6+'Fed Hyd Ini'!M45)-'System Obligations'!M$33</f>
        <v>15522.785111537081</v>
      </c>
      <c r="N45" s="130">
        <f>(1-Losses)*('HLH Hyd Gen'!N45+Thermal!N$6+'Fed Hyd Ini'!N45)-'System Obligations'!N$33</f>
        <v>16112.325036720129</v>
      </c>
      <c r="O45" s="130">
        <f>(1-Losses)*('HLH Hyd Gen'!O45+Thermal!O$6+'Fed Hyd Ini'!O45)-'System Obligations'!O$33</f>
        <v>13115.243667407054</v>
      </c>
      <c r="P45" s="131">
        <f>SUMPRODUCT(B45:O45,'HLH-LLH Loads'!$N$4:$AA$4)</f>
        <v>61563682.59838769</v>
      </c>
      <c r="Q45" s="131"/>
      <c r="R45" s="131"/>
    </row>
    <row r="46" spans="1:18" ht="12.75">
      <c r="A46" s="128">
        <v>1972</v>
      </c>
      <c r="B46" s="130">
        <f>(1-Losses)*('HLH Hyd Gen'!B46+Thermal!B$6+'Fed Hyd Ini'!B46)-'System Obligations'!B$33</f>
        <v>11856.755632497718</v>
      </c>
      <c r="C46" s="130">
        <f>(1-Losses)*('HLH Hyd Gen'!C46+Thermal!C$6+'Fed Hyd Ini'!C46)-'System Obligations'!C$33</f>
        <v>11674.058417197995</v>
      </c>
      <c r="D46" s="130">
        <f>(1-Losses)*('HLH Hyd Gen'!D46+Thermal!D$6+'Fed Hyd Ini'!D46)-'System Obligations'!D$33</f>
        <v>9026.600546022677</v>
      </c>
      <c r="E46" s="130">
        <f>(1-Losses)*('HLH Hyd Gen'!E46+Thermal!E$6+'Fed Hyd Ini'!E46)-'System Obligations'!E$33</f>
        <v>9378.925466490944</v>
      </c>
      <c r="F46" s="130">
        <f>(1-Losses)*('HLH Hyd Gen'!F46+Thermal!F$6+'Fed Hyd Ini'!F46)-'System Obligations'!F$33</f>
        <v>7835.447363646889</v>
      </c>
      <c r="G46" s="130">
        <f>(1-Losses)*('HLH Hyd Gen'!G46+Thermal!G$6+'Fed Hyd Ini'!G46)-'System Obligations'!G$33</f>
        <v>9828.152769036707</v>
      </c>
      <c r="H46" s="130">
        <f>(1-Losses)*('HLH Hyd Gen'!H46+Thermal!H$6+'Fed Hyd Ini'!H46)-'System Obligations'!H$33</f>
        <v>16710.984866876606</v>
      </c>
      <c r="I46" s="130">
        <f>(1-Losses)*('HLH Hyd Gen'!I46+Thermal!I$6+'Fed Hyd Ini'!I46)-'System Obligations'!I$33</f>
        <v>16548.77706842658</v>
      </c>
      <c r="J46" s="130">
        <f>(1-Losses)*('HLH Hyd Gen'!J46+Thermal!J$6+'Fed Hyd Ini'!J46)-'System Obligations'!J$33</f>
        <v>16101.759091882535</v>
      </c>
      <c r="K46" s="130">
        <f>(1-Losses)*('HLH Hyd Gen'!K46+Thermal!K$6+'Fed Hyd Ini'!K46)-'System Obligations'!K$33</f>
        <v>15086.069315466239</v>
      </c>
      <c r="L46" s="130">
        <f>(1-Losses)*('HLH Hyd Gen'!L46+Thermal!L$6+'Fed Hyd Ini'!L46)-'System Obligations'!L$33</f>
        <v>11717.79530971532</v>
      </c>
      <c r="M46" s="130">
        <f>(1-Losses)*('HLH Hyd Gen'!M46+Thermal!M$6+'Fed Hyd Ini'!M46)-'System Obligations'!M$33</f>
        <v>15279.680812092301</v>
      </c>
      <c r="N46" s="130">
        <f>(1-Losses)*('HLH Hyd Gen'!N46+Thermal!N$6+'Fed Hyd Ini'!N46)-'System Obligations'!N$33</f>
        <v>16369.734618221548</v>
      </c>
      <c r="O46" s="130">
        <f>(1-Losses)*('HLH Hyd Gen'!O46+Thermal!O$6+'Fed Hyd Ini'!O46)-'System Obligations'!O$33</f>
        <v>12897.406780615003</v>
      </c>
      <c r="P46" s="131">
        <f>SUMPRODUCT(B46:O46,'HLH-LLH Loads'!$N$4:$AA$4)</f>
        <v>64725566.18360387</v>
      </c>
      <c r="Q46" s="131"/>
      <c r="R46" s="131"/>
    </row>
    <row r="47" spans="1:18" ht="12.75">
      <c r="A47" s="128">
        <v>1973</v>
      </c>
      <c r="B47" s="130">
        <f>(1-Losses)*('HLH Hyd Gen'!B47+Thermal!B$6+'Fed Hyd Ini'!B47)-'System Obligations'!B$33</f>
        <v>12021.745872046846</v>
      </c>
      <c r="C47" s="130">
        <f>(1-Losses)*('HLH Hyd Gen'!C47+Thermal!C$6+'Fed Hyd Ini'!C47)-'System Obligations'!C$33</f>
        <v>11716.983826539548</v>
      </c>
      <c r="D47" s="130">
        <f>(1-Losses)*('HLH Hyd Gen'!D47+Thermal!D$6+'Fed Hyd Ini'!D47)-'System Obligations'!D$33</f>
        <v>9269.626263532338</v>
      </c>
      <c r="E47" s="130">
        <f>(1-Losses)*('HLH Hyd Gen'!E47+Thermal!E$6+'Fed Hyd Ini'!E47)-'System Obligations'!E$33</f>
        <v>9569.27957087547</v>
      </c>
      <c r="F47" s="130">
        <f>(1-Losses)*('HLH Hyd Gen'!F47+Thermal!F$6+'Fed Hyd Ini'!F47)-'System Obligations'!F$33</f>
        <v>7332.672056611455</v>
      </c>
      <c r="G47" s="130">
        <f>(1-Losses)*('HLH Hyd Gen'!G47+Thermal!G$6+'Fed Hyd Ini'!G47)-'System Obligations'!G$33</f>
        <v>10772.396474428031</v>
      </c>
      <c r="H47" s="130">
        <f>(1-Losses)*('HLH Hyd Gen'!H47+Thermal!H$6+'Fed Hyd Ini'!H47)-'System Obligations'!H$33</f>
        <v>11030.19000787169</v>
      </c>
      <c r="I47" s="130">
        <f>(1-Losses)*('HLH Hyd Gen'!I47+Thermal!I$6+'Fed Hyd Ini'!I47)-'System Obligations'!I$33</f>
        <v>10298.094915702139</v>
      </c>
      <c r="J47" s="130">
        <f>(1-Losses)*('HLH Hyd Gen'!J47+Thermal!J$6+'Fed Hyd Ini'!J47)-'System Obligations'!J$33</f>
        <v>9039.102217766696</v>
      </c>
      <c r="K47" s="130">
        <f>(1-Losses)*('HLH Hyd Gen'!K47+Thermal!K$6+'Fed Hyd Ini'!K47)-'System Obligations'!K$33</f>
        <v>6971.706724047558</v>
      </c>
      <c r="L47" s="130">
        <f>(1-Losses)*('HLH Hyd Gen'!L47+Thermal!L$6+'Fed Hyd Ini'!L47)-'System Obligations'!L$33</f>
        <v>7795.644126699358</v>
      </c>
      <c r="M47" s="130">
        <f>(1-Losses)*('HLH Hyd Gen'!M47+Thermal!M$6+'Fed Hyd Ini'!M47)-'System Obligations'!M$33</f>
        <v>8516.775590205001</v>
      </c>
      <c r="N47" s="130">
        <f>(1-Losses)*('HLH Hyd Gen'!N47+Thermal!N$6+'Fed Hyd Ini'!N47)-'System Obligations'!N$33</f>
        <v>8966.43009869442</v>
      </c>
      <c r="O47" s="130">
        <f>(1-Losses)*('HLH Hyd Gen'!O47+Thermal!O$6+'Fed Hyd Ini'!O47)-'System Obligations'!O$33</f>
        <v>10009.2245153697</v>
      </c>
      <c r="P47" s="131">
        <f>SUMPRODUCT(B47:O47,'HLH-LLH Loads'!$N$4:$AA$4)</f>
        <v>47651404.58745191</v>
      </c>
      <c r="Q47" s="131"/>
      <c r="R47" s="131"/>
    </row>
    <row r="48" spans="1:18" ht="12.75">
      <c r="A48" s="128">
        <v>1974</v>
      </c>
      <c r="B48" s="130">
        <f>(1-Losses)*('HLH Hyd Gen'!B48+Thermal!B$6+'Fed Hyd Ini'!B48)-'System Obligations'!B$33</f>
        <v>9628.870107317103</v>
      </c>
      <c r="C48" s="130">
        <f>(1-Losses)*('HLH Hyd Gen'!C48+Thermal!C$6+'Fed Hyd Ini'!C48)-'System Obligations'!C$33</f>
        <v>7020.259772277728</v>
      </c>
      <c r="D48" s="130">
        <f>(1-Losses)*('HLH Hyd Gen'!D48+Thermal!D$6+'Fed Hyd Ini'!D48)-'System Obligations'!D$33</f>
        <v>7057.101379657119</v>
      </c>
      <c r="E48" s="130">
        <f>(1-Losses)*('HLH Hyd Gen'!E48+Thermal!E$6+'Fed Hyd Ini'!E48)-'System Obligations'!E$33</f>
        <v>8344.747185703804</v>
      </c>
      <c r="F48" s="130">
        <f>(1-Losses)*('HLH Hyd Gen'!F48+Thermal!F$6+'Fed Hyd Ini'!F48)-'System Obligations'!F$33</f>
        <v>8068.860828125386</v>
      </c>
      <c r="G48" s="130">
        <f>(1-Losses)*('HLH Hyd Gen'!G48+Thermal!G$6+'Fed Hyd Ini'!G48)-'System Obligations'!G$33</f>
        <v>13377.765861431226</v>
      </c>
      <c r="H48" s="130">
        <f>(1-Losses)*('HLH Hyd Gen'!H48+Thermal!H$6+'Fed Hyd Ini'!H48)-'System Obligations'!H$33</f>
        <v>17684.382576959157</v>
      </c>
      <c r="I48" s="130">
        <f>(1-Losses)*('HLH Hyd Gen'!I48+Thermal!I$6+'Fed Hyd Ini'!I48)-'System Obligations'!I$33</f>
        <v>16515.070089544683</v>
      </c>
      <c r="J48" s="130">
        <f>(1-Losses)*('HLH Hyd Gen'!J48+Thermal!J$6+'Fed Hyd Ini'!J48)-'System Obligations'!J$33</f>
        <v>14407.900850088907</v>
      </c>
      <c r="K48" s="130">
        <f>(1-Losses)*('HLH Hyd Gen'!K48+Thermal!K$6+'Fed Hyd Ini'!K48)-'System Obligations'!K$33</f>
        <v>14623.603182704766</v>
      </c>
      <c r="L48" s="130">
        <f>(1-Losses)*('HLH Hyd Gen'!L48+Thermal!L$6+'Fed Hyd Ini'!L48)-'System Obligations'!L$33</f>
        <v>14823.682283750411</v>
      </c>
      <c r="M48" s="130">
        <f>(1-Losses)*('HLH Hyd Gen'!M48+Thermal!M$6+'Fed Hyd Ini'!M48)-'System Obligations'!M$33</f>
        <v>14879.572485401488</v>
      </c>
      <c r="N48" s="130">
        <f>(1-Losses)*('HLH Hyd Gen'!N48+Thermal!N$6+'Fed Hyd Ini'!N48)-'System Obligations'!N$33</f>
        <v>16666.320156335518</v>
      </c>
      <c r="O48" s="130">
        <f>(1-Losses)*('HLH Hyd Gen'!O48+Thermal!O$6+'Fed Hyd Ini'!O48)-'System Obligations'!O$33</f>
        <v>13771.91401073299</v>
      </c>
      <c r="P48" s="131">
        <f>SUMPRODUCT(B48:O48,'HLH-LLH Loads'!$N$4:$AA$4)</f>
        <v>64091300.68552113</v>
      </c>
      <c r="Q48" s="131"/>
      <c r="R48" s="131"/>
    </row>
    <row r="49" spans="1:18" ht="12.75">
      <c r="A49" s="128">
        <v>1975</v>
      </c>
      <c r="B49" s="130">
        <f>(1-Losses)*('HLH Hyd Gen'!B49+Thermal!B$6+'Fed Hyd Ini'!B49)-'System Obligations'!B$33</f>
        <v>11729.13781866798</v>
      </c>
      <c r="C49" s="130">
        <f>(1-Losses)*('HLH Hyd Gen'!C49+Thermal!C$6+'Fed Hyd Ini'!C49)-'System Obligations'!C$33</f>
        <v>11126.124001622053</v>
      </c>
      <c r="D49" s="130">
        <f>(1-Losses)*('HLH Hyd Gen'!D49+Thermal!D$6+'Fed Hyd Ini'!D49)-'System Obligations'!D$33</f>
        <v>8625.687981723477</v>
      </c>
      <c r="E49" s="130">
        <f>(1-Losses)*('HLH Hyd Gen'!E49+Thermal!E$6+'Fed Hyd Ini'!E49)-'System Obligations'!E$33</f>
        <v>8680.22917032354</v>
      </c>
      <c r="F49" s="130">
        <f>(1-Losses)*('HLH Hyd Gen'!F49+Thermal!F$6+'Fed Hyd Ini'!F49)-'System Obligations'!F$33</f>
        <v>7138.560879199037</v>
      </c>
      <c r="G49" s="130">
        <f>(1-Losses)*('HLH Hyd Gen'!G49+Thermal!G$6+'Fed Hyd Ini'!G49)-'System Obligations'!G$33</f>
        <v>9067.062777630736</v>
      </c>
      <c r="H49" s="130">
        <f>(1-Losses)*('HLH Hyd Gen'!H49+Thermal!H$6+'Fed Hyd Ini'!H49)-'System Obligations'!H$33</f>
        <v>13600.503713781969</v>
      </c>
      <c r="I49" s="130">
        <f>(1-Losses)*('HLH Hyd Gen'!I49+Thermal!I$6+'Fed Hyd Ini'!I49)-'System Obligations'!I$33</f>
        <v>13502.254807367071</v>
      </c>
      <c r="J49" s="130">
        <f>(1-Losses)*('HLH Hyd Gen'!J49+Thermal!J$6+'Fed Hyd Ini'!J49)-'System Obligations'!J$33</f>
        <v>13356.094915790967</v>
      </c>
      <c r="K49" s="130">
        <f>(1-Losses)*('HLH Hyd Gen'!K49+Thermal!K$6+'Fed Hyd Ini'!K49)-'System Obligations'!K$33</f>
        <v>11740.147856400557</v>
      </c>
      <c r="L49" s="130">
        <f>(1-Losses)*('HLH Hyd Gen'!L49+Thermal!L$6+'Fed Hyd Ini'!L49)-'System Obligations'!L$33</f>
        <v>10504.060149171966</v>
      </c>
      <c r="M49" s="130">
        <f>(1-Losses)*('HLH Hyd Gen'!M49+Thermal!M$6+'Fed Hyd Ini'!M49)-'System Obligations'!M$33</f>
        <v>12422.293798371487</v>
      </c>
      <c r="N49" s="130">
        <f>(1-Losses)*('HLH Hyd Gen'!N49+Thermal!N$6+'Fed Hyd Ini'!N49)-'System Obligations'!N$33</f>
        <v>14966.315550352132</v>
      </c>
      <c r="O49" s="130">
        <f>(1-Losses)*('HLH Hyd Gen'!O49+Thermal!O$6+'Fed Hyd Ini'!O49)-'System Obligations'!O$33</f>
        <v>13444.614702346851</v>
      </c>
      <c r="P49" s="131">
        <f>SUMPRODUCT(B49:O49,'HLH-LLH Loads'!$N$4:$AA$4)</f>
        <v>57327160.678619415</v>
      </c>
      <c r="Q49" s="131"/>
      <c r="R49" s="131"/>
    </row>
    <row r="50" spans="1:18" ht="12.75">
      <c r="A50" s="128">
        <v>1976</v>
      </c>
      <c r="B50" s="130">
        <f>(1-Losses)*('HLH Hyd Gen'!B50+Thermal!B$6+'Fed Hyd Ini'!B50)-'System Obligations'!B$33</f>
        <v>10261.372659216997</v>
      </c>
      <c r="C50" s="130">
        <f>(1-Losses)*('HLH Hyd Gen'!C50+Thermal!C$6+'Fed Hyd Ini'!C50)-'System Obligations'!C$33</f>
        <v>9291.484048165428</v>
      </c>
      <c r="D50" s="130">
        <f>(1-Losses)*('HLH Hyd Gen'!D50+Thermal!D$6+'Fed Hyd Ini'!D50)-'System Obligations'!D$33</f>
        <v>8033.502617304259</v>
      </c>
      <c r="E50" s="130">
        <f>(1-Losses)*('HLH Hyd Gen'!E50+Thermal!E$6+'Fed Hyd Ini'!E50)-'System Obligations'!E$33</f>
        <v>10298.133887968574</v>
      </c>
      <c r="F50" s="130">
        <f>(1-Losses)*('HLH Hyd Gen'!F50+Thermal!F$6+'Fed Hyd Ini'!F50)-'System Obligations'!F$33</f>
        <v>10016.386983267064</v>
      </c>
      <c r="G50" s="130">
        <f>(1-Losses)*('HLH Hyd Gen'!G50+Thermal!G$6+'Fed Hyd Ini'!G50)-'System Obligations'!G$33</f>
        <v>15179.251802305369</v>
      </c>
      <c r="H50" s="130">
        <f>(1-Losses)*('HLH Hyd Gen'!H50+Thermal!H$6+'Fed Hyd Ini'!H50)-'System Obligations'!H$33</f>
        <v>17005.009061525685</v>
      </c>
      <c r="I50" s="130">
        <f>(1-Losses)*('HLH Hyd Gen'!I50+Thermal!I$6+'Fed Hyd Ini'!I50)-'System Obligations'!I$33</f>
        <v>15516.488703719206</v>
      </c>
      <c r="J50" s="130">
        <f>(1-Losses)*('HLH Hyd Gen'!J50+Thermal!J$6+'Fed Hyd Ini'!J50)-'System Obligations'!J$33</f>
        <v>11614.815806537992</v>
      </c>
      <c r="K50" s="130">
        <f>(1-Losses)*('HLH Hyd Gen'!K50+Thermal!K$6+'Fed Hyd Ini'!K50)-'System Obligations'!K$33</f>
        <v>14832.297392935654</v>
      </c>
      <c r="L50" s="130">
        <f>(1-Losses)*('HLH Hyd Gen'!L50+Thermal!L$6+'Fed Hyd Ini'!L50)-'System Obligations'!L$33</f>
        <v>12792.445085365473</v>
      </c>
      <c r="M50" s="130">
        <f>(1-Losses)*('HLH Hyd Gen'!M50+Thermal!M$6+'Fed Hyd Ini'!M50)-'System Obligations'!M$33</f>
        <v>14936.199115272126</v>
      </c>
      <c r="N50" s="130">
        <f>(1-Losses)*('HLH Hyd Gen'!N50+Thermal!N$6+'Fed Hyd Ini'!N50)-'System Obligations'!N$33</f>
        <v>12702.114537890027</v>
      </c>
      <c r="O50" s="130">
        <f>(1-Losses)*('HLH Hyd Gen'!O50+Thermal!O$6+'Fed Hyd Ini'!O50)-'System Obligations'!O$33</f>
        <v>12488.867921256608</v>
      </c>
      <c r="P50" s="131">
        <f>SUMPRODUCT(B50:O50,'HLH-LLH Loads'!$N$4:$AA$4)</f>
        <v>63085616.86413173</v>
      </c>
      <c r="Q50" s="131"/>
      <c r="R50" s="131"/>
    </row>
    <row r="51" spans="1:18" ht="12.75">
      <c r="A51" s="128">
        <v>1977</v>
      </c>
      <c r="B51" s="130">
        <f>(1-Losses)*('HLH Hyd Gen'!B51+Thermal!B$6+'Fed Hyd Ini'!B51)-'System Obligations'!B$33</f>
        <v>12607.431940617984</v>
      </c>
      <c r="C51" s="130">
        <f>(1-Losses)*('HLH Hyd Gen'!C51+Thermal!C$6+'Fed Hyd Ini'!C51)-'System Obligations'!C$33</f>
        <v>11480.648933600813</v>
      </c>
      <c r="D51" s="130">
        <f>(1-Losses)*('HLH Hyd Gen'!D51+Thermal!D$6+'Fed Hyd Ini'!D51)-'System Obligations'!D$33</f>
        <v>12837.347981094897</v>
      </c>
      <c r="E51" s="130">
        <f>(1-Losses)*('HLH Hyd Gen'!E51+Thermal!E$6+'Fed Hyd Ini'!E51)-'System Obligations'!E$33</f>
        <v>9425.416124243666</v>
      </c>
      <c r="F51" s="130">
        <f>(1-Losses)*('HLH Hyd Gen'!F51+Thermal!F$6+'Fed Hyd Ini'!F51)-'System Obligations'!F$33</f>
        <v>7152.747286606256</v>
      </c>
      <c r="G51" s="130">
        <f>(1-Losses)*('HLH Hyd Gen'!G51+Thermal!G$6+'Fed Hyd Ini'!G51)-'System Obligations'!G$33</f>
        <v>9214.75179798933</v>
      </c>
      <c r="H51" s="130">
        <f>(1-Losses)*('HLH Hyd Gen'!H51+Thermal!H$6+'Fed Hyd Ini'!H51)-'System Obligations'!H$33</f>
        <v>7897.8521449453665</v>
      </c>
      <c r="I51" s="130">
        <f>(1-Losses)*('HLH Hyd Gen'!I51+Thermal!I$6+'Fed Hyd Ini'!I51)-'System Obligations'!I$33</f>
        <v>9434.331869230758</v>
      </c>
      <c r="J51" s="130">
        <f>(1-Losses)*('HLH Hyd Gen'!J51+Thermal!J$6+'Fed Hyd Ini'!J51)-'System Obligations'!J$33</f>
        <v>5681.681994258902</v>
      </c>
      <c r="K51" s="130">
        <f>(1-Losses)*('HLH Hyd Gen'!K51+Thermal!K$6+'Fed Hyd Ini'!K51)-'System Obligations'!K$33</f>
        <v>6358.97341369812</v>
      </c>
      <c r="L51" s="130">
        <f>(1-Losses)*('HLH Hyd Gen'!L51+Thermal!L$6+'Fed Hyd Ini'!L51)-'System Obligations'!L$33</f>
        <v>8873.238169124663</v>
      </c>
      <c r="M51" s="130">
        <f>(1-Losses)*('HLH Hyd Gen'!M51+Thermal!M$6+'Fed Hyd Ini'!M51)-'System Obligations'!M$33</f>
        <v>8636.881105461707</v>
      </c>
      <c r="N51" s="130">
        <f>(1-Losses)*('HLH Hyd Gen'!N51+Thermal!N$6+'Fed Hyd Ini'!N51)-'System Obligations'!N$33</f>
        <v>8723.005561790249</v>
      </c>
      <c r="O51" s="130">
        <f>(1-Losses)*('HLH Hyd Gen'!O51+Thermal!O$6+'Fed Hyd Ini'!O51)-'System Obligations'!O$33</f>
        <v>7987.22907588733</v>
      </c>
      <c r="P51" s="131">
        <f>SUMPRODUCT(B51:O51,'HLH-LLH Loads'!$N$4:$AA$4)</f>
        <v>44502489.55914988</v>
      </c>
      <c r="Q51" s="131"/>
      <c r="R51" s="131"/>
    </row>
    <row r="52" spans="1:18" ht="12.75">
      <c r="A52" s="128">
        <v>1978</v>
      </c>
      <c r="B52" s="130">
        <f>(1-Losses)*('HLH Hyd Gen'!B52+Thermal!B$6+'Fed Hyd Ini'!B52)-'System Obligations'!B$33</f>
        <v>8329.837276474023</v>
      </c>
      <c r="C52" s="130">
        <f>(1-Losses)*('HLH Hyd Gen'!C52+Thermal!C$6+'Fed Hyd Ini'!C52)-'System Obligations'!C$33</f>
        <v>7460.834781344487</v>
      </c>
      <c r="D52" s="130">
        <f>(1-Losses)*('HLH Hyd Gen'!D52+Thermal!D$6+'Fed Hyd Ini'!D52)-'System Obligations'!D$33</f>
        <v>6436.122652747068</v>
      </c>
      <c r="E52" s="130">
        <f>(1-Losses)*('HLH Hyd Gen'!E52+Thermal!E$6+'Fed Hyd Ini'!E52)-'System Obligations'!E$33</f>
        <v>7809.899096811636</v>
      </c>
      <c r="F52" s="130">
        <f>(1-Losses)*('HLH Hyd Gen'!F52+Thermal!F$6+'Fed Hyd Ini'!F52)-'System Obligations'!F$33</f>
        <v>7923.319844810555</v>
      </c>
      <c r="G52" s="130">
        <f>(1-Losses)*('HLH Hyd Gen'!G52+Thermal!G$6+'Fed Hyd Ini'!G52)-'System Obligations'!G$33</f>
        <v>9436.807408889636</v>
      </c>
      <c r="H52" s="130">
        <f>(1-Losses)*('HLH Hyd Gen'!H52+Thermal!H$6+'Fed Hyd Ini'!H52)-'System Obligations'!H$33</f>
        <v>12714.093763628147</v>
      </c>
      <c r="I52" s="130">
        <f>(1-Losses)*('HLH Hyd Gen'!I52+Thermal!I$6+'Fed Hyd Ini'!I52)-'System Obligations'!I$33</f>
        <v>9631.243893071132</v>
      </c>
      <c r="J52" s="130">
        <f>(1-Losses)*('HLH Hyd Gen'!J52+Thermal!J$6+'Fed Hyd Ini'!J52)-'System Obligations'!J$33</f>
        <v>12702.192571865962</v>
      </c>
      <c r="K52" s="130">
        <f>(1-Losses)*('HLH Hyd Gen'!K52+Thermal!K$6+'Fed Hyd Ini'!K52)-'System Obligations'!K$33</f>
        <v>12798.18375416694</v>
      </c>
      <c r="L52" s="130">
        <f>(1-Losses)*('HLH Hyd Gen'!L52+Thermal!L$6+'Fed Hyd Ini'!L52)-'System Obligations'!L$33</f>
        <v>11453.71379452754</v>
      </c>
      <c r="M52" s="130">
        <f>(1-Losses)*('HLH Hyd Gen'!M52+Thermal!M$6+'Fed Hyd Ini'!M52)-'System Obligations'!M$33</f>
        <v>12068.962185814908</v>
      </c>
      <c r="N52" s="130">
        <f>(1-Losses)*('HLH Hyd Gen'!N52+Thermal!N$6+'Fed Hyd Ini'!N52)-'System Obligations'!N$33</f>
        <v>10709.093453237441</v>
      </c>
      <c r="O52" s="130">
        <f>(1-Losses)*('HLH Hyd Gen'!O52+Thermal!O$6+'Fed Hyd Ini'!O52)-'System Obligations'!O$33</f>
        <v>11403.713728760466</v>
      </c>
      <c r="P52" s="131">
        <f>SUMPRODUCT(B52:O52,'HLH-LLH Loads'!$N$4:$AA$4)</f>
        <v>50482567.68380118</v>
      </c>
      <c r="Q52" s="131"/>
      <c r="R52" s="131"/>
    </row>
    <row r="55" spans="1:15" ht="12.75">
      <c r="A55" s="36"/>
      <c r="B55" s="36"/>
      <c r="C55" s="36"/>
      <c r="D55" s="36"/>
      <c r="E55" s="36"/>
      <c r="F55" s="36"/>
      <c r="G55" s="36"/>
      <c r="H55" s="36"/>
      <c r="I55" s="36"/>
      <c r="J55" s="36"/>
      <c r="K55" s="36"/>
      <c r="L55" s="36"/>
      <c r="M55" s="36"/>
      <c r="N55" s="36"/>
      <c r="O55" s="36"/>
    </row>
    <row r="56" spans="2:15" ht="12.75">
      <c r="B56" s="2"/>
      <c r="C56" s="2"/>
      <c r="D56" s="2"/>
      <c r="E56" s="2"/>
      <c r="F56" s="2"/>
      <c r="G56" s="2"/>
      <c r="H56" s="2"/>
      <c r="I56" s="2"/>
      <c r="J56" s="2"/>
      <c r="K56" s="2"/>
      <c r="L56" s="2"/>
      <c r="M56" s="2"/>
      <c r="N56" s="2"/>
      <c r="O56" s="2"/>
    </row>
    <row r="57" spans="2:15" ht="12.75">
      <c r="B57" s="1"/>
      <c r="C57" s="1"/>
      <c r="D57" s="1"/>
      <c r="E57" s="1"/>
      <c r="F57" s="1"/>
      <c r="G57" s="1"/>
      <c r="H57" s="1"/>
      <c r="I57" s="1"/>
      <c r="J57" s="1"/>
      <c r="K57" s="1"/>
      <c r="L57" s="1"/>
      <c r="M57" s="1"/>
      <c r="N57" s="1"/>
      <c r="O57" s="1"/>
    </row>
    <row r="58" spans="2:15" ht="12.75">
      <c r="B58" s="1"/>
      <c r="C58" s="1"/>
      <c r="D58" s="1"/>
      <c r="E58" s="1"/>
      <c r="F58" s="1"/>
      <c r="G58" s="1"/>
      <c r="H58" s="1"/>
      <c r="I58" s="1"/>
      <c r="J58" s="1"/>
      <c r="K58" s="1"/>
      <c r="L58" s="1"/>
      <c r="M58" s="1"/>
      <c r="N58" s="1"/>
      <c r="O58" s="1"/>
    </row>
    <row r="59" spans="2:15" ht="12.75">
      <c r="B59" s="1"/>
      <c r="C59" s="1"/>
      <c r="D59" s="1"/>
      <c r="E59" s="1"/>
      <c r="F59" s="1"/>
      <c r="G59" s="1"/>
      <c r="H59" s="1"/>
      <c r="I59" s="1"/>
      <c r="J59" s="1"/>
      <c r="K59" s="1"/>
      <c r="L59" s="1"/>
      <c r="M59" s="1"/>
      <c r="N59" s="1"/>
      <c r="O59" s="1"/>
    </row>
    <row r="60" spans="2:15" ht="12.75">
      <c r="B60" s="1"/>
      <c r="C60" s="1"/>
      <c r="D60" s="1"/>
      <c r="E60" s="1"/>
      <c r="F60" s="1"/>
      <c r="G60" s="1"/>
      <c r="H60" s="1"/>
      <c r="I60" s="1"/>
      <c r="J60" s="1"/>
      <c r="K60" s="1"/>
      <c r="L60" s="1"/>
      <c r="M60" s="1"/>
      <c r="N60" s="1"/>
      <c r="O60" s="1"/>
    </row>
    <row r="61" spans="2:15" ht="12.75">
      <c r="B61" s="1"/>
      <c r="C61" s="1"/>
      <c r="D61" s="1"/>
      <c r="E61" s="1"/>
      <c r="F61" s="1"/>
      <c r="G61" s="1"/>
      <c r="H61" s="1"/>
      <c r="I61" s="1"/>
      <c r="J61" s="1"/>
      <c r="K61" s="1"/>
      <c r="L61" s="1"/>
      <c r="M61" s="1"/>
      <c r="N61" s="1"/>
      <c r="O61" s="1"/>
    </row>
    <row r="62" spans="2:15" ht="12.75">
      <c r="B62" s="1"/>
      <c r="C62" s="1"/>
      <c r="D62" s="1"/>
      <c r="E62" s="1"/>
      <c r="F62" s="1"/>
      <c r="G62" s="1"/>
      <c r="H62" s="1"/>
      <c r="I62" s="1"/>
      <c r="J62" s="1"/>
      <c r="K62" s="1"/>
      <c r="L62" s="1"/>
      <c r="M62" s="1"/>
      <c r="N62" s="1"/>
      <c r="O62" s="1"/>
    </row>
    <row r="63" spans="2:15" ht="12.75">
      <c r="B63" s="1"/>
      <c r="C63" s="1"/>
      <c r="D63" s="1"/>
      <c r="E63" s="1"/>
      <c r="F63" s="1"/>
      <c r="G63" s="1"/>
      <c r="H63" s="1"/>
      <c r="I63" s="1"/>
      <c r="J63" s="1"/>
      <c r="K63" s="1"/>
      <c r="L63" s="1"/>
      <c r="M63" s="1"/>
      <c r="N63" s="1"/>
      <c r="O63" s="1"/>
    </row>
    <row r="64" spans="2:15" ht="12.75">
      <c r="B64" s="1"/>
      <c r="C64" s="1"/>
      <c r="D64" s="1"/>
      <c r="E64" s="1"/>
      <c r="F64" s="1"/>
      <c r="G64" s="1"/>
      <c r="H64" s="1"/>
      <c r="I64" s="1"/>
      <c r="J64" s="1"/>
      <c r="K64" s="1"/>
      <c r="L64" s="1"/>
      <c r="M64" s="1"/>
      <c r="N64" s="1"/>
      <c r="O64" s="1"/>
    </row>
    <row r="65" spans="2:15" ht="12.75">
      <c r="B65" s="1"/>
      <c r="C65" s="1"/>
      <c r="D65" s="1"/>
      <c r="E65" s="1"/>
      <c r="F65" s="1"/>
      <c r="G65" s="1"/>
      <c r="H65" s="1"/>
      <c r="I65" s="1"/>
      <c r="J65" s="1"/>
      <c r="K65" s="1"/>
      <c r="L65" s="1"/>
      <c r="M65" s="1"/>
      <c r="N65" s="1"/>
      <c r="O65" s="1"/>
    </row>
    <row r="66" spans="2:15" ht="12.75">
      <c r="B66" s="1"/>
      <c r="C66" s="1"/>
      <c r="D66" s="1"/>
      <c r="E66" s="1"/>
      <c r="F66" s="1"/>
      <c r="G66" s="1"/>
      <c r="H66" s="1"/>
      <c r="I66" s="1"/>
      <c r="J66" s="1"/>
      <c r="K66" s="1"/>
      <c r="L66" s="1"/>
      <c r="M66" s="1"/>
      <c r="N66" s="1"/>
      <c r="O66" s="1"/>
    </row>
    <row r="67" spans="2:15" ht="12.75">
      <c r="B67" s="1"/>
      <c r="C67" s="1"/>
      <c r="D67" s="1"/>
      <c r="E67" s="1"/>
      <c r="F67" s="1"/>
      <c r="G67" s="1"/>
      <c r="H67" s="1"/>
      <c r="I67" s="1"/>
      <c r="J67" s="1"/>
      <c r="K67" s="1"/>
      <c r="L67" s="1"/>
      <c r="M67" s="1"/>
      <c r="N67" s="1"/>
      <c r="O67" s="1"/>
    </row>
    <row r="68" spans="2:15" ht="12.75">
      <c r="B68" s="1"/>
      <c r="C68" s="1"/>
      <c r="D68" s="1"/>
      <c r="E68" s="1"/>
      <c r="F68" s="1"/>
      <c r="G68" s="1"/>
      <c r="H68" s="1"/>
      <c r="I68" s="1"/>
      <c r="J68" s="1"/>
      <c r="K68" s="1"/>
      <c r="L68" s="1"/>
      <c r="M68" s="1"/>
      <c r="N68" s="1"/>
      <c r="O68" s="1"/>
    </row>
    <row r="69" spans="2:15" ht="12.75">
      <c r="B69" s="1"/>
      <c r="C69" s="1"/>
      <c r="D69" s="1"/>
      <c r="E69" s="1"/>
      <c r="F69" s="1"/>
      <c r="G69" s="1"/>
      <c r="H69" s="1"/>
      <c r="I69" s="1"/>
      <c r="J69" s="1"/>
      <c r="K69" s="1"/>
      <c r="L69" s="1"/>
      <c r="M69" s="1"/>
      <c r="N69" s="1"/>
      <c r="O69" s="1"/>
    </row>
    <row r="70" spans="2:15" ht="12.75">
      <c r="B70" s="1"/>
      <c r="C70" s="1"/>
      <c r="D70" s="1"/>
      <c r="E70" s="1"/>
      <c r="F70" s="1"/>
      <c r="G70" s="1"/>
      <c r="H70" s="1"/>
      <c r="I70" s="1"/>
      <c r="J70" s="1"/>
      <c r="K70" s="1"/>
      <c r="L70" s="1"/>
      <c r="M70" s="1"/>
      <c r="N70" s="1"/>
      <c r="O70" s="1"/>
    </row>
    <row r="71" spans="2:15" ht="12.75">
      <c r="B71" s="1"/>
      <c r="C71" s="1"/>
      <c r="D71" s="1"/>
      <c r="E71" s="1"/>
      <c r="F71" s="1"/>
      <c r="G71" s="1"/>
      <c r="H71" s="1"/>
      <c r="I71" s="1"/>
      <c r="J71" s="1"/>
      <c r="K71" s="1"/>
      <c r="L71" s="1"/>
      <c r="M71" s="1"/>
      <c r="N71" s="1"/>
      <c r="O71" s="1"/>
    </row>
    <row r="72" spans="2:15" ht="12.75">
      <c r="B72" s="1"/>
      <c r="C72" s="1"/>
      <c r="D72" s="1"/>
      <c r="E72" s="1"/>
      <c r="F72" s="1"/>
      <c r="G72" s="1"/>
      <c r="H72" s="1"/>
      <c r="I72" s="1"/>
      <c r="J72" s="1"/>
      <c r="K72" s="1"/>
      <c r="L72" s="1"/>
      <c r="M72" s="1"/>
      <c r="N72" s="1"/>
      <c r="O72" s="1"/>
    </row>
    <row r="73" spans="2:15" ht="12.75">
      <c r="B73" s="1"/>
      <c r="C73" s="1"/>
      <c r="D73" s="1"/>
      <c r="E73" s="1"/>
      <c r="F73" s="1"/>
      <c r="G73" s="1"/>
      <c r="H73" s="1"/>
      <c r="I73" s="1"/>
      <c r="J73" s="1"/>
      <c r="K73" s="1"/>
      <c r="L73" s="1"/>
      <c r="M73" s="1"/>
      <c r="N73" s="1"/>
      <c r="O73" s="1"/>
    </row>
    <row r="74" spans="2:15" ht="12.75">
      <c r="B74" s="1"/>
      <c r="C74" s="1"/>
      <c r="D74" s="1"/>
      <c r="E74" s="1"/>
      <c r="F74" s="1"/>
      <c r="G74" s="1"/>
      <c r="H74" s="1"/>
      <c r="I74" s="1"/>
      <c r="J74" s="1"/>
      <c r="K74" s="1"/>
      <c r="L74" s="1"/>
      <c r="M74" s="1"/>
      <c r="N74" s="1"/>
      <c r="O74" s="1"/>
    </row>
    <row r="75" spans="2:15" ht="12.75">
      <c r="B75" s="1"/>
      <c r="C75" s="1"/>
      <c r="D75" s="1"/>
      <c r="E75" s="1"/>
      <c r="F75" s="1"/>
      <c r="G75" s="1"/>
      <c r="H75" s="1"/>
      <c r="I75" s="1"/>
      <c r="J75" s="1"/>
      <c r="K75" s="1"/>
      <c r="L75" s="1"/>
      <c r="M75" s="1"/>
      <c r="N75" s="1"/>
      <c r="O75" s="1"/>
    </row>
    <row r="76" spans="2:15" ht="12.75">
      <c r="B76" s="1"/>
      <c r="C76" s="1"/>
      <c r="D76" s="1"/>
      <c r="E76" s="1"/>
      <c r="F76" s="1"/>
      <c r="G76" s="1"/>
      <c r="H76" s="1"/>
      <c r="I76" s="1"/>
      <c r="J76" s="1"/>
      <c r="K76" s="1"/>
      <c r="L76" s="1"/>
      <c r="M76" s="1"/>
      <c r="N76" s="1"/>
      <c r="O76" s="1"/>
    </row>
    <row r="77" spans="2:15" ht="12.75">
      <c r="B77" s="1"/>
      <c r="C77" s="1"/>
      <c r="D77" s="1"/>
      <c r="E77" s="1"/>
      <c r="F77" s="1"/>
      <c r="G77" s="1"/>
      <c r="H77" s="1"/>
      <c r="I77" s="1"/>
      <c r="J77" s="1"/>
      <c r="K77" s="1"/>
      <c r="L77" s="1"/>
      <c r="M77" s="1"/>
      <c r="N77" s="1"/>
      <c r="O77" s="1"/>
    </row>
    <row r="78" spans="2:15" ht="12.75">
      <c r="B78" s="1"/>
      <c r="C78" s="1"/>
      <c r="D78" s="1"/>
      <c r="E78" s="1"/>
      <c r="F78" s="1"/>
      <c r="G78" s="1"/>
      <c r="H78" s="1"/>
      <c r="I78" s="1"/>
      <c r="J78" s="1"/>
      <c r="K78" s="1"/>
      <c r="L78" s="1"/>
      <c r="M78" s="1"/>
      <c r="N78" s="1"/>
      <c r="O78" s="1"/>
    </row>
    <row r="79" spans="2:15" ht="12.75">
      <c r="B79" s="1"/>
      <c r="C79" s="1"/>
      <c r="D79" s="1"/>
      <c r="E79" s="1"/>
      <c r="F79" s="1"/>
      <c r="G79" s="1"/>
      <c r="H79" s="1"/>
      <c r="I79" s="1"/>
      <c r="J79" s="1"/>
      <c r="K79" s="1"/>
      <c r="L79" s="1"/>
      <c r="M79" s="1"/>
      <c r="N79" s="1"/>
      <c r="O79" s="1"/>
    </row>
    <row r="80" spans="2:15" ht="12.75">
      <c r="B80" s="1"/>
      <c r="C80" s="1"/>
      <c r="D80" s="1"/>
      <c r="E80" s="1"/>
      <c r="F80" s="1"/>
      <c r="G80" s="1"/>
      <c r="H80" s="1"/>
      <c r="I80" s="1"/>
      <c r="J80" s="1"/>
      <c r="K80" s="1"/>
      <c r="L80" s="1"/>
      <c r="M80" s="1"/>
      <c r="N80" s="1"/>
      <c r="O80" s="1"/>
    </row>
    <row r="81" spans="2:15" ht="12.75">
      <c r="B81" s="1"/>
      <c r="C81" s="1"/>
      <c r="D81" s="1"/>
      <c r="E81" s="1"/>
      <c r="F81" s="1"/>
      <c r="G81" s="1"/>
      <c r="H81" s="1"/>
      <c r="I81" s="1"/>
      <c r="J81" s="1"/>
      <c r="K81" s="1"/>
      <c r="L81" s="1"/>
      <c r="M81" s="1"/>
      <c r="N81" s="1"/>
      <c r="O81" s="1"/>
    </row>
    <row r="82" spans="2:15" ht="12.75">
      <c r="B82" s="1"/>
      <c r="C82" s="1"/>
      <c r="D82" s="1"/>
      <c r="E82" s="1"/>
      <c r="F82" s="1"/>
      <c r="G82" s="1"/>
      <c r="H82" s="1"/>
      <c r="I82" s="1"/>
      <c r="J82" s="1"/>
      <c r="K82" s="1"/>
      <c r="L82" s="1"/>
      <c r="M82" s="1"/>
      <c r="N82" s="1"/>
      <c r="O82" s="1"/>
    </row>
    <row r="83" spans="2:15" ht="12.75">
      <c r="B83" s="1"/>
      <c r="C83" s="1"/>
      <c r="D83" s="1"/>
      <c r="E83" s="1"/>
      <c r="F83" s="1"/>
      <c r="G83" s="1"/>
      <c r="H83" s="1"/>
      <c r="I83" s="1"/>
      <c r="J83" s="1"/>
      <c r="K83" s="1"/>
      <c r="L83" s="1"/>
      <c r="M83" s="1"/>
      <c r="N83" s="1"/>
      <c r="O83" s="1"/>
    </row>
    <row r="84" spans="2:15" ht="12.75">
      <c r="B84" s="1"/>
      <c r="C84" s="1"/>
      <c r="D84" s="1"/>
      <c r="E84" s="1"/>
      <c r="F84" s="1"/>
      <c r="G84" s="1"/>
      <c r="H84" s="1"/>
      <c r="I84" s="1"/>
      <c r="J84" s="1"/>
      <c r="K84" s="1"/>
      <c r="L84" s="1"/>
      <c r="M84" s="1"/>
      <c r="N84" s="1"/>
      <c r="O84" s="1"/>
    </row>
    <row r="85" spans="2:15" ht="12.75">
      <c r="B85" s="1"/>
      <c r="C85" s="1"/>
      <c r="D85" s="1"/>
      <c r="E85" s="1"/>
      <c r="F85" s="1"/>
      <c r="G85" s="1"/>
      <c r="H85" s="1"/>
      <c r="I85" s="1"/>
      <c r="J85" s="1"/>
      <c r="K85" s="1"/>
      <c r="L85" s="1"/>
      <c r="M85" s="1"/>
      <c r="N85" s="1"/>
      <c r="O85" s="1"/>
    </row>
    <row r="86" spans="2:15" ht="12.75">
      <c r="B86" s="1"/>
      <c r="C86" s="1"/>
      <c r="D86" s="1"/>
      <c r="E86" s="1"/>
      <c r="F86" s="1"/>
      <c r="G86" s="1"/>
      <c r="H86" s="1"/>
      <c r="I86" s="1"/>
      <c r="J86" s="1"/>
      <c r="K86" s="1"/>
      <c r="L86" s="1"/>
      <c r="M86" s="1"/>
      <c r="N86" s="1"/>
      <c r="O86" s="1"/>
    </row>
    <row r="87" spans="2:15" ht="12.75">
      <c r="B87" s="1"/>
      <c r="C87" s="1"/>
      <c r="D87" s="1"/>
      <c r="E87" s="1"/>
      <c r="F87" s="1"/>
      <c r="G87" s="1"/>
      <c r="H87" s="1"/>
      <c r="I87" s="1"/>
      <c r="J87" s="1"/>
      <c r="K87" s="1"/>
      <c r="L87" s="1"/>
      <c r="M87" s="1"/>
      <c r="N87" s="1"/>
      <c r="O87" s="1"/>
    </row>
    <row r="88" spans="2:15" ht="12.75">
      <c r="B88" s="1"/>
      <c r="C88" s="1"/>
      <c r="D88" s="1"/>
      <c r="E88" s="1"/>
      <c r="F88" s="1"/>
      <c r="G88" s="1"/>
      <c r="H88" s="1"/>
      <c r="I88" s="1"/>
      <c r="J88" s="1"/>
      <c r="K88" s="1"/>
      <c r="L88" s="1"/>
      <c r="M88" s="1"/>
      <c r="N88" s="1"/>
      <c r="O88" s="1"/>
    </row>
    <row r="89" spans="2:15" ht="12.75">
      <c r="B89" s="1"/>
      <c r="C89" s="1"/>
      <c r="D89" s="1"/>
      <c r="E89" s="1"/>
      <c r="F89" s="1"/>
      <c r="G89" s="1"/>
      <c r="H89" s="1"/>
      <c r="I89" s="1"/>
      <c r="J89" s="1"/>
      <c r="K89" s="1"/>
      <c r="L89" s="1"/>
      <c r="M89" s="1"/>
      <c r="N89" s="1"/>
      <c r="O89" s="1"/>
    </row>
    <row r="90" spans="2:15" ht="12.75">
      <c r="B90" s="1"/>
      <c r="C90" s="1"/>
      <c r="D90" s="1"/>
      <c r="E90" s="1"/>
      <c r="F90" s="1"/>
      <c r="G90" s="1"/>
      <c r="H90" s="1"/>
      <c r="I90" s="1"/>
      <c r="J90" s="1"/>
      <c r="K90" s="1"/>
      <c r="L90" s="1"/>
      <c r="M90" s="1"/>
      <c r="N90" s="1"/>
      <c r="O90" s="1"/>
    </row>
    <row r="91" spans="2:15" ht="12.75">
      <c r="B91" s="1"/>
      <c r="C91" s="1"/>
      <c r="D91" s="1"/>
      <c r="E91" s="1"/>
      <c r="F91" s="1"/>
      <c r="G91" s="1"/>
      <c r="H91" s="1"/>
      <c r="I91" s="1"/>
      <c r="J91" s="1"/>
      <c r="K91" s="1"/>
      <c r="L91" s="1"/>
      <c r="M91" s="1"/>
      <c r="N91" s="1"/>
      <c r="O91" s="1"/>
    </row>
    <row r="92" spans="2:15" ht="12.75">
      <c r="B92" s="1"/>
      <c r="C92" s="1"/>
      <c r="D92" s="1"/>
      <c r="E92" s="1"/>
      <c r="F92" s="1"/>
      <c r="G92" s="1"/>
      <c r="H92" s="1"/>
      <c r="I92" s="1"/>
      <c r="J92" s="1"/>
      <c r="K92" s="1"/>
      <c r="L92" s="1"/>
      <c r="M92" s="1"/>
      <c r="N92" s="1"/>
      <c r="O92" s="1"/>
    </row>
    <row r="93" spans="2:15" ht="12.75">
      <c r="B93" s="1"/>
      <c r="C93" s="1"/>
      <c r="D93" s="1"/>
      <c r="E93" s="1"/>
      <c r="F93" s="1"/>
      <c r="G93" s="1"/>
      <c r="H93" s="1"/>
      <c r="I93" s="1"/>
      <c r="J93" s="1"/>
      <c r="K93" s="1"/>
      <c r="L93" s="1"/>
      <c r="M93" s="1"/>
      <c r="N93" s="1"/>
      <c r="O93" s="1"/>
    </row>
    <row r="94" spans="2:15" ht="12.75">
      <c r="B94" s="1"/>
      <c r="C94" s="1"/>
      <c r="D94" s="1"/>
      <c r="E94" s="1"/>
      <c r="F94" s="1"/>
      <c r="G94" s="1"/>
      <c r="H94" s="1"/>
      <c r="I94" s="1"/>
      <c r="J94" s="1"/>
      <c r="K94" s="1"/>
      <c r="L94" s="1"/>
      <c r="M94" s="1"/>
      <c r="N94" s="1"/>
      <c r="O94" s="1"/>
    </row>
    <row r="95" spans="2:15" ht="12.75">
      <c r="B95" s="1"/>
      <c r="C95" s="1"/>
      <c r="D95" s="1"/>
      <c r="E95" s="1"/>
      <c r="F95" s="1"/>
      <c r="G95" s="1"/>
      <c r="H95" s="1"/>
      <c r="I95" s="1"/>
      <c r="J95" s="1"/>
      <c r="K95" s="1"/>
      <c r="L95" s="1"/>
      <c r="M95" s="1"/>
      <c r="N95" s="1"/>
      <c r="O95" s="1"/>
    </row>
    <row r="96" spans="2:15" ht="12.75">
      <c r="B96" s="1"/>
      <c r="C96" s="1"/>
      <c r="D96" s="1"/>
      <c r="E96" s="1"/>
      <c r="F96" s="1"/>
      <c r="G96" s="1"/>
      <c r="H96" s="1"/>
      <c r="I96" s="1"/>
      <c r="J96" s="1"/>
      <c r="K96" s="1"/>
      <c r="L96" s="1"/>
      <c r="M96" s="1"/>
      <c r="N96" s="1"/>
      <c r="O96" s="1"/>
    </row>
    <row r="97" spans="2:15" ht="12.75">
      <c r="B97" s="1"/>
      <c r="C97" s="1"/>
      <c r="D97" s="1"/>
      <c r="E97" s="1"/>
      <c r="F97" s="1"/>
      <c r="G97" s="1"/>
      <c r="H97" s="1"/>
      <c r="I97" s="1"/>
      <c r="J97" s="1"/>
      <c r="K97" s="1"/>
      <c r="L97" s="1"/>
      <c r="M97" s="1"/>
      <c r="N97" s="1"/>
      <c r="O97" s="1"/>
    </row>
    <row r="98" spans="2:15" ht="12.75">
      <c r="B98" s="1"/>
      <c r="C98" s="1"/>
      <c r="D98" s="1"/>
      <c r="E98" s="1"/>
      <c r="F98" s="1"/>
      <c r="G98" s="1"/>
      <c r="H98" s="1"/>
      <c r="I98" s="1"/>
      <c r="J98" s="1"/>
      <c r="K98" s="1"/>
      <c r="L98" s="1"/>
      <c r="M98" s="1"/>
      <c r="N98" s="1"/>
      <c r="O98" s="1"/>
    </row>
    <row r="99" spans="2:15" ht="12.75">
      <c r="B99" s="1"/>
      <c r="C99" s="1"/>
      <c r="D99" s="1"/>
      <c r="E99" s="1"/>
      <c r="F99" s="1"/>
      <c r="G99" s="1"/>
      <c r="H99" s="1"/>
      <c r="I99" s="1"/>
      <c r="J99" s="1"/>
      <c r="K99" s="1"/>
      <c r="L99" s="1"/>
      <c r="M99" s="1"/>
      <c r="N99" s="1"/>
      <c r="O99" s="1"/>
    </row>
    <row r="100" spans="2:15" ht="12.75">
      <c r="B100" s="1"/>
      <c r="C100" s="1"/>
      <c r="D100" s="1"/>
      <c r="E100" s="1"/>
      <c r="F100" s="1"/>
      <c r="G100" s="1"/>
      <c r="H100" s="1"/>
      <c r="I100" s="1"/>
      <c r="J100" s="1"/>
      <c r="K100" s="1"/>
      <c r="L100" s="1"/>
      <c r="M100" s="1"/>
      <c r="N100" s="1"/>
      <c r="O100" s="1"/>
    </row>
    <row r="101" spans="2:15" ht="12.75">
      <c r="B101" s="1"/>
      <c r="C101" s="1"/>
      <c r="D101" s="1"/>
      <c r="E101" s="1"/>
      <c r="F101" s="1"/>
      <c r="G101" s="1"/>
      <c r="H101" s="1"/>
      <c r="I101" s="1"/>
      <c r="J101" s="1"/>
      <c r="K101" s="1"/>
      <c r="L101" s="1"/>
      <c r="M101" s="1"/>
      <c r="N101" s="1"/>
      <c r="O101" s="1"/>
    </row>
    <row r="102" spans="2:15" ht="12.75">
      <c r="B102" s="1"/>
      <c r="C102" s="1"/>
      <c r="D102" s="1"/>
      <c r="E102" s="1"/>
      <c r="F102" s="1"/>
      <c r="G102" s="1"/>
      <c r="H102" s="1"/>
      <c r="I102" s="1"/>
      <c r="J102" s="1"/>
      <c r="K102" s="1"/>
      <c r="L102" s="1"/>
      <c r="M102" s="1"/>
      <c r="N102" s="1"/>
      <c r="O102" s="1"/>
    </row>
    <row r="103" spans="2:15" ht="12.75">
      <c r="B103" s="1"/>
      <c r="C103" s="1"/>
      <c r="D103" s="1"/>
      <c r="E103" s="1"/>
      <c r="F103" s="1"/>
      <c r="G103" s="1"/>
      <c r="H103" s="1"/>
      <c r="I103" s="1"/>
      <c r="J103" s="1"/>
      <c r="K103" s="1"/>
      <c r="L103" s="1"/>
      <c r="M103" s="1"/>
      <c r="N103" s="1"/>
      <c r="O103" s="1"/>
    </row>
    <row r="104" spans="2:15" ht="12.75">
      <c r="B104" s="1"/>
      <c r="C104" s="1"/>
      <c r="D104" s="1"/>
      <c r="E104" s="1"/>
      <c r="F104" s="1"/>
      <c r="G104" s="1"/>
      <c r="H104" s="1"/>
      <c r="I104" s="1"/>
      <c r="J104" s="1"/>
      <c r="K104" s="1"/>
      <c r="L104" s="1"/>
      <c r="M104" s="1"/>
      <c r="N104" s="1"/>
      <c r="O104" s="1"/>
    </row>
    <row r="105" spans="2:15" ht="12.75">
      <c r="B105" s="1"/>
      <c r="C105" s="1"/>
      <c r="D105" s="1"/>
      <c r="E105" s="1"/>
      <c r="F105" s="1"/>
      <c r="G105" s="1"/>
      <c r="H105" s="1"/>
      <c r="I105" s="1"/>
      <c r="J105" s="1"/>
      <c r="K105" s="1"/>
      <c r="L105" s="1"/>
      <c r="M105" s="1"/>
      <c r="N105" s="1"/>
      <c r="O105" s="1"/>
    </row>
    <row r="106" spans="2:15" ht="12.75">
      <c r="B106" s="1"/>
      <c r="C106" s="1"/>
      <c r="D106" s="1"/>
      <c r="E106" s="1"/>
      <c r="F106" s="1"/>
      <c r="G106" s="1"/>
      <c r="H106" s="1"/>
      <c r="I106" s="1"/>
      <c r="J106" s="1"/>
      <c r="K106" s="1"/>
      <c r="L106" s="1"/>
      <c r="M106" s="1"/>
      <c r="N106" s="1"/>
      <c r="O106" s="1"/>
    </row>
  </sheetData>
  <mergeCells count="1">
    <mergeCell ref="A1:P1"/>
  </mergeCells>
  <printOptions/>
  <pageMargins left="0.75" right="0.75" top="0.75" bottom="0.75" header="0.5" footer="0.5"/>
  <pageSetup fitToHeight="1" fitToWidth="1" horizontalDpi="300" verticalDpi="300" orientation="landscape" scale="69" r:id="rId3"/>
  <headerFooter alignWithMargins="0">
    <oddFooter>&amp;LSlice Cost Shift Study&amp;CPage &amp;P&amp;R'02 Rate Case</oddFooter>
  </headerFooter>
  <legacyDrawing r:id="rId2"/>
</worksheet>
</file>

<file path=xl/worksheets/sheet16.xml><?xml version="1.0" encoding="utf-8"?>
<worksheet xmlns="http://schemas.openxmlformats.org/spreadsheetml/2006/main" xmlns:r="http://schemas.openxmlformats.org/officeDocument/2006/relationships">
  <sheetPr codeName="Sheet51">
    <pageSetUpPr fitToPage="1"/>
  </sheetPr>
  <dimension ref="A1:R52"/>
  <sheetViews>
    <sheetView zoomScale="75" zoomScaleNormal="75" workbookViewId="0" topLeftCell="C1">
      <selection activeCell="Q11" sqref="Q11"/>
    </sheetView>
  </sheetViews>
  <sheetFormatPr defaultColWidth="9.33203125" defaultRowHeight="12.75"/>
  <cols>
    <col min="1" max="1" width="8.83203125" style="2" customWidth="1"/>
    <col min="16" max="16" width="10.33203125" style="0" bestFit="1" customWidth="1"/>
    <col min="17" max="18" width="13.66015625" style="0" bestFit="1" customWidth="1"/>
  </cols>
  <sheetData>
    <row r="1" spans="1:16" ht="12.75">
      <c r="A1" s="237" t="s">
        <v>192</v>
      </c>
      <c r="B1" s="237"/>
      <c r="C1" s="237"/>
      <c r="D1" s="237"/>
      <c r="E1" s="237"/>
      <c r="F1" s="237"/>
      <c r="G1" s="237"/>
      <c r="H1" s="237"/>
      <c r="I1" s="237"/>
      <c r="J1" s="237"/>
      <c r="K1" s="237"/>
      <c r="L1" s="237"/>
      <c r="M1" s="237"/>
      <c r="N1" s="237"/>
      <c r="O1" s="237"/>
      <c r="P1" s="237"/>
    </row>
    <row r="2" spans="1:18" s="2" customFormat="1" ht="38.25">
      <c r="A2" s="145" t="s">
        <v>15</v>
      </c>
      <c r="B2" s="146" t="s">
        <v>1</v>
      </c>
      <c r="C2" s="146" t="s">
        <v>2</v>
      </c>
      <c r="D2" s="146" t="s">
        <v>3</v>
      </c>
      <c r="E2" s="146" t="s">
        <v>4</v>
      </c>
      <c r="F2" s="146" t="s">
        <v>5</v>
      </c>
      <c r="G2" s="146" t="s">
        <v>6</v>
      </c>
      <c r="H2" s="146" t="s">
        <v>7</v>
      </c>
      <c r="I2" s="146" t="s">
        <v>8</v>
      </c>
      <c r="J2" s="146" t="s">
        <v>9</v>
      </c>
      <c r="K2" s="146" t="s">
        <v>10</v>
      </c>
      <c r="L2" s="146" t="s">
        <v>11</v>
      </c>
      <c r="M2" s="146" t="s">
        <v>12</v>
      </c>
      <c r="N2" s="146" t="s">
        <v>13</v>
      </c>
      <c r="O2" s="146" t="s">
        <v>14</v>
      </c>
      <c r="P2" s="150" t="s">
        <v>61</v>
      </c>
      <c r="Q2" s="128"/>
      <c r="R2" s="128"/>
    </row>
    <row r="3" spans="1:18" ht="12.75">
      <c r="A3" s="128">
        <v>1929</v>
      </c>
      <c r="B3" s="130">
        <f>(1-Losses)*('LLH Hyd Gen'!B3+Thermal!B$6+'Fed Hyd Ini'!B3)-'System Obligations'!B$34</f>
        <v>7993.678851373323</v>
      </c>
      <c r="C3" s="130">
        <f>(1-Losses)*('LLH Hyd Gen'!C3+Thermal!C$6+'Fed Hyd Ini'!C3)-'System Obligations'!C$34</f>
        <v>6326.91775095398</v>
      </c>
      <c r="D3" s="130">
        <f>(1-Losses)*('LLH Hyd Gen'!D3+Thermal!D$6+'Fed Hyd Ini'!D3)-'System Obligations'!D$34</f>
        <v>5140.436434483541</v>
      </c>
      <c r="E3" s="130">
        <f>(1-Losses)*('LLH Hyd Gen'!E3+Thermal!E$6+'Fed Hyd Ini'!E3)-'System Obligations'!E$34</f>
        <v>5832.885663194257</v>
      </c>
      <c r="F3" s="130">
        <f>(1-Losses)*('LLH Hyd Gen'!F3+Thermal!F$6+'Fed Hyd Ini'!F3)-'System Obligations'!F$34</f>
        <v>5200.423823409325</v>
      </c>
      <c r="G3" s="130">
        <f>(1-Losses)*('LLH Hyd Gen'!G3+Thermal!G$6+'Fed Hyd Ini'!G3)-'System Obligations'!G$34</f>
        <v>5923.435507132742</v>
      </c>
      <c r="H3" s="130">
        <f>(1-Losses)*('LLH Hyd Gen'!H3+Thermal!H$6+'Fed Hyd Ini'!H3)-'System Obligations'!H$34</f>
        <v>5323.962070846326</v>
      </c>
      <c r="I3" s="130">
        <f>(1-Losses)*('LLH Hyd Gen'!I3+Thermal!I$6+'Fed Hyd Ini'!I3)-'System Obligations'!I$34</f>
        <v>6134.433398838602</v>
      </c>
      <c r="J3" s="130">
        <f>(1-Losses)*('LLH Hyd Gen'!J3+Thermal!J$6+'Fed Hyd Ini'!J3)-'System Obligations'!J$34</f>
        <v>5422.176474414246</v>
      </c>
      <c r="K3" s="130">
        <f>(1-Losses)*('LLH Hyd Gen'!K3+Thermal!K$6+'Fed Hyd Ini'!K3)-'System Obligations'!K$34</f>
        <v>5799.487962624691</v>
      </c>
      <c r="L3" s="130">
        <f>(1-Losses)*('LLH Hyd Gen'!L3+Thermal!L$6+'Fed Hyd Ini'!L3)-'System Obligations'!L$34</f>
        <v>6031.18221441041</v>
      </c>
      <c r="M3" s="130">
        <f>(1-Losses)*('LLH Hyd Gen'!M3+Thermal!M$6+'Fed Hyd Ini'!M3)-'System Obligations'!M$34</f>
        <v>6152.979894884735</v>
      </c>
      <c r="N3" s="130">
        <f>(1-Losses)*('LLH Hyd Gen'!N3+Thermal!N$6+'Fed Hyd Ini'!N3)-'System Obligations'!N$34</f>
        <v>7508.747560184356</v>
      </c>
      <c r="O3" s="130">
        <f>(1-Losses)*('LLH Hyd Gen'!O3+Thermal!O$6+'Fed Hyd Ini'!O3)-'System Obligations'!O$34</f>
        <v>6556.392178631215</v>
      </c>
      <c r="P3" s="131">
        <f>SUMPRODUCT(B3:O3,'HLH-LLH Loads'!$N$5:$AA$5)</f>
        <v>22590492.227217335</v>
      </c>
      <c r="Q3" s="131"/>
      <c r="R3" s="131"/>
    </row>
    <row r="4" spans="1:18" ht="12.75">
      <c r="A4" s="128">
        <v>1930</v>
      </c>
      <c r="B4" s="130">
        <f>(1-Losses)*('LLH Hyd Gen'!B4+Thermal!B$6+'Fed Hyd Ini'!B4)-'System Obligations'!B$34</f>
        <v>5940.463355064374</v>
      </c>
      <c r="C4" s="130">
        <f>(1-Losses)*('LLH Hyd Gen'!C4+Thermal!C$6+'Fed Hyd Ini'!C4)-'System Obligations'!C$34</f>
        <v>5742.87772440726</v>
      </c>
      <c r="D4" s="130">
        <f>(1-Losses)*('LLH Hyd Gen'!D4+Thermal!D$6+'Fed Hyd Ini'!D4)-'System Obligations'!D$34</f>
        <v>5131.160739980997</v>
      </c>
      <c r="E4" s="130">
        <f>(1-Losses)*('LLH Hyd Gen'!E4+Thermal!E$6+'Fed Hyd Ini'!E4)-'System Obligations'!E$34</f>
        <v>5353.568161686095</v>
      </c>
      <c r="F4" s="130">
        <f>(1-Losses)*('LLH Hyd Gen'!F4+Thermal!F$6+'Fed Hyd Ini'!F4)-'System Obligations'!F$34</f>
        <v>5565.40838209729</v>
      </c>
      <c r="G4" s="130">
        <f>(1-Losses)*('LLH Hyd Gen'!G4+Thermal!G$6+'Fed Hyd Ini'!G4)-'System Obligations'!G$34</f>
        <v>6024.612680561631</v>
      </c>
      <c r="H4" s="130">
        <f>(1-Losses)*('LLH Hyd Gen'!H4+Thermal!H$6+'Fed Hyd Ini'!H4)-'System Obligations'!H$34</f>
        <v>5356.440621901911</v>
      </c>
      <c r="I4" s="130">
        <f>(1-Losses)*('LLH Hyd Gen'!I4+Thermal!I$6+'Fed Hyd Ini'!I4)-'System Obligations'!I$34</f>
        <v>5933.285495872557</v>
      </c>
      <c r="J4" s="130">
        <f>(1-Losses)*('LLH Hyd Gen'!J4+Thermal!J$6+'Fed Hyd Ini'!J4)-'System Obligations'!J$34</f>
        <v>5292.911177125994</v>
      </c>
      <c r="K4" s="130">
        <f>(1-Losses)*('LLH Hyd Gen'!K4+Thermal!K$6+'Fed Hyd Ini'!K4)-'System Obligations'!K$34</f>
        <v>6072.567425425131</v>
      </c>
      <c r="L4" s="130">
        <f>(1-Losses)*('LLH Hyd Gen'!L4+Thermal!L$6+'Fed Hyd Ini'!L4)-'System Obligations'!L$34</f>
        <v>8744.148361129004</v>
      </c>
      <c r="M4" s="130">
        <f>(1-Losses)*('LLH Hyd Gen'!M4+Thermal!M$6+'Fed Hyd Ini'!M4)-'System Obligations'!M$34</f>
        <v>5661.525758362306</v>
      </c>
      <c r="N4" s="130">
        <f>(1-Losses)*('LLH Hyd Gen'!N4+Thermal!N$6+'Fed Hyd Ini'!N4)-'System Obligations'!N$34</f>
        <v>5564.472921101566</v>
      </c>
      <c r="O4" s="130">
        <f>(1-Losses)*('LLH Hyd Gen'!O4+Thermal!O$6+'Fed Hyd Ini'!O4)-'System Obligations'!O$34</f>
        <v>6585.8730912377305</v>
      </c>
      <c r="P4" s="131">
        <f>SUMPRODUCT(B4:O4,'HLH-LLH Loads'!$N$5:$AA$5)</f>
        <v>21804459.23626492</v>
      </c>
      <c r="Q4" s="131"/>
      <c r="R4" s="131"/>
    </row>
    <row r="5" spans="1:18" ht="12.75">
      <c r="A5" s="128">
        <v>1931</v>
      </c>
      <c r="B5" s="130">
        <f>(1-Losses)*('LLH Hyd Gen'!B5+Thermal!B$6+'Fed Hyd Ini'!B5)-'System Obligations'!B$34</f>
        <v>6361.2737349912195</v>
      </c>
      <c r="C5" s="130">
        <f>(1-Losses)*('LLH Hyd Gen'!C5+Thermal!C$6+'Fed Hyd Ini'!C5)-'System Obligations'!C$34</f>
        <v>6275.985717778614</v>
      </c>
      <c r="D5" s="130">
        <f>(1-Losses)*('LLH Hyd Gen'!D5+Thermal!D$6+'Fed Hyd Ini'!D5)-'System Obligations'!D$34</f>
        <v>4939.708306576171</v>
      </c>
      <c r="E5" s="130">
        <f>(1-Losses)*('LLH Hyd Gen'!E5+Thermal!E$6+'Fed Hyd Ini'!E5)-'System Obligations'!E$34</f>
        <v>5319.047054433987</v>
      </c>
      <c r="F5" s="130">
        <f>(1-Losses)*('LLH Hyd Gen'!F5+Thermal!F$6+'Fed Hyd Ini'!F5)-'System Obligations'!F$34</f>
        <v>5623.3942632314465</v>
      </c>
      <c r="G5" s="130">
        <f>(1-Losses)*('LLH Hyd Gen'!G5+Thermal!G$6+'Fed Hyd Ini'!G5)-'System Obligations'!G$34</f>
        <v>5988.911541423411</v>
      </c>
      <c r="H5" s="130">
        <f>(1-Losses)*('LLH Hyd Gen'!H5+Thermal!H$6+'Fed Hyd Ini'!H5)-'System Obligations'!H$34</f>
        <v>5090.878035074034</v>
      </c>
      <c r="I5" s="130">
        <f>(1-Losses)*('LLH Hyd Gen'!I5+Thermal!I$6+'Fed Hyd Ini'!I5)-'System Obligations'!I$34</f>
        <v>5030.205585219435</v>
      </c>
      <c r="J5" s="130">
        <f>(1-Losses)*('LLH Hyd Gen'!J5+Thermal!J$6+'Fed Hyd Ini'!J5)-'System Obligations'!J$34</f>
        <v>5307.768738829847</v>
      </c>
      <c r="K5" s="130">
        <f>(1-Losses)*('LLH Hyd Gen'!K5+Thermal!K$6+'Fed Hyd Ini'!K5)-'System Obligations'!K$34</f>
        <v>7210.1154395294025</v>
      </c>
      <c r="L5" s="130">
        <f>(1-Losses)*('LLH Hyd Gen'!L5+Thermal!L$6+'Fed Hyd Ini'!L5)-'System Obligations'!L$34</f>
        <v>5622.208925638223</v>
      </c>
      <c r="M5" s="130">
        <f>(1-Losses)*('LLH Hyd Gen'!M5+Thermal!M$6+'Fed Hyd Ini'!M5)-'System Obligations'!M$34</f>
        <v>7359.4430634782</v>
      </c>
      <c r="N5" s="130">
        <f>(1-Losses)*('LLH Hyd Gen'!N5+Thermal!N$6+'Fed Hyd Ini'!N5)-'System Obligations'!N$34</f>
        <v>5896.845394386684</v>
      </c>
      <c r="O5" s="130">
        <f>(1-Losses)*('LLH Hyd Gen'!O5+Thermal!O$6+'Fed Hyd Ini'!O5)-'System Obligations'!O$34</f>
        <v>6587.305309544816</v>
      </c>
      <c r="P5" s="131">
        <f>SUMPRODUCT(B5:O5,'HLH-LLH Loads'!$N$5:$AA$5)</f>
        <v>21899640.452994592</v>
      </c>
      <c r="Q5" s="131"/>
      <c r="R5" s="131"/>
    </row>
    <row r="6" spans="1:18" ht="12.75">
      <c r="A6" s="128">
        <v>1932</v>
      </c>
      <c r="B6" s="130">
        <f>(1-Losses)*('LLH Hyd Gen'!B6+Thermal!B$6+'Fed Hyd Ini'!B6)-'System Obligations'!B$34</f>
        <v>6111.343249229424</v>
      </c>
      <c r="C6" s="130">
        <f>(1-Losses)*('LLH Hyd Gen'!C6+Thermal!C$6+'Fed Hyd Ini'!C6)-'System Obligations'!C$34</f>
        <v>5414.512331112162</v>
      </c>
      <c r="D6" s="130">
        <f>(1-Losses)*('LLH Hyd Gen'!D6+Thermal!D$6+'Fed Hyd Ini'!D6)-'System Obligations'!D$34</f>
        <v>4827.878348082886</v>
      </c>
      <c r="E6" s="130">
        <f>(1-Losses)*('LLH Hyd Gen'!E6+Thermal!E$6+'Fed Hyd Ini'!E6)-'System Obligations'!E$34</f>
        <v>5340.894556362526</v>
      </c>
      <c r="F6" s="130">
        <f>(1-Losses)*('LLH Hyd Gen'!F6+Thermal!F$6+'Fed Hyd Ini'!F6)-'System Obligations'!F$34</f>
        <v>5568.085754684896</v>
      </c>
      <c r="G6" s="130">
        <f>(1-Losses)*('LLH Hyd Gen'!G6+Thermal!G$6+'Fed Hyd Ini'!G6)-'System Obligations'!G$34</f>
        <v>5718.45430024437</v>
      </c>
      <c r="H6" s="130">
        <f>(1-Losses)*('LLH Hyd Gen'!H6+Thermal!H$6+'Fed Hyd Ini'!H6)-'System Obligations'!H$34</f>
        <v>5037.117707960067</v>
      </c>
      <c r="I6" s="130">
        <f>(1-Losses)*('LLH Hyd Gen'!I6+Thermal!I$6+'Fed Hyd Ini'!I6)-'System Obligations'!I$34</f>
        <v>6030.423500081734</v>
      </c>
      <c r="J6" s="130">
        <f>(1-Losses)*('LLH Hyd Gen'!J6+Thermal!J$6+'Fed Hyd Ini'!J6)-'System Obligations'!J$34</f>
        <v>7278.243586769353</v>
      </c>
      <c r="K6" s="130">
        <f>(1-Losses)*('LLH Hyd Gen'!K6+Thermal!K$6+'Fed Hyd Ini'!K6)-'System Obligations'!K$34</f>
        <v>11104.171045949304</v>
      </c>
      <c r="L6" s="130">
        <f>(1-Losses)*('LLH Hyd Gen'!L6+Thermal!L$6+'Fed Hyd Ini'!L6)-'System Obligations'!L$34</f>
        <v>11241.651774456932</v>
      </c>
      <c r="M6" s="130">
        <f>(1-Losses)*('LLH Hyd Gen'!M6+Thermal!M$6+'Fed Hyd Ini'!M6)-'System Obligations'!M$34</f>
        <v>9904.579624797398</v>
      </c>
      <c r="N6" s="130">
        <f>(1-Losses)*('LLH Hyd Gen'!N6+Thermal!N$6+'Fed Hyd Ini'!N6)-'System Obligations'!N$34</f>
        <v>8995.102552808485</v>
      </c>
      <c r="O6" s="130">
        <f>(1-Losses)*('LLH Hyd Gen'!O6+Thermal!O$6+'Fed Hyd Ini'!O6)-'System Obligations'!O$34</f>
        <v>7316.8106612608435</v>
      </c>
      <c r="P6" s="131">
        <f>SUMPRODUCT(B6:O6,'HLH-LLH Loads'!$N$5:$AA$5)</f>
        <v>25961126.07236946</v>
      </c>
      <c r="Q6" s="131"/>
      <c r="R6" s="131"/>
    </row>
    <row r="7" spans="1:18" ht="12.75">
      <c r="A7" s="128">
        <v>1933</v>
      </c>
      <c r="B7" s="130">
        <f>(1-Losses)*('LLH Hyd Gen'!B7+Thermal!B$6+'Fed Hyd Ini'!B7)-'System Obligations'!B$34</f>
        <v>6432.885589411304</v>
      </c>
      <c r="C7" s="130">
        <f>(1-Losses)*('LLH Hyd Gen'!C7+Thermal!C$6+'Fed Hyd Ini'!C7)-'System Obligations'!C$34</f>
        <v>6649.314136602755</v>
      </c>
      <c r="D7" s="130">
        <f>(1-Losses)*('LLH Hyd Gen'!D7+Thermal!D$6+'Fed Hyd Ini'!D7)-'System Obligations'!D$34</f>
        <v>5350.162450335127</v>
      </c>
      <c r="E7" s="130">
        <f>(1-Losses)*('LLH Hyd Gen'!E7+Thermal!E$6+'Fed Hyd Ini'!E7)-'System Obligations'!E$34</f>
        <v>5931.806290819284</v>
      </c>
      <c r="F7" s="130">
        <f>(1-Losses)*('LLH Hyd Gen'!F7+Thermal!F$6+'Fed Hyd Ini'!F7)-'System Obligations'!F$34</f>
        <v>5536.270183699547</v>
      </c>
      <c r="G7" s="130">
        <f>(1-Losses)*('LLH Hyd Gen'!G7+Thermal!G$6+'Fed Hyd Ini'!G7)-'System Obligations'!G$34</f>
        <v>6022.190465494634</v>
      </c>
      <c r="H7" s="130">
        <f>(1-Losses)*('LLH Hyd Gen'!H7+Thermal!H$6+'Fed Hyd Ini'!H7)-'System Obligations'!H$34</f>
        <v>11175.691619031833</v>
      </c>
      <c r="I7" s="130">
        <f>(1-Losses)*('LLH Hyd Gen'!I7+Thermal!I$6+'Fed Hyd Ini'!I7)-'System Obligations'!I$34</f>
        <v>8149.331535888019</v>
      </c>
      <c r="J7" s="130">
        <f>(1-Losses)*('LLH Hyd Gen'!J7+Thermal!J$6+'Fed Hyd Ini'!J7)-'System Obligations'!J$34</f>
        <v>5714.667051992987</v>
      </c>
      <c r="K7" s="130">
        <f>(1-Losses)*('LLH Hyd Gen'!K7+Thermal!K$6+'Fed Hyd Ini'!K7)-'System Obligations'!K$34</f>
        <v>9662.349987425458</v>
      </c>
      <c r="L7" s="130">
        <f>(1-Losses)*('LLH Hyd Gen'!L7+Thermal!L$6+'Fed Hyd Ini'!L7)-'System Obligations'!L$34</f>
        <v>6846.404445865597</v>
      </c>
      <c r="M7" s="130">
        <f>(1-Losses)*('LLH Hyd Gen'!M7+Thermal!M$6+'Fed Hyd Ini'!M7)-'System Obligations'!M$34</f>
        <v>8357.00597671088</v>
      </c>
      <c r="N7" s="130">
        <f>(1-Losses)*('LLH Hyd Gen'!N7+Thermal!N$6+'Fed Hyd Ini'!N7)-'System Obligations'!N$34</f>
        <v>13062.575717326834</v>
      </c>
      <c r="O7" s="130">
        <f>(1-Losses)*('LLH Hyd Gen'!O7+Thermal!O$6+'Fed Hyd Ini'!O7)-'System Obligations'!O$34</f>
        <v>12866.467030925805</v>
      </c>
      <c r="P7" s="131">
        <f>SUMPRODUCT(B7:O7,'HLH-LLH Loads'!$N$5:$AA$5)</f>
        <v>30351413.05856382</v>
      </c>
      <c r="Q7" s="131"/>
      <c r="R7" s="131"/>
    </row>
    <row r="8" spans="1:18" ht="12.75">
      <c r="A8" s="128">
        <v>1934</v>
      </c>
      <c r="B8" s="130">
        <f>(1-Losses)*('LLH Hyd Gen'!B8+Thermal!B$6+'Fed Hyd Ini'!B8)-'System Obligations'!B$34</f>
        <v>8243.763963162239</v>
      </c>
      <c r="C8" s="130">
        <f>(1-Losses)*('LLH Hyd Gen'!C8+Thermal!C$6+'Fed Hyd Ini'!C8)-'System Obligations'!C$34</f>
        <v>8898.982886602105</v>
      </c>
      <c r="D8" s="130">
        <f>(1-Losses)*('LLH Hyd Gen'!D8+Thermal!D$6+'Fed Hyd Ini'!D8)-'System Obligations'!D$34</f>
        <v>5986.920946032969</v>
      </c>
      <c r="E8" s="130">
        <f>(1-Losses)*('LLH Hyd Gen'!E8+Thermal!E$6+'Fed Hyd Ini'!E8)-'System Obligations'!E$34</f>
        <v>6790.911840557528</v>
      </c>
      <c r="F8" s="130">
        <f>(1-Losses)*('LLH Hyd Gen'!F8+Thermal!F$6+'Fed Hyd Ini'!F8)-'System Obligations'!F$34</f>
        <v>6977.672575267041</v>
      </c>
      <c r="G8" s="130">
        <f>(1-Losses)*('LLH Hyd Gen'!G8+Thermal!G$6+'Fed Hyd Ini'!G8)-'System Obligations'!G$34</f>
        <v>9878.556387351065</v>
      </c>
      <c r="H8" s="130">
        <f>(1-Losses)*('LLH Hyd Gen'!H8+Thermal!H$6+'Fed Hyd Ini'!H8)-'System Obligations'!H$34</f>
        <v>15763.351944430011</v>
      </c>
      <c r="I8" s="130">
        <f>(1-Losses)*('LLH Hyd Gen'!I8+Thermal!I$6+'Fed Hyd Ini'!I8)-'System Obligations'!I$34</f>
        <v>12030.977330890977</v>
      </c>
      <c r="J8" s="130">
        <f>(1-Losses)*('LLH Hyd Gen'!J8+Thermal!J$6+'Fed Hyd Ini'!J8)-'System Obligations'!J$34</f>
        <v>9455.310186641955</v>
      </c>
      <c r="K8" s="130">
        <f>(1-Losses)*('LLH Hyd Gen'!K8+Thermal!K$6+'Fed Hyd Ini'!K8)-'System Obligations'!K$34</f>
        <v>14431.405880672215</v>
      </c>
      <c r="L8" s="130">
        <f>(1-Losses)*('LLH Hyd Gen'!L8+Thermal!L$6+'Fed Hyd Ini'!L8)-'System Obligations'!L$34</f>
        <v>13184.465843662425</v>
      </c>
      <c r="M8" s="130">
        <f>(1-Losses)*('LLH Hyd Gen'!M8+Thermal!M$6+'Fed Hyd Ini'!M8)-'System Obligations'!M$34</f>
        <v>12821.489796128297</v>
      </c>
      <c r="N8" s="130">
        <f>(1-Losses)*('LLH Hyd Gen'!N8+Thermal!N$6+'Fed Hyd Ini'!N8)-'System Obligations'!N$34</f>
        <v>6954.218901396362</v>
      </c>
      <c r="O8" s="130">
        <f>(1-Losses)*('LLH Hyd Gen'!O8+Thermal!O$6+'Fed Hyd Ini'!O8)-'System Obligations'!O$34</f>
        <v>5925.782815603861</v>
      </c>
      <c r="P8" s="131">
        <f>SUMPRODUCT(B8:O8,'HLH-LLH Loads'!$N$5:$AA$5)</f>
        <v>35905414.57180148</v>
      </c>
      <c r="Q8" s="131"/>
      <c r="R8" s="131"/>
    </row>
    <row r="9" spans="1:18" ht="12.75">
      <c r="A9" s="128">
        <v>1935</v>
      </c>
      <c r="B9" s="130">
        <f>(1-Losses)*('LLH Hyd Gen'!B9+Thermal!B$6+'Fed Hyd Ini'!B9)-'System Obligations'!B$34</f>
        <v>5208.77337302025</v>
      </c>
      <c r="C9" s="130">
        <f>(1-Losses)*('LLH Hyd Gen'!C9+Thermal!C$6+'Fed Hyd Ini'!C9)-'System Obligations'!C$34</f>
        <v>4850.899475723623</v>
      </c>
      <c r="D9" s="130">
        <f>(1-Losses)*('LLH Hyd Gen'!D9+Thermal!D$6+'Fed Hyd Ini'!D9)-'System Obligations'!D$34</f>
        <v>4906.099114745348</v>
      </c>
      <c r="E9" s="130">
        <f>(1-Losses)*('LLH Hyd Gen'!E9+Thermal!E$6+'Fed Hyd Ini'!E9)-'System Obligations'!E$34</f>
        <v>5132.282518545252</v>
      </c>
      <c r="F9" s="130">
        <f>(1-Losses)*('LLH Hyd Gen'!F9+Thermal!F$6+'Fed Hyd Ini'!F9)-'System Obligations'!F$34</f>
        <v>5360.024121252556</v>
      </c>
      <c r="G9" s="130">
        <f>(1-Losses)*('LLH Hyd Gen'!G9+Thermal!G$6+'Fed Hyd Ini'!G9)-'System Obligations'!G$34</f>
        <v>5842.211068479477</v>
      </c>
      <c r="H9" s="130">
        <f>(1-Losses)*('LLH Hyd Gen'!H9+Thermal!H$6+'Fed Hyd Ini'!H9)-'System Obligations'!H$34</f>
        <v>10473.568423022745</v>
      </c>
      <c r="I9" s="130">
        <f>(1-Losses)*('LLH Hyd Gen'!I9+Thermal!I$6+'Fed Hyd Ini'!I9)-'System Obligations'!I$34</f>
        <v>7264.295627082356</v>
      </c>
      <c r="J9" s="130">
        <f>(1-Losses)*('LLH Hyd Gen'!J9+Thermal!J$6+'Fed Hyd Ini'!J9)-'System Obligations'!J$34</f>
        <v>6314.01279620841</v>
      </c>
      <c r="K9" s="130">
        <f>(1-Losses)*('LLH Hyd Gen'!K9+Thermal!K$6+'Fed Hyd Ini'!K9)-'System Obligations'!K$34</f>
        <v>10815.263040708536</v>
      </c>
      <c r="L9" s="130">
        <f>(1-Losses)*('LLH Hyd Gen'!L9+Thermal!L$6+'Fed Hyd Ini'!L9)-'System Obligations'!L$34</f>
        <v>7373.1199276907855</v>
      </c>
      <c r="M9" s="130">
        <f>(1-Losses)*('LLH Hyd Gen'!M9+Thermal!M$6+'Fed Hyd Ini'!M9)-'System Obligations'!M$34</f>
        <v>7665.193152096589</v>
      </c>
      <c r="N9" s="130">
        <f>(1-Losses)*('LLH Hyd Gen'!N9+Thermal!N$6+'Fed Hyd Ini'!N9)-'System Obligations'!N$34</f>
        <v>8262.577060921905</v>
      </c>
      <c r="O9" s="130">
        <f>(1-Losses)*('LLH Hyd Gen'!O9+Thermal!O$6+'Fed Hyd Ini'!O9)-'System Obligations'!O$34</f>
        <v>7770.467841176527</v>
      </c>
      <c r="P9" s="131">
        <f>SUMPRODUCT(B9:O9,'HLH-LLH Loads'!$N$5:$AA$5)</f>
        <v>26008010.8718305</v>
      </c>
      <c r="Q9" s="131"/>
      <c r="R9" s="131"/>
    </row>
    <row r="10" spans="1:18" ht="12.75">
      <c r="A10" s="128">
        <v>1936</v>
      </c>
      <c r="B10" s="130">
        <f>(1-Losses)*('LLH Hyd Gen'!B10+Thermal!B$6+'Fed Hyd Ini'!B10)-'System Obligations'!B$34</f>
        <v>6495.61481153021</v>
      </c>
      <c r="C10" s="130">
        <f>(1-Losses)*('LLH Hyd Gen'!C10+Thermal!C$6+'Fed Hyd Ini'!C10)-'System Obligations'!C$34</f>
        <v>5042.888942626017</v>
      </c>
      <c r="D10" s="130">
        <f>(1-Losses)*('LLH Hyd Gen'!D10+Thermal!D$6+'Fed Hyd Ini'!D10)-'System Obligations'!D$34</f>
        <v>4967.543854955755</v>
      </c>
      <c r="E10" s="130">
        <f>(1-Losses)*('LLH Hyd Gen'!E10+Thermal!E$6+'Fed Hyd Ini'!E10)-'System Obligations'!E$34</f>
        <v>5583.2655833531835</v>
      </c>
      <c r="F10" s="130">
        <f>(1-Losses)*('LLH Hyd Gen'!F10+Thermal!F$6+'Fed Hyd Ini'!F10)-'System Obligations'!F$34</f>
        <v>5378.915010541518</v>
      </c>
      <c r="G10" s="130">
        <f>(1-Losses)*('LLH Hyd Gen'!G10+Thermal!G$6+'Fed Hyd Ini'!G10)-'System Obligations'!G$34</f>
        <v>5891.179000457725</v>
      </c>
      <c r="H10" s="130">
        <f>(1-Losses)*('LLH Hyd Gen'!H10+Thermal!H$6+'Fed Hyd Ini'!H10)-'System Obligations'!H$34</f>
        <v>5848.232024162027</v>
      </c>
      <c r="I10" s="130">
        <f>(1-Losses)*('LLH Hyd Gen'!I10+Thermal!I$6+'Fed Hyd Ini'!I10)-'System Obligations'!I$34</f>
        <v>6356.579551506532</v>
      </c>
      <c r="J10" s="130">
        <f>(1-Losses)*('LLH Hyd Gen'!J10+Thermal!J$6+'Fed Hyd Ini'!J10)-'System Obligations'!J$34</f>
        <v>5727.528513637706</v>
      </c>
      <c r="K10" s="130">
        <f>(1-Losses)*('LLH Hyd Gen'!K10+Thermal!K$6+'Fed Hyd Ini'!K10)-'System Obligations'!K$34</f>
        <v>6007.113583395082</v>
      </c>
      <c r="L10" s="130">
        <f>(1-Losses)*('LLH Hyd Gen'!L10+Thermal!L$6+'Fed Hyd Ini'!L10)-'System Obligations'!L$34</f>
        <v>11096.038185534117</v>
      </c>
      <c r="M10" s="130">
        <f>(1-Losses)*('LLH Hyd Gen'!M10+Thermal!M$6+'Fed Hyd Ini'!M10)-'System Obligations'!M$34</f>
        <v>10209.582086988628</v>
      </c>
      <c r="N10" s="130">
        <f>(1-Losses)*('LLH Hyd Gen'!N10+Thermal!N$6+'Fed Hyd Ini'!N10)-'System Obligations'!N$34</f>
        <v>7547.628597741624</v>
      </c>
      <c r="O10" s="130">
        <f>(1-Losses)*('LLH Hyd Gen'!O10+Thermal!O$6+'Fed Hyd Ini'!O10)-'System Obligations'!O$34</f>
        <v>6981.1266815869885</v>
      </c>
      <c r="P10" s="131">
        <f>SUMPRODUCT(B10:O10,'HLH-LLH Loads'!$N$5:$AA$5)</f>
        <v>24610940.342027303</v>
      </c>
      <c r="Q10" s="151" t="s">
        <v>189</v>
      </c>
      <c r="R10" s="151" t="s">
        <v>190</v>
      </c>
    </row>
    <row r="11" spans="1:18" ht="12.75">
      <c r="A11" s="128">
        <v>1937</v>
      </c>
      <c r="B11" s="130">
        <f>(1-Losses)*('LLH Hyd Gen'!B11+Thermal!B$6+'Fed Hyd Ini'!B11)-'System Obligations'!B$34</f>
        <v>6271.169838598468</v>
      </c>
      <c r="C11" s="130">
        <f>(1-Losses)*('LLH Hyd Gen'!C11+Thermal!C$6+'Fed Hyd Ini'!C11)-'System Obligations'!C$34</f>
        <v>5845.409067296339</v>
      </c>
      <c r="D11" s="130">
        <f>(1-Losses)*('LLH Hyd Gen'!D11+Thermal!D$6+'Fed Hyd Ini'!D11)-'System Obligations'!D$34</f>
        <v>5204.418059885889</v>
      </c>
      <c r="E11" s="130">
        <f>(1-Losses)*('LLH Hyd Gen'!E11+Thermal!E$6+'Fed Hyd Ini'!E11)-'System Obligations'!E$34</f>
        <v>5397.524804610511</v>
      </c>
      <c r="F11" s="130">
        <f>(1-Losses)*('LLH Hyd Gen'!F11+Thermal!F$6+'Fed Hyd Ini'!F11)-'System Obligations'!F$34</f>
        <v>5434.993810046761</v>
      </c>
      <c r="G11" s="130">
        <f>(1-Losses)*('LLH Hyd Gen'!G11+Thermal!G$6+'Fed Hyd Ini'!G11)-'System Obligations'!G$34</f>
        <v>5888.672244563856</v>
      </c>
      <c r="H11" s="130">
        <f>(1-Losses)*('LLH Hyd Gen'!H11+Thermal!H$6+'Fed Hyd Ini'!H11)-'System Obligations'!H$34</f>
        <v>5380.44813789086</v>
      </c>
      <c r="I11" s="130">
        <f>(1-Losses)*('LLH Hyd Gen'!I11+Thermal!I$6+'Fed Hyd Ini'!I11)-'System Obligations'!I$34</f>
        <v>5941.292313207354</v>
      </c>
      <c r="J11" s="130">
        <f>(1-Losses)*('LLH Hyd Gen'!J11+Thermal!J$6+'Fed Hyd Ini'!J11)-'System Obligations'!J$34</f>
        <v>5287.547199251053</v>
      </c>
      <c r="K11" s="130">
        <f>(1-Losses)*('LLH Hyd Gen'!K11+Thermal!K$6+'Fed Hyd Ini'!K11)-'System Obligations'!K$34</f>
        <v>5762.370733583915</v>
      </c>
      <c r="L11" s="130">
        <f>(1-Losses)*('LLH Hyd Gen'!L11+Thermal!L$6+'Fed Hyd Ini'!L11)-'System Obligations'!L$34</f>
        <v>5454.752773569906</v>
      </c>
      <c r="M11" s="130">
        <f>(1-Losses)*('LLH Hyd Gen'!M11+Thermal!M$6+'Fed Hyd Ini'!M11)-'System Obligations'!M$34</f>
        <v>7262.523211656204</v>
      </c>
      <c r="N11" s="130">
        <f>(1-Losses)*('LLH Hyd Gen'!N11+Thermal!N$6+'Fed Hyd Ini'!N11)-'System Obligations'!N$34</f>
        <v>6126.7062039899865</v>
      </c>
      <c r="O11" s="130">
        <f>(1-Losses)*('LLH Hyd Gen'!O11+Thermal!O$6+'Fed Hyd Ini'!O11)-'System Obligations'!O$34</f>
        <v>6470.962165048262</v>
      </c>
      <c r="P11" s="131">
        <f>SUMPRODUCT(B11:O11,'HLH-LLH Loads'!$N$5:$AA$5)</f>
        <v>21912346.06122534</v>
      </c>
      <c r="Q11" s="152">
        <f>'HLH Tot Gen'!P11</f>
        <v>40059205.37016636</v>
      </c>
      <c r="R11" s="152">
        <f>(P11+Q11)/(SUM('HLH-LLH Loads'!N3:AA3))</f>
        <v>7074.378017282158</v>
      </c>
    </row>
    <row r="12" spans="1:18" ht="12.75">
      <c r="A12" s="128">
        <v>1938</v>
      </c>
      <c r="B12" s="130">
        <f>(1-Losses)*('LLH Hyd Gen'!B12+Thermal!B$6+'Fed Hyd Ini'!B12)-'System Obligations'!B$34</f>
        <v>6312.306027567618</v>
      </c>
      <c r="C12" s="130">
        <f>(1-Losses)*('LLH Hyd Gen'!C12+Thermal!C$6+'Fed Hyd Ini'!C12)-'System Obligations'!C$34</f>
        <v>5963.698549738607</v>
      </c>
      <c r="D12" s="130">
        <f>(1-Losses)*('LLH Hyd Gen'!D12+Thermal!D$6+'Fed Hyd Ini'!D12)-'System Obligations'!D$34</f>
        <v>5323.8168070135625</v>
      </c>
      <c r="E12" s="130">
        <f>(1-Losses)*('LLH Hyd Gen'!E12+Thermal!E$6+'Fed Hyd Ini'!E12)-'System Obligations'!E$34</f>
        <v>5480.70620359526</v>
      </c>
      <c r="F12" s="130">
        <f>(1-Losses)*('LLH Hyd Gen'!F12+Thermal!F$6+'Fed Hyd Ini'!F12)-'System Obligations'!F$34</f>
        <v>5692.748711476288</v>
      </c>
      <c r="G12" s="130">
        <f>(1-Losses)*('LLH Hyd Gen'!G12+Thermal!G$6+'Fed Hyd Ini'!G12)-'System Obligations'!G$34</f>
        <v>6298.277234867</v>
      </c>
      <c r="H12" s="130">
        <f>(1-Losses)*('LLH Hyd Gen'!H12+Thermal!H$6+'Fed Hyd Ini'!H12)-'System Obligations'!H$34</f>
        <v>9171.802360934662</v>
      </c>
      <c r="I12" s="130">
        <f>(1-Losses)*('LLH Hyd Gen'!I12+Thermal!I$6+'Fed Hyd Ini'!I12)-'System Obligations'!I$34</f>
        <v>6794.93456899825</v>
      </c>
      <c r="J12" s="130">
        <f>(1-Losses)*('LLH Hyd Gen'!J12+Thermal!J$6+'Fed Hyd Ini'!J12)-'System Obligations'!J$34</f>
        <v>8480.60652408815</v>
      </c>
      <c r="K12" s="130">
        <f>(1-Losses)*('LLH Hyd Gen'!K12+Thermal!K$6+'Fed Hyd Ini'!K12)-'System Obligations'!K$34</f>
        <v>9043.001922559377</v>
      </c>
      <c r="L12" s="130">
        <f>(1-Losses)*('LLH Hyd Gen'!L12+Thermal!L$6+'Fed Hyd Ini'!L12)-'System Obligations'!L$34</f>
        <v>8423.226593968813</v>
      </c>
      <c r="M12" s="130">
        <f>(1-Losses)*('LLH Hyd Gen'!M12+Thermal!M$6+'Fed Hyd Ini'!M12)-'System Obligations'!M$34</f>
        <v>11828.036151207067</v>
      </c>
      <c r="N12" s="130">
        <f>(1-Losses)*('LLH Hyd Gen'!N12+Thermal!N$6+'Fed Hyd Ini'!N12)-'System Obligations'!N$34</f>
        <v>8792.171913492417</v>
      </c>
      <c r="O12" s="130">
        <f>(1-Losses)*('LLH Hyd Gen'!O12+Thermal!O$6+'Fed Hyd Ini'!O12)-'System Obligations'!O$34</f>
        <v>6834.250026294636</v>
      </c>
      <c r="P12" s="131">
        <f>SUMPRODUCT(B12:O12,'HLH-LLH Loads'!$N$5:$AA$5)</f>
        <v>27995053.81235978</v>
      </c>
      <c r="Q12" s="131"/>
      <c r="R12" s="131"/>
    </row>
    <row r="13" spans="1:18" ht="12.75">
      <c r="A13" s="128">
        <v>1939</v>
      </c>
      <c r="B13" s="130">
        <f>(1-Losses)*('LLH Hyd Gen'!B13+Thermal!B$6+'Fed Hyd Ini'!B13)-'System Obligations'!B$34</f>
        <v>6084.075957972699</v>
      </c>
      <c r="C13" s="130">
        <f>(1-Losses)*('LLH Hyd Gen'!C13+Thermal!C$6+'Fed Hyd Ini'!C13)-'System Obligations'!C$34</f>
        <v>5296.681661035193</v>
      </c>
      <c r="D13" s="130">
        <f>(1-Losses)*('LLH Hyd Gen'!D13+Thermal!D$6+'Fed Hyd Ini'!D13)-'System Obligations'!D$34</f>
        <v>5082.907471186608</v>
      </c>
      <c r="E13" s="130">
        <f>(1-Losses)*('LLH Hyd Gen'!E13+Thermal!E$6+'Fed Hyd Ini'!E13)-'System Obligations'!E$34</f>
        <v>5972.925974959313</v>
      </c>
      <c r="F13" s="130">
        <f>(1-Losses)*('LLH Hyd Gen'!F13+Thermal!F$6+'Fed Hyd Ini'!F13)-'System Obligations'!F$34</f>
        <v>5269.502308402585</v>
      </c>
      <c r="G13" s="130">
        <f>(1-Losses)*('LLH Hyd Gen'!G13+Thermal!G$6+'Fed Hyd Ini'!G13)-'System Obligations'!G$34</f>
        <v>5903.157953562331</v>
      </c>
      <c r="H13" s="130">
        <f>(1-Losses)*('LLH Hyd Gen'!H13+Thermal!H$6+'Fed Hyd Ini'!H13)-'System Obligations'!H$34</f>
        <v>5347.888735887368</v>
      </c>
      <c r="I13" s="130">
        <f>(1-Losses)*('LLH Hyd Gen'!I13+Thermal!I$6+'Fed Hyd Ini'!I13)-'System Obligations'!I$34</f>
        <v>8342.780273377906</v>
      </c>
      <c r="J13" s="130">
        <f>(1-Losses)*('LLH Hyd Gen'!J13+Thermal!J$6+'Fed Hyd Ini'!J13)-'System Obligations'!J$34</f>
        <v>6606.491076584964</v>
      </c>
      <c r="K13" s="130">
        <f>(1-Losses)*('LLH Hyd Gen'!K13+Thermal!K$6+'Fed Hyd Ini'!K13)-'System Obligations'!K$34</f>
        <v>7977.531844088836</v>
      </c>
      <c r="L13" s="130">
        <f>(1-Losses)*('LLH Hyd Gen'!L13+Thermal!L$6+'Fed Hyd Ini'!L13)-'System Obligations'!L$34</f>
        <v>8256.326464565851</v>
      </c>
      <c r="M13" s="130">
        <f>(1-Losses)*('LLH Hyd Gen'!M13+Thermal!M$6+'Fed Hyd Ini'!M13)-'System Obligations'!M$34</f>
        <v>7783.859806613635</v>
      </c>
      <c r="N13" s="130">
        <f>(1-Losses)*('LLH Hyd Gen'!N13+Thermal!N$6+'Fed Hyd Ini'!N13)-'System Obligations'!N$34</f>
        <v>5511.323860671334</v>
      </c>
      <c r="O13" s="130">
        <f>(1-Losses)*('LLH Hyd Gen'!O13+Thermal!O$6+'Fed Hyd Ini'!O13)-'System Obligations'!O$34</f>
        <v>7576.43977096274</v>
      </c>
      <c r="P13" s="131">
        <f>SUMPRODUCT(B13:O13,'HLH-LLH Loads'!$N$5:$AA$5)</f>
        <v>24131489.86375615</v>
      </c>
      <c r="Q13" s="131"/>
      <c r="R13" s="131"/>
    </row>
    <row r="14" spans="1:18" ht="12.75">
      <c r="A14" s="128">
        <v>1940</v>
      </c>
      <c r="B14" s="130">
        <f>(1-Losses)*('LLH Hyd Gen'!B14+Thermal!B$6+'Fed Hyd Ini'!B14)-'System Obligations'!B$34</f>
        <v>6518.907725033939</v>
      </c>
      <c r="C14" s="130">
        <f>(1-Losses)*('LLH Hyd Gen'!C14+Thermal!C$6+'Fed Hyd Ini'!C14)-'System Obligations'!C$34</f>
        <v>5665.693580636323</v>
      </c>
      <c r="D14" s="130">
        <f>(1-Losses)*('LLH Hyd Gen'!D14+Thermal!D$6+'Fed Hyd Ini'!D14)-'System Obligations'!D$34</f>
        <v>5169.882418223983</v>
      </c>
      <c r="E14" s="130">
        <f>(1-Losses)*('LLH Hyd Gen'!E14+Thermal!E$6+'Fed Hyd Ini'!E14)-'System Obligations'!E$34</f>
        <v>5866.182940132171</v>
      </c>
      <c r="F14" s="130">
        <f>(1-Losses)*('LLH Hyd Gen'!F14+Thermal!F$6+'Fed Hyd Ini'!F14)-'System Obligations'!F$34</f>
        <v>5450.439904651071</v>
      </c>
      <c r="G14" s="130">
        <f>(1-Losses)*('LLH Hyd Gen'!G14+Thermal!G$6+'Fed Hyd Ini'!G14)-'System Obligations'!G$34</f>
        <v>5916.273277682413</v>
      </c>
      <c r="H14" s="130">
        <f>(1-Losses)*('LLH Hyd Gen'!H14+Thermal!H$6+'Fed Hyd Ini'!H14)-'System Obligations'!H$34</f>
        <v>6016.832719112713</v>
      </c>
      <c r="I14" s="130">
        <f>(1-Losses)*('LLH Hyd Gen'!I14+Thermal!I$6+'Fed Hyd Ini'!I14)-'System Obligations'!I$34</f>
        <v>7276.174190846309</v>
      </c>
      <c r="J14" s="130">
        <f>(1-Losses)*('LLH Hyd Gen'!J14+Thermal!J$6+'Fed Hyd Ini'!J14)-'System Obligations'!J$34</f>
        <v>7872.691064721222</v>
      </c>
      <c r="K14" s="130">
        <f>(1-Losses)*('LLH Hyd Gen'!K14+Thermal!K$6+'Fed Hyd Ini'!K14)-'System Obligations'!K$34</f>
        <v>7988.107236566314</v>
      </c>
      <c r="L14" s="130">
        <f>(1-Losses)*('LLH Hyd Gen'!L14+Thermal!L$6+'Fed Hyd Ini'!L14)-'System Obligations'!L$34</f>
        <v>8441.588272771261</v>
      </c>
      <c r="M14" s="130">
        <f>(1-Losses)*('LLH Hyd Gen'!M14+Thermal!M$6+'Fed Hyd Ini'!M14)-'System Obligations'!M$34</f>
        <v>7080.510482697184</v>
      </c>
      <c r="N14" s="130">
        <f>(1-Losses)*('LLH Hyd Gen'!N14+Thermal!N$6+'Fed Hyd Ini'!N14)-'System Obligations'!N$34</f>
        <v>5097.295802600536</v>
      </c>
      <c r="O14" s="130">
        <f>(1-Losses)*('LLH Hyd Gen'!O14+Thermal!O$6+'Fed Hyd Ini'!O14)-'System Obligations'!O$34</f>
        <v>6570.268117636117</v>
      </c>
      <c r="P14" s="131">
        <f>SUMPRODUCT(B14:O14,'HLH-LLH Loads'!$N$5:$AA$5)</f>
        <v>23958546.730605196</v>
      </c>
      <c r="Q14" s="131"/>
      <c r="R14" s="131"/>
    </row>
    <row r="15" spans="1:18" ht="12.75">
      <c r="A15" s="128">
        <v>1941</v>
      </c>
      <c r="B15" s="130">
        <f>(1-Losses)*('LLH Hyd Gen'!B15+Thermal!B$6+'Fed Hyd Ini'!B15)-'System Obligations'!B$34</f>
        <v>6279.018380927856</v>
      </c>
      <c r="C15" s="130">
        <f>(1-Losses)*('LLH Hyd Gen'!C15+Thermal!C$6+'Fed Hyd Ini'!C15)-'System Obligations'!C$34</f>
        <v>5431.382930524317</v>
      </c>
      <c r="D15" s="130">
        <f>(1-Losses)*('LLH Hyd Gen'!D15+Thermal!D$6+'Fed Hyd Ini'!D15)-'System Obligations'!D$34</f>
        <v>5423.052424796973</v>
      </c>
      <c r="E15" s="130">
        <f>(1-Losses)*('LLH Hyd Gen'!E15+Thermal!E$6+'Fed Hyd Ini'!E15)-'System Obligations'!E$34</f>
        <v>6029.024163177449</v>
      </c>
      <c r="F15" s="130">
        <f>(1-Losses)*('LLH Hyd Gen'!F15+Thermal!F$6+'Fed Hyd Ini'!F15)-'System Obligations'!F$34</f>
        <v>5435.509258040245</v>
      </c>
      <c r="G15" s="130">
        <f>(1-Losses)*('LLH Hyd Gen'!G15+Thermal!G$6+'Fed Hyd Ini'!G15)-'System Obligations'!G$34</f>
        <v>5953.598733942974</v>
      </c>
      <c r="H15" s="130">
        <f>(1-Losses)*('LLH Hyd Gen'!H15+Thermal!H$6+'Fed Hyd Ini'!H15)-'System Obligations'!H$34</f>
        <v>5952.81296862418</v>
      </c>
      <c r="I15" s="130">
        <f>(1-Losses)*('LLH Hyd Gen'!I15+Thermal!I$6+'Fed Hyd Ini'!I15)-'System Obligations'!I$34</f>
        <v>5845.7076709683715</v>
      </c>
      <c r="J15" s="130">
        <f>(1-Losses)*('LLH Hyd Gen'!J15+Thermal!J$6+'Fed Hyd Ini'!J15)-'System Obligations'!J$34</f>
        <v>5723.49306719996</v>
      </c>
      <c r="K15" s="130">
        <f>(1-Losses)*('LLH Hyd Gen'!K15+Thermal!K$6+'Fed Hyd Ini'!K15)-'System Obligations'!K$34</f>
        <v>5626.6450553031955</v>
      </c>
      <c r="L15" s="130">
        <f>(1-Losses)*('LLH Hyd Gen'!L15+Thermal!L$6+'Fed Hyd Ini'!L15)-'System Obligations'!L$34</f>
        <v>6323.659820198902</v>
      </c>
      <c r="M15" s="130">
        <f>(1-Losses)*('LLH Hyd Gen'!M15+Thermal!M$6+'Fed Hyd Ini'!M15)-'System Obligations'!M$34</f>
        <v>6870.312945542657</v>
      </c>
      <c r="N15" s="130">
        <f>(1-Losses)*('LLH Hyd Gen'!N15+Thermal!N$6+'Fed Hyd Ini'!N15)-'System Obligations'!N$34</f>
        <v>7234.06614678833</v>
      </c>
      <c r="O15" s="130">
        <f>(1-Losses)*('LLH Hyd Gen'!O15+Thermal!O$6+'Fed Hyd Ini'!O15)-'System Obligations'!O$34</f>
        <v>6017.612929453371</v>
      </c>
      <c r="P15" s="131">
        <f>SUMPRODUCT(B15:O15,'HLH-LLH Loads'!$N$5:$AA$5)</f>
        <v>22604249.8674938</v>
      </c>
      <c r="Q15" s="131"/>
      <c r="R15" s="131"/>
    </row>
    <row r="16" spans="1:18" ht="12.75">
      <c r="A16" s="128">
        <v>1942</v>
      </c>
      <c r="B16" s="130">
        <f>(1-Losses)*('LLH Hyd Gen'!B16+Thermal!B$6+'Fed Hyd Ini'!B16)-'System Obligations'!B$34</f>
        <v>6037.363684038546</v>
      </c>
      <c r="C16" s="130">
        <f>(1-Losses)*('LLH Hyd Gen'!C16+Thermal!C$6+'Fed Hyd Ini'!C16)-'System Obligations'!C$34</f>
        <v>5614.099196656952</v>
      </c>
      <c r="D16" s="130">
        <f>(1-Losses)*('LLH Hyd Gen'!D16+Thermal!D$6+'Fed Hyd Ini'!D16)-'System Obligations'!D$34</f>
        <v>5133.38146305799</v>
      </c>
      <c r="E16" s="130">
        <f>(1-Losses)*('LLH Hyd Gen'!E16+Thermal!E$6+'Fed Hyd Ini'!E16)-'System Obligations'!E$34</f>
        <v>6029.070945226102</v>
      </c>
      <c r="F16" s="130">
        <f>(1-Losses)*('LLH Hyd Gen'!F16+Thermal!F$6+'Fed Hyd Ini'!F16)-'System Obligations'!F$34</f>
        <v>5790.18905564681</v>
      </c>
      <c r="G16" s="130">
        <f>(1-Losses)*('LLH Hyd Gen'!G16+Thermal!G$6+'Fed Hyd Ini'!G16)-'System Obligations'!G$34</f>
        <v>7765.255121772842</v>
      </c>
      <c r="H16" s="130">
        <f>(1-Losses)*('LLH Hyd Gen'!H16+Thermal!H$6+'Fed Hyd Ini'!H16)-'System Obligations'!H$34</f>
        <v>9045.572027375954</v>
      </c>
      <c r="I16" s="130">
        <f>(1-Losses)*('LLH Hyd Gen'!I16+Thermal!I$6+'Fed Hyd Ini'!I16)-'System Obligations'!I$34</f>
        <v>7407.568178214506</v>
      </c>
      <c r="J16" s="130">
        <f>(1-Losses)*('LLH Hyd Gen'!J16+Thermal!J$6+'Fed Hyd Ini'!J16)-'System Obligations'!J$34</f>
        <v>5514.332263004754</v>
      </c>
      <c r="K16" s="130">
        <f>(1-Losses)*('LLH Hyd Gen'!K16+Thermal!K$6+'Fed Hyd Ini'!K16)-'System Obligations'!K$34</f>
        <v>6956.994639102512</v>
      </c>
      <c r="L16" s="130">
        <f>(1-Losses)*('LLH Hyd Gen'!L16+Thermal!L$6+'Fed Hyd Ini'!L16)-'System Obligations'!L$34</f>
        <v>6958.241221350815</v>
      </c>
      <c r="M16" s="130">
        <f>(1-Losses)*('LLH Hyd Gen'!M16+Thermal!M$6+'Fed Hyd Ini'!M16)-'System Obligations'!M$34</f>
        <v>7742.695402124634</v>
      </c>
      <c r="N16" s="130">
        <f>(1-Losses)*('LLH Hyd Gen'!N16+Thermal!N$6+'Fed Hyd Ini'!N16)-'System Obligations'!N$34</f>
        <v>7954.31324434483</v>
      </c>
      <c r="O16" s="130">
        <f>(1-Losses)*('LLH Hyd Gen'!O16+Thermal!O$6+'Fed Hyd Ini'!O16)-'System Obligations'!O$34</f>
        <v>8429.677706605704</v>
      </c>
      <c r="P16" s="131">
        <f>SUMPRODUCT(B16:O16,'HLH-LLH Loads'!$N$5:$AA$5)</f>
        <v>26162503.55755037</v>
      </c>
      <c r="Q16" s="131"/>
      <c r="R16" s="131"/>
    </row>
    <row r="17" spans="1:18" ht="12.75">
      <c r="A17" s="128">
        <v>1943</v>
      </c>
      <c r="B17" s="130">
        <f>(1-Losses)*('LLH Hyd Gen'!B17+Thermal!B$6+'Fed Hyd Ini'!B17)-'System Obligations'!B$34</f>
        <v>8529.918659221143</v>
      </c>
      <c r="C17" s="130">
        <f>(1-Losses)*('LLH Hyd Gen'!C17+Thermal!C$6+'Fed Hyd Ini'!C17)-'System Obligations'!C$34</f>
        <v>6849.822707094558</v>
      </c>
      <c r="D17" s="130">
        <f>(1-Losses)*('LLH Hyd Gen'!D17+Thermal!D$6+'Fed Hyd Ini'!D17)-'System Obligations'!D$34</f>
        <v>5622.883002188033</v>
      </c>
      <c r="E17" s="130">
        <f>(1-Losses)*('LLH Hyd Gen'!E17+Thermal!E$6+'Fed Hyd Ini'!E17)-'System Obligations'!E$34</f>
        <v>5821.795250124715</v>
      </c>
      <c r="F17" s="130">
        <f>(1-Losses)*('LLH Hyd Gen'!F17+Thermal!F$6+'Fed Hyd Ini'!F17)-'System Obligations'!F$34</f>
        <v>5357.898477180084</v>
      </c>
      <c r="G17" s="130">
        <f>(1-Losses)*('LLH Hyd Gen'!G17+Thermal!G$6+'Fed Hyd Ini'!G17)-'System Obligations'!G$34</f>
        <v>6000.300271264246</v>
      </c>
      <c r="H17" s="130">
        <f>(1-Losses)*('LLH Hyd Gen'!H17+Thermal!H$6+'Fed Hyd Ini'!H17)-'System Obligations'!H$34</f>
        <v>9252.759243656546</v>
      </c>
      <c r="I17" s="130">
        <f>(1-Losses)*('LLH Hyd Gen'!I17+Thermal!I$6+'Fed Hyd Ini'!I17)-'System Obligations'!I$34</f>
        <v>9356.89041699788</v>
      </c>
      <c r="J17" s="130">
        <f>(1-Losses)*('LLH Hyd Gen'!J17+Thermal!J$6+'Fed Hyd Ini'!J17)-'System Obligations'!J$34</f>
        <v>8409.398918116865</v>
      </c>
      <c r="K17" s="130">
        <f>(1-Losses)*('LLH Hyd Gen'!K17+Thermal!K$6+'Fed Hyd Ini'!K17)-'System Obligations'!K$34</f>
        <v>13358.180496030382</v>
      </c>
      <c r="L17" s="130">
        <f>(1-Losses)*('LLH Hyd Gen'!L17+Thermal!L$6+'Fed Hyd Ini'!L17)-'System Obligations'!L$34</f>
        <v>11643.251485745746</v>
      </c>
      <c r="M17" s="130">
        <f>(1-Losses)*('LLH Hyd Gen'!M17+Thermal!M$6+'Fed Hyd Ini'!M17)-'System Obligations'!M$34</f>
        <v>11388.869303671647</v>
      </c>
      <c r="N17" s="130">
        <f>(1-Losses)*('LLH Hyd Gen'!N17+Thermal!N$6+'Fed Hyd Ini'!N17)-'System Obligations'!N$34</f>
        <v>9243.08212530024</v>
      </c>
      <c r="O17" s="130">
        <f>(1-Losses)*('LLH Hyd Gen'!O17+Thermal!O$6+'Fed Hyd Ini'!O17)-'System Obligations'!O$34</f>
        <v>8441.068773027328</v>
      </c>
      <c r="P17" s="131">
        <f>SUMPRODUCT(B17:O17,'HLH-LLH Loads'!$N$5:$AA$5)</f>
        <v>30959545.252205167</v>
      </c>
      <c r="Q17" s="131"/>
      <c r="R17" s="131"/>
    </row>
    <row r="18" spans="1:18" ht="12.75">
      <c r="A18" s="128">
        <v>1944</v>
      </c>
      <c r="B18" s="130">
        <f>(1-Losses)*('LLH Hyd Gen'!B18+Thermal!B$6+'Fed Hyd Ini'!B18)-'System Obligations'!B$34</f>
        <v>7870.572847819371</v>
      </c>
      <c r="C18" s="130">
        <f>(1-Losses)*('LLH Hyd Gen'!C18+Thermal!C$6+'Fed Hyd Ini'!C18)-'System Obligations'!C$34</f>
        <v>6938.854447087473</v>
      </c>
      <c r="D18" s="130">
        <f>(1-Losses)*('LLH Hyd Gen'!D18+Thermal!D$6+'Fed Hyd Ini'!D18)-'System Obligations'!D$34</f>
        <v>5218.809683724538</v>
      </c>
      <c r="E18" s="130">
        <f>(1-Losses)*('LLH Hyd Gen'!E18+Thermal!E$6+'Fed Hyd Ini'!E18)-'System Obligations'!E$34</f>
        <v>5957.473909912692</v>
      </c>
      <c r="F18" s="130">
        <f>(1-Losses)*('LLH Hyd Gen'!F18+Thermal!F$6+'Fed Hyd Ini'!F18)-'System Obligations'!F$34</f>
        <v>5255.147089650947</v>
      </c>
      <c r="G18" s="130">
        <f>(1-Losses)*('LLH Hyd Gen'!G18+Thermal!G$6+'Fed Hyd Ini'!G18)-'System Obligations'!G$34</f>
        <v>6020.356399569421</v>
      </c>
      <c r="H18" s="130">
        <f>(1-Losses)*('LLH Hyd Gen'!H18+Thermal!H$6+'Fed Hyd Ini'!H18)-'System Obligations'!H$34</f>
        <v>5416.674096140633</v>
      </c>
      <c r="I18" s="130">
        <f>(1-Losses)*('LLH Hyd Gen'!I18+Thermal!I$6+'Fed Hyd Ini'!I18)-'System Obligations'!I$34</f>
        <v>6285.297993685059</v>
      </c>
      <c r="J18" s="130">
        <f>(1-Losses)*('LLH Hyd Gen'!J18+Thermal!J$6+'Fed Hyd Ini'!J18)-'System Obligations'!J$34</f>
        <v>5111.604516328158</v>
      </c>
      <c r="K18" s="130">
        <f>(1-Losses)*('LLH Hyd Gen'!K18+Thermal!K$6+'Fed Hyd Ini'!K18)-'System Obligations'!K$34</f>
        <v>5875.416694632126</v>
      </c>
      <c r="L18" s="130">
        <f>(1-Losses)*('LLH Hyd Gen'!L18+Thermal!L$6+'Fed Hyd Ini'!L18)-'System Obligations'!L$34</f>
        <v>5812.411281912667</v>
      </c>
      <c r="M18" s="130">
        <f>(1-Losses)*('LLH Hyd Gen'!M18+Thermal!M$6+'Fed Hyd Ini'!M18)-'System Obligations'!M$34</f>
        <v>6483.848906430778</v>
      </c>
      <c r="N18" s="130">
        <f>(1-Losses)*('LLH Hyd Gen'!N18+Thermal!N$6+'Fed Hyd Ini'!N18)-'System Obligations'!N$34</f>
        <v>6509.471623169204</v>
      </c>
      <c r="O18" s="130">
        <f>(1-Losses)*('LLH Hyd Gen'!O18+Thermal!O$6+'Fed Hyd Ini'!O18)-'System Obligations'!O$34</f>
        <v>6018.279033659193</v>
      </c>
      <c r="P18" s="131">
        <f>SUMPRODUCT(B18:O18,'HLH-LLH Loads'!$N$5:$AA$5)</f>
        <v>22360736.00912936</v>
      </c>
      <c r="Q18" s="131"/>
      <c r="R18" s="131"/>
    </row>
    <row r="19" spans="1:18" ht="12.75">
      <c r="A19" s="128">
        <v>1945</v>
      </c>
      <c r="B19" s="130">
        <f>(1-Losses)*('LLH Hyd Gen'!B19+Thermal!B$6+'Fed Hyd Ini'!B19)-'System Obligations'!B$34</f>
        <v>6153.673894901821</v>
      </c>
      <c r="C19" s="130">
        <f>(1-Losses)*('LLH Hyd Gen'!C19+Thermal!C$6+'Fed Hyd Ini'!C19)-'System Obligations'!C$34</f>
        <v>5338.443841270941</v>
      </c>
      <c r="D19" s="130">
        <f>(1-Losses)*('LLH Hyd Gen'!D19+Thermal!D$6+'Fed Hyd Ini'!D19)-'System Obligations'!D$34</f>
        <v>4915.091358119556</v>
      </c>
      <c r="E19" s="130">
        <f>(1-Losses)*('LLH Hyd Gen'!E19+Thermal!E$6+'Fed Hyd Ini'!E19)-'System Obligations'!E$34</f>
        <v>5455.348923919827</v>
      </c>
      <c r="F19" s="130">
        <f>(1-Losses)*('LLH Hyd Gen'!F19+Thermal!F$6+'Fed Hyd Ini'!F19)-'System Obligations'!F$34</f>
        <v>5630.05661424226</v>
      </c>
      <c r="G19" s="130">
        <f>(1-Losses)*('LLH Hyd Gen'!G19+Thermal!G$6+'Fed Hyd Ini'!G19)-'System Obligations'!G$34</f>
        <v>5696.684021115298</v>
      </c>
      <c r="H19" s="130">
        <f>(1-Losses)*('LLH Hyd Gen'!H19+Thermal!H$6+'Fed Hyd Ini'!H19)-'System Obligations'!H$34</f>
        <v>5067.991378972542</v>
      </c>
      <c r="I19" s="130">
        <f>(1-Losses)*('LLH Hyd Gen'!I19+Thermal!I$6+'Fed Hyd Ini'!I19)-'System Obligations'!I$34</f>
        <v>5510.965474099084</v>
      </c>
      <c r="J19" s="130">
        <f>(1-Losses)*('LLH Hyd Gen'!J19+Thermal!J$6+'Fed Hyd Ini'!J19)-'System Obligations'!J$34</f>
        <v>5351.901230533578</v>
      </c>
      <c r="K19" s="130">
        <f>(1-Losses)*('LLH Hyd Gen'!K19+Thermal!K$6+'Fed Hyd Ini'!K19)-'System Obligations'!K$34</f>
        <v>5820.458843522948</v>
      </c>
      <c r="L19" s="130">
        <f>(1-Losses)*('LLH Hyd Gen'!L19+Thermal!L$6+'Fed Hyd Ini'!L19)-'System Obligations'!L$34</f>
        <v>6164.92711444041</v>
      </c>
      <c r="M19" s="130">
        <f>(1-Losses)*('LLH Hyd Gen'!M19+Thermal!M$6+'Fed Hyd Ini'!M19)-'System Obligations'!M$34</f>
        <v>8297.892851835535</v>
      </c>
      <c r="N19" s="130">
        <f>(1-Losses)*('LLH Hyd Gen'!N19+Thermal!N$6+'Fed Hyd Ini'!N19)-'System Obligations'!N$34</f>
        <v>7891.994670101021</v>
      </c>
      <c r="O19" s="130">
        <f>(1-Losses)*('LLH Hyd Gen'!O19+Thermal!O$6+'Fed Hyd Ini'!O19)-'System Obligations'!O$34</f>
        <v>7169.179549973202</v>
      </c>
      <c r="P19" s="131">
        <f>SUMPRODUCT(B19:O19,'HLH-LLH Loads'!$N$5:$AA$5)</f>
        <v>22745771.635885794</v>
      </c>
      <c r="Q19" s="131"/>
      <c r="R19" s="131"/>
    </row>
    <row r="20" spans="1:18" ht="12.75">
      <c r="A20" s="128">
        <v>1946</v>
      </c>
      <c r="B20" s="130">
        <f>(1-Losses)*('LLH Hyd Gen'!B20+Thermal!B$6+'Fed Hyd Ini'!B20)-'System Obligations'!B$34</f>
        <v>6399.28657917041</v>
      </c>
      <c r="C20" s="130">
        <f>(1-Losses)*('LLH Hyd Gen'!C20+Thermal!C$6+'Fed Hyd Ini'!C20)-'System Obligations'!C$34</f>
        <v>6442.909688392688</v>
      </c>
      <c r="D20" s="130">
        <f>(1-Losses)*('LLH Hyd Gen'!D20+Thermal!D$6+'Fed Hyd Ini'!D20)-'System Obligations'!D$34</f>
        <v>5282.615806756275</v>
      </c>
      <c r="E20" s="130">
        <f>(1-Losses)*('LLH Hyd Gen'!E20+Thermal!E$6+'Fed Hyd Ini'!E20)-'System Obligations'!E$34</f>
        <v>5385.07472266683</v>
      </c>
      <c r="F20" s="130">
        <f>(1-Losses)*('LLH Hyd Gen'!F20+Thermal!F$6+'Fed Hyd Ini'!F20)-'System Obligations'!F$34</f>
        <v>5430.3028337033375</v>
      </c>
      <c r="G20" s="130">
        <f>(1-Losses)*('LLH Hyd Gen'!G20+Thermal!G$6+'Fed Hyd Ini'!G20)-'System Obligations'!G$34</f>
        <v>6550.0044228353045</v>
      </c>
      <c r="H20" s="130">
        <f>(1-Losses)*('LLH Hyd Gen'!H20+Thermal!H$6+'Fed Hyd Ini'!H20)-'System Obligations'!H$34</f>
        <v>10164.100623134631</v>
      </c>
      <c r="I20" s="130">
        <f>(1-Losses)*('LLH Hyd Gen'!I20+Thermal!I$6+'Fed Hyd Ini'!I20)-'System Obligations'!I$34</f>
        <v>7085.460628562046</v>
      </c>
      <c r="J20" s="130">
        <f>(1-Losses)*('LLH Hyd Gen'!J20+Thermal!J$6+'Fed Hyd Ini'!J20)-'System Obligations'!J$34</f>
        <v>7695.967348421431</v>
      </c>
      <c r="K20" s="130">
        <f>(1-Losses)*('LLH Hyd Gen'!K20+Thermal!K$6+'Fed Hyd Ini'!K20)-'System Obligations'!K$34</f>
        <v>8961.123988163417</v>
      </c>
      <c r="L20" s="130">
        <f>(1-Losses)*('LLH Hyd Gen'!L20+Thermal!L$6+'Fed Hyd Ini'!L20)-'System Obligations'!L$34</f>
        <v>10425.843688856636</v>
      </c>
      <c r="M20" s="130">
        <f>(1-Losses)*('LLH Hyd Gen'!M20+Thermal!M$6+'Fed Hyd Ini'!M20)-'System Obligations'!M$34</f>
        <v>13024.777898265951</v>
      </c>
      <c r="N20" s="130">
        <f>(1-Losses)*('LLH Hyd Gen'!N20+Thermal!N$6+'Fed Hyd Ini'!N20)-'System Obligations'!N$34</f>
        <v>9217.152712725327</v>
      </c>
      <c r="O20" s="130">
        <f>(1-Losses)*('LLH Hyd Gen'!O20+Thermal!O$6+'Fed Hyd Ini'!O20)-'System Obligations'!O$34</f>
        <v>7696.344566265191</v>
      </c>
      <c r="P20" s="131">
        <f>SUMPRODUCT(B20:O20,'HLH-LLH Loads'!$N$5:$AA$5)</f>
        <v>29268287.422132634</v>
      </c>
      <c r="Q20" s="131"/>
      <c r="R20" s="131"/>
    </row>
    <row r="21" spans="1:18" ht="12.75">
      <c r="A21" s="128">
        <v>1947</v>
      </c>
      <c r="B21" s="130">
        <f>(1-Losses)*('LLH Hyd Gen'!B21+Thermal!B$6+'Fed Hyd Ini'!B21)-'System Obligations'!B$34</f>
        <v>7251.590781766253</v>
      </c>
      <c r="C21" s="130">
        <f>(1-Losses)*('LLH Hyd Gen'!C21+Thermal!C$6+'Fed Hyd Ini'!C21)-'System Obligations'!C$34</f>
        <v>5471.835898235627</v>
      </c>
      <c r="D21" s="130">
        <f>(1-Losses)*('LLH Hyd Gen'!D21+Thermal!D$6+'Fed Hyd Ini'!D21)-'System Obligations'!D$34</f>
        <v>5641.237561316055</v>
      </c>
      <c r="E21" s="130">
        <f>(1-Losses)*('LLH Hyd Gen'!E21+Thermal!E$6+'Fed Hyd Ini'!E21)-'System Obligations'!E$34</f>
        <v>6129.697910414485</v>
      </c>
      <c r="F21" s="130">
        <f>(1-Losses)*('LLH Hyd Gen'!F21+Thermal!F$6+'Fed Hyd Ini'!F21)-'System Obligations'!F$34</f>
        <v>5548.141309458241</v>
      </c>
      <c r="G21" s="130">
        <f>(1-Losses)*('LLH Hyd Gen'!G21+Thermal!G$6+'Fed Hyd Ini'!G21)-'System Obligations'!G$34</f>
        <v>7992.599039330869</v>
      </c>
      <c r="H21" s="130">
        <f>(1-Losses)*('LLH Hyd Gen'!H21+Thermal!H$6+'Fed Hyd Ini'!H21)-'System Obligations'!H$34</f>
        <v>12207.341842463973</v>
      </c>
      <c r="I21" s="130">
        <f>(1-Losses)*('LLH Hyd Gen'!I21+Thermal!I$6+'Fed Hyd Ini'!I21)-'System Obligations'!I$34</f>
        <v>10496.552962225098</v>
      </c>
      <c r="J21" s="130">
        <f>(1-Losses)*('LLH Hyd Gen'!J21+Thermal!J$6+'Fed Hyd Ini'!J21)-'System Obligations'!J$34</f>
        <v>7331.0099766611975</v>
      </c>
      <c r="K21" s="130">
        <f>(1-Losses)*('LLH Hyd Gen'!K21+Thermal!K$6+'Fed Hyd Ini'!K21)-'System Obligations'!K$34</f>
        <v>8446.159382081452</v>
      </c>
      <c r="L21" s="130">
        <f>(1-Losses)*('LLH Hyd Gen'!L21+Thermal!L$6+'Fed Hyd Ini'!L21)-'System Obligations'!L$34</f>
        <v>8713.971090400722</v>
      </c>
      <c r="M21" s="130">
        <f>(1-Losses)*('LLH Hyd Gen'!M21+Thermal!M$6+'Fed Hyd Ini'!M21)-'System Obligations'!M$34</f>
        <v>10178.744558504195</v>
      </c>
      <c r="N21" s="130">
        <f>(1-Losses)*('LLH Hyd Gen'!N21+Thermal!N$6+'Fed Hyd Ini'!N21)-'System Obligations'!N$34</f>
        <v>8658.206470032123</v>
      </c>
      <c r="O21" s="130">
        <f>(1-Losses)*('LLH Hyd Gen'!O21+Thermal!O$6+'Fed Hyd Ini'!O21)-'System Obligations'!O$34</f>
        <v>7284.418333583843</v>
      </c>
      <c r="P21" s="131">
        <f>SUMPRODUCT(B21:O21,'HLH-LLH Loads'!$N$5:$AA$5)</f>
        <v>30071023.80395508</v>
      </c>
      <c r="Q21" s="131"/>
      <c r="R21" s="131"/>
    </row>
    <row r="22" spans="1:18" ht="12.75">
      <c r="A22" s="128">
        <v>1948</v>
      </c>
      <c r="B22" s="130">
        <f>(1-Losses)*('LLH Hyd Gen'!B22+Thermal!B$6+'Fed Hyd Ini'!B22)-'System Obligations'!B$34</f>
        <v>6966.838522270952</v>
      </c>
      <c r="C22" s="130">
        <f>(1-Losses)*('LLH Hyd Gen'!C22+Thermal!C$6+'Fed Hyd Ini'!C22)-'System Obligations'!C$34</f>
        <v>6080.761580191005</v>
      </c>
      <c r="D22" s="130">
        <f>(1-Losses)*('LLH Hyd Gen'!D22+Thermal!D$6+'Fed Hyd Ini'!D22)-'System Obligations'!D$34</f>
        <v>5419.298030272437</v>
      </c>
      <c r="E22" s="130">
        <f>(1-Losses)*('LLH Hyd Gen'!E22+Thermal!E$6+'Fed Hyd Ini'!E22)-'System Obligations'!E$34</f>
        <v>7997.263700891902</v>
      </c>
      <c r="F22" s="130">
        <f>(1-Losses)*('LLH Hyd Gen'!F22+Thermal!F$6+'Fed Hyd Ini'!F22)-'System Obligations'!F$34</f>
        <v>6451.784130840263</v>
      </c>
      <c r="G22" s="130">
        <f>(1-Losses)*('LLH Hyd Gen'!G22+Thermal!G$6+'Fed Hyd Ini'!G22)-'System Obligations'!G$34</f>
        <v>6643.9112947263375</v>
      </c>
      <c r="H22" s="130">
        <f>(1-Losses)*('LLH Hyd Gen'!H22+Thermal!H$6+'Fed Hyd Ini'!H22)-'System Obligations'!H$34</f>
        <v>12208.494267279722</v>
      </c>
      <c r="I22" s="130">
        <f>(1-Losses)*('LLH Hyd Gen'!I22+Thermal!I$6+'Fed Hyd Ini'!I22)-'System Obligations'!I$34</f>
        <v>9085.936714000394</v>
      </c>
      <c r="J22" s="130">
        <f>(1-Losses)*('LLH Hyd Gen'!J22+Thermal!J$6+'Fed Hyd Ini'!J22)-'System Obligations'!J$34</f>
        <v>6557.336746000064</v>
      </c>
      <c r="K22" s="130">
        <f>(1-Losses)*('LLH Hyd Gen'!K22+Thermal!K$6+'Fed Hyd Ini'!K22)-'System Obligations'!K$34</f>
        <v>8098.515698261444</v>
      </c>
      <c r="L22" s="130">
        <f>(1-Losses)*('LLH Hyd Gen'!L22+Thermal!L$6+'Fed Hyd Ini'!L22)-'System Obligations'!L$34</f>
        <v>9886.298867286296</v>
      </c>
      <c r="M22" s="130">
        <f>(1-Losses)*('LLH Hyd Gen'!M22+Thermal!M$6+'Fed Hyd Ini'!M22)-'System Obligations'!M$34</f>
        <v>14822.421527742277</v>
      </c>
      <c r="N22" s="130">
        <f>(1-Losses)*('LLH Hyd Gen'!N22+Thermal!N$6+'Fed Hyd Ini'!N22)-'System Obligations'!N$34</f>
        <v>17577.86953075455</v>
      </c>
      <c r="O22" s="130">
        <f>(1-Losses)*('LLH Hyd Gen'!O22+Thermal!O$6+'Fed Hyd Ini'!O22)-'System Obligations'!O$34</f>
        <v>10860.297770660518</v>
      </c>
      <c r="P22" s="131">
        <f>SUMPRODUCT(B22:O22,'HLH-LLH Loads'!$N$5:$AA$5)</f>
        <v>35308398.321449265</v>
      </c>
      <c r="Q22" s="131"/>
      <c r="R22" s="131"/>
    </row>
    <row r="23" spans="1:18" ht="12.75">
      <c r="A23" s="128">
        <v>1949</v>
      </c>
      <c r="B23" s="130">
        <f>(1-Losses)*('LLH Hyd Gen'!B23+Thermal!B$6+'Fed Hyd Ini'!B23)-'System Obligations'!B$34</f>
        <v>8237.9406950408</v>
      </c>
      <c r="C23" s="130">
        <f>(1-Losses)*('LLH Hyd Gen'!C23+Thermal!C$6+'Fed Hyd Ini'!C23)-'System Obligations'!C$34</f>
        <v>8899.265182221236</v>
      </c>
      <c r="D23" s="130">
        <f>(1-Losses)*('LLH Hyd Gen'!D23+Thermal!D$6+'Fed Hyd Ini'!D23)-'System Obligations'!D$34</f>
        <v>6142.9042894468075</v>
      </c>
      <c r="E23" s="130">
        <f>(1-Losses)*('LLH Hyd Gen'!E23+Thermal!E$6+'Fed Hyd Ini'!E23)-'System Obligations'!E$34</f>
        <v>6349.35595660444</v>
      </c>
      <c r="F23" s="130">
        <f>(1-Losses)*('LLH Hyd Gen'!F23+Thermal!F$6+'Fed Hyd Ini'!F23)-'System Obligations'!F$34</f>
        <v>5356.19711823315</v>
      </c>
      <c r="G23" s="130">
        <f>(1-Losses)*('LLH Hyd Gen'!G23+Thermal!G$6+'Fed Hyd Ini'!G23)-'System Obligations'!G$34</f>
        <v>5896.680077373743</v>
      </c>
      <c r="H23" s="130">
        <f>(1-Losses)*('LLH Hyd Gen'!H23+Thermal!H$6+'Fed Hyd Ini'!H23)-'System Obligations'!H$34</f>
        <v>8161.748294699991</v>
      </c>
      <c r="I23" s="130">
        <f>(1-Losses)*('LLH Hyd Gen'!I23+Thermal!I$6+'Fed Hyd Ini'!I23)-'System Obligations'!I$34</f>
        <v>6861.39933363882</v>
      </c>
      <c r="J23" s="130">
        <f>(1-Losses)*('LLH Hyd Gen'!J23+Thermal!J$6+'Fed Hyd Ini'!J23)-'System Obligations'!J$34</f>
        <v>10656.224594553627</v>
      </c>
      <c r="K23" s="130">
        <f>(1-Losses)*('LLH Hyd Gen'!K23+Thermal!K$6+'Fed Hyd Ini'!K23)-'System Obligations'!K$34</f>
        <v>9563.696764508819</v>
      </c>
      <c r="L23" s="130">
        <f>(1-Losses)*('LLH Hyd Gen'!L23+Thermal!L$6+'Fed Hyd Ini'!L23)-'System Obligations'!L$34</f>
        <v>11547.29646301223</v>
      </c>
      <c r="M23" s="130">
        <f>(1-Losses)*('LLH Hyd Gen'!M23+Thermal!M$6+'Fed Hyd Ini'!M23)-'System Obligations'!M$34</f>
        <v>10023.666891107352</v>
      </c>
      <c r="N23" s="130">
        <f>(1-Losses)*('LLH Hyd Gen'!N23+Thermal!N$6+'Fed Hyd Ini'!N23)-'System Obligations'!N$34</f>
        <v>8603.446114527525</v>
      </c>
      <c r="O23" s="130">
        <f>(1-Losses)*('LLH Hyd Gen'!O23+Thermal!O$6+'Fed Hyd Ini'!O23)-'System Obligations'!O$34</f>
        <v>5789.206289449621</v>
      </c>
      <c r="P23" s="131">
        <f>SUMPRODUCT(B23:O23,'HLH-LLH Loads'!$N$5:$AA$5)</f>
        <v>29039348.082012936</v>
      </c>
      <c r="Q23" s="131"/>
      <c r="R23" s="131"/>
    </row>
    <row r="24" spans="1:18" ht="12.75">
      <c r="A24" s="128">
        <v>1950</v>
      </c>
      <c r="B24" s="130">
        <f>(1-Losses)*('LLH Hyd Gen'!B24+Thermal!B$6+'Fed Hyd Ini'!B24)-'System Obligations'!B$34</f>
        <v>4992.848438337733</v>
      </c>
      <c r="C24" s="130">
        <f>(1-Losses)*('LLH Hyd Gen'!C24+Thermal!C$6+'Fed Hyd Ini'!C24)-'System Obligations'!C$34</f>
        <v>4767.242618424608</v>
      </c>
      <c r="D24" s="130">
        <f>(1-Losses)*('LLH Hyd Gen'!D24+Thermal!D$6+'Fed Hyd Ini'!D24)-'System Obligations'!D$34</f>
        <v>5115.938153419543</v>
      </c>
      <c r="E24" s="130">
        <f>(1-Losses)*('LLH Hyd Gen'!E24+Thermal!E$6+'Fed Hyd Ini'!E24)-'System Obligations'!E$34</f>
        <v>5545.767368472988</v>
      </c>
      <c r="F24" s="130">
        <f>(1-Losses)*('LLH Hyd Gen'!F24+Thermal!F$6+'Fed Hyd Ini'!F24)-'System Obligations'!F$34</f>
        <v>5273.946159317031</v>
      </c>
      <c r="G24" s="130">
        <f>(1-Losses)*('LLH Hyd Gen'!G24+Thermal!G$6+'Fed Hyd Ini'!G24)-'System Obligations'!G$34</f>
        <v>6339.864073477635</v>
      </c>
      <c r="H24" s="130">
        <f>(1-Losses)*('LLH Hyd Gen'!H24+Thermal!H$6+'Fed Hyd Ini'!H24)-'System Obligations'!H$34</f>
        <v>10239.202990855498</v>
      </c>
      <c r="I24" s="130">
        <f>(1-Losses)*('LLH Hyd Gen'!I24+Thermal!I$6+'Fed Hyd Ini'!I24)-'System Obligations'!I$34</f>
        <v>8987.269674378911</v>
      </c>
      <c r="J24" s="130">
        <f>(1-Losses)*('LLH Hyd Gen'!J24+Thermal!J$6+'Fed Hyd Ini'!J24)-'System Obligations'!J$34</f>
        <v>9409.915592291622</v>
      </c>
      <c r="K24" s="130">
        <f>(1-Losses)*('LLH Hyd Gen'!K24+Thermal!K$6+'Fed Hyd Ini'!K24)-'System Obligations'!K$34</f>
        <v>11594.066928791513</v>
      </c>
      <c r="L24" s="130">
        <f>(1-Losses)*('LLH Hyd Gen'!L24+Thermal!L$6+'Fed Hyd Ini'!L24)-'System Obligations'!L$34</f>
        <v>10713.292809021788</v>
      </c>
      <c r="M24" s="130">
        <f>(1-Losses)*('LLH Hyd Gen'!M24+Thermal!M$6+'Fed Hyd Ini'!M24)-'System Obligations'!M$34</f>
        <v>10286.079742610811</v>
      </c>
      <c r="N24" s="130">
        <f>(1-Losses)*('LLH Hyd Gen'!N24+Thermal!N$6+'Fed Hyd Ini'!N24)-'System Obligations'!N$34</f>
        <v>15290.586094553257</v>
      </c>
      <c r="O24" s="130">
        <f>(1-Losses)*('LLH Hyd Gen'!O24+Thermal!O$6+'Fed Hyd Ini'!O24)-'System Obligations'!O$34</f>
        <v>10262.766703168572</v>
      </c>
      <c r="P24" s="131">
        <f>SUMPRODUCT(B24:O24,'HLH-LLH Loads'!$N$5:$AA$5)</f>
        <v>32097548.67185636</v>
      </c>
      <c r="Q24" s="131"/>
      <c r="R24" s="131"/>
    </row>
    <row r="25" spans="1:18" ht="12.75">
      <c r="A25" s="128">
        <v>1951</v>
      </c>
      <c r="B25" s="130">
        <f>(1-Losses)*('LLH Hyd Gen'!B25+Thermal!B$6+'Fed Hyd Ini'!B25)-'System Obligations'!B$34</f>
        <v>7180.26415008772</v>
      </c>
      <c r="C25" s="130">
        <f>(1-Losses)*('LLH Hyd Gen'!C25+Thermal!C$6+'Fed Hyd Ini'!C25)-'System Obligations'!C$34</f>
        <v>7070.181732592936</v>
      </c>
      <c r="D25" s="130">
        <f>(1-Losses)*('LLH Hyd Gen'!D25+Thermal!D$6+'Fed Hyd Ini'!D25)-'System Obligations'!D$34</f>
        <v>5612.686335689167</v>
      </c>
      <c r="E25" s="130">
        <f>(1-Losses)*('LLH Hyd Gen'!E25+Thermal!E$6+'Fed Hyd Ini'!E25)-'System Obligations'!E$34</f>
        <v>6896.476183227757</v>
      </c>
      <c r="F25" s="130">
        <f>(1-Losses)*('LLH Hyd Gen'!F25+Thermal!F$6+'Fed Hyd Ini'!F25)-'System Obligations'!F$34</f>
        <v>7047.919692412416</v>
      </c>
      <c r="G25" s="130">
        <f>(1-Losses)*('LLH Hyd Gen'!G25+Thermal!G$6+'Fed Hyd Ini'!G25)-'System Obligations'!G$34</f>
        <v>8635.442239643446</v>
      </c>
      <c r="H25" s="130">
        <f>(1-Losses)*('LLH Hyd Gen'!H25+Thermal!H$6+'Fed Hyd Ini'!H25)-'System Obligations'!H$34</f>
        <v>13710.32259145604</v>
      </c>
      <c r="I25" s="130">
        <f>(1-Losses)*('LLH Hyd Gen'!I25+Thermal!I$6+'Fed Hyd Ini'!I25)-'System Obligations'!I$34</f>
        <v>11527.406369978838</v>
      </c>
      <c r="J25" s="130">
        <f>(1-Losses)*('LLH Hyd Gen'!J25+Thermal!J$6+'Fed Hyd Ini'!J25)-'System Obligations'!J$34</f>
        <v>9232.616701922398</v>
      </c>
      <c r="K25" s="130">
        <f>(1-Losses)*('LLH Hyd Gen'!K25+Thermal!K$6+'Fed Hyd Ini'!K25)-'System Obligations'!K$34</f>
        <v>12274.657905114369</v>
      </c>
      <c r="L25" s="130">
        <f>(1-Losses)*('LLH Hyd Gen'!L25+Thermal!L$6+'Fed Hyd Ini'!L25)-'System Obligations'!L$34</f>
        <v>12102.770256669652</v>
      </c>
      <c r="M25" s="130">
        <f>(1-Losses)*('LLH Hyd Gen'!M25+Thermal!M$6+'Fed Hyd Ini'!M25)-'System Obligations'!M$34</f>
        <v>13479.230333514044</v>
      </c>
      <c r="N25" s="130">
        <f>(1-Losses)*('LLH Hyd Gen'!N25+Thermal!N$6+'Fed Hyd Ini'!N25)-'System Obligations'!N$34</f>
        <v>8153.741308019307</v>
      </c>
      <c r="O25" s="130">
        <f>(1-Losses)*('LLH Hyd Gen'!O25+Thermal!O$6+'Fed Hyd Ini'!O25)-'System Obligations'!O$34</f>
        <v>9125.834347871783</v>
      </c>
      <c r="P25" s="131">
        <f>SUMPRODUCT(B25:O25,'HLH-LLH Loads'!$N$5:$AA$5)</f>
        <v>35223307.29223002</v>
      </c>
      <c r="Q25" s="131"/>
      <c r="R25" s="131"/>
    </row>
    <row r="26" spans="1:18" ht="12.75">
      <c r="A26" s="128">
        <v>1952</v>
      </c>
      <c r="B26" s="130">
        <f>(1-Losses)*('LLH Hyd Gen'!B26+Thermal!B$6+'Fed Hyd Ini'!B26)-'System Obligations'!B$34</f>
        <v>8231.317175511145</v>
      </c>
      <c r="C26" s="130">
        <f>(1-Losses)*('LLH Hyd Gen'!C26+Thermal!C$6+'Fed Hyd Ini'!C26)-'System Obligations'!C$34</f>
        <v>7248.852661206433</v>
      </c>
      <c r="D26" s="130">
        <f>(1-Losses)*('LLH Hyd Gen'!D26+Thermal!D$6+'Fed Hyd Ini'!D26)-'System Obligations'!D$34</f>
        <v>5572.018032499693</v>
      </c>
      <c r="E26" s="130">
        <f>(1-Losses)*('LLH Hyd Gen'!E26+Thermal!E$6+'Fed Hyd Ini'!E26)-'System Obligations'!E$34</f>
        <v>7427.5647431686575</v>
      </c>
      <c r="F26" s="130">
        <f>(1-Losses)*('LLH Hyd Gen'!F26+Thermal!F$6+'Fed Hyd Ini'!F26)-'System Obligations'!F$34</f>
        <v>5699.544815416866</v>
      </c>
      <c r="G26" s="130">
        <f>(1-Losses)*('LLH Hyd Gen'!G26+Thermal!G$6+'Fed Hyd Ini'!G26)-'System Obligations'!G$34</f>
        <v>7147.178781973445</v>
      </c>
      <c r="H26" s="130">
        <f>(1-Losses)*('LLH Hyd Gen'!H26+Thermal!H$6+'Fed Hyd Ini'!H26)-'System Obligations'!H$34</f>
        <v>11766.70268550477</v>
      </c>
      <c r="I26" s="130">
        <f>(1-Losses)*('LLH Hyd Gen'!I26+Thermal!I$6+'Fed Hyd Ini'!I26)-'System Obligations'!I$34</f>
        <v>8204.732625296307</v>
      </c>
      <c r="J26" s="130">
        <f>(1-Losses)*('LLH Hyd Gen'!J26+Thermal!J$6+'Fed Hyd Ini'!J26)-'System Obligations'!J$34</f>
        <v>6888.824515552359</v>
      </c>
      <c r="K26" s="130">
        <f>(1-Losses)*('LLH Hyd Gen'!K26+Thermal!K$6+'Fed Hyd Ini'!K26)-'System Obligations'!K$34</f>
        <v>12153.884640189894</v>
      </c>
      <c r="L26" s="130">
        <f>(1-Losses)*('LLH Hyd Gen'!L26+Thermal!L$6+'Fed Hyd Ini'!L26)-'System Obligations'!L$34</f>
        <v>10921.609208109292</v>
      </c>
      <c r="M26" s="130">
        <f>(1-Losses)*('LLH Hyd Gen'!M26+Thermal!M$6+'Fed Hyd Ini'!M26)-'System Obligations'!M$34</f>
        <v>14118.638530538088</v>
      </c>
      <c r="N26" s="130">
        <f>(1-Losses)*('LLH Hyd Gen'!N26+Thermal!N$6+'Fed Hyd Ini'!N26)-'System Obligations'!N$34</f>
        <v>8977.0743398109</v>
      </c>
      <c r="O26" s="130">
        <f>(1-Losses)*('LLH Hyd Gen'!O26+Thermal!O$6+'Fed Hyd Ini'!O26)-'System Obligations'!O$34</f>
        <v>7046.887082268737</v>
      </c>
      <c r="P26" s="131">
        <f>SUMPRODUCT(B26:O26,'HLH-LLH Loads'!$N$5:$AA$5)</f>
        <v>31948897.10429819</v>
      </c>
      <c r="Q26" s="131"/>
      <c r="R26" s="131"/>
    </row>
    <row r="27" spans="1:18" ht="12.75">
      <c r="A27" s="128">
        <v>1953</v>
      </c>
      <c r="B27" s="130">
        <f>(1-Losses)*('LLH Hyd Gen'!B27+Thermal!B$6+'Fed Hyd Ini'!B27)-'System Obligations'!B$34</f>
        <v>6991.430676411361</v>
      </c>
      <c r="C27" s="130">
        <f>(1-Losses)*('LLH Hyd Gen'!C27+Thermal!C$6+'Fed Hyd Ini'!C27)-'System Obligations'!C$34</f>
        <v>5739.6202293556125</v>
      </c>
      <c r="D27" s="130">
        <f>(1-Losses)*('LLH Hyd Gen'!D27+Thermal!D$6+'Fed Hyd Ini'!D27)-'System Obligations'!D$34</f>
        <v>5165.506933972375</v>
      </c>
      <c r="E27" s="130">
        <f>(1-Losses)*('LLH Hyd Gen'!E27+Thermal!E$6+'Fed Hyd Ini'!E27)-'System Obligations'!E$34</f>
        <v>5615.314513208622</v>
      </c>
      <c r="F27" s="130">
        <f>(1-Losses)*('LLH Hyd Gen'!F27+Thermal!F$6+'Fed Hyd Ini'!F27)-'System Obligations'!F$34</f>
        <v>5334.366651193784</v>
      </c>
      <c r="G27" s="130">
        <f>(1-Losses)*('LLH Hyd Gen'!G27+Thermal!G$6+'Fed Hyd Ini'!G27)-'System Obligations'!G$34</f>
        <v>5963.323228501372</v>
      </c>
      <c r="H27" s="130">
        <f>(1-Losses)*('LLH Hyd Gen'!H27+Thermal!H$6+'Fed Hyd Ini'!H27)-'System Obligations'!H$34</f>
        <v>6404.36813053678</v>
      </c>
      <c r="I27" s="130">
        <f>(1-Losses)*('LLH Hyd Gen'!I27+Thermal!I$6+'Fed Hyd Ini'!I27)-'System Obligations'!I$34</f>
        <v>12191.030157554242</v>
      </c>
      <c r="J27" s="130">
        <f>(1-Losses)*('LLH Hyd Gen'!J27+Thermal!J$6+'Fed Hyd Ini'!J27)-'System Obligations'!J$34</f>
        <v>7970.881980611811</v>
      </c>
      <c r="K27" s="130">
        <f>(1-Losses)*('LLH Hyd Gen'!K27+Thermal!K$6+'Fed Hyd Ini'!K27)-'System Obligations'!K$34</f>
        <v>6895.486629852177</v>
      </c>
      <c r="L27" s="130">
        <f>(1-Losses)*('LLH Hyd Gen'!L27+Thermal!L$6+'Fed Hyd Ini'!L27)-'System Obligations'!L$34</f>
        <v>6943.904849613901</v>
      </c>
      <c r="M27" s="130">
        <f>(1-Losses)*('LLH Hyd Gen'!M27+Thermal!M$6+'Fed Hyd Ini'!M27)-'System Obligations'!M$34</f>
        <v>8674.29499279899</v>
      </c>
      <c r="N27" s="130">
        <f>(1-Losses)*('LLH Hyd Gen'!N27+Thermal!N$6+'Fed Hyd Ini'!N27)-'System Obligations'!N$34</f>
        <v>9912.256773810093</v>
      </c>
      <c r="O27" s="130">
        <f>(1-Losses)*('LLH Hyd Gen'!O27+Thermal!O$6+'Fed Hyd Ini'!O27)-'System Obligations'!O$34</f>
        <v>8850.445320963525</v>
      </c>
      <c r="P27" s="131">
        <f>SUMPRODUCT(B27:O27,'HLH-LLH Loads'!$N$5:$AA$5)</f>
        <v>27803453.621960863</v>
      </c>
      <c r="Q27" s="131"/>
      <c r="R27" s="131"/>
    </row>
    <row r="28" spans="1:18" ht="12.75">
      <c r="A28" s="128">
        <v>1954</v>
      </c>
      <c r="B28" s="130">
        <f>(1-Losses)*('LLH Hyd Gen'!B28+Thermal!B$6+'Fed Hyd Ini'!B28)-'System Obligations'!B$34</f>
        <v>8417.195411441682</v>
      </c>
      <c r="C28" s="130">
        <f>(1-Losses)*('LLH Hyd Gen'!C28+Thermal!C$6+'Fed Hyd Ini'!C28)-'System Obligations'!C$34</f>
        <v>7100.252072246944</v>
      </c>
      <c r="D28" s="130">
        <f>(1-Losses)*('LLH Hyd Gen'!D28+Thermal!D$6+'Fed Hyd Ini'!D28)-'System Obligations'!D$34</f>
        <v>5640.923879942663</v>
      </c>
      <c r="E28" s="130">
        <f>(1-Losses)*('LLH Hyd Gen'!E28+Thermal!E$6+'Fed Hyd Ini'!E28)-'System Obligations'!E$34</f>
        <v>6296.085710889988</v>
      </c>
      <c r="F28" s="130">
        <f>(1-Losses)*('LLH Hyd Gen'!F28+Thermal!F$6+'Fed Hyd Ini'!F28)-'System Obligations'!F$34</f>
        <v>5558.0653059400565</v>
      </c>
      <c r="G28" s="130">
        <f>(1-Losses)*('LLH Hyd Gen'!G28+Thermal!G$6+'Fed Hyd Ini'!G28)-'System Obligations'!G$34</f>
        <v>6177.877511349315</v>
      </c>
      <c r="H28" s="130">
        <f>(1-Losses)*('LLH Hyd Gen'!H28+Thermal!H$6+'Fed Hyd Ini'!H28)-'System Obligations'!H$34</f>
        <v>8431.318400102738</v>
      </c>
      <c r="I28" s="130">
        <f>(1-Losses)*('LLH Hyd Gen'!I28+Thermal!I$6+'Fed Hyd Ini'!I28)-'System Obligations'!I$34</f>
        <v>13243.50251169886</v>
      </c>
      <c r="J28" s="130">
        <f>(1-Losses)*('LLH Hyd Gen'!J28+Thermal!J$6+'Fed Hyd Ini'!J28)-'System Obligations'!J$34</f>
        <v>6989.945733816068</v>
      </c>
      <c r="K28" s="130">
        <f>(1-Losses)*('LLH Hyd Gen'!K28+Thermal!K$6+'Fed Hyd Ini'!K28)-'System Obligations'!K$34</f>
        <v>8974.05043694575</v>
      </c>
      <c r="L28" s="130">
        <f>(1-Losses)*('LLH Hyd Gen'!L28+Thermal!L$6+'Fed Hyd Ini'!L28)-'System Obligations'!L$34</f>
        <v>8468.33174560265</v>
      </c>
      <c r="M28" s="130">
        <f>(1-Losses)*('LLH Hyd Gen'!M28+Thermal!M$6+'Fed Hyd Ini'!M28)-'System Obligations'!M$34</f>
        <v>11710.443567066504</v>
      </c>
      <c r="N28" s="130">
        <f>(1-Losses)*('LLH Hyd Gen'!N28+Thermal!N$6+'Fed Hyd Ini'!N28)-'System Obligations'!N$34</f>
        <v>14187.130403259707</v>
      </c>
      <c r="O28" s="130">
        <f>(1-Losses)*('LLH Hyd Gen'!O28+Thermal!O$6+'Fed Hyd Ini'!O28)-'System Obligations'!O$34</f>
        <v>10639.907283316594</v>
      </c>
      <c r="P28" s="131">
        <f>SUMPRODUCT(B28:O28,'HLH-LLH Loads'!$N$5:$AA$5)</f>
        <v>32788232.339835454</v>
      </c>
      <c r="Q28" s="131"/>
      <c r="R28" s="131"/>
    </row>
    <row r="29" spans="1:18" ht="12.75">
      <c r="A29" s="128">
        <v>1955</v>
      </c>
      <c r="B29" s="130">
        <f>(1-Losses)*('LLH Hyd Gen'!B29+Thermal!B$6+'Fed Hyd Ini'!B29)-'System Obligations'!B$34</f>
        <v>9784.104907833502</v>
      </c>
      <c r="C29" s="130">
        <f>(1-Losses)*('LLH Hyd Gen'!C29+Thermal!C$6+'Fed Hyd Ini'!C29)-'System Obligations'!C$34</f>
        <v>8614.434699357233</v>
      </c>
      <c r="D29" s="130">
        <f>(1-Losses)*('LLH Hyd Gen'!D29+Thermal!D$6+'Fed Hyd Ini'!D29)-'System Obligations'!D$34</f>
        <v>7354.497854677058</v>
      </c>
      <c r="E29" s="130">
        <f>(1-Losses)*('LLH Hyd Gen'!E29+Thermal!E$6+'Fed Hyd Ini'!E29)-'System Obligations'!E$34</f>
        <v>6758.781545400437</v>
      </c>
      <c r="F29" s="130">
        <f>(1-Losses)*('LLH Hyd Gen'!F29+Thermal!F$6+'Fed Hyd Ini'!F29)-'System Obligations'!F$34</f>
        <v>6046.473852870112</v>
      </c>
      <c r="G29" s="130">
        <f>(1-Losses)*('LLH Hyd Gen'!G29+Thermal!G$6+'Fed Hyd Ini'!G29)-'System Obligations'!G$34</f>
        <v>6125.320447823167</v>
      </c>
      <c r="H29" s="130">
        <f>(1-Losses)*('LLH Hyd Gen'!H29+Thermal!H$6+'Fed Hyd Ini'!H29)-'System Obligations'!H$34</f>
        <v>7592.2882827695075</v>
      </c>
      <c r="I29" s="130">
        <f>(1-Losses)*('LLH Hyd Gen'!I29+Thermal!I$6+'Fed Hyd Ini'!I29)-'System Obligations'!I$34</f>
        <v>7197.263548436195</v>
      </c>
      <c r="J29" s="130">
        <f>(1-Losses)*('LLH Hyd Gen'!J29+Thermal!J$6+'Fed Hyd Ini'!J29)-'System Obligations'!J$34</f>
        <v>5112.199353791788</v>
      </c>
      <c r="K29" s="130">
        <f>(1-Losses)*('LLH Hyd Gen'!K29+Thermal!K$6+'Fed Hyd Ini'!K29)-'System Obligations'!K$34</f>
        <v>7384.98554151549</v>
      </c>
      <c r="L29" s="130">
        <f>(1-Losses)*('LLH Hyd Gen'!L29+Thermal!L$6+'Fed Hyd Ini'!L29)-'System Obligations'!L$34</f>
        <v>6980.786419045051</v>
      </c>
      <c r="M29" s="130">
        <f>(1-Losses)*('LLH Hyd Gen'!M29+Thermal!M$6+'Fed Hyd Ini'!M29)-'System Obligations'!M$34</f>
        <v>7273.190401167323</v>
      </c>
      <c r="N29" s="130">
        <f>(1-Losses)*('LLH Hyd Gen'!N29+Thermal!N$6+'Fed Hyd Ini'!N29)-'System Obligations'!N$34</f>
        <v>11049.854617242298</v>
      </c>
      <c r="O29" s="130">
        <f>(1-Losses)*('LLH Hyd Gen'!O29+Thermal!O$6+'Fed Hyd Ini'!O29)-'System Obligations'!O$34</f>
        <v>13428.307976337534</v>
      </c>
      <c r="P29" s="131">
        <f>SUMPRODUCT(B29:O29,'HLH-LLH Loads'!$N$5:$AA$5)</f>
        <v>29536619.727030307</v>
      </c>
      <c r="Q29" s="131"/>
      <c r="R29" s="131"/>
    </row>
    <row r="30" spans="1:18" ht="12.75">
      <c r="A30" s="128">
        <v>1956</v>
      </c>
      <c r="B30" s="130">
        <f>(1-Losses)*('LLH Hyd Gen'!B30+Thermal!B$6+'Fed Hyd Ini'!B30)-'System Obligations'!B$34</f>
        <v>8162.919766342284</v>
      </c>
      <c r="C30" s="130">
        <f>(1-Losses)*('LLH Hyd Gen'!C30+Thermal!C$6+'Fed Hyd Ini'!C30)-'System Obligations'!C$34</f>
        <v>7981.018324115835</v>
      </c>
      <c r="D30" s="130">
        <f>(1-Losses)*('LLH Hyd Gen'!D30+Thermal!D$6+'Fed Hyd Ini'!D30)-'System Obligations'!D$34</f>
        <v>5734.82286963148</v>
      </c>
      <c r="E30" s="130">
        <f>(1-Losses)*('LLH Hyd Gen'!E30+Thermal!E$6+'Fed Hyd Ini'!E30)-'System Obligations'!E$34</f>
        <v>6643.977753965727</v>
      </c>
      <c r="F30" s="130">
        <f>(1-Losses)*('LLH Hyd Gen'!F30+Thermal!F$6+'Fed Hyd Ini'!F30)-'System Obligations'!F$34</f>
        <v>6358.482853026377</v>
      </c>
      <c r="G30" s="130">
        <f>(1-Losses)*('LLH Hyd Gen'!G30+Thermal!G$6+'Fed Hyd Ini'!G30)-'System Obligations'!G$34</f>
        <v>8744.161057163412</v>
      </c>
      <c r="H30" s="130">
        <f>(1-Losses)*('LLH Hyd Gen'!H30+Thermal!H$6+'Fed Hyd Ini'!H30)-'System Obligations'!H$34</f>
        <v>13971.97802524539</v>
      </c>
      <c r="I30" s="130">
        <f>(1-Losses)*('LLH Hyd Gen'!I30+Thermal!I$6+'Fed Hyd Ini'!I30)-'System Obligations'!I$34</f>
        <v>10373.866764305807</v>
      </c>
      <c r="J30" s="130">
        <f>(1-Losses)*('LLH Hyd Gen'!J30+Thermal!J$6+'Fed Hyd Ini'!J30)-'System Obligations'!J$34</f>
        <v>9437.683235248214</v>
      </c>
      <c r="K30" s="130">
        <f>(1-Losses)*('LLH Hyd Gen'!K30+Thermal!K$6+'Fed Hyd Ini'!K30)-'System Obligations'!K$34</f>
        <v>11093.984246627495</v>
      </c>
      <c r="L30" s="130">
        <f>(1-Losses)*('LLH Hyd Gen'!L30+Thermal!L$6+'Fed Hyd Ini'!L30)-'System Obligations'!L$34</f>
        <v>13623.433692008095</v>
      </c>
      <c r="M30" s="130">
        <f>(1-Losses)*('LLH Hyd Gen'!M30+Thermal!M$6+'Fed Hyd Ini'!M30)-'System Obligations'!M$34</f>
        <v>15922.607592693377</v>
      </c>
      <c r="N30" s="130">
        <f>(1-Losses)*('LLH Hyd Gen'!N30+Thermal!N$6+'Fed Hyd Ini'!N30)-'System Obligations'!N$34</f>
        <v>14175.008112016572</v>
      </c>
      <c r="O30" s="130">
        <f>(1-Losses)*('LLH Hyd Gen'!O30+Thermal!O$6+'Fed Hyd Ini'!O30)-'System Obligations'!O$34</f>
        <v>9294.714250579356</v>
      </c>
      <c r="P30" s="131">
        <f>SUMPRODUCT(B30:O30,'HLH-LLH Loads'!$N$5:$AA$5)</f>
        <v>37793162.73125703</v>
      </c>
      <c r="Q30" s="131"/>
      <c r="R30" s="131"/>
    </row>
    <row r="31" spans="1:18" ht="12.75">
      <c r="A31" s="128">
        <v>1957</v>
      </c>
      <c r="B31" s="130">
        <f>(1-Losses)*('LLH Hyd Gen'!B31+Thermal!B$6+'Fed Hyd Ini'!B31)-'System Obligations'!B$34</f>
        <v>8651.965168072797</v>
      </c>
      <c r="C31" s="130">
        <f>(1-Losses)*('LLH Hyd Gen'!C31+Thermal!C$6+'Fed Hyd Ini'!C31)-'System Obligations'!C$34</f>
        <v>7178.314921583542</v>
      </c>
      <c r="D31" s="130">
        <f>(1-Losses)*('LLH Hyd Gen'!D31+Thermal!D$6+'Fed Hyd Ini'!D31)-'System Obligations'!D$34</f>
        <v>5482.744722667592</v>
      </c>
      <c r="E31" s="130">
        <f>(1-Losses)*('LLH Hyd Gen'!E31+Thermal!E$6+'Fed Hyd Ini'!E31)-'System Obligations'!E$34</f>
        <v>6434.002844586712</v>
      </c>
      <c r="F31" s="130">
        <f>(1-Losses)*('LLH Hyd Gen'!F31+Thermal!F$6+'Fed Hyd Ini'!F31)-'System Obligations'!F$34</f>
        <v>5311.253569576028</v>
      </c>
      <c r="G31" s="130">
        <f>(1-Losses)*('LLH Hyd Gen'!G31+Thermal!G$6+'Fed Hyd Ini'!G31)-'System Obligations'!G$34</f>
        <v>6524.718291947752</v>
      </c>
      <c r="H31" s="130">
        <f>(1-Losses)*('LLH Hyd Gen'!H31+Thermal!H$6+'Fed Hyd Ini'!H31)-'System Obligations'!H$34</f>
        <v>7402.0235716951365</v>
      </c>
      <c r="I31" s="130">
        <f>(1-Losses)*('LLH Hyd Gen'!I31+Thermal!I$6+'Fed Hyd Ini'!I31)-'System Obligations'!I$34</f>
        <v>10688.068782136375</v>
      </c>
      <c r="J31" s="130">
        <f>(1-Losses)*('LLH Hyd Gen'!J31+Thermal!J$6+'Fed Hyd Ini'!J31)-'System Obligations'!J$34</f>
        <v>7470.033373129292</v>
      </c>
      <c r="K31" s="130">
        <f>(1-Losses)*('LLH Hyd Gen'!K31+Thermal!K$6+'Fed Hyd Ini'!K31)-'System Obligations'!K$34</f>
        <v>12517.060794672272</v>
      </c>
      <c r="L31" s="130">
        <f>(1-Losses)*('LLH Hyd Gen'!L31+Thermal!L$6+'Fed Hyd Ini'!L31)-'System Obligations'!L$34</f>
        <v>8541.59400477719</v>
      </c>
      <c r="M31" s="130">
        <f>(1-Losses)*('LLH Hyd Gen'!M31+Thermal!M$6+'Fed Hyd Ini'!M31)-'System Obligations'!M$34</f>
        <v>14399.770560788545</v>
      </c>
      <c r="N31" s="130">
        <f>(1-Losses)*('LLH Hyd Gen'!N31+Thermal!N$6+'Fed Hyd Ini'!N31)-'System Obligations'!N$34</f>
        <v>10650.312536186286</v>
      </c>
      <c r="O31" s="130">
        <f>(1-Losses)*('LLH Hyd Gen'!O31+Thermal!O$6+'Fed Hyd Ini'!O31)-'System Obligations'!O$34</f>
        <v>6820.909621968595</v>
      </c>
      <c r="P31" s="131">
        <f>SUMPRODUCT(B31:O31,'HLH-LLH Loads'!$N$5:$AA$5)</f>
        <v>31082580.966869723</v>
      </c>
      <c r="Q31" s="131"/>
      <c r="R31" s="131"/>
    </row>
    <row r="32" spans="1:18" ht="12.75">
      <c r="A32" s="128">
        <v>1958</v>
      </c>
      <c r="B32" s="130">
        <f>(1-Losses)*('LLH Hyd Gen'!B32+Thermal!B$6+'Fed Hyd Ini'!B32)-'System Obligations'!B$34</f>
        <v>6441.184580222643</v>
      </c>
      <c r="C32" s="130">
        <f>(1-Losses)*('LLH Hyd Gen'!C32+Thermal!C$6+'Fed Hyd Ini'!C32)-'System Obligations'!C$34</f>
        <v>5856.241447480612</v>
      </c>
      <c r="D32" s="130">
        <f>(1-Losses)*('LLH Hyd Gen'!D32+Thermal!D$6+'Fed Hyd Ini'!D32)-'System Obligations'!D$34</f>
        <v>5217.20713823607</v>
      </c>
      <c r="E32" s="130">
        <f>(1-Losses)*('LLH Hyd Gen'!E32+Thermal!E$6+'Fed Hyd Ini'!E32)-'System Obligations'!E$34</f>
        <v>5824.534775040889</v>
      </c>
      <c r="F32" s="130">
        <f>(1-Losses)*('LLH Hyd Gen'!F32+Thermal!F$6+'Fed Hyd Ini'!F32)-'System Obligations'!F$34</f>
        <v>5280.019745781701</v>
      </c>
      <c r="G32" s="130">
        <f>(1-Losses)*('LLH Hyd Gen'!G32+Thermal!G$6+'Fed Hyd Ini'!G32)-'System Obligations'!G$34</f>
        <v>5978.543713689341</v>
      </c>
      <c r="H32" s="130">
        <f>(1-Losses)*('LLH Hyd Gen'!H32+Thermal!H$6+'Fed Hyd Ini'!H32)-'System Obligations'!H$34</f>
        <v>7610.640022797591</v>
      </c>
      <c r="I32" s="130">
        <f>(1-Losses)*('LLH Hyd Gen'!I32+Thermal!I$6+'Fed Hyd Ini'!I32)-'System Obligations'!I$34</f>
        <v>12189.090322833272</v>
      </c>
      <c r="J32" s="130">
        <f>(1-Losses)*('LLH Hyd Gen'!J32+Thermal!J$6+'Fed Hyd Ini'!J32)-'System Obligations'!J$34</f>
        <v>6422.628374821488</v>
      </c>
      <c r="K32" s="130">
        <f>(1-Losses)*('LLH Hyd Gen'!K32+Thermal!K$6+'Fed Hyd Ini'!K32)-'System Obligations'!K$34</f>
        <v>7329.99815702014</v>
      </c>
      <c r="L32" s="130">
        <f>(1-Losses)*('LLH Hyd Gen'!L32+Thermal!L$6+'Fed Hyd Ini'!L32)-'System Obligations'!L$34</f>
        <v>9307.368796796896</v>
      </c>
      <c r="M32" s="130">
        <f>(1-Losses)*('LLH Hyd Gen'!M32+Thermal!M$6+'Fed Hyd Ini'!M32)-'System Obligations'!M$34</f>
        <v>11997.045671222486</v>
      </c>
      <c r="N32" s="130">
        <f>(1-Losses)*('LLH Hyd Gen'!N32+Thermal!N$6+'Fed Hyd Ini'!N32)-'System Obligations'!N$34</f>
        <v>9407.207072185987</v>
      </c>
      <c r="O32" s="130">
        <f>(1-Losses)*('LLH Hyd Gen'!O32+Thermal!O$6+'Fed Hyd Ini'!O32)-'System Obligations'!O$34</f>
        <v>6721.072222484353</v>
      </c>
      <c r="P32" s="131">
        <f>SUMPRODUCT(B32:O32,'HLH-LLH Loads'!$N$5:$AA$5)</f>
        <v>28321003.793702133</v>
      </c>
      <c r="Q32" s="131"/>
      <c r="R32" s="131"/>
    </row>
    <row r="33" spans="1:18" ht="12.75">
      <c r="A33" s="128">
        <v>1959</v>
      </c>
      <c r="B33" s="130">
        <f>(1-Losses)*('LLH Hyd Gen'!B33+Thermal!B$6+'Fed Hyd Ini'!B33)-'System Obligations'!B$34</f>
        <v>6439.879089135511</v>
      </c>
      <c r="C33" s="130">
        <f>(1-Losses)*('LLH Hyd Gen'!C33+Thermal!C$6+'Fed Hyd Ini'!C33)-'System Obligations'!C$34</f>
        <v>6041.136018241194</v>
      </c>
      <c r="D33" s="130">
        <f>(1-Losses)*('LLH Hyd Gen'!D33+Thermal!D$6+'Fed Hyd Ini'!D33)-'System Obligations'!D$34</f>
        <v>5228.960320062477</v>
      </c>
      <c r="E33" s="130">
        <f>(1-Losses)*('LLH Hyd Gen'!E33+Thermal!E$6+'Fed Hyd Ini'!E33)-'System Obligations'!E$34</f>
        <v>6168.862693483591</v>
      </c>
      <c r="F33" s="130">
        <f>(1-Losses)*('LLH Hyd Gen'!F33+Thermal!F$6+'Fed Hyd Ini'!F33)-'System Obligations'!F$34</f>
        <v>5921.139547702237</v>
      </c>
      <c r="G33" s="130">
        <f>(1-Losses)*('LLH Hyd Gen'!G33+Thermal!G$6+'Fed Hyd Ini'!G33)-'System Obligations'!G$34</f>
        <v>7199.7382780947155</v>
      </c>
      <c r="H33" s="130">
        <f>(1-Losses)*('LLH Hyd Gen'!H33+Thermal!H$6+'Fed Hyd Ini'!H33)-'System Obligations'!H$34</f>
        <v>13479.370693763884</v>
      </c>
      <c r="I33" s="130">
        <f>(1-Losses)*('LLH Hyd Gen'!I33+Thermal!I$6+'Fed Hyd Ini'!I33)-'System Obligations'!I$34</f>
        <v>10509.99609924819</v>
      </c>
      <c r="J33" s="130">
        <f>(1-Losses)*('LLH Hyd Gen'!J33+Thermal!J$6+'Fed Hyd Ini'!J33)-'System Obligations'!J$34</f>
        <v>7878.673183481108</v>
      </c>
      <c r="K33" s="130">
        <f>(1-Losses)*('LLH Hyd Gen'!K33+Thermal!K$6+'Fed Hyd Ini'!K33)-'System Obligations'!K$34</f>
        <v>9951.84724006506</v>
      </c>
      <c r="L33" s="130">
        <f>(1-Losses)*('LLH Hyd Gen'!L33+Thermal!L$6+'Fed Hyd Ini'!L33)-'System Obligations'!L$34</f>
        <v>7745.218051312318</v>
      </c>
      <c r="M33" s="130">
        <f>(1-Losses)*('LLH Hyd Gen'!M33+Thermal!M$6+'Fed Hyd Ini'!M33)-'System Obligations'!M$34</f>
        <v>10036.080829161436</v>
      </c>
      <c r="N33" s="130">
        <f>(1-Losses)*('LLH Hyd Gen'!N33+Thermal!N$6+'Fed Hyd Ini'!N33)-'System Obligations'!N$34</f>
        <v>12369.412572950807</v>
      </c>
      <c r="O33" s="130">
        <f>(1-Losses)*('LLH Hyd Gen'!O33+Thermal!O$6+'Fed Hyd Ini'!O33)-'System Obligations'!O$34</f>
        <v>9076.745478962792</v>
      </c>
      <c r="P33" s="131">
        <f>SUMPRODUCT(B33:O33,'HLH-LLH Loads'!$N$5:$AA$5)</f>
        <v>32128478.067334883</v>
      </c>
      <c r="Q33" s="131"/>
      <c r="R33" s="131"/>
    </row>
    <row r="34" spans="1:18" ht="12.75">
      <c r="A34" s="128">
        <v>1960</v>
      </c>
      <c r="B34" s="130">
        <f>(1-Losses)*('LLH Hyd Gen'!B34+Thermal!B$6+'Fed Hyd Ini'!B34)-'System Obligations'!B$34</f>
        <v>8341.46134826086</v>
      </c>
      <c r="C34" s="130">
        <f>(1-Losses)*('LLH Hyd Gen'!C34+Thermal!C$6+'Fed Hyd Ini'!C34)-'System Obligations'!C$34</f>
        <v>7024.248731834901</v>
      </c>
      <c r="D34" s="130">
        <f>(1-Losses)*('LLH Hyd Gen'!D34+Thermal!D$6+'Fed Hyd Ini'!D34)-'System Obligations'!D$34</f>
        <v>7249.402324188885</v>
      </c>
      <c r="E34" s="130">
        <f>(1-Losses)*('LLH Hyd Gen'!E34+Thermal!E$6+'Fed Hyd Ini'!E34)-'System Obligations'!E$34</f>
        <v>8789.637976006985</v>
      </c>
      <c r="F34" s="130">
        <f>(1-Losses)*('LLH Hyd Gen'!F34+Thermal!F$6+'Fed Hyd Ini'!F34)-'System Obligations'!F$34</f>
        <v>7367.239563741944</v>
      </c>
      <c r="G34" s="130">
        <f>(1-Losses)*('LLH Hyd Gen'!G34+Thermal!G$6+'Fed Hyd Ini'!G34)-'System Obligations'!G$34</f>
        <v>7344.959851199231</v>
      </c>
      <c r="H34" s="130">
        <f>(1-Losses)*('LLH Hyd Gen'!H34+Thermal!H$6+'Fed Hyd Ini'!H34)-'System Obligations'!H$34</f>
        <v>11846.25237955503</v>
      </c>
      <c r="I34" s="130">
        <f>(1-Losses)*('LLH Hyd Gen'!I34+Thermal!I$6+'Fed Hyd Ini'!I34)-'System Obligations'!I$34</f>
        <v>7464.096827587114</v>
      </c>
      <c r="J34" s="130">
        <f>(1-Losses)*('LLH Hyd Gen'!J34+Thermal!J$6+'Fed Hyd Ini'!J34)-'System Obligations'!J$34</f>
        <v>7291.524677733844</v>
      </c>
      <c r="K34" s="130">
        <f>(1-Losses)*('LLH Hyd Gen'!K34+Thermal!K$6+'Fed Hyd Ini'!K34)-'System Obligations'!K$34</f>
        <v>14177.20983160593</v>
      </c>
      <c r="L34" s="130">
        <f>(1-Losses)*('LLH Hyd Gen'!L34+Thermal!L$6+'Fed Hyd Ini'!L34)-'System Obligations'!L$34</f>
        <v>10156.408096582802</v>
      </c>
      <c r="M34" s="130">
        <f>(1-Losses)*('LLH Hyd Gen'!M34+Thermal!M$6+'Fed Hyd Ini'!M34)-'System Obligations'!M$34</f>
        <v>7895.923372316459</v>
      </c>
      <c r="N34" s="130">
        <f>(1-Losses)*('LLH Hyd Gen'!N34+Thermal!N$6+'Fed Hyd Ini'!N34)-'System Obligations'!N$34</f>
        <v>8318.430784189355</v>
      </c>
      <c r="O34" s="130">
        <f>(1-Losses)*('LLH Hyd Gen'!O34+Thermal!O$6+'Fed Hyd Ini'!O34)-'System Obligations'!O$34</f>
        <v>7810.710651963965</v>
      </c>
      <c r="P34" s="131">
        <f>SUMPRODUCT(B34:O34,'HLH-LLH Loads'!$N$5:$AA$5)</f>
        <v>31727824.898293924</v>
      </c>
      <c r="Q34" s="131"/>
      <c r="R34" s="131"/>
    </row>
    <row r="35" spans="1:18" ht="12.75">
      <c r="A35" s="128">
        <v>1961</v>
      </c>
      <c r="B35" s="130">
        <f>(1-Losses)*('LLH Hyd Gen'!B35+Thermal!B$6+'Fed Hyd Ini'!B35)-'System Obligations'!B$34</f>
        <v>7760.92242783526</v>
      </c>
      <c r="C35" s="130">
        <f>(1-Losses)*('LLH Hyd Gen'!C35+Thermal!C$6+'Fed Hyd Ini'!C35)-'System Obligations'!C$34</f>
        <v>5746.377788057166</v>
      </c>
      <c r="D35" s="130">
        <f>(1-Losses)*('LLH Hyd Gen'!D35+Thermal!D$6+'Fed Hyd Ini'!D35)-'System Obligations'!D$34</f>
        <v>5388.053409229474</v>
      </c>
      <c r="E35" s="130">
        <f>(1-Losses)*('LLH Hyd Gen'!E35+Thermal!E$6+'Fed Hyd Ini'!E35)-'System Obligations'!E$34</f>
        <v>6152.416303061321</v>
      </c>
      <c r="F35" s="130">
        <f>(1-Losses)*('LLH Hyd Gen'!F35+Thermal!F$6+'Fed Hyd Ini'!F35)-'System Obligations'!F$34</f>
        <v>5681.3226191328295</v>
      </c>
      <c r="G35" s="130">
        <f>(1-Losses)*('LLH Hyd Gen'!G35+Thermal!G$6+'Fed Hyd Ini'!G35)-'System Obligations'!G$34</f>
        <v>5654.866182938039</v>
      </c>
      <c r="H35" s="130">
        <f>(1-Losses)*('LLH Hyd Gen'!H35+Thermal!H$6+'Fed Hyd Ini'!H35)-'System Obligations'!H$34</f>
        <v>9732.14380899705</v>
      </c>
      <c r="I35" s="130">
        <f>(1-Losses)*('LLH Hyd Gen'!I35+Thermal!I$6+'Fed Hyd Ini'!I35)-'System Obligations'!I$34</f>
        <v>11928.847949881809</v>
      </c>
      <c r="J35" s="130">
        <f>(1-Losses)*('LLH Hyd Gen'!J35+Thermal!J$6+'Fed Hyd Ini'!J35)-'System Obligations'!J$34</f>
        <v>7696.070682611504</v>
      </c>
      <c r="K35" s="130">
        <f>(1-Losses)*('LLH Hyd Gen'!K35+Thermal!K$6+'Fed Hyd Ini'!K35)-'System Obligations'!K$34</f>
        <v>9224.311581011974</v>
      </c>
      <c r="L35" s="130">
        <f>(1-Losses)*('LLH Hyd Gen'!L35+Thermal!L$6+'Fed Hyd Ini'!L35)-'System Obligations'!L$34</f>
        <v>6447.431091073736</v>
      </c>
      <c r="M35" s="130">
        <f>(1-Losses)*('LLH Hyd Gen'!M35+Thermal!M$6+'Fed Hyd Ini'!M35)-'System Obligations'!M$34</f>
        <v>11565.115421758424</v>
      </c>
      <c r="N35" s="130">
        <f>(1-Losses)*('LLH Hyd Gen'!N35+Thermal!N$6+'Fed Hyd Ini'!N35)-'System Obligations'!N$34</f>
        <v>14130.81248545417</v>
      </c>
      <c r="O35" s="130">
        <f>(1-Losses)*('LLH Hyd Gen'!O35+Thermal!O$6+'Fed Hyd Ini'!O35)-'System Obligations'!O$34</f>
        <v>7020.354621885964</v>
      </c>
      <c r="P35" s="131">
        <f>SUMPRODUCT(B35:O35,'HLH-LLH Loads'!$N$5:$AA$5)</f>
        <v>30946523.948696375</v>
      </c>
      <c r="Q35" s="131"/>
      <c r="R35" s="131"/>
    </row>
    <row r="36" spans="1:18" ht="12.75">
      <c r="A36" s="128">
        <v>1962</v>
      </c>
      <c r="B36" s="130">
        <f>(1-Losses)*('LLH Hyd Gen'!B36+Thermal!B$6+'Fed Hyd Ini'!B36)-'System Obligations'!B$34</f>
        <v>6682.922993848899</v>
      </c>
      <c r="C36" s="130">
        <f>(1-Losses)*('LLH Hyd Gen'!C36+Thermal!C$6+'Fed Hyd Ini'!C36)-'System Obligations'!C$34</f>
        <v>6100.843802413227</v>
      </c>
      <c r="D36" s="130">
        <f>(1-Losses)*('LLH Hyd Gen'!D36+Thermal!D$6+'Fed Hyd Ini'!D36)-'System Obligations'!D$34</f>
        <v>5083.1018017259585</v>
      </c>
      <c r="E36" s="130">
        <f>(1-Losses)*('LLH Hyd Gen'!E36+Thermal!E$6+'Fed Hyd Ini'!E36)-'System Obligations'!E$34</f>
        <v>5990.732439613737</v>
      </c>
      <c r="F36" s="130">
        <f>(1-Losses)*('LLH Hyd Gen'!F36+Thermal!F$6+'Fed Hyd Ini'!F36)-'System Obligations'!F$34</f>
        <v>5289.1534944654</v>
      </c>
      <c r="G36" s="130">
        <f>(1-Losses)*('LLH Hyd Gen'!G36+Thermal!G$6+'Fed Hyd Ini'!G36)-'System Obligations'!G$34</f>
        <v>5821.470496925206</v>
      </c>
      <c r="H36" s="130">
        <f>(1-Losses)*('LLH Hyd Gen'!H36+Thermal!H$6+'Fed Hyd Ini'!H36)-'System Obligations'!H$34</f>
        <v>9594.455129656435</v>
      </c>
      <c r="I36" s="130">
        <f>(1-Losses)*('LLH Hyd Gen'!I36+Thermal!I$6+'Fed Hyd Ini'!I36)-'System Obligations'!I$34</f>
        <v>6588.541905899454</v>
      </c>
      <c r="J36" s="130">
        <f>(1-Losses)*('LLH Hyd Gen'!J36+Thermal!J$6+'Fed Hyd Ini'!J36)-'System Obligations'!J$34</f>
        <v>5774.781397825259</v>
      </c>
      <c r="K36" s="130">
        <f>(1-Losses)*('LLH Hyd Gen'!K36+Thermal!K$6+'Fed Hyd Ini'!K36)-'System Obligations'!K$34</f>
        <v>11147.832893828845</v>
      </c>
      <c r="L36" s="130">
        <f>(1-Losses)*('LLH Hyd Gen'!L36+Thermal!L$6+'Fed Hyd Ini'!L36)-'System Obligations'!L$34</f>
        <v>10712.029402119648</v>
      </c>
      <c r="M36" s="130">
        <f>(1-Losses)*('LLH Hyd Gen'!M36+Thermal!M$6+'Fed Hyd Ini'!M36)-'System Obligations'!M$34</f>
        <v>8210.172493941573</v>
      </c>
      <c r="N36" s="130">
        <f>(1-Losses)*('LLH Hyd Gen'!N36+Thermal!N$6+'Fed Hyd Ini'!N36)-'System Obligations'!N$34</f>
        <v>7695.406643504724</v>
      </c>
      <c r="O36" s="130">
        <f>(1-Losses)*('LLH Hyd Gen'!O36+Thermal!O$6+'Fed Hyd Ini'!O36)-'System Obligations'!O$34</f>
        <v>8126.450733185669</v>
      </c>
      <c r="P36" s="131">
        <f>SUMPRODUCT(B36:O36,'HLH-LLH Loads'!$N$5:$AA$5)</f>
        <v>26779727.01565696</v>
      </c>
      <c r="Q36" s="131"/>
      <c r="R36" s="131"/>
    </row>
    <row r="37" spans="1:18" ht="12.75">
      <c r="A37" s="128">
        <v>1963</v>
      </c>
      <c r="B37" s="130">
        <f>(1-Losses)*('LLH Hyd Gen'!B37+Thermal!B$6+'Fed Hyd Ini'!B37)-'System Obligations'!B$34</f>
        <v>8003.727659424213</v>
      </c>
      <c r="C37" s="130">
        <f>(1-Losses)*('LLH Hyd Gen'!C37+Thermal!C$6+'Fed Hyd Ini'!C37)-'System Obligations'!C$34</f>
        <v>6776.341933163302</v>
      </c>
      <c r="D37" s="130">
        <f>(1-Losses)*('LLH Hyd Gen'!D37+Thermal!D$6+'Fed Hyd Ini'!D37)-'System Obligations'!D$34</f>
        <v>5204.280727776004</v>
      </c>
      <c r="E37" s="130">
        <f>(1-Losses)*('LLH Hyd Gen'!E37+Thermal!E$6+'Fed Hyd Ini'!E37)-'System Obligations'!E$34</f>
        <v>6623.469587873762</v>
      </c>
      <c r="F37" s="130">
        <f>(1-Losses)*('LLH Hyd Gen'!F37+Thermal!F$6+'Fed Hyd Ini'!F37)-'System Obligations'!F$34</f>
        <v>6066.55951275528</v>
      </c>
      <c r="G37" s="130">
        <f>(1-Losses)*('LLH Hyd Gen'!G37+Thermal!G$6+'Fed Hyd Ini'!G37)-'System Obligations'!G$34</f>
        <v>6980.929338385985</v>
      </c>
      <c r="H37" s="130">
        <f>(1-Losses)*('LLH Hyd Gen'!H37+Thermal!H$6+'Fed Hyd Ini'!H37)-'System Obligations'!H$34</f>
        <v>10111.541183483485</v>
      </c>
      <c r="I37" s="130">
        <f>(1-Losses)*('LLH Hyd Gen'!I37+Thermal!I$6+'Fed Hyd Ini'!I37)-'System Obligations'!I$34</f>
        <v>8104.870376773681</v>
      </c>
      <c r="J37" s="130">
        <f>(1-Losses)*('LLH Hyd Gen'!J37+Thermal!J$6+'Fed Hyd Ini'!J37)-'System Obligations'!J$34</f>
        <v>5849.343943584035</v>
      </c>
      <c r="K37" s="130">
        <f>(1-Losses)*('LLH Hyd Gen'!K37+Thermal!K$6+'Fed Hyd Ini'!K37)-'System Obligations'!K$34</f>
        <v>7479.806022732993</v>
      </c>
      <c r="L37" s="130">
        <f>(1-Losses)*('LLH Hyd Gen'!L37+Thermal!L$6+'Fed Hyd Ini'!L37)-'System Obligations'!L$34</f>
        <v>7236.427684904218</v>
      </c>
      <c r="M37" s="130">
        <f>(1-Losses)*('LLH Hyd Gen'!M37+Thermal!M$6+'Fed Hyd Ini'!M37)-'System Obligations'!M$34</f>
        <v>7735.243108660563</v>
      </c>
      <c r="N37" s="130">
        <f>(1-Losses)*('LLH Hyd Gen'!N37+Thermal!N$6+'Fed Hyd Ini'!N37)-'System Obligations'!N$34</f>
        <v>8298.587138068815</v>
      </c>
      <c r="O37" s="130">
        <f>(1-Losses)*('LLH Hyd Gen'!O37+Thermal!O$6+'Fed Hyd Ini'!O37)-'System Obligations'!O$34</f>
        <v>7950.969375867129</v>
      </c>
      <c r="P37" s="131">
        <f>SUMPRODUCT(B37:O37,'HLH-LLH Loads'!$N$5:$AA$5)</f>
        <v>27403987.137713216</v>
      </c>
      <c r="Q37" s="131"/>
      <c r="R37" s="131"/>
    </row>
    <row r="38" spans="1:18" ht="12.75">
      <c r="A38" s="128">
        <v>1964</v>
      </c>
      <c r="B38" s="130">
        <f>(1-Losses)*('LLH Hyd Gen'!B38+Thermal!B$6+'Fed Hyd Ini'!B38)-'System Obligations'!B$34</f>
        <v>7580.493779245598</v>
      </c>
      <c r="C38" s="130">
        <f>(1-Losses)*('LLH Hyd Gen'!C38+Thermal!C$6+'Fed Hyd Ini'!C38)-'System Obligations'!C$34</f>
        <v>6753.661445211035</v>
      </c>
      <c r="D38" s="130">
        <f>(1-Losses)*('LLH Hyd Gen'!D38+Thermal!D$6+'Fed Hyd Ini'!D38)-'System Obligations'!D$34</f>
        <v>5992.784311791462</v>
      </c>
      <c r="E38" s="130">
        <f>(1-Losses)*('LLH Hyd Gen'!E38+Thermal!E$6+'Fed Hyd Ini'!E38)-'System Obligations'!E$34</f>
        <v>5919.945051929328</v>
      </c>
      <c r="F38" s="130">
        <f>(1-Losses)*('LLH Hyd Gen'!F38+Thermal!F$6+'Fed Hyd Ini'!F38)-'System Obligations'!F$34</f>
        <v>5316.604618992259</v>
      </c>
      <c r="G38" s="130">
        <f>(1-Losses)*('LLH Hyd Gen'!G38+Thermal!G$6+'Fed Hyd Ini'!G38)-'System Obligations'!G$34</f>
        <v>5709.296481911637</v>
      </c>
      <c r="H38" s="130">
        <f>(1-Losses)*('LLH Hyd Gen'!H38+Thermal!H$6+'Fed Hyd Ini'!H38)-'System Obligations'!H$34</f>
        <v>7252.461904481219</v>
      </c>
      <c r="I38" s="130">
        <f>(1-Losses)*('LLH Hyd Gen'!I38+Thermal!I$6+'Fed Hyd Ini'!I38)-'System Obligations'!I$34</f>
        <v>10725.986110120926</v>
      </c>
      <c r="J38" s="130">
        <f>(1-Losses)*('LLH Hyd Gen'!J38+Thermal!J$6+'Fed Hyd Ini'!J38)-'System Obligations'!J$34</f>
        <v>5610.2064208255815</v>
      </c>
      <c r="K38" s="130">
        <f>(1-Losses)*('LLH Hyd Gen'!K38+Thermal!K$6+'Fed Hyd Ini'!K38)-'System Obligations'!K$34</f>
        <v>8877.91470848976</v>
      </c>
      <c r="L38" s="130">
        <f>(1-Losses)*('LLH Hyd Gen'!L38+Thermal!L$6+'Fed Hyd Ini'!L38)-'System Obligations'!L$34</f>
        <v>6760.355865950545</v>
      </c>
      <c r="M38" s="130">
        <f>(1-Losses)*('LLH Hyd Gen'!M38+Thermal!M$6+'Fed Hyd Ini'!M38)-'System Obligations'!M$34</f>
        <v>8205.260366105089</v>
      </c>
      <c r="N38" s="130">
        <f>(1-Losses)*('LLH Hyd Gen'!N38+Thermal!N$6+'Fed Hyd Ini'!N38)-'System Obligations'!N$34</f>
        <v>13195.318122924813</v>
      </c>
      <c r="O38" s="130">
        <f>(1-Losses)*('LLH Hyd Gen'!O38+Thermal!O$6+'Fed Hyd Ini'!O38)-'System Obligations'!O$34</f>
        <v>11582.839278964642</v>
      </c>
      <c r="P38" s="131">
        <f>SUMPRODUCT(B38:O38,'HLH-LLH Loads'!$N$5:$AA$5)</f>
        <v>29477155.850692827</v>
      </c>
      <c r="Q38" s="131"/>
      <c r="R38" s="131"/>
    </row>
    <row r="39" spans="1:18" ht="12.75">
      <c r="A39" s="128">
        <v>1965</v>
      </c>
      <c r="B39" s="130">
        <f>(1-Losses)*('LLH Hyd Gen'!B39+Thermal!B$6+'Fed Hyd Ini'!B39)-'System Obligations'!B$34</f>
        <v>8357.101793387406</v>
      </c>
      <c r="C39" s="130">
        <f>(1-Losses)*('LLH Hyd Gen'!C39+Thermal!C$6+'Fed Hyd Ini'!C39)-'System Obligations'!C$34</f>
        <v>7691.56966410145</v>
      </c>
      <c r="D39" s="130">
        <f>(1-Losses)*('LLH Hyd Gen'!D39+Thermal!D$6+'Fed Hyd Ini'!D39)-'System Obligations'!D$34</f>
        <v>6347.512794986202</v>
      </c>
      <c r="E39" s="130">
        <f>(1-Losses)*('LLH Hyd Gen'!E39+Thermal!E$6+'Fed Hyd Ini'!E39)-'System Obligations'!E$34</f>
        <v>6819.082566995249</v>
      </c>
      <c r="F39" s="130">
        <f>(1-Losses)*('LLH Hyd Gen'!F39+Thermal!F$6+'Fed Hyd Ini'!F39)-'System Obligations'!F$34</f>
        <v>5651.4387457706425</v>
      </c>
      <c r="G39" s="130">
        <f>(1-Losses)*('LLH Hyd Gen'!G39+Thermal!G$6+'Fed Hyd Ini'!G39)-'System Obligations'!G$34</f>
        <v>9108.886547576576</v>
      </c>
      <c r="H39" s="130">
        <f>(1-Losses)*('LLH Hyd Gen'!H39+Thermal!H$6+'Fed Hyd Ini'!H39)-'System Obligations'!H$34</f>
        <v>14718.219850075411</v>
      </c>
      <c r="I39" s="130">
        <f>(1-Losses)*('LLH Hyd Gen'!I39+Thermal!I$6+'Fed Hyd Ini'!I39)-'System Obligations'!I$34</f>
        <v>11678.450451742397</v>
      </c>
      <c r="J39" s="130">
        <f>(1-Losses)*('LLH Hyd Gen'!J39+Thermal!J$6+'Fed Hyd Ini'!J39)-'System Obligations'!J$34</f>
        <v>9248.759229220997</v>
      </c>
      <c r="K39" s="130">
        <f>(1-Losses)*('LLH Hyd Gen'!K39+Thermal!K$6+'Fed Hyd Ini'!K39)-'System Obligations'!K$34</f>
        <v>8260.449125469891</v>
      </c>
      <c r="L39" s="130">
        <f>(1-Losses)*('LLH Hyd Gen'!L39+Thermal!L$6+'Fed Hyd Ini'!L39)-'System Obligations'!L$34</f>
        <v>11802.832811428061</v>
      </c>
      <c r="M39" s="130">
        <f>(1-Losses)*('LLH Hyd Gen'!M39+Thermal!M$6+'Fed Hyd Ini'!M39)-'System Obligations'!M$34</f>
        <v>11851.474266954858</v>
      </c>
      <c r="N39" s="130">
        <f>(1-Losses)*('LLH Hyd Gen'!N39+Thermal!N$6+'Fed Hyd Ini'!N39)-'System Obligations'!N$34</f>
        <v>10204.657277628157</v>
      </c>
      <c r="O39" s="130">
        <f>(1-Losses)*('LLH Hyd Gen'!O39+Thermal!O$6+'Fed Hyd Ini'!O39)-'System Obligations'!O$34</f>
        <v>7688.323481636979</v>
      </c>
      <c r="P39" s="131">
        <f>SUMPRODUCT(B39:O39,'HLH-LLH Loads'!$N$5:$AA$5)</f>
        <v>34717508.885744855</v>
      </c>
      <c r="Q39" s="131"/>
      <c r="R39" s="131"/>
    </row>
    <row r="40" spans="1:18" ht="12.75">
      <c r="A40" s="128">
        <v>1966</v>
      </c>
      <c r="B40" s="130">
        <f>(1-Losses)*('LLH Hyd Gen'!B40+Thermal!B$6+'Fed Hyd Ini'!B40)-'System Obligations'!B$34</f>
        <v>8530.750356136983</v>
      </c>
      <c r="C40" s="130">
        <f>(1-Losses)*('LLH Hyd Gen'!C40+Thermal!C$6+'Fed Hyd Ini'!C40)-'System Obligations'!C$34</f>
        <v>7288.899193872998</v>
      </c>
      <c r="D40" s="130">
        <f>(1-Losses)*('LLH Hyd Gen'!D40+Thermal!D$6+'Fed Hyd Ini'!D40)-'System Obligations'!D$34</f>
        <v>5670.9469113736095</v>
      </c>
      <c r="E40" s="130">
        <f>(1-Losses)*('LLH Hyd Gen'!E40+Thermal!E$6+'Fed Hyd Ini'!E40)-'System Obligations'!E$34</f>
        <v>6507.3629314274385</v>
      </c>
      <c r="F40" s="130">
        <f>(1-Losses)*('LLH Hyd Gen'!F40+Thermal!F$6+'Fed Hyd Ini'!F40)-'System Obligations'!F$34</f>
        <v>5705.642536989197</v>
      </c>
      <c r="G40" s="130">
        <f>(1-Losses)*('LLH Hyd Gen'!G40+Thermal!G$6+'Fed Hyd Ini'!G40)-'System Obligations'!G$34</f>
        <v>6340.795053215689</v>
      </c>
      <c r="H40" s="130">
        <f>(1-Losses)*('LLH Hyd Gen'!H40+Thermal!H$6+'Fed Hyd Ini'!H40)-'System Obligations'!H$34</f>
        <v>8814.065855652583</v>
      </c>
      <c r="I40" s="130">
        <f>(1-Losses)*('LLH Hyd Gen'!I40+Thermal!I$6+'Fed Hyd Ini'!I40)-'System Obligations'!I$34</f>
        <v>8476.222883418233</v>
      </c>
      <c r="J40" s="130">
        <f>(1-Losses)*('LLH Hyd Gen'!J40+Thermal!J$6+'Fed Hyd Ini'!J40)-'System Obligations'!J$34</f>
        <v>5919.336275511794</v>
      </c>
      <c r="K40" s="130">
        <f>(1-Losses)*('LLH Hyd Gen'!K40+Thermal!K$6+'Fed Hyd Ini'!K40)-'System Obligations'!K$34</f>
        <v>10781.593031538903</v>
      </c>
      <c r="L40" s="130">
        <f>(1-Losses)*('LLH Hyd Gen'!L40+Thermal!L$6+'Fed Hyd Ini'!L40)-'System Obligations'!L$34</f>
        <v>7841.594406358643</v>
      </c>
      <c r="M40" s="130">
        <f>(1-Losses)*('LLH Hyd Gen'!M40+Thermal!M$6+'Fed Hyd Ini'!M40)-'System Obligations'!M$34</f>
        <v>7305.600010802638</v>
      </c>
      <c r="N40" s="130">
        <f>(1-Losses)*('LLH Hyd Gen'!N40+Thermal!N$6+'Fed Hyd Ini'!N40)-'System Obligations'!N$34</f>
        <v>6865.947180739846</v>
      </c>
      <c r="O40" s="130">
        <f>(1-Losses)*('LLH Hyd Gen'!O40+Thermal!O$6+'Fed Hyd Ini'!O40)-'System Obligations'!O$34</f>
        <v>8395.821647638568</v>
      </c>
      <c r="P40" s="131">
        <f>SUMPRODUCT(B40:O40,'HLH-LLH Loads'!$N$5:$AA$5)</f>
        <v>27297205.217571314</v>
      </c>
      <c r="Q40" s="131"/>
      <c r="R40" s="131"/>
    </row>
    <row r="41" spans="1:18" ht="12.75">
      <c r="A41" s="128">
        <v>1967</v>
      </c>
      <c r="B41" s="130">
        <f>(1-Losses)*('LLH Hyd Gen'!B41+Thermal!B$6+'Fed Hyd Ini'!B41)-'System Obligations'!B$34</f>
        <v>8083.768828979596</v>
      </c>
      <c r="C41" s="130">
        <f>(1-Losses)*('LLH Hyd Gen'!C41+Thermal!C$6+'Fed Hyd Ini'!C41)-'System Obligations'!C$34</f>
        <v>5927.349956539414</v>
      </c>
      <c r="D41" s="130">
        <f>(1-Losses)*('LLH Hyd Gen'!D41+Thermal!D$6+'Fed Hyd Ini'!D41)-'System Obligations'!D$34</f>
        <v>5194.814529827486</v>
      </c>
      <c r="E41" s="130">
        <f>(1-Losses)*('LLH Hyd Gen'!E41+Thermal!E$6+'Fed Hyd Ini'!E41)-'System Obligations'!E$34</f>
        <v>5820.385049718566</v>
      </c>
      <c r="F41" s="130">
        <f>(1-Losses)*('LLH Hyd Gen'!F41+Thermal!F$6+'Fed Hyd Ini'!F41)-'System Obligations'!F$34</f>
        <v>5278.237742363576</v>
      </c>
      <c r="G41" s="130">
        <f>(1-Losses)*('LLH Hyd Gen'!G41+Thermal!G$6+'Fed Hyd Ini'!G41)-'System Obligations'!G$34</f>
        <v>6069.724694888023</v>
      </c>
      <c r="H41" s="130">
        <f>(1-Losses)*('LLH Hyd Gen'!H41+Thermal!H$6+'Fed Hyd Ini'!H41)-'System Obligations'!H$34</f>
        <v>11729.94898093005</v>
      </c>
      <c r="I41" s="130">
        <f>(1-Losses)*('LLH Hyd Gen'!I41+Thermal!I$6+'Fed Hyd Ini'!I41)-'System Obligations'!I$34</f>
        <v>10313.501969732319</v>
      </c>
      <c r="J41" s="130">
        <f>(1-Losses)*('LLH Hyd Gen'!J41+Thermal!J$6+'Fed Hyd Ini'!J41)-'System Obligations'!J$34</f>
        <v>7179.039547196466</v>
      </c>
      <c r="K41" s="130">
        <f>(1-Losses)*('LLH Hyd Gen'!K41+Thermal!K$6+'Fed Hyd Ini'!K41)-'System Obligations'!K$34</f>
        <v>8985.558759289368</v>
      </c>
      <c r="L41" s="130">
        <f>(1-Losses)*('LLH Hyd Gen'!L41+Thermal!L$6+'Fed Hyd Ini'!L41)-'System Obligations'!L$34</f>
        <v>5708.906365050836</v>
      </c>
      <c r="M41" s="130">
        <f>(1-Losses)*('LLH Hyd Gen'!M41+Thermal!M$6+'Fed Hyd Ini'!M41)-'System Obligations'!M$34</f>
        <v>8611.342786775616</v>
      </c>
      <c r="N41" s="130">
        <f>(1-Losses)*('LLH Hyd Gen'!N41+Thermal!N$6+'Fed Hyd Ini'!N41)-'System Obligations'!N$34</f>
        <v>12338.648009411538</v>
      </c>
      <c r="O41" s="130">
        <f>(1-Losses)*('LLH Hyd Gen'!O41+Thermal!O$6+'Fed Hyd Ini'!O41)-'System Obligations'!O$34</f>
        <v>11486.925230342498</v>
      </c>
      <c r="P41" s="131">
        <f>SUMPRODUCT(B41:O41,'HLH-LLH Loads'!$N$5:$AA$5)</f>
        <v>30713492.789022412</v>
      </c>
      <c r="Q41" s="131"/>
      <c r="R41" s="131"/>
    </row>
    <row r="42" spans="1:18" ht="12.75">
      <c r="A42" s="128">
        <v>1968</v>
      </c>
      <c r="B42" s="130">
        <f>(1-Losses)*('LLH Hyd Gen'!B42+Thermal!B$6+'Fed Hyd Ini'!B42)-'System Obligations'!B$34</f>
        <v>9028.307952809513</v>
      </c>
      <c r="C42" s="130">
        <f>(1-Losses)*('LLH Hyd Gen'!C42+Thermal!C$6+'Fed Hyd Ini'!C42)-'System Obligations'!C$34</f>
        <v>7287.327247237237</v>
      </c>
      <c r="D42" s="130">
        <f>(1-Losses)*('LLH Hyd Gen'!D42+Thermal!D$6+'Fed Hyd Ini'!D42)-'System Obligations'!D$34</f>
        <v>5798.805397040265</v>
      </c>
      <c r="E42" s="130">
        <f>(1-Losses)*('LLH Hyd Gen'!E42+Thermal!E$6+'Fed Hyd Ini'!E42)-'System Obligations'!E$34</f>
        <v>6363.554806075946</v>
      </c>
      <c r="F42" s="130">
        <f>(1-Losses)*('LLH Hyd Gen'!F42+Thermal!F$6+'Fed Hyd Ini'!F42)-'System Obligations'!F$34</f>
        <v>5603.414041135145</v>
      </c>
      <c r="G42" s="130">
        <f>(1-Losses)*('LLH Hyd Gen'!G42+Thermal!G$6+'Fed Hyd Ini'!G42)-'System Obligations'!G$34</f>
        <v>6269.409618607152</v>
      </c>
      <c r="H42" s="130">
        <f>(1-Losses)*('LLH Hyd Gen'!H42+Thermal!H$6+'Fed Hyd Ini'!H42)-'System Obligations'!H$34</f>
        <v>9907.010735610265</v>
      </c>
      <c r="I42" s="130">
        <f>(1-Losses)*('LLH Hyd Gen'!I42+Thermal!I$6+'Fed Hyd Ini'!I42)-'System Obligations'!I$34</f>
        <v>10335.73943367313</v>
      </c>
      <c r="J42" s="130">
        <f>(1-Losses)*('LLH Hyd Gen'!J42+Thermal!J$6+'Fed Hyd Ini'!J42)-'System Obligations'!J$34</f>
        <v>7489.649277715726</v>
      </c>
      <c r="K42" s="130">
        <f>(1-Losses)*('LLH Hyd Gen'!K42+Thermal!K$6+'Fed Hyd Ini'!K42)-'System Obligations'!K$34</f>
        <v>6049.812780010498</v>
      </c>
      <c r="L42" s="130">
        <f>(1-Losses)*('LLH Hyd Gen'!L42+Thermal!L$6+'Fed Hyd Ini'!L42)-'System Obligations'!L$34</f>
        <v>6246.105593394268</v>
      </c>
      <c r="M42" s="130">
        <f>(1-Losses)*('LLH Hyd Gen'!M42+Thermal!M$6+'Fed Hyd Ini'!M42)-'System Obligations'!M$34</f>
        <v>6450.240349714059</v>
      </c>
      <c r="N42" s="130">
        <f>(1-Losses)*('LLH Hyd Gen'!N42+Thermal!N$6+'Fed Hyd Ini'!N42)-'System Obligations'!N$34</f>
        <v>8562.55497183967</v>
      </c>
      <c r="O42" s="130">
        <f>(1-Losses)*('LLH Hyd Gen'!O42+Thermal!O$6+'Fed Hyd Ini'!O42)-'System Obligations'!O$34</f>
        <v>8077.282844325913</v>
      </c>
      <c r="P42" s="131">
        <f>SUMPRODUCT(B42:O42,'HLH-LLH Loads'!$N$5:$AA$5)</f>
        <v>27783230.160668593</v>
      </c>
      <c r="Q42" s="131"/>
      <c r="R42" s="131"/>
    </row>
    <row r="43" spans="1:18" ht="12.75">
      <c r="A43" s="128">
        <v>1969</v>
      </c>
      <c r="B43" s="130">
        <f>(1-Losses)*('LLH Hyd Gen'!B43+Thermal!B$6+'Fed Hyd Ini'!B43)-'System Obligations'!B$34</f>
        <v>9380.941435918385</v>
      </c>
      <c r="C43" s="130">
        <f>(1-Losses)*('LLH Hyd Gen'!C43+Thermal!C$6+'Fed Hyd Ini'!C43)-'System Obligations'!C$34</f>
        <v>7278.162909852268</v>
      </c>
      <c r="D43" s="130">
        <f>(1-Losses)*('LLH Hyd Gen'!D43+Thermal!D$6+'Fed Hyd Ini'!D43)-'System Obligations'!D$34</f>
        <v>6613.158142178211</v>
      </c>
      <c r="E43" s="130">
        <f>(1-Losses)*('LLH Hyd Gen'!E43+Thermal!E$6+'Fed Hyd Ini'!E43)-'System Obligations'!E$34</f>
        <v>6952.222312905343</v>
      </c>
      <c r="F43" s="130">
        <f>(1-Losses)*('LLH Hyd Gen'!F43+Thermal!F$6+'Fed Hyd Ini'!F43)-'System Obligations'!F$34</f>
        <v>6396.10090151984</v>
      </c>
      <c r="G43" s="130">
        <f>(1-Losses)*('LLH Hyd Gen'!G43+Thermal!G$6+'Fed Hyd Ini'!G43)-'System Obligations'!G$34</f>
        <v>6784.617220185856</v>
      </c>
      <c r="H43" s="130">
        <f>(1-Losses)*('LLH Hyd Gen'!H43+Thermal!H$6+'Fed Hyd Ini'!H43)-'System Obligations'!H$34</f>
        <v>13416.8598692554</v>
      </c>
      <c r="I43" s="130">
        <f>(1-Losses)*('LLH Hyd Gen'!I43+Thermal!I$6+'Fed Hyd Ini'!I43)-'System Obligations'!I$34</f>
        <v>10268.964950770944</v>
      </c>
      <c r="J43" s="130">
        <f>(1-Losses)*('LLH Hyd Gen'!J43+Thermal!J$6+'Fed Hyd Ini'!J43)-'System Obligations'!J$34</f>
        <v>8276.33814816727</v>
      </c>
      <c r="K43" s="130">
        <f>(1-Losses)*('LLH Hyd Gen'!K43+Thermal!K$6+'Fed Hyd Ini'!K43)-'System Obligations'!K$34</f>
        <v>10846.599836514291</v>
      </c>
      <c r="L43" s="130">
        <f>(1-Losses)*('LLH Hyd Gen'!L43+Thermal!L$6+'Fed Hyd Ini'!L43)-'System Obligations'!L$34</f>
        <v>11354.954179874694</v>
      </c>
      <c r="M43" s="130">
        <f>(1-Losses)*('LLH Hyd Gen'!M43+Thermal!M$6+'Fed Hyd Ini'!M43)-'System Obligations'!M$34</f>
        <v>14792.61867325243</v>
      </c>
      <c r="N43" s="130">
        <f>(1-Losses)*('LLH Hyd Gen'!N43+Thermal!N$6+'Fed Hyd Ini'!N43)-'System Obligations'!N$34</f>
        <v>10296.6897790629</v>
      </c>
      <c r="O43" s="130">
        <f>(1-Losses)*('LLH Hyd Gen'!O43+Thermal!O$6+'Fed Hyd Ini'!O43)-'System Obligations'!O$34</f>
        <v>7855.650550646849</v>
      </c>
      <c r="P43" s="131">
        <f>SUMPRODUCT(B43:O43,'HLH-LLH Loads'!$N$5:$AA$5)</f>
        <v>34646972.87460939</v>
      </c>
      <c r="Q43" s="131"/>
      <c r="R43" s="131"/>
    </row>
    <row r="44" spans="1:18" ht="12.75">
      <c r="A44" s="128">
        <v>1970</v>
      </c>
      <c r="B44" s="130">
        <f>(1-Losses)*('LLH Hyd Gen'!B44+Thermal!B$6+'Fed Hyd Ini'!B44)-'System Obligations'!B$34</f>
        <v>6570.207274790317</v>
      </c>
      <c r="C44" s="130">
        <f>(1-Losses)*('LLH Hyd Gen'!C44+Thermal!C$6+'Fed Hyd Ini'!C44)-'System Obligations'!C$34</f>
        <v>5088.77977859654</v>
      </c>
      <c r="D44" s="130">
        <f>(1-Losses)*('LLH Hyd Gen'!D44+Thermal!D$6+'Fed Hyd Ini'!D44)-'System Obligations'!D$34</f>
        <v>5209.364580815678</v>
      </c>
      <c r="E44" s="130">
        <f>(1-Losses)*('LLH Hyd Gen'!E44+Thermal!E$6+'Fed Hyd Ini'!E44)-'System Obligations'!E$34</f>
        <v>6250.673445564072</v>
      </c>
      <c r="F44" s="130">
        <f>(1-Losses)*('LLH Hyd Gen'!F44+Thermal!F$6+'Fed Hyd Ini'!F44)-'System Obligations'!F$34</f>
        <v>5275.540770472547</v>
      </c>
      <c r="G44" s="130">
        <f>(1-Losses)*('LLH Hyd Gen'!G44+Thermal!G$6+'Fed Hyd Ini'!G44)-'System Obligations'!G$34</f>
        <v>5814.940615630088</v>
      </c>
      <c r="H44" s="130">
        <f>(1-Losses)*('LLH Hyd Gen'!H44+Thermal!H$6+'Fed Hyd Ini'!H44)-'System Obligations'!H$34</f>
        <v>7458.9134740014</v>
      </c>
      <c r="I44" s="130">
        <f>(1-Losses)*('LLH Hyd Gen'!I44+Thermal!I$6+'Fed Hyd Ini'!I44)-'System Obligations'!I$34</f>
        <v>10713.093234920108</v>
      </c>
      <c r="J44" s="130">
        <f>(1-Losses)*('LLH Hyd Gen'!J44+Thermal!J$6+'Fed Hyd Ini'!J44)-'System Obligations'!J$34</f>
        <v>6518.401633194676</v>
      </c>
      <c r="K44" s="130">
        <f>(1-Losses)*('LLH Hyd Gen'!K44+Thermal!K$6+'Fed Hyd Ini'!K44)-'System Obligations'!K$34</f>
        <v>6838.448022912131</v>
      </c>
      <c r="L44" s="130">
        <f>(1-Losses)*('LLH Hyd Gen'!L44+Thermal!L$6+'Fed Hyd Ini'!L44)-'System Obligations'!L$34</f>
        <v>7199.704235543394</v>
      </c>
      <c r="M44" s="130">
        <f>(1-Losses)*('LLH Hyd Gen'!M44+Thermal!M$6+'Fed Hyd Ini'!M44)-'System Obligations'!M$34</f>
        <v>8026.766987765972</v>
      </c>
      <c r="N44" s="130">
        <f>(1-Losses)*('LLH Hyd Gen'!N44+Thermal!N$6+'Fed Hyd Ini'!N44)-'System Obligations'!N$34</f>
        <v>9107.974713834008</v>
      </c>
      <c r="O44" s="130">
        <f>(1-Losses)*('LLH Hyd Gen'!O44+Thermal!O$6+'Fed Hyd Ini'!O44)-'System Obligations'!O$34</f>
        <v>6907.901291227613</v>
      </c>
      <c r="P44" s="131">
        <f>SUMPRODUCT(B44:O44,'HLH-LLH Loads'!$N$5:$AA$5)</f>
        <v>26186283.622672062</v>
      </c>
      <c r="Q44" s="131"/>
      <c r="R44" s="131"/>
    </row>
    <row r="45" spans="1:18" ht="12.75">
      <c r="A45" s="128">
        <v>1971</v>
      </c>
      <c r="B45" s="130">
        <f>(1-Losses)*('LLH Hyd Gen'!B45+Thermal!B$6+'Fed Hyd Ini'!B45)-'System Obligations'!B$34</f>
        <v>6649.152220228079</v>
      </c>
      <c r="C45" s="130">
        <f>(1-Losses)*('LLH Hyd Gen'!C45+Thermal!C$6+'Fed Hyd Ini'!C45)-'System Obligations'!C$34</f>
        <v>5911.354284651334</v>
      </c>
      <c r="D45" s="130">
        <f>(1-Losses)*('LLH Hyd Gen'!D45+Thermal!D$6+'Fed Hyd Ini'!D45)-'System Obligations'!D$34</f>
        <v>5165.540290574741</v>
      </c>
      <c r="E45" s="130">
        <f>(1-Losses)*('LLH Hyd Gen'!E45+Thermal!E$6+'Fed Hyd Ini'!E45)-'System Obligations'!E$34</f>
        <v>5737.154517258089</v>
      </c>
      <c r="F45" s="130">
        <f>(1-Losses)*('LLH Hyd Gen'!F45+Thermal!F$6+'Fed Hyd Ini'!F45)-'System Obligations'!F$34</f>
        <v>5361.822290957762</v>
      </c>
      <c r="G45" s="130">
        <f>(1-Losses)*('LLH Hyd Gen'!G45+Thermal!G$6+'Fed Hyd Ini'!G45)-'System Obligations'!G$34</f>
        <v>6693.638015835539</v>
      </c>
      <c r="H45" s="130">
        <f>(1-Losses)*('LLH Hyd Gen'!H45+Thermal!H$6+'Fed Hyd Ini'!H45)-'System Obligations'!H$34</f>
        <v>12193.83438112419</v>
      </c>
      <c r="I45" s="130">
        <f>(1-Losses)*('LLH Hyd Gen'!I45+Thermal!I$6+'Fed Hyd Ini'!I45)-'System Obligations'!I$34</f>
        <v>12714.004672608693</v>
      </c>
      <c r="J45" s="130">
        <f>(1-Losses)*('LLH Hyd Gen'!J45+Thermal!J$6+'Fed Hyd Ini'!J45)-'System Obligations'!J$34</f>
        <v>9037.193220664722</v>
      </c>
      <c r="K45" s="130">
        <f>(1-Losses)*('LLH Hyd Gen'!K45+Thermal!K$6+'Fed Hyd Ini'!K45)-'System Obligations'!K$34</f>
        <v>11983.850468234394</v>
      </c>
      <c r="L45" s="130">
        <f>(1-Losses)*('LLH Hyd Gen'!L45+Thermal!L$6+'Fed Hyd Ini'!L45)-'System Obligations'!L$34</f>
        <v>11236.312564882937</v>
      </c>
      <c r="M45" s="130">
        <f>(1-Losses)*('LLH Hyd Gen'!M45+Thermal!M$6+'Fed Hyd Ini'!M45)-'System Obligations'!M$34</f>
        <v>15733.087297358405</v>
      </c>
      <c r="N45" s="130">
        <f>(1-Losses)*('LLH Hyd Gen'!N45+Thermal!N$6+'Fed Hyd Ini'!N45)-'System Obligations'!N$34</f>
        <v>12323.797773701068</v>
      </c>
      <c r="O45" s="130">
        <f>(1-Losses)*('LLH Hyd Gen'!O45+Thermal!O$6+'Fed Hyd Ini'!O45)-'System Obligations'!O$34</f>
        <v>9671.765847233437</v>
      </c>
      <c r="P45" s="131">
        <f>SUMPRODUCT(B45:O45,'HLH-LLH Loads'!$N$5:$AA$5)</f>
        <v>35068523.302528016</v>
      </c>
      <c r="Q45" s="131"/>
      <c r="R45" s="131"/>
    </row>
    <row r="46" spans="1:18" ht="12.75">
      <c r="A46" s="128">
        <v>1972</v>
      </c>
      <c r="B46" s="130">
        <f>(1-Losses)*('LLH Hyd Gen'!B46+Thermal!B$6+'Fed Hyd Ini'!B46)-'System Obligations'!B$34</f>
        <v>9206.605468429625</v>
      </c>
      <c r="C46" s="130">
        <f>(1-Losses)*('LLH Hyd Gen'!C46+Thermal!C$6+'Fed Hyd Ini'!C46)-'System Obligations'!C$34</f>
        <v>8539.300077881075</v>
      </c>
      <c r="D46" s="130">
        <f>(1-Losses)*('LLH Hyd Gen'!D46+Thermal!D$6+'Fed Hyd Ini'!D46)-'System Obligations'!D$34</f>
        <v>6120.543511282444</v>
      </c>
      <c r="E46" s="130">
        <f>(1-Losses)*('LLH Hyd Gen'!E46+Thermal!E$6+'Fed Hyd Ini'!E46)-'System Obligations'!E$34</f>
        <v>6176.963871874627</v>
      </c>
      <c r="F46" s="130">
        <f>(1-Losses)*('LLH Hyd Gen'!F46+Thermal!F$6+'Fed Hyd Ini'!F46)-'System Obligations'!F$34</f>
        <v>5640.941204759394</v>
      </c>
      <c r="G46" s="130">
        <f>(1-Losses)*('LLH Hyd Gen'!G46+Thermal!G$6+'Fed Hyd Ini'!G46)-'System Obligations'!G$34</f>
        <v>6384.765669724128</v>
      </c>
      <c r="H46" s="130">
        <f>(1-Losses)*('LLH Hyd Gen'!H46+Thermal!H$6+'Fed Hyd Ini'!H46)-'System Obligations'!H$34</f>
        <v>11955.624581222291</v>
      </c>
      <c r="I46" s="130">
        <f>(1-Losses)*('LLH Hyd Gen'!I46+Thermal!I$6+'Fed Hyd Ini'!I46)-'System Obligations'!I$34</f>
        <v>11800.616678314318</v>
      </c>
      <c r="J46" s="130">
        <f>(1-Losses)*('LLH Hyd Gen'!J46+Thermal!J$6+'Fed Hyd Ini'!J46)-'System Obligations'!J$34</f>
        <v>14963.227508669786</v>
      </c>
      <c r="K46" s="130">
        <f>(1-Losses)*('LLH Hyd Gen'!K46+Thermal!K$6+'Fed Hyd Ini'!K46)-'System Obligations'!K$34</f>
        <v>13188.512246640676</v>
      </c>
      <c r="L46" s="130">
        <f>(1-Losses)*('LLH Hyd Gen'!L46+Thermal!L$6+'Fed Hyd Ini'!L46)-'System Obligations'!L$34</f>
        <v>8724.001053372709</v>
      </c>
      <c r="M46" s="130">
        <f>(1-Losses)*('LLH Hyd Gen'!M46+Thermal!M$6+'Fed Hyd Ini'!M46)-'System Obligations'!M$34</f>
        <v>15060.710713433906</v>
      </c>
      <c r="N46" s="130">
        <f>(1-Losses)*('LLH Hyd Gen'!N46+Thermal!N$6+'Fed Hyd Ini'!N46)-'System Obligations'!N$34</f>
        <v>14599.065000466215</v>
      </c>
      <c r="O46" s="130">
        <f>(1-Losses)*('LLH Hyd Gen'!O46+Thermal!O$6+'Fed Hyd Ini'!O46)-'System Obligations'!O$34</f>
        <v>12578.393559807166</v>
      </c>
      <c r="P46" s="131">
        <f>SUMPRODUCT(B46:O46,'HLH-LLH Loads'!$N$5:$AA$5)</f>
        <v>39063178.95028238</v>
      </c>
      <c r="Q46" s="131"/>
      <c r="R46" s="131"/>
    </row>
    <row r="47" spans="1:18" ht="12.75">
      <c r="A47" s="128">
        <v>1973</v>
      </c>
      <c r="B47" s="130">
        <f>(1-Losses)*('LLH Hyd Gen'!B47+Thermal!B$6+'Fed Hyd Ini'!B47)-'System Obligations'!B$34</f>
        <v>9409.63306149818</v>
      </c>
      <c r="C47" s="130">
        <f>(1-Losses)*('LLH Hyd Gen'!C47+Thermal!C$6+'Fed Hyd Ini'!C47)-'System Obligations'!C$34</f>
        <v>9017.358373270017</v>
      </c>
      <c r="D47" s="130">
        <f>(1-Losses)*('LLH Hyd Gen'!D47+Thermal!D$6+'Fed Hyd Ini'!D47)-'System Obligations'!D$34</f>
        <v>6262.519237143428</v>
      </c>
      <c r="E47" s="130">
        <f>(1-Losses)*('LLH Hyd Gen'!E47+Thermal!E$6+'Fed Hyd Ini'!E47)-'System Obligations'!E$34</f>
        <v>6354.524068963017</v>
      </c>
      <c r="F47" s="130">
        <f>(1-Losses)*('LLH Hyd Gen'!F47+Thermal!F$6+'Fed Hyd Ini'!F47)-'System Obligations'!F$34</f>
        <v>5433.652654351505</v>
      </c>
      <c r="G47" s="130">
        <f>(1-Losses)*('LLH Hyd Gen'!G47+Thermal!G$6+'Fed Hyd Ini'!G47)-'System Obligations'!G$34</f>
        <v>6934.512131526723</v>
      </c>
      <c r="H47" s="130">
        <f>(1-Losses)*('LLH Hyd Gen'!H47+Thermal!H$6+'Fed Hyd Ini'!H47)-'System Obligations'!H$34</f>
        <v>7511.345546734854</v>
      </c>
      <c r="I47" s="130">
        <f>(1-Losses)*('LLH Hyd Gen'!I47+Thermal!I$6+'Fed Hyd Ini'!I47)-'System Obligations'!I$34</f>
        <v>6705.867757723705</v>
      </c>
      <c r="J47" s="130">
        <f>(1-Losses)*('LLH Hyd Gen'!J47+Thermal!J$6+'Fed Hyd Ini'!J47)-'System Obligations'!J$34</f>
        <v>5789.638397096758</v>
      </c>
      <c r="K47" s="130">
        <f>(1-Losses)*('LLH Hyd Gen'!K47+Thermal!K$6+'Fed Hyd Ini'!K47)-'System Obligations'!K$34</f>
        <v>5703.76824528747</v>
      </c>
      <c r="L47" s="130">
        <f>(1-Losses)*('LLH Hyd Gen'!L47+Thermal!L$6+'Fed Hyd Ini'!L47)-'System Obligations'!L$34</f>
        <v>5508.286599099342</v>
      </c>
      <c r="M47" s="130">
        <f>(1-Losses)*('LLH Hyd Gen'!M47+Thermal!M$6+'Fed Hyd Ini'!M47)-'System Obligations'!M$34</f>
        <v>6285.704465971434</v>
      </c>
      <c r="N47" s="130">
        <f>(1-Losses)*('LLH Hyd Gen'!N47+Thermal!N$6+'Fed Hyd Ini'!N47)-'System Obligations'!N$34</f>
        <v>6234.6489006058355</v>
      </c>
      <c r="O47" s="130">
        <f>(1-Losses)*('LLH Hyd Gen'!O47+Thermal!O$6+'Fed Hyd Ini'!O47)-'System Obligations'!O$34</f>
        <v>6792.70329503467</v>
      </c>
      <c r="P47" s="131">
        <f>SUMPRODUCT(B47:O47,'HLH-LLH Loads'!$N$5:$AA$5)</f>
        <v>24748650.966755938</v>
      </c>
      <c r="Q47" s="131"/>
      <c r="R47" s="131"/>
    </row>
    <row r="48" spans="1:18" ht="12.75">
      <c r="A48" s="128">
        <v>1974</v>
      </c>
      <c r="B48" s="130">
        <f>(1-Losses)*('LLH Hyd Gen'!B48+Thermal!B$6+'Fed Hyd Ini'!B48)-'System Obligations'!B$34</f>
        <v>6407.195683745524</v>
      </c>
      <c r="C48" s="130">
        <f>(1-Losses)*('LLH Hyd Gen'!C48+Thermal!C$6+'Fed Hyd Ini'!C48)-'System Obligations'!C$34</f>
        <v>5067.434241154504</v>
      </c>
      <c r="D48" s="130">
        <f>(1-Losses)*('LLH Hyd Gen'!D48+Thermal!D$6+'Fed Hyd Ini'!D48)-'System Obligations'!D$34</f>
        <v>4968.8886861217325</v>
      </c>
      <c r="E48" s="130">
        <f>(1-Losses)*('LLH Hyd Gen'!E48+Thermal!E$6+'Fed Hyd Ini'!E48)-'System Obligations'!E$34</f>
        <v>5581.189721708313</v>
      </c>
      <c r="F48" s="130">
        <f>(1-Losses)*('LLH Hyd Gen'!F48+Thermal!F$6+'Fed Hyd Ini'!F48)-'System Obligations'!F$34</f>
        <v>5751.716286394872</v>
      </c>
      <c r="G48" s="130">
        <f>(1-Losses)*('LLH Hyd Gen'!G48+Thermal!G$6+'Fed Hyd Ini'!G48)-'System Obligations'!G$34</f>
        <v>8202.616311020236</v>
      </c>
      <c r="H48" s="130">
        <f>(1-Losses)*('LLH Hyd Gen'!H48+Thermal!H$6+'Fed Hyd Ini'!H48)-'System Obligations'!H$34</f>
        <v>16170.971027197817</v>
      </c>
      <c r="I48" s="130">
        <f>(1-Losses)*('LLH Hyd Gen'!I48+Thermal!I$6+'Fed Hyd Ini'!I48)-'System Obligations'!I$34</f>
        <v>13176.930686652428</v>
      </c>
      <c r="J48" s="130">
        <f>(1-Losses)*('LLH Hyd Gen'!J48+Thermal!J$6+'Fed Hyd Ini'!J48)-'System Obligations'!J$34</f>
        <v>12107.483357126148</v>
      </c>
      <c r="K48" s="130">
        <f>(1-Losses)*('LLH Hyd Gen'!K48+Thermal!K$6+'Fed Hyd Ini'!K48)-'System Obligations'!K$34</f>
        <v>11756.002809709855</v>
      </c>
      <c r="L48" s="130">
        <f>(1-Losses)*('LLH Hyd Gen'!L48+Thermal!L$6+'Fed Hyd Ini'!L48)-'System Obligations'!L$34</f>
        <v>12911.695688383228</v>
      </c>
      <c r="M48" s="130">
        <f>(1-Losses)*('LLH Hyd Gen'!M48+Thermal!M$6+'Fed Hyd Ini'!M48)-'System Obligations'!M$34</f>
        <v>14961.84602032058</v>
      </c>
      <c r="N48" s="130">
        <f>(1-Losses)*('LLH Hyd Gen'!N48+Thermal!N$6+'Fed Hyd Ini'!N48)-'System Obligations'!N$34</f>
        <v>16749.608263150254</v>
      </c>
      <c r="O48" s="130">
        <f>(1-Losses)*('LLH Hyd Gen'!O48+Thermal!O$6+'Fed Hyd Ini'!O48)-'System Obligations'!O$34</f>
        <v>13442.044836085795</v>
      </c>
      <c r="P48" s="131">
        <f>SUMPRODUCT(B48:O48,'HLH-LLH Loads'!$N$5:$AA$5)</f>
        <v>40289223.11179837</v>
      </c>
      <c r="Q48" s="131"/>
      <c r="R48" s="131"/>
    </row>
    <row r="49" spans="1:18" ht="12.75">
      <c r="A49" s="128">
        <v>1975</v>
      </c>
      <c r="B49" s="130">
        <f>(1-Losses)*('LLH Hyd Gen'!B49+Thermal!B$6+'Fed Hyd Ini'!B49)-'System Obligations'!B$34</f>
        <v>8298.885874297646</v>
      </c>
      <c r="C49" s="130">
        <f>(1-Losses)*('LLH Hyd Gen'!C49+Thermal!C$6+'Fed Hyd Ini'!C49)-'System Obligations'!C$34</f>
        <v>7857.911394033635</v>
      </c>
      <c r="D49" s="130">
        <f>(1-Losses)*('LLH Hyd Gen'!D49+Thermal!D$6+'Fed Hyd Ini'!D49)-'System Obligations'!D$34</f>
        <v>5801.121650397417</v>
      </c>
      <c r="E49" s="130">
        <f>(1-Losses)*('LLH Hyd Gen'!E49+Thermal!E$6+'Fed Hyd Ini'!E49)-'System Obligations'!E$34</f>
        <v>5773.475807421843</v>
      </c>
      <c r="F49" s="130">
        <f>(1-Losses)*('LLH Hyd Gen'!F49+Thermal!F$6+'Fed Hyd Ini'!F49)-'System Obligations'!F$34</f>
        <v>5282.488811110278</v>
      </c>
      <c r="G49" s="130">
        <f>(1-Losses)*('LLH Hyd Gen'!G49+Thermal!G$6+'Fed Hyd Ini'!G49)-'System Obligations'!G$34</f>
        <v>6012.930512035825</v>
      </c>
      <c r="H49" s="130">
        <f>(1-Losses)*('LLH Hyd Gen'!H49+Thermal!H$6+'Fed Hyd Ini'!H49)-'System Obligations'!H$34</f>
        <v>8744.901797349625</v>
      </c>
      <c r="I49" s="130">
        <f>(1-Losses)*('LLH Hyd Gen'!I49+Thermal!I$6+'Fed Hyd Ini'!I49)-'System Obligations'!I$34</f>
        <v>9671.298892258708</v>
      </c>
      <c r="J49" s="130">
        <f>(1-Losses)*('LLH Hyd Gen'!J49+Thermal!J$6+'Fed Hyd Ini'!J49)-'System Obligations'!J$34</f>
        <v>9070.615876350426</v>
      </c>
      <c r="K49" s="130">
        <f>(1-Losses)*('LLH Hyd Gen'!K49+Thermal!K$6+'Fed Hyd Ini'!K49)-'System Obligations'!K$34</f>
        <v>8608.645416846008</v>
      </c>
      <c r="L49" s="130">
        <f>(1-Losses)*('LLH Hyd Gen'!L49+Thermal!L$6+'Fed Hyd Ini'!L49)-'System Obligations'!L$34</f>
        <v>7677.025767292866</v>
      </c>
      <c r="M49" s="130">
        <f>(1-Losses)*('LLH Hyd Gen'!M49+Thermal!M$6+'Fed Hyd Ini'!M49)-'System Obligations'!M$34</f>
        <v>9895.267659205183</v>
      </c>
      <c r="N49" s="130">
        <f>(1-Losses)*('LLH Hyd Gen'!N49+Thermal!N$6+'Fed Hyd Ini'!N49)-'System Obligations'!N$34</f>
        <v>10715.114417768307</v>
      </c>
      <c r="O49" s="130">
        <f>(1-Losses)*('LLH Hyd Gen'!O49+Thermal!O$6+'Fed Hyd Ini'!O49)-'System Obligations'!O$34</f>
        <v>11682.714117136919</v>
      </c>
      <c r="P49" s="131">
        <f>SUMPRODUCT(B49:O49,'HLH-LLH Loads'!$N$5:$AA$5)</f>
        <v>30887639.79393714</v>
      </c>
      <c r="Q49" s="131"/>
      <c r="R49" s="131"/>
    </row>
    <row r="50" spans="1:18" ht="12.75">
      <c r="A50" s="128">
        <v>1976</v>
      </c>
      <c r="B50" s="130">
        <f>(1-Losses)*('LLH Hyd Gen'!B50+Thermal!B$6+'Fed Hyd Ini'!B50)-'System Obligations'!B$34</f>
        <v>6845.522371389405</v>
      </c>
      <c r="C50" s="130">
        <f>(1-Losses)*('LLH Hyd Gen'!C50+Thermal!C$6+'Fed Hyd Ini'!C50)-'System Obligations'!C$34</f>
        <v>6785.097844319728</v>
      </c>
      <c r="D50" s="130">
        <f>(1-Losses)*('LLH Hyd Gen'!D50+Thermal!D$6+'Fed Hyd Ini'!D50)-'System Obligations'!D$34</f>
        <v>5363.019486665201</v>
      </c>
      <c r="E50" s="130">
        <f>(1-Losses)*('LLH Hyd Gen'!E50+Thermal!E$6+'Fed Hyd Ini'!E50)-'System Obligations'!E$34</f>
        <v>6683.672940400427</v>
      </c>
      <c r="F50" s="130">
        <f>(1-Losses)*('LLH Hyd Gen'!F50+Thermal!F$6+'Fed Hyd Ini'!F50)-'System Obligations'!F$34</f>
        <v>6633.059803635907</v>
      </c>
      <c r="G50" s="130">
        <f>(1-Losses)*('LLH Hyd Gen'!G50+Thermal!G$6+'Fed Hyd Ini'!G50)-'System Obligations'!G$34</f>
        <v>9494.577977962132</v>
      </c>
      <c r="H50" s="130">
        <f>(1-Losses)*('LLH Hyd Gen'!H50+Thermal!H$6+'Fed Hyd Ini'!H50)-'System Obligations'!H$34</f>
        <v>13704.159311974045</v>
      </c>
      <c r="I50" s="130">
        <f>(1-Losses)*('LLH Hyd Gen'!I50+Thermal!I$6+'Fed Hyd Ini'!I50)-'System Obligations'!I$34</f>
        <v>10850.06249212023</v>
      </c>
      <c r="J50" s="130">
        <f>(1-Losses)*('LLH Hyd Gen'!J50+Thermal!J$6+'Fed Hyd Ini'!J50)-'System Obligations'!J$34</f>
        <v>7726.349010643625</v>
      </c>
      <c r="K50" s="130">
        <f>(1-Losses)*('LLH Hyd Gen'!K50+Thermal!K$6+'Fed Hyd Ini'!K50)-'System Obligations'!K$34</f>
        <v>12803.752191824899</v>
      </c>
      <c r="L50" s="130">
        <f>(1-Losses)*('LLH Hyd Gen'!L50+Thermal!L$6+'Fed Hyd Ini'!L50)-'System Obligations'!L$34</f>
        <v>10726.099451290404</v>
      </c>
      <c r="M50" s="130">
        <f>(1-Losses)*('LLH Hyd Gen'!M50+Thermal!M$6+'Fed Hyd Ini'!M50)-'System Obligations'!M$34</f>
        <v>14072.589337213516</v>
      </c>
      <c r="N50" s="130">
        <f>(1-Losses)*('LLH Hyd Gen'!N50+Thermal!N$6+'Fed Hyd Ini'!N50)-'System Obligations'!N$34</f>
        <v>8369.708749591975</v>
      </c>
      <c r="O50" s="130">
        <f>(1-Losses)*('LLH Hyd Gen'!O50+Thermal!O$6+'Fed Hyd Ini'!O50)-'System Obligations'!O$34</f>
        <v>10563.371959469276</v>
      </c>
      <c r="P50" s="131">
        <f>SUMPRODUCT(B50:O50,'HLH-LLH Loads'!$N$5:$AA$5)</f>
        <v>35071768.876019366</v>
      </c>
      <c r="Q50" s="131"/>
      <c r="R50" s="131"/>
    </row>
    <row r="51" spans="1:18" ht="12.75">
      <c r="A51" s="128">
        <v>1977</v>
      </c>
      <c r="B51" s="130">
        <f>(1-Losses)*('LLH Hyd Gen'!B51+Thermal!B$6+'Fed Hyd Ini'!B51)-'System Obligations'!B$34</f>
        <v>11361.71549856561</v>
      </c>
      <c r="C51" s="130">
        <f>(1-Losses)*('LLH Hyd Gen'!C51+Thermal!C$6+'Fed Hyd Ini'!C51)-'System Obligations'!C$34</f>
        <v>10372.050820874121</v>
      </c>
      <c r="D51" s="130">
        <f>(1-Losses)*('LLH Hyd Gen'!D51+Thermal!D$6+'Fed Hyd Ini'!D51)-'System Obligations'!D$34</f>
        <v>8718.537018067365</v>
      </c>
      <c r="E51" s="130">
        <f>(1-Losses)*('LLH Hyd Gen'!E51+Thermal!E$6+'Fed Hyd Ini'!E51)-'System Obligations'!E$34</f>
        <v>6105.250729472263</v>
      </c>
      <c r="F51" s="130">
        <f>(1-Losses)*('LLH Hyd Gen'!F51+Thermal!F$6+'Fed Hyd Ini'!F51)-'System Obligations'!F$34</f>
        <v>5273.590489207326</v>
      </c>
      <c r="G51" s="130">
        <f>(1-Losses)*('LLH Hyd Gen'!G51+Thermal!G$6+'Fed Hyd Ini'!G51)-'System Obligations'!G$34</f>
        <v>5995.67853167347</v>
      </c>
      <c r="H51" s="130">
        <f>(1-Losses)*('LLH Hyd Gen'!H51+Thermal!H$6+'Fed Hyd Ini'!H51)-'System Obligations'!H$34</f>
        <v>5696.462804174967</v>
      </c>
      <c r="I51" s="130">
        <f>(1-Losses)*('LLH Hyd Gen'!I51+Thermal!I$6+'Fed Hyd Ini'!I51)-'System Obligations'!I$34</f>
        <v>6599.564763458064</v>
      </c>
      <c r="J51" s="130">
        <f>(1-Losses)*('LLH Hyd Gen'!J51+Thermal!J$6+'Fed Hyd Ini'!J51)-'System Obligations'!J$34</f>
        <v>4849.437649990341</v>
      </c>
      <c r="K51" s="130">
        <f>(1-Losses)*('LLH Hyd Gen'!K51+Thermal!K$6+'Fed Hyd Ini'!K51)-'System Obligations'!K$34</f>
        <v>5609.806812962142</v>
      </c>
      <c r="L51" s="130">
        <f>(1-Losses)*('LLH Hyd Gen'!L51+Thermal!L$6+'Fed Hyd Ini'!L51)-'System Obligations'!L$34</f>
        <v>6036.172946623156</v>
      </c>
      <c r="M51" s="130">
        <f>(1-Losses)*('LLH Hyd Gen'!M51+Thermal!M$6+'Fed Hyd Ini'!M51)-'System Obligations'!M$34</f>
        <v>6211.5733979807</v>
      </c>
      <c r="N51" s="130">
        <f>(1-Losses)*('LLH Hyd Gen'!N51+Thermal!N$6+'Fed Hyd Ini'!N51)-'System Obligations'!N$34</f>
        <v>6065.13634058586</v>
      </c>
      <c r="O51" s="130">
        <f>(1-Losses)*('LLH Hyd Gen'!O51+Thermal!O$6+'Fed Hyd Ini'!O51)-'System Obligations'!O$34</f>
        <v>5959.427101156467</v>
      </c>
      <c r="P51" s="131">
        <f>SUMPRODUCT(B51:O51,'HLH-LLH Loads'!$N$5:$AA$5)</f>
        <v>24396666.3099164</v>
      </c>
      <c r="Q51" s="131"/>
      <c r="R51" s="131"/>
    </row>
    <row r="52" spans="1:18" ht="12.75">
      <c r="A52" s="128">
        <v>1978</v>
      </c>
      <c r="B52" s="130">
        <f>(1-Losses)*('LLH Hyd Gen'!B52+Thermal!B$6+'Fed Hyd Ini'!B52)-'System Obligations'!B$34</f>
        <v>6093.213605122521</v>
      </c>
      <c r="C52" s="130">
        <f>(1-Losses)*('LLH Hyd Gen'!C52+Thermal!C$6+'Fed Hyd Ini'!C52)-'System Obligations'!C$34</f>
        <v>5415.343737187515</v>
      </c>
      <c r="D52" s="130">
        <f>(1-Losses)*('LLH Hyd Gen'!D52+Thermal!D$6+'Fed Hyd Ini'!D52)-'System Obligations'!D$34</f>
        <v>4737.838984321715</v>
      </c>
      <c r="E52" s="130">
        <f>(1-Losses)*('LLH Hyd Gen'!E52+Thermal!E$6+'Fed Hyd Ini'!E52)-'System Obligations'!E$34</f>
        <v>5268.342842716765</v>
      </c>
      <c r="F52" s="130">
        <f>(1-Losses)*('LLH Hyd Gen'!F52+Thermal!F$6+'Fed Hyd Ini'!F52)-'System Obligations'!F$34</f>
        <v>5604.12732016082</v>
      </c>
      <c r="G52" s="130">
        <f>(1-Losses)*('LLH Hyd Gen'!G52+Thermal!G$6+'Fed Hyd Ini'!G52)-'System Obligations'!G$34</f>
        <v>6443.5638653744445</v>
      </c>
      <c r="H52" s="130">
        <f>(1-Losses)*('LLH Hyd Gen'!H52+Thermal!H$6+'Fed Hyd Ini'!H52)-'System Obligations'!H$34</f>
        <v>8452.827966960214</v>
      </c>
      <c r="I52" s="130">
        <f>(1-Losses)*('LLH Hyd Gen'!I52+Thermal!I$6+'Fed Hyd Ini'!I52)-'System Obligations'!I$34</f>
        <v>7061.343565384016</v>
      </c>
      <c r="J52" s="130">
        <f>(1-Losses)*('LLH Hyd Gen'!J52+Thermal!J$6+'Fed Hyd Ini'!J52)-'System Obligations'!J$34</f>
        <v>8458.834741408613</v>
      </c>
      <c r="K52" s="130">
        <f>(1-Losses)*('LLH Hyd Gen'!K52+Thermal!K$6+'Fed Hyd Ini'!K52)-'System Obligations'!K$34</f>
        <v>10332.104599315546</v>
      </c>
      <c r="L52" s="130">
        <f>(1-Losses)*('LLH Hyd Gen'!L52+Thermal!L$6+'Fed Hyd Ini'!L52)-'System Obligations'!L$34</f>
        <v>8400.116771512612</v>
      </c>
      <c r="M52" s="130">
        <f>(1-Losses)*('LLH Hyd Gen'!M52+Thermal!M$6+'Fed Hyd Ini'!M52)-'System Obligations'!M$34</f>
        <v>9417.392661523712</v>
      </c>
      <c r="N52" s="130">
        <f>(1-Losses)*('LLH Hyd Gen'!N52+Thermal!N$6+'Fed Hyd Ini'!N52)-'System Obligations'!N$34</f>
        <v>7749.735038720092</v>
      </c>
      <c r="O52" s="130">
        <f>(1-Losses)*('LLH Hyd Gen'!O52+Thermal!O$6+'Fed Hyd Ini'!O52)-'System Obligations'!O$34</f>
        <v>7404.065833111053</v>
      </c>
      <c r="P52" s="131">
        <f>SUMPRODUCT(B52:O52,'HLH-LLH Loads'!$N$5:$AA$5)</f>
        <v>26823483.211968567</v>
      </c>
      <c r="Q52" s="131"/>
      <c r="R52" s="131"/>
    </row>
  </sheetData>
  <mergeCells count="1">
    <mergeCell ref="A1:P1"/>
  </mergeCells>
  <printOptions/>
  <pageMargins left="0.75" right="0.75" top="0.75" bottom="0.75" header="0.5" footer="0.5"/>
  <pageSetup fitToHeight="1" fitToWidth="1" horizontalDpi="300" verticalDpi="300" orientation="landscape" scale="69" r:id="rId3"/>
  <headerFooter alignWithMargins="0">
    <oddFooter>&amp;LSlice Cost Shift Study&amp;CPage &amp;P&amp;R'02 Rate Case</oddFooter>
  </headerFooter>
  <legacyDrawing r:id="rId2"/>
</worksheet>
</file>

<file path=xl/worksheets/sheet17.xml><?xml version="1.0" encoding="utf-8"?>
<worksheet xmlns="http://schemas.openxmlformats.org/spreadsheetml/2006/main" xmlns:r="http://schemas.openxmlformats.org/officeDocument/2006/relationships">
  <sheetPr codeName="Sheet6">
    <pageSetUpPr fitToPage="1"/>
  </sheetPr>
  <dimension ref="A1:P55"/>
  <sheetViews>
    <sheetView zoomScale="75" zoomScaleNormal="75" workbookViewId="0" topLeftCell="A29">
      <selection activeCell="A2" sqref="A2:P53"/>
    </sheetView>
  </sheetViews>
  <sheetFormatPr defaultColWidth="9.33203125" defaultRowHeight="12.75"/>
  <cols>
    <col min="1" max="1" width="10" style="0" bestFit="1" customWidth="1"/>
    <col min="16" max="16" width="11.16015625" style="0" customWidth="1"/>
  </cols>
  <sheetData>
    <row r="1" spans="1:15" ht="12.75">
      <c r="A1" s="229" t="s">
        <v>160</v>
      </c>
      <c r="B1" s="229"/>
      <c r="C1" s="229"/>
      <c r="D1" s="229"/>
      <c r="E1" s="229"/>
      <c r="F1" s="229"/>
      <c r="G1" s="229"/>
      <c r="H1" s="229"/>
      <c r="I1" s="229"/>
      <c r="J1" s="229"/>
      <c r="K1" s="229"/>
      <c r="L1" s="229"/>
      <c r="M1" s="229"/>
      <c r="N1" s="229"/>
      <c r="O1" s="1"/>
    </row>
    <row r="2" spans="1:16" s="2" customFormat="1" ht="25.5">
      <c r="A2" s="148" t="s">
        <v>0</v>
      </c>
      <c r="B2" s="149" t="s">
        <v>1</v>
      </c>
      <c r="C2" s="149" t="s">
        <v>2</v>
      </c>
      <c r="D2" s="149" t="s">
        <v>3</v>
      </c>
      <c r="E2" s="149" t="s">
        <v>4</v>
      </c>
      <c r="F2" s="149" t="s">
        <v>5</v>
      </c>
      <c r="G2" s="149" t="s">
        <v>6</v>
      </c>
      <c r="H2" s="149" t="s">
        <v>7</v>
      </c>
      <c r="I2" s="149" t="s">
        <v>8</v>
      </c>
      <c r="J2" s="149" t="s">
        <v>9</v>
      </c>
      <c r="K2" s="149" t="s">
        <v>10</v>
      </c>
      <c r="L2" s="149" t="s">
        <v>11</v>
      </c>
      <c r="M2" s="149" t="s">
        <v>12</v>
      </c>
      <c r="N2" s="149" t="s">
        <v>13</v>
      </c>
      <c r="O2" s="149" t="s">
        <v>14</v>
      </c>
      <c r="P2" s="147" t="s">
        <v>45</v>
      </c>
    </row>
    <row r="3" spans="1:16" ht="12.75">
      <c r="A3" s="128">
        <v>1929</v>
      </c>
      <c r="B3" s="130">
        <f>'HLH Tot Gen'!B3*Results!$B$5</f>
        <v>1754.8854374773146</v>
      </c>
      <c r="C3" s="130">
        <f>'HLH Tot Gen'!C3*Results!$B$5</f>
        <v>1235.338699563648</v>
      </c>
      <c r="D3" s="130">
        <f>'HLH Tot Gen'!D3*Results!$B$5</f>
        <v>1141.3422938454912</v>
      </c>
      <c r="E3" s="130">
        <f>'HLH Tot Gen'!E3*Results!$B$5</f>
        <v>1325.0959550807002</v>
      </c>
      <c r="F3" s="130">
        <f>'HLH Tot Gen'!F3*Results!$B$5</f>
        <v>1064.1911880412163</v>
      </c>
      <c r="G3" s="130">
        <f>'HLH Tot Gen'!G3*Results!$B$5</f>
        <v>1368.2444736628347</v>
      </c>
      <c r="H3" s="130">
        <f>'HLH Tot Gen'!H3*Results!$B$5</f>
        <v>1102.3457756583148</v>
      </c>
      <c r="I3" s="130">
        <f>'HLH Tot Gen'!I3*Results!$B$5</f>
        <v>1282.5260130606114</v>
      </c>
      <c r="J3" s="130">
        <f>'HLH Tot Gen'!J3*Results!$B$5</f>
        <v>1062.0208105178563</v>
      </c>
      <c r="K3" s="130">
        <f>'HLH Tot Gen'!K3*Results!$B$5</f>
        <v>996.2508341478929</v>
      </c>
      <c r="L3" s="130">
        <f>'HLH Tot Gen'!L3*Results!$B$5</f>
        <v>1337.0493945375524</v>
      </c>
      <c r="M3" s="130">
        <f>'HLH Tot Gen'!M3*Results!$B$5</f>
        <v>1216.1778031414565</v>
      </c>
      <c r="N3" s="130">
        <f>'HLH Tot Gen'!N3*Results!$B$5</f>
        <v>1604.7469684357393</v>
      </c>
      <c r="O3" s="130">
        <f>'HLH Tot Gen'!O3*Results!$B$5</f>
        <v>1346.0598122017393</v>
      </c>
      <c r="P3" s="130">
        <f>SUMPRODUCT(B3:O3,'HLH-LLH Loads'!$N$4:$AA$4)</f>
        <v>6329470.806685607</v>
      </c>
    </row>
    <row r="4" spans="1:16" ht="12.75">
      <c r="A4" s="128">
        <v>1930</v>
      </c>
      <c r="B4" s="130">
        <f>'HLH Tot Gen'!B4*Results!$B$5</f>
        <v>1222.4838105888302</v>
      </c>
      <c r="C4" s="130">
        <f>'HLH Tot Gen'!C4*Results!$B$5</f>
        <v>1159.784489036647</v>
      </c>
      <c r="D4" s="130">
        <f>'HLH Tot Gen'!D4*Results!$B$5</f>
        <v>1149.997688317073</v>
      </c>
      <c r="E4" s="130">
        <f>'HLH Tot Gen'!E4*Results!$B$5</f>
        <v>1205.2443850410243</v>
      </c>
      <c r="F4" s="130">
        <f>'HLH Tot Gen'!F4*Results!$B$5</f>
        <v>1206.0549304165095</v>
      </c>
      <c r="G4" s="130">
        <f>'HLH Tot Gen'!G4*Results!$B$5</f>
        <v>1408.4261556378096</v>
      </c>
      <c r="H4" s="130">
        <f>'HLH Tot Gen'!H4*Results!$B$5</f>
        <v>1114.1805190726593</v>
      </c>
      <c r="I4" s="130">
        <f>'HLH Tot Gen'!I4*Results!$B$5</f>
        <v>1179.9426353054132</v>
      </c>
      <c r="J4" s="130">
        <f>'HLH Tot Gen'!J4*Results!$B$5</f>
        <v>1016.5665239971372</v>
      </c>
      <c r="K4" s="130">
        <f>'HLH Tot Gen'!K4*Results!$B$5</f>
        <v>1231.62141272036</v>
      </c>
      <c r="L4" s="130">
        <f>'HLH Tot Gen'!L4*Results!$B$5</f>
        <v>1855.0860706543444</v>
      </c>
      <c r="M4" s="130">
        <f>'HLH Tot Gen'!M4*Results!$B$5</f>
        <v>1115.9819043832767</v>
      </c>
      <c r="N4" s="130">
        <f>'HLH Tot Gen'!N4*Results!$B$5</f>
        <v>1178.2177083915617</v>
      </c>
      <c r="O4" s="130">
        <f>'HLH Tot Gen'!O4*Results!$B$5</f>
        <v>1412.306854054314</v>
      </c>
      <c r="P4" s="130">
        <f>SUMPRODUCT(B4:O4,'HLH-LLH Loads'!$N$4:$AA$4)</f>
        <v>6137145.501635153</v>
      </c>
    </row>
    <row r="5" spans="1:16" ht="12.75">
      <c r="A5" s="128">
        <v>1931</v>
      </c>
      <c r="B5" s="130">
        <f>'HLH Tot Gen'!B5*Results!$B$5</f>
        <v>1363.209049733194</v>
      </c>
      <c r="C5" s="130">
        <f>'HLH Tot Gen'!C5*Results!$B$5</f>
        <v>1242.0111875156522</v>
      </c>
      <c r="D5" s="130">
        <f>'HLH Tot Gen'!D5*Results!$B$5</f>
        <v>1052.6549039570073</v>
      </c>
      <c r="E5" s="130">
        <f>'HLH Tot Gen'!E5*Results!$B$5</f>
        <v>1178.7230933996268</v>
      </c>
      <c r="F5" s="130">
        <f>'HLH Tot Gen'!F5*Results!$B$5</f>
        <v>1220.2730987854775</v>
      </c>
      <c r="G5" s="130">
        <f>'HLH Tot Gen'!G5*Results!$B$5</f>
        <v>1465.8403574285337</v>
      </c>
      <c r="H5" s="130">
        <f>'HLH Tot Gen'!H5*Results!$B$5</f>
        <v>964.4638170534688</v>
      </c>
      <c r="I5" s="130">
        <f>'HLH Tot Gen'!I5*Results!$B$5</f>
        <v>948.5768434567209</v>
      </c>
      <c r="J5" s="130">
        <f>'HLH Tot Gen'!J5*Results!$B$5</f>
        <v>1010.9192751486971</v>
      </c>
      <c r="K5" s="130">
        <f>'HLH Tot Gen'!K5*Results!$B$5</f>
        <v>1443.875233072635</v>
      </c>
      <c r="L5" s="130">
        <f>'HLH Tot Gen'!L5*Results!$B$5</f>
        <v>1203.520608847155</v>
      </c>
      <c r="M5" s="130">
        <f>'HLH Tot Gen'!M5*Results!$B$5</f>
        <v>1656.4871158069595</v>
      </c>
      <c r="N5" s="130">
        <f>'HLH Tot Gen'!N5*Results!$B$5</f>
        <v>1289.546279843978</v>
      </c>
      <c r="O5" s="130">
        <f>'HLH Tot Gen'!O5*Results!$B$5</f>
        <v>1460.0670194612346</v>
      </c>
      <c r="P5" s="130">
        <f>SUMPRODUCT(B5:O5,'HLH-LLH Loads'!$N$4:$AA$4)</f>
        <v>6212051.334681845</v>
      </c>
    </row>
    <row r="6" spans="1:16" ht="12.75">
      <c r="A6" s="128">
        <v>1932</v>
      </c>
      <c r="B6" s="130">
        <f>'HLH Tot Gen'!B6*Results!$B$5</f>
        <v>1266.4490944875877</v>
      </c>
      <c r="C6" s="130">
        <f>'HLH Tot Gen'!C6*Results!$B$5</f>
        <v>1106.4636819530767</v>
      </c>
      <c r="D6" s="130">
        <f>'HLH Tot Gen'!D6*Results!$B$5</f>
        <v>1034.6359306598554</v>
      </c>
      <c r="E6" s="130">
        <f>'HLH Tot Gen'!E6*Results!$B$5</f>
        <v>1199.9986975203979</v>
      </c>
      <c r="F6" s="130">
        <f>'HLH Tot Gen'!F6*Results!$B$5</f>
        <v>1203.6153401949878</v>
      </c>
      <c r="G6" s="130">
        <f>'HLH Tot Gen'!G6*Results!$B$5</f>
        <v>1297.5672369803654</v>
      </c>
      <c r="H6" s="130">
        <f>'HLH Tot Gen'!H6*Results!$B$5</f>
        <v>981.7621836465613</v>
      </c>
      <c r="I6" s="130">
        <f>'HLH Tot Gen'!I6*Results!$B$5</f>
        <v>1214.090665593323</v>
      </c>
      <c r="J6" s="130">
        <f>'HLH Tot Gen'!J6*Results!$B$5</f>
        <v>1634.0074179852897</v>
      </c>
      <c r="K6" s="130">
        <f>'HLH Tot Gen'!K6*Results!$B$5</f>
        <v>2124.7771164210017</v>
      </c>
      <c r="L6" s="130">
        <f>'HLH Tot Gen'!L6*Results!$B$5</f>
        <v>1938.3761560102043</v>
      </c>
      <c r="M6" s="130">
        <f>'HLH Tot Gen'!M6*Results!$B$5</f>
        <v>2068.284398743379</v>
      </c>
      <c r="N6" s="130">
        <f>'HLH Tot Gen'!N6*Results!$B$5</f>
        <v>2055.578840266675</v>
      </c>
      <c r="O6" s="130">
        <f>'HLH Tot Gen'!O6*Results!$B$5</f>
        <v>1676.8702478945293</v>
      </c>
      <c r="P6" s="130">
        <f>SUMPRODUCT(B6:O6,'HLH-LLH Loads'!$N$4:$AA$4)</f>
        <v>7334929.645066789</v>
      </c>
    </row>
    <row r="7" spans="1:16" ht="12.75">
      <c r="A7" s="128">
        <v>1933</v>
      </c>
      <c r="B7" s="130">
        <f>'HLH Tot Gen'!B7*Results!$B$5</f>
        <v>1434.1273284454367</v>
      </c>
      <c r="C7" s="130">
        <f>'HLH Tot Gen'!C7*Results!$B$5</f>
        <v>1324.9969870033347</v>
      </c>
      <c r="D7" s="130">
        <f>'HLH Tot Gen'!D7*Results!$B$5</f>
        <v>1207.8984565036255</v>
      </c>
      <c r="E7" s="130">
        <f>'HLH Tot Gen'!E7*Results!$B$5</f>
        <v>1340.4740404653442</v>
      </c>
      <c r="F7" s="130">
        <f>'HLH Tot Gen'!F7*Results!$B$5</f>
        <v>1164.562571152045</v>
      </c>
      <c r="G7" s="130">
        <f>'HLH Tot Gen'!G7*Results!$B$5</f>
        <v>1420.5115796904254</v>
      </c>
      <c r="H7" s="130">
        <f>'HLH Tot Gen'!H7*Results!$B$5</f>
        <v>2195.0430754341387</v>
      </c>
      <c r="I7" s="130">
        <f>'HLH Tot Gen'!I7*Results!$B$5</f>
        <v>1763.213257482521</v>
      </c>
      <c r="J7" s="130">
        <f>'HLH Tot Gen'!J7*Results!$B$5</f>
        <v>1240.5063736389302</v>
      </c>
      <c r="K7" s="130">
        <f>'HLH Tot Gen'!K7*Results!$B$5</f>
        <v>1748.0282960857444</v>
      </c>
      <c r="L7" s="130">
        <f>'HLH Tot Gen'!L7*Results!$B$5</f>
        <v>1350.033155352615</v>
      </c>
      <c r="M7" s="130">
        <f>'HLH Tot Gen'!M7*Results!$B$5</f>
        <v>1757.5189150614967</v>
      </c>
      <c r="N7" s="130">
        <f>'HLH Tot Gen'!N7*Results!$B$5</f>
        <v>2370.847473230483</v>
      </c>
      <c r="O7" s="130">
        <f>'HLH Tot Gen'!O7*Results!$B$5</f>
        <v>1979.0388758016597</v>
      </c>
      <c r="P7" s="130">
        <f>SUMPRODUCT(B7:O7,'HLH-LLH Loads'!$N$4:$AA$4)</f>
        <v>8077072.089433555</v>
      </c>
    </row>
    <row r="8" spans="1:16" ht="12.75">
      <c r="A8" s="128">
        <v>1934</v>
      </c>
      <c r="B8" s="130">
        <f>'HLH Tot Gen'!B8*Results!$B$5</f>
        <v>1738.6396355581676</v>
      </c>
      <c r="C8" s="130">
        <f>'HLH Tot Gen'!C8*Results!$B$5</f>
        <v>1755.754522787469</v>
      </c>
      <c r="D8" s="130">
        <f>'HLH Tot Gen'!D8*Results!$B$5</f>
        <v>1312.1753913692655</v>
      </c>
      <c r="E8" s="130">
        <f>'HLH Tot Gen'!E8*Results!$B$5</f>
        <v>1577.7532504648643</v>
      </c>
      <c r="F8" s="130">
        <f>'HLH Tot Gen'!F8*Results!$B$5</f>
        <v>1580.729094114101</v>
      </c>
      <c r="G8" s="130">
        <f>'HLH Tot Gen'!G8*Results!$B$5</f>
        <v>2298.921427863403</v>
      </c>
      <c r="H8" s="130">
        <f>'HLH Tot Gen'!H8*Results!$B$5</f>
        <v>2546.6706093508133</v>
      </c>
      <c r="I8" s="130">
        <f>'HLH Tot Gen'!I8*Results!$B$5</f>
        <v>2254.315050274765</v>
      </c>
      <c r="J8" s="130">
        <f>'HLH Tot Gen'!J8*Results!$B$5</f>
        <v>1954.2092810801282</v>
      </c>
      <c r="K8" s="130">
        <f>'HLH Tot Gen'!K8*Results!$B$5</f>
        <v>2215.4232428751848</v>
      </c>
      <c r="L8" s="130">
        <f>'HLH Tot Gen'!L8*Results!$B$5</f>
        <v>2135.236277330042</v>
      </c>
      <c r="M8" s="130">
        <f>'HLH Tot Gen'!M8*Results!$B$5</f>
        <v>1944.6444328796279</v>
      </c>
      <c r="N8" s="130">
        <f>'HLH Tot Gen'!N8*Results!$B$5</f>
        <v>1476.7842941170384</v>
      </c>
      <c r="O8" s="130">
        <f>'HLH Tot Gen'!O8*Results!$B$5</f>
        <v>1207.9056460315535</v>
      </c>
      <c r="P8" s="130">
        <f>SUMPRODUCT(B8:O8,'HLH-LLH Loads'!$N$4:$AA$4)</f>
        <v>9207515.899840305</v>
      </c>
    </row>
    <row r="9" spans="1:16" ht="12.75">
      <c r="A9" s="128">
        <v>1935</v>
      </c>
      <c r="B9" s="130">
        <f>'HLH Tot Gen'!B9*Results!$B$5</f>
        <v>1081.4052195252527</v>
      </c>
      <c r="C9" s="130">
        <f>'HLH Tot Gen'!C9*Results!$B$5</f>
        <v>997.8815557607769</v>
      </c>
      <c r="D9" s="130">
        <f>'HLH Tot Gen'!D9*Results!$B$5</f>
        <v>1078.4821482336517</v>
      </c>
      <c r="E9" s="130">
        <f>'HLH Tot Gen'!E9*Results!$B$5</f>
        <v>1143.0113066449899</v>
      </c>
      <c r="F9" s="130">
        <f>'HLH Tot Gen'!F9*Results!$B$5</f>
        <v>1089.2431445527932</v>
      </c>
      <c r="G9" s="130">
        <f>'HLH Tot Gen'!G9*Results!$B$5</f>
        <v>1327.7456107313985</v>
      </c>
      <c r="H9" s="130">
        <f>'HLH Tot Gen'!H9*Results!$B$5</f>
        <v>2111.808014229887</v>
      </c>
      <c r="I9" s="130">
        <f>'HLH Tot Gen'!I9*Results!$B$5</f>
        <v>1621.1665772016293</v>
      </c>
      <c r="J9" s="130">
        <f>'HLH Tot Gen'!J9*Results!$B$5</f>
        <v>1503.9087186900572</v>
      </c>
      <c r="K9" s="130">
        <f>'HLH Tot Gen'!K9*Results!$B$5</f>
        <v>1826.9621907679125</v>
      </c>
      <c r="L9" s="130">
        <f>'HLH Tot Gen'!L9*Results!$B$5</f>
        <v>1537.7189637069484</v>
      </c>
      <c r="M9" s="130">
        <f>'HLH Tot Gen'!M9*Results!$B$5</f>
        <v>1612.7862871702553</v>
      </c>
      <c r="N9" s="130">
        <f>'HLH Tot Gen'!N9*Results!$B$5</f>
        <v>1860.6711830910667</v>
      </c>
      <c r="O9" s="130">
        <f>'HLH Tot Gen'!O9*Results!$B$5</f>
        <v>1675.0425217002446</v>
      </c>
      <c r="P9" s="130">
        <f>SUMPRODUCT(B9:O9,'HLH-LLH Loads'!$N$4:$AA$4)</f>
        <v>7400786.810175465</v>
      </c>
    </row>
    <row r="10" spans="1:16" ht="12.75">
      <c r="A10" s="128">
        <v>1936</v>
      </c>
      <c r="B10" s="130">
        <f>'HLH Tot Gen'!B10*Results!$B$5</f>
        <v>1496.223155163198</v>
      </c>
      <c r="C10" s="130">
        <f>'HLH Tot Gen'!C10*Results!$B$5</f>
        <v>1026.7317968734765</v>
      </c>
      <c r="D10" s="130">
        <f>'HLH Tot Gen'!D10*Results!$B$5</f>
        <v>1099.7707082910092</v>
      </c>
      <c r="E10" s="130">
        <f>'HLH Tot Gen'!E10*Results!$B$5</f>
        <v>1266.0052395379548</v>
      </c>
      <c r="F10" s="130">
        <f>'HLH Tot Gen'!F10*Results!$B$5</f>
        <v>1129.7924880650123</v>
      </c>
      <c r="G10" s="130">
        <f>'HLH Tot Gen'!G10*Results!$B$5</f>
        <v>1400.3453370321254</v>
      </c>
      <c r="H10" s="130">
        <f>'HLH Tot Gen'!H10*Results!$B$5</f>
        <v>1202.137495574295</v>
      </c>
      <c r="I10" s="130">
        <f>'HLH Tot Gen'!I10*Results!$B$5</f>
        <v>1311.3096973627316</v>
      </c>
      <c r="J10" s="130">
        <f>'HLH Tot Gen'!J10*Results!$B$5</f>
        <v>1160.3095694950619</v>
      </c>
      <c r="K10" s="130">
        <f>'HLH Tot Gen'!K10*Results!$B$5</f>
        <v>1183.0182965452252</v>
      </c>
      <c r="L10" s="130">
        <f>'HLH Tot Gen'!L10*Results!$B$5</f>
        <v>2099.3647369565483</v>
      </c>
      <c r="M10" s="130">
        <f>'HLH Tot Gen'!M10*Results!$B$5</f>
        <v>2226.237921010211</v>
      </c>
      <c r="N10" s="130">
        <f>'HLH Tot Gen'!N10*Results!$B$5</f>
        <v>1608.138773396778</v>
      </c>
      <c r="O10" s="130">
        <f>'HLH Tot Gen'!O10*Results!$B$5</f>
        <v>1618.5973550084195</v>
      </c>
      <c r="P10" s="130">
        <f>SUMPRODUCT(B10:O10,'HLH-LLH Loads'!$N$4:$AA$4)</f>
        <v>7069886.913724731</v>
      </c>
    </row>
    <row r="11" spans="1:16" ht="12.75">
      <c r="A11" s="128">
        <v>1937</v>
      </c>
      <c r="B11" s="130">
        <f>'HLH Tot Gen'!B11*Results!$B$5</f>
        <v>1304.418881857683</v>
      </c>
      <c r="C11" s="130">
        <f>'HLH Tot Gen'!C11*Results!$B$5</f>
        <v>1165.9070471795028</v>
      </c>
      <c r="D11" s="130">
        <f>'HLH Tot Gen'!D11*Results!$B$5</f>
        <v>1151.9158857463242</v>
      </c>
      <c r="E11" s="130">
        <f>'HLH Tot Gen'!E11*Results!$B$5</f>
        <v>1208.6843850790847</v>
      </c>
      <c r="F11" s="130">
        <f>'HLH Tot Gen'!F11*Results!$B$5</f>
        <v>1148.428889531521</v>
      </c>
      <c r="G11" s="130">
        <f>'HLH Tot Gen'!G11*Results!$B$5</f>
        <v>1383.7962169450893</v>
      </c>
      <c r="H11" s="130">
        <f>'HLH Tot Gen'!H11*Results!$B$5</f>
        <v>1101.2424670025243</v>
      </c>
      <c r="I11" s="130">
        <f>'HLH Tot Gen'!I11*Results!$B$5</f>
        <v>1154.0672876017823</v>
      </c>
      <c r="J11" s="130">
        <f>'HLH Tot Gen'!J11*Results!$B$5</f>
        <v>948.2412317905217</v>
      </c>
      <c r="K11" s="130">
        <f>'HLH Tot Gen'!K11*Results!$B$5</f>
        <v>956.0700883200159</v>
      </c>
      <c r="L11" s="130">
        <f>'HLH Tot Gen'!L11*Results!$B$5</f>
        <v>949.3049293026804</v>
      </c>
      <c r="M11" s="130">
        <f>'HLH Tot Gen'!M11*Results!$B$5</f>
        <v>1492.0371806298278</v>
      </c>
      <c r="N11" s="130">
        <f>'HLH Tot Gen'!N11*Results!$B$5</f>
        <v>1268.9426066728863</v>
      </c>
      <c r="O11" s="130">
        <f>'HLH Tot Gen'!O11*Results!$B$5</f>
        <v>1343.709801910143</v>
      </c>
      <c r="P11" s="130">
        <f>SUMPRODUCT(B11:O11,'HLH-LLH Loads'!$N$4:$AA$4)</f>
        <v>6008880.805524955</v>
      </c>
    </row>
    <row r="12" spans="1:16" ht="12.75">
      <c r="A12" s="128">
        <v>1938</v>
      </c>
      <c r="B12" s="130">
        <f>'HLH Tot Gen'!B12*Results!$B$5</f>
        <v>1332.4156545350002</v>
      </c>
      <c r="C12" s="130">
        <f>'HLH Tot Gen'!C12*Results!$B$5</f>
        <v>1188.754013029406</v>
      </c>
      <c r="D12" s="130">
        <f>'HLH Tot Gen'!D12*Results!$B$5</f>
        <v>1193.4608887245108</v>
      </c>
      <c r="E12" s="130">
        <f>'HLH Tot Gen'!E12*Results!$B$5</f>
        <v>1230.1591567296653</v>
      </c>
      <c r="F12" s="130">
        <f>'HLH Tot Gen'!F12*Results!$B$5</f>
        <v>1235.7942053035329</v>
      </c>
      <c r="G12" s="130">
        <f>'HLH Tot Gen'!G12*Results!$B$5</f>
        <v>1495.2506443802033</v>
      </c>
      <c r="H12" s="130">
        <f>'HLH Tot Gen'!H12*Results!$B$5</f>
        <v>2046.0453639290479</v>
      </c>
      <c r="I12" s="130">
        <f>'HLH Tot Gen'!I12*Results!$B$5</f>
        <v>1452.7572859126217</v>
      </c>
      <c r="J12" s="130">
        <f>'HLH Tot Gen'!J12*Results!$B$5</f>
        <v>1891.104933287449</v>
      </c>
      <c r="K12" s="130">
        <f>'HLH Tot Gen'!K12*Results!$B$5</f>
        <v>1827.9604914031827</v>
      </c>
      <c r="L12" s="130">
        <f>'HLH Tot Gen'!L12*Results!$B$5</f>
        <v>1826.9082792856348</v>
      </c>
      <c r="M12" s="130">
        <f>'HLH Tot Gen'!M12*Results!$B$5</f>
        <v>2107.794415357417</v>
      </c>
      <c r="N12" s="130">
        <f>'HLH Tot Gen'!N12*Results!$B$5</f>
        <v>2036.2522701631453</v>
      </c>
      <c r="O12" s="130">
        <f>'HLH Tot Gen'!O12*Results!$B$5</f>
        <v>1508.2616598505645</v>
      </c>
      <c r="P12" s="130">
        <f>SUMPRODUCT(B12:O12,'HLH-LLH Loads'!$N$4:$AA$4)</f>
        <v>8062521.996388141</v>
      </c>
    </row>
    <row r="13" spans="1:16" ht="12.75">
      <c r="A13" s="128">
        <v>1939</v>
      </c>
      <c r="B13" s="130">
        <f>'HLH Tot Gen'!B13*Results!$B$5</f>
        <v>1244.2034982079279</v>
      </c>
      <c r="C13" s="130">
        <f>'HLH Tot Gen'!C13*Results!$B$5</f>
        <v>1037.7383408212404</v>
      </c>
      <c r="D13" s="130">
        <f>'HLH Tot Gen'!D13*Results!$B$5</f>
        <v>1125.2009215685816</v>
      </c>
      <c r="E13" s="130">
        <f>'HLH Tot Gen'!E13*Results!$B$5</f>
        <v>1341.1423204228597</v>
      </c>
      <c r="F13" s="130">
        <f>'HLH Tot Gen'!F13*Results!$B$5</f>
        <v>1081.2064875594515</v>
      </c>
      <c r="G13" s="130">
        <f>'HLH Tot Gen'!G13*Results!$B$5</f>
        <v>1337.6793187401588</v>
      </c>
      <c r="H13" s="130">
        <f>'HLH Tot Gen'!H13*Results!$B$5</f>
        <v>1117.8440084889612</v>
      </c>
      <c r="I13" s="130">
        <f>'HLH Tot Gen'!I13*Results!$B$5</f>
        <v>1715.8372192449856</v>
      </c>
      <c r="J13" s="130">
        <f>'HLH Tot Gen'!J13*Results!$B$5</f>
        <v>1557.5582718981007</v>
      </c>
      <c r="K13" s="130">
        <f>'HLH Tot Gen'!K13*Results!$B$5</f>
        <v>1734.9083026926999</v>
      </c>
      <c r="L13" s="130">
        <f>'HLH Tot Gen'!L13*Results!$B$5</f>
        <v>1772.3371773923136</v>
      </c>
      <c r="M13" s="130">
        <f>'HLH Tot Gen'!M13*Results!$B$5</f>
        <v>1766.1987647281317</v>
      </c>
      <c r="N13" s="130">
        <f>'HLH Tot Gen'!N13*Results!$B$5</f>
        <v>1150.7430610979018</v>
      </c>
      <c r="O13" s="130">
        <f>'HLH Tot Gen'!O13*Results!$B$5</f>
        <v>1715.6499678722141</v>
      </c>
      <c r="P13" s="130">
        <f>SUMPRODUCT(B13:O13,'HLH-LLH Loads'!$N$4:$AA$4)</f>
        <v>6995324.170806292</v>
      </c>
    </row>
    <row r="14" spans="1:16" ht="12.75">
      <c r="A14" s="128">
        <v>1940</v>
      </c>
      <c r="B14" s="130">
        <f>'HLH Tot Gen'!B14*Results!$B$5</f>
        <v>1456.4748411819721</v>
      </c>
      <c r="C14" s="130">
        <f>'HLH Tot Gen'!C14*Results!$B$5</f>
        <v>1136.3263977416352</v>
      </c>
      <c r="D14" s="130">
        <f>'HLH Tot Gen'!D14*Results!$B$5</f>
        <v>1148.5267803704505</v>
      </c>
      <c r="E14" s="130">
        <f>'HLH Tot Gen'!E14*Results!$B$5</f>
        <v>1334.4753730065859</v>
      </c>
      <c r="F14" s="130">
        <f>'HLH Tot Gen'!F14*Results!$B$5</f>
        <v>1165.7781104445228</v>
      </c>
      <c r="G14" s="130">
        <f>'HLH Tot Gen'!G14*Results!$B$5</f>
        <v>1366.9571105056452</v>
      </c>
      <c r="H14" s="130">
        <f>'HLH Tot Gen'!H14*Results!$B$5</f>
        <v>1311.5730852104916</v>
      </c>
      <c r="I14" s="130">
        <f>'HLH Tot Gen'!I14*Results!$B$5</f>
        <v>1504.2552015549247</v>
      </c>
      <c r="J14" s="130">
        <f>'HLH Tot Gen'!J14*Results!$B$5</f>
        <v>1890.1931777007767</v>
      </c>
      <c r="K14" s="130">
        <f>'HLH Tot Gen'!K14*Results!$B$5</f>
        <v>1733.3400694234813</v>
      </c>
      <c r="L14" s="130">
        <f>'HLH Tot Gen'!L14*Results!$B$5</f>
        <v>1734.1821077062568</v>
      </c>
      <c r="M14" s="130">
        <f>'HLH Tot Gen'!M14*Results!$B$5</f>
        <v>1486.0388460232577</v>
      </c>
      <c r="N14" s="130">
        <f>'HLH Tot Gen'!N14*Results!$B$5</f>
        <v>1013.3571214364404</v>
      </c>
      <c r="O14" s="130">
        <f>'HLH Tot Gen'!O14*Results!$B$5</f>
        <v>1399.9614981043392</v>
      </c>
      <c r="P14" s="130">
        <f>SUMPRODUCT(B14:O14,'HLH-LLH Loads'!$N$4:$AA$4)</f>
        <v>6944248.149698075</v>
      </c>
    </row>
    <row r="15" spans="1:16" ht="12.75">
      <c r="A15" s="128">
        <v>1941</v>
      </c>
      <c r="B15" s="130">
        <f>'HLH Tot Gen'!B15*Results!$B$5</f>
        <v>1312.797889920789</v>
      </c>
      <c r="C15" s="130">
        <f>'HLH Tot Gen'!C15*Results!$B$5</f>
        <v>1101.1889119108203</v>
      </c>
      <c r="D15" s="130">
        <f>'HLH Tot Gen'!D15*Results!$B$5</f>
        <v>1218.6368385229641</v>
      </c>
      <c r="E15" s="130">
        <f>'HLH Tot Gen'!E15*Results!$B$5</f>
        <v>1365.8128989218176</v>
      </c>
      <c r="F15" s="130">
        <f>'HLH Tot Gen'!F15*Results!$B$5</f>
        <v>1137.4946954501265</v>
      </c>
      <c r="G15" s="130">
        <f>'HLH Tot Gen'!G15*Results!$B$5</f>
        <v>1370.596721947749</v>
      </c>
      <c r="H15" s="130">
        <f>'HLH Tot Gen'!H15*Results!$B$5</f>
        <v>1266.575830695376</v>
      </c>
      <c r="I15" s="130">
        <f>'HLH Tot Gen'!I15*Results!$B$5</f>
        <v>1202.9953587951068</v>
      </c>
      <c r="J15" s="130">
        <f>'HLH Tot Gen'!J15*Results!$B$5</f>
        <v>1319.5426174795855</v>
      </c>
      <c r="K15" s="130">
        <f>'HLH Tot Gen'!K15*Results!$B$5</f>
        <v>1108.3469226903023</v>
      </c>
      <c r="L15" s="130">
        <f>'HLH Tot Gen'!L15*Results!$B$5</f>
        <v>1459.8871150431883</v>
      </c>
      <c r="M15" s="130">
        <f>'HLH Tot Gen'!M15*Results!$B$5</f>
        <v>1400.6743030275827</v>
      </c>
      <c r="N15" s="130">
        <f>'HLH Tot Gen'!N15*Results!$B$5</f>
        <v>1537.6643879105945</v>
      </c>
      <c r="O15" s="130">
        <f>'HLH Tot Gen'!O15*Results!$B$5</f>
        <v>1199.785988806302</v>
      </c>
      <c r="P15" s="130">
        <f>SUMPRODUCT(B15:O15,'HLH-LLH Loads'!$N$4:$AA$4)</f>
        <v>6477708.569882664</v>
      </c>
    </row>
    <row r="16" spans="1:16" ht="12.75">
      <c r="A16" s="128">
        <v>1942</v>
      </c>
      <c r="B16" s="130">
        <f>'HLH Tot Gen'!B16*Results!$B$5</f>
        <v>1230.8584319479444</v>
      </c>
      <c r="C16" s="130">
        <f>'HLH Tot Gen'!C16*Results!$B$5</f>
        <v>1120.1256791935898</v>
      </c>
      <c r="D16" s="130">
        <f>'HLH Tot Gen'!D16*Results!$B$5</f>
        <v>1118.8453503597882</v>
      </c>
      <c r="E16" s="130">
        <f>'HLH Tot Gen'!E16*Results!$B$5</f>
        <v>1333.7468970418458</v>
      </c>
      <c r="F16" s="130">
        <f>'HLH Tot Gen'!F16*Results!$B$5</f>
        <v>1230.2304589948455</v>
      </c>
      <c r="G16" s="130">
        <f>'HLH Tot Gen'!G16*Results!$B$5</f>
        <v>1926.0531892198235</v>
      </c>
      <c r="H16" s="130">
        <f>'HLH Tot Gen'!H16*Results!$B$5</f>
        <v>2038.0146807931815</v>
      </c>
      <c r="I16" s="130">
        <f>'HLH Tot Gen'!I16*Results!$B$5</f>
        <v>1640.5610548896072</v>
      </c>
      <c r="J16" s="130">
        <f>'HLH Tot Gen'!J16*Results!$B$5</f>
        <v>1039.6179621898884</v>
      </c>
      <c r="K16" s="130">
        <f>'HLH Tot Gen'!K16*Results!$B$5</f>
        <v>1468.3776665404805</v>
      </c>
      <c r="L16" s="130">
        <f>'HLH Tot Gen'!L16*Results!$B$5</f>
        <v>1551.8444988895756</v>
      </c>
      <c r="M16" s="130">
        <f>'HLH Tot Gen'!M16*Results!$B$5</f>
        <v>1745.074713773425</v>
      </c>
      <c r="N16" s="130">
        <f>'HLH Tot Gen'!N16*Results!$B$5</f>
        <v>1774.0371654321648</v>
      </c>
      <c r="O16" s="130">
        <f>'HLH Tot Gen'!O16*Results!$B$5</f>
        <v>1810.5831209972314</v>
      </c>
      <c r="P16" s="130">
        <f>SUMPRODUCT(B16:O16,'HLH-LLH Loads'!$N$4:$AA$4)</f>
        <v>7649518.308656766</v>
      </c>
    </row>
    <row r="17" spans="1:16" ht="12.75">
      <c r="A17" s="128">
        <v>1943</v>
      </c>
      <c r="B17" s="130">
        <f>'HLH Tot Gen'!B17*Results!$B$5</f>
        <v>1792.8088633205507</v>
      </c>
      <c r="C17" s="130">
        <f>'HLH Tot Gen'!C17*Results!$B$5</f>
        <v>1419.6989242398688</v>
      </c>
      <c r="D17" s="130">
        <f>'HLH Tot Gen'!D17*Results!$B$5</f>
        <v>1248.354882351073</v>
      </c>
      <c r="E17" s="130">
        <f>'HLH Tot Gen'!E17*Results!$B$5</f>
        <v>1307.8912231129116</v>
      </c>
      <c r="F17" s="130">
        <f>'HLH Tot Gen'!F17*Results!$B$5</f>
        <v>1091.134523811176</v>
      </c>
      <c r="G17" s="130">
        <f>'HLH Tot Gen'!G17*Results!$B$5</f>
        <v>1352.9374749010265</v>
      </c>
      <c r="H17" s="130">
        <f>'HLH Tot Gen'!H17*Results!$B$5</f>
        <v>2079.5406765396615</v>
      </c>
      <c r="I17" s="130">
        <f>'HLH Tot Gen'!I17*Results!$B$5</f>
        <v>2067.801840234028</v>
      </c>
      <c r="J17" s="130">
        <f>'HLH Tot Gen'!J17*Results!$B$5</f>
        <v>1907.402982701082</v>
      </c>
      <c r="K17" s="130">
        <f>'HLH Tot Gen'!K17*Results!$B$5</f>
        <v>2351.7711174573838</v>
      </c>
      <c r="L17" s="130">
        <f>'HLH Tot Gen'!L17*Results!$B$5</f>
        <v>2250.046636583259</v>
      </c>
      <c r="M17" s="130">
        <f>'HLH Tot Gen'!M17*Results!$B$5</f>
        <v>2066.262594917846</v>
      </c>
      <c r="N17" s="130">
        <f>'HLH Tot Gen'!N17*Results!$B$5</f>
        <v>2119.764434728968</v>
      </c>
      <c r="O17" s="130">
        <f>'HLH Tot Gen'!O17*Results!$B$5</f>
        <v>1890.5570440265526</v>
      </c>
      <c r="P17" s="130">
        <f>SUMPRODUCT(B17:O17,'HLH-LLH Loads'!$N$4:$AA$4)</f>
        <v>8767913.632507509</v>
      </c>
    </row>
    <row r="18" spans="1:16" ht="12.75">
      <c r="A18" s="128">
        <v>1944</v>
      </c>
      <c r="B18" s="130">
        <f>'HLH Tot Gen'!B18*Results!$B$5</f>
        <v>1740.9872416825744</v>
      </c>
      <c r="C18" s="130">
        <f>'HLH Tot Gen'!C18*Results!$B$5</f>
        <v>1484.7226290118945</v>
      </c>
      <c r="D18" s="130">
        <f>'HLH Tot Gen'!D18*Results!$B$5</f>
        <v>1135.4870492008529</v>
      </c>
      <c r="E18" s="130">
        <f>'HLH Tot Gen'!E18*Results!$B$5</f>
        <v>1348.8742121161863</v>
      </c>
      <c r="F18" s="130">
        <f>'HLH Tot Gen'!F18*Results!$B$5</f>
        <v>1076.1129639083879</v>
      </c>
      <c r="G18" s="130">
        <f>'HLH Tot Gen'!G18*Results!$B$5</f>
        <v>1360.495064487297</v>
      </c>
      <c r="H18" s="130">
        <f>'HLH Tot Gen'!H18*Results!$B$5</f>
        <v>1115.917570957314</v>
      </c>
      <c r="I18" s="130">
        <f>'HLH Tot Gen'!I18*Results!$B$5</f>
        <v>1342.4285454413418</v>
      </c>
      <c r="J18" s="130">
        <f>'HLH Tot Gen'!J18*Results!$B$5</f>
        <v>946.697462406535</v>
      </c>
      <c r="K18" s="130">
        <f>'HLH Tot Gen'!K18*Results!$B$5</f>
        <v>1000.6112866521139</v>
      </c>
      <c r="L18" s="130">
        <f>'HLH Tot Gen'!L18*Results!$B$5</f>
        <v>1251.8275127186046</v>
      </c>
      <c r="M18" s="130">
        <f>'HLH Tot Gen'!M18*Results!$B$5</f>
        <v>1329.8833280672739</v>
      </c>
      <c r="N18" s="130">
        <f>'HLH Tot Gen'!N18*Results!$B$5</f>
        <v>1378.6506586326057</v>
      </c>
      <c r="O18" s="130">
        <f>'HLH Tot Gen'!O18*Results!$B$5</f>
        <v>1184.5304023026952</v>
      </c>
      <c r="P18" s="130">
        <f>SUMPRODUCT(B18:O18,'HLH-LLH Loads'!$N$4:$AA$4)</f>
        <v>6241659.104308614</v>
      </c>
    </row>
    <row r="19" spans="1:16" ht="12.75">
      <c r="A19" s="128">
        <v>1945</v>
      </c>
      <c r="B19" s="130">
        <f>'HLH Tot Gen'!B19*Results!$B$5</f>
        <v>1264.9108109119243</v>
      </c>
      <c r="C19" s="130">
        <f>'HLH Tot Gen'!C19*Results!$B$5</f>
        <v>1100.4697202889502</v>
      </c>
      <c r="D19" s="130">
        <f>'HLH Tot Gen'!D19*Results!$B$5</f>
        <v>1033.485750819526</v>
      </c>
      <c r="E19" s="130">
        <f>'HLH Tot Gen'!E19*Results!$B$5</f>
        <v>1221.919816414181</v>
      </c>
      <c r="F19" s="130">
        <f>'HLH Tot Gen'!F19*Results!$B$5</f>
        <v>1215.0546634502589</v>
      </c>
      <c r="G19" s="130">
        <f>'HLH Tot Gen'!G19*Results!$B$5</f>
        <v>1294.3053832075407</v>
      </c>
      <c r="H19" s="130">
        <f>'HLH Tot Gen'!H19*Results!$B$5</f>
        <v>996.8938530108373</v>
      </c>
      <c r="I19" s="130">
        <f>'HLH Tot Gen'!I19*Results!$B$5</f>
        <v>1055.0665365512557</v>
      </c>
      <c r="J19" s="130">
        <f>'HLH Tot Gen'!J19*Results!$B$5</f>
        <v>1019.3029684713688</v>
      </c>
      <c r="K19" s="130">
        <f>'HLH Tot Gen'!K19*Results!$B$5</f>
        <v>1126.9218973802215</v>
      </c>
      <c r="L19" s="130">
        <f>'HLH Tot Gen'!L19*Results!$B$5</f>
        <v>1372.7816627598038</v>
      </c>
      <c r="M19" s="130">
        <f>'HLH Tot Gen'!M19*Results!$B$5</f>
        <v>1862.6134051545157</v>
      </c>
      <c r="N19" s="130">
        <f>'HLH Tot Gen'!N19*Results!$B$5</f>
        <v>1689.9954328320377</v>
      </c>
      <c r="O19" s="130">
        <f>'HLH Tot Gen'!O19*Results!$B$5</f>
        <v>1647.8457206280075</v>
      </c>
      <c r="P19" s="130">
        <f>SUMPRODUCT(B19:O19,'HLH-LLH Loads'!$N$4:$AA$4)</f>
        <v>6462990.239326438</v>
      </c>
    </row>
    <row r="20" spans="1:16" ht="12.75">
      <c r="A20" s="128">
        <v>1946</v>
      </c>
      <c r="B20" s="130">
        <f>'HLH Tot Gen'!B20*Results!$B$5</f>
        <v>1387.020337887639</v>
      </c>
      <c r="C20" s="130">
        <f>'HLH Tot Gen'!C20*Results!$B$5</f>
        <v>1254.5040067481198</v>
      </c>
      <c r="D20" s="130">
        <f>'HLH Tot Gen'!D20*Results!$B$5</f>
        <v>1175.148060983695</v>
      </c>
      <c r="E20" s="130">
        <f>'HLH Tot Gen'!E20*Results!$B$5</f>
        <v>1192.24671334047</v>
      </c>
      <c r="F20" s="130">
        <f>'HLH Tot Gen'!F20*Results!$B$5</f>
        <v>1110.5551885893653</v>
      </c>
      <c r="G20" s="130">
        <f>'HLH Tot Gen'!G20*Results!$B$5</f>
        <v>1581.9313794724105</v>
      </c>
      <c r="H20" s="130">
        <f>'HLH Tot Gen'!H20*Results!$B$5</f>
        <v>2237.156581096339</v>
      </c>
      <c r="I20" s="130">
        <f>'HLH Tot Gen'!I20*Results!$B$5</f>
        <v>1534.1858983758361</v>
      </c>
      <c r="J20" s="130">
        <f>'HLH Tot Gen'!J20*Results!$B$5</f>
        <v>1727.3797816704266</v>
      </c>
      <c r="K20" s="130">
        <f>'HLH Tot Gen'!K20*Results!$B$5</f>
        <v>1865.6647520442689</v>
      </c>
      <c r="L20" s="130">
        <f>'HLH Tot Gen'!L20*Results!$B$5</f>
        <v>2014.8998651187148</v>
      </c>
      <c r="M20" s="130">
        <f>'HLH Tot Gen'!M20*Results!$B$5</f>
        <v>2133.730682497904</v>
      </c>
      <c r="N20" s="130">
        <f>'HLH Tot Gen'!N20*Results!$B$5</f>
        <v>2074.880365175206</v>
      </c>
      <c r="O20" s="130">
        <f>'HLH Tot Gen'!O20*Results!$B$5</f>
        <v>1737.6825488185157</v>
      </c>
      <c r="P20" s="130">
        <f>SUMPRODUCT(B20:O20,'HLH-LLH Loads'!$N$4:$AA$4)</f>
        <v>8261331.491313999</v>
      </c>
    </row>
    <row r="21" spans="1:16" ht="12.75">
      <c r="A21" s="128">
        <v>1947</v>
      </c>
      <c r="B21" s="130">
        <f>'HLH Tot Gen'!B21*Results!$B$5</f>
        <v>1647.4973589624815</v>
      </c>
      <c r="C21" s="130">
        <f>'HLH Tot Gen'!C21*Results!$B$5</f>
        <v>1119.4028736174052</v>
      </c>
      <c r="D21" s="130">
        <f>'HLH Tot Gen'!D21*Results!$B$5</f>
        <v>1248.4573939405086</v>
      </c>
      <c r="E21" s="130">
        <f>'HLH Tot Gen'!E21*Results!$B$5</f>
        <v>1347.3149321527872</v>
      </c>
      <c r="F21" s="130">
        <f>'HLH Tot Gen'!F21*Results!$B$5</f>
        <v>1137.5339793198737</v>
      </c>
      <c r="G21" s="130">
        <f>'HLH Tot Gen'!G21*Results!$B$5</f>
        <v>1900.8425209666423</v>
      </c>
      <c r="H21" s="130">
        <f>'HLH Tot Gen'!H21*Results!$B$5</f>
        <v>2359.63625479657</v>
      </c>
      <c r="I21" s="130">
        <f>'HLH Tot Gen'!I21*Results!$B$5</f>
        <v>2246.7462339483454</v>
      </c>
      <c r="J21" s="130">
        <f>'HLH Tot Gen'!J21*Results!$B$5</f>
        <v>1682.0386993462519</v>
      </c>
      <c r="K21" s="130">
        <f>'HLH Tot Gen'!K21*Results!$B$5</f>
        <v>1791.4415559353836</v>
      </c>
      <c r="L21" s="130">
        <f>'HLH Tot Gen'!L21*Results!$B$5</f>
        <v>1768.5867265909799</v>
      </c>
      <c r="M21" s="130">
        <f>'HLH Tot Gen'!M21*Results!$B$5</f>
        <v>2101.238541083381</v>
      </c>
      <c r="N21" s="130">
        <f>'HLH Tot Gen'!N21*Results!$B$5</f>
        <v>2000.0974363195826</v>
      </c>
      <c r="O21" s="130">
        <f>'HLH Tot Gen'!O21*Results!$B$5</f>
        <v>1670.4670597526995</v>
      </c>
      <c r="P21" s="130">
        <f>SUMPRODUCT(B21:O21,'HLH-LLH Loads'!$N$4:$AA$4)</f>
        <v>8692498.438138967</v>
      </c>
    </row>
    <row r="22" spans="1:16" ht="12.75">
      <c r="A22" s="128">
        <v>1948</v>
      </c>
      <c r="B22" s="130">
        <f>'HLH Tot Gen'!B22*Results!$B$5</f>
        <v>1630.6351008140903</v>
      </c>
      <c r="C22" s="130">
        <f>'HLH Tot Gen'!C22*Results!$B$5</f>
        <v>1187.9566907373307</v>
      </c>
      <c r="D22" s="130">
        <f>'HLH Tot Gen'!D22*Results!$B$5</f>
        <v>1212.0076363002438</v>
      </c>
      <c r="E22" s="130">
        <f>'HLH Tot Gen'!E22*Results!$B$5</f>
        <v>1848.4421940176728</v>
      </c>
      <c r="F22" s="130">
        <f>'HLH Tot Gen'!F22*Results!$B$5</f>
        <v>1451.938239969611</v>
      </c>
      <c r="G22" s="130">
        <f>'HLH Tot Gen'!G22*Results!$B$5</f>
        <v>1604.6676361394782</v>
      </c>
      <c r="H22" s="130">
        <f>'HLH Tot Gen'!H22*Results!$B$5</f>
        <v>2392.8067264173515</v>
      </c>
      <c r="I22" s="130">
        <f>'HLH Tot Gen'!I22*Results!$B$5</f>
        <v>1987.9196196749554</v>
      </c>
      <c r="J22" s="130">
        <f>'HLH Tot Gen'!J22*Results!$B$5</f>
        <v>1477.0984626015324</v>
      </c>
      <c r="K22" s="130">
        <f>'HLH Tot Gen'!K22*Results!$B$5</f>
        <v>1540.9862688338262</v>
      </c>
      <c r="L22" s="130">
        <f>'HLH Tot Gen'!L22*Results!$B$5</f>
        <v>1881.912828204934</v>
      </c>
      <c r="M22" s="130">
        <f>'HLH Tot Gen'!M22*Results!$B$5</f>
        <v>2415.4247342646045</v>
      </c>
      <c r="N22" s="130">
        <f>'HLH Tot Gen'!N22*Results!$B$5</f>
        <v>2584.721665562072</v>
      </c>
      <c r="O22" s="130">
        <f>'HLH Tot Gen'!O22*Results!$B$5</f>
        <v>1897.6365925877008</v>
      </c>
      <c r="P22" s="130">
        <f>SUMPRODUCT(B22:O22,'HLH-LLH Loads'!$N$4:$AA$4)</f>
        <v>9180561.501654804</v>
      </c>
    </row>
    <row r="23" spans="1:16" ht="12.75">
      <c r="A23" s="128">
        <v>1949</v>
      </c>
      <c r="B23" s="130">
        <f>'HLH Tot Gen'!B23*Results!$B$5</f>
        <v>1766.9327569491793</v>
      </c>
      <c r="C23" s="130">
        <f>'HLH Tot Gen'!C23*Results!$B$5</f>
        <v>1799.1456910877014</v>
      </c>
      <c r="D23" s="130">
        <f>'HLH Tot Gen'!D23*Results!$B$5</f>
        <v>1345.9612046472394</v>
      </c>
      <c r="E23" s="130">
        <f>'HLH Tot Gen'!E23*Results!$B$5</f>
        <v>1423.0359865125727</v>
      </c>
      <c r="F23" s="130">
        <f>'HLH Tot Gen'!F23*Results!$B$5</f>
        <v>1104.3796554223038</v>
      </c>
      <c r="G23" s="130">
        <f>'HLH Tot Gen'!G23*Results!$B$5</f>
        <v>1339.3450013097897</v>
      </c>
      <c r="H23" s="130">
        <f>'HLH Tot Gen'!H23*Results!$B$5</f>
        <v>1809.2507377800887</v>
      </c>
      <c r="I23" s="130">
        <f>'HLH Tot Gen'!I23*Results!$B$5</f>
        <v>1471.7177564172455</v>
      </c>
      <c r="J23" s="130">
        <f>'HLH Tot Gen'!J23*Results!$B$5</f>
        <v>2194.5937012624804</v>
      </c>
      <c r="K23" s="130">
        <f>'HLH Tot Gen'!K23*Results!$B$5</f>
        <v>1951.0939773102023</v>
      </c>
      <c r="L23" s="130">
        <f>'HLH Tot Gen'!L23*Results!$B$5</f>
        <v>2070.197461914318</v>
      </c>
      <c r="M23" s="130">
        <f>'HLH Tot Gen'!M23*Results!$B$5</f>
        <v>2196.3064306979113</v>
      </c>
      <c r="N23" s="130">
        <f>'HLH Tot Gen'!N23*Results!$B$5</f>
        <v>1965.5326090326007</v>
      </c>
      <c r="O23" s="130">
        <f>'HLH Tot Gen'!O23*Results!$B$5</f>
        <v>1137.2460015433364</v>
      </c>
      <c r="P23" s="130">
        <f>SUMPRODUCT(B23:O23,'HLH-LLH Loads'!$N$4:$AA$4)</f>
        <v>8278594.748885543</v>
      </c>
    </row>
    <row r="24" spans="1:16" ht="12.75">
      <c r="A24" s="128">
        <v>1950</v>
      </c>
      <c r="B24" s="130">
        <f>'HLH Tot Gen'!B24*Results!$B$5</f>
        <v>1043.6444417671619</v>
      </c>
      <c r="C24" s="130">
        <f>'HLH Tot Gen'!C24*Results!$B$5</f>
        <v>937.1799798345203</v>
      </c>
      <c r="D24" s="130">
        <f>'HLH Tot Gen'!D24*Results!$B$5</f>
        <v>1123.0596728393418</v>
      </c>
      <c r="E24" s="130">
        <f>'HLH Tot Gen'!E24*Results!$B$5</f>
        <v>1233.919174710171</v>
      </c>
      <c r="F24" s="130">
        <f>'HLH Tot Gen'!F24*Results!$B$5</f>
        <v>1043.9569429750375</v>
      </c>
      <c r="G24" s="130">
        <f>'HLH Tot Gen'!G24*Results!$B$5</f>
        <v>1552.1742704782655</v>
      </c>
      <c r="H24" s="130">
        <f>'HLH Tot Gen'!H24*Results!$B$5</f>
        <v>2202.981421261985</v>
      </c>
      <c r="I24" s="130">
        <f>'HLH Tot Gen'!I24*Results!$B$5</f>
        <v>1983.7184729216485</v>
      </c>
      <c r="J24" s="130">
        <f>'HLH Tot Gen'!J24*Results!$B$5</f>
        <v>2088.773467382119</v>
      </c>
      <c r="K24" s="130">
        <f>'HLH Tot Gen'!K24*Results!$B$5</f>
        <v>2196.674160922187</v>
      </c>
      <c r="L24" s="130">
        <f>'HLH Tot Gen'!L24*Results!$B$5</f>
        <v>1976.033657233266</v>
      </c>
      <c r="M24" s="130">
        <f>'HLH Tot Gen'!M24*Results!$B$5</f>
        <v>2033.8415375300376</v>
      </c>
      <c r="N24" s="130">
        <f>'HLH Tot Gen'!N24*Results!$B$5</f>
        <v>2381.2348564327103</v>
      </c>
      <c r="O24" s="130">
        <f>'HLH Tot Gen'!O24*Results!$B$5</f>
        <v>1924.5020518595297</v>
      </c>
      <c r="P24" s="130">
        <f>SUMPRODUCT(B24:O24,'HLH-LLH Loads'!$N$4:$AA$4)</f>
        <v>8605868.687907968</v>
      </c>
    </row>
    <row r="25" spans="1:16" ht="12.75">
      <c r="A25" s="128">
        <v>1951</v>
      </c>
      <c r="B25" s="130">
        <f>'HLH Tot Gen'!B25*Results!$B$5</f>
        <v>1678.8056657640261</v>
      </c>
      <c r="C25" s="130">
        <f>'HLH Tot Gen'!C25*Results!$B$5</f>
        <v>1562.3517833696123</v>
      </c>
      <c r="D25" s="130">
        <f>'HLH Tot Gen'!D25*Results!$B$5</f>
        <v>1246.2346159749968</v>
      </c>
      <c r="E25" s="130">
        <f>'HLH Tot Gen'!E25*Results!$B$5</f>
        <v>1589.317908940216</v>
      </c>
      <c r="F25" s="130">
        <f>'HLH Tot Gen'!F25*Results!$B$5</f>
        <v>1552.7599809187066</v>
      </c>
      <c r="G25" s="130">
        <f>'HLH Tot Gen'!G25*Results!$B$5</f>
        <v>2074.7478538379974</v>
      </c>
      <c r="H25" s="130">
        <f>'HLH Tot Gen'!H25*Results!$B$5</f>
        <v>2484.918690578901</v>
      </c>
      <c r="I25" s="130">
        <f>'HLH Tot Gen'!I25*Results!$B$5</f>
        <v>2447.439765537823</v>
      </c>
      <c r="J25" s="130">
        <f>'HLH Tot Gen'!J25*Results!$B$5</f>
        <v>1983.4252332315896</v>
      </c>
      <c r="K25" s="130">
        <f>'HLH Tot Gen'!K25*Results!$B$5</f>
        <v>2147.267020585836</v>
      </c>
      <c r="L25" s="130">
        <f>'HLH Tot Gen'!L25*Results!$B$5</f>
        <v>2063.3166235586286</v>
      </c>
      <c r="M25" s="130">
        <f>'HLH Tot Gen'!M25*Results!$B$5</f>
        <v>2133.304149302201</v>
      </c>
      <c r="N25" s="130">
        <f>'HLH Tot Gen'!N25*Results!$B$5</f>
        <v>1816.2911957503352</v>
      </c>
      <c r="O25" s="130">
        <f>'HLH Tot Gen'!O25*Results!$B$5</f>
        <v>1847.8443750462968</v>
      </c>
      <c r="P25" s="130">
        <f>SUMPRODUCT(B25:O25,'HLH-LLH Loads'!$N$4:$AA$4)</f>
        <v>9545245.84823251</v>
      </c>
    </row>
    <row r="26" spans="1:16" ht="12.75">
      <c r="A26" s="128">
        <v>1952</v>
      </c>
      <c r="B26" s="130">
        <f>'HLH Tot Gen'!B26*Results!$B$5</f>
        <v>1765.3909109587835</v>
      </c>
      <c r="C26" s="130">
        <f>'HLH Tot Gen'!C26*Results!$B$5</f>
        <v>1600.5291620802238</v>
      </c>
      <c r="D26" s="130">
        <f>'HLH Tot Gen'!D26*Results!$B$5</f>
        <v>1239.3371799319343</v>
      </c>
      <c r="E26" s="130">
        <f>'HLH Tot Gen'!E26*Results!$B$5</f>
        <v>1731.886639159961</v>
      </c>
      <c r="F26" s="130">
        <f>'HLH Tot Gen'!F26*Results!$B$5</f>
        <v>1247.6324139094672</v>
      </c>
      <c r="G26" s="130">
        <f>'HLH Tot Gen'!G26*Results!$B$5</f>
        <v>1720.6611395506538</v>
      </c>
      <c r="H26" s="130">
        <f>'HLH Tot Gen'!H26*Results!$B$5</f>
        <v>2301.9952479529134</v>
      </c>
      <c r="I26" s="130">
        <f>'HLH Tot Gen'!I26*Results!$B$5</f>
        <v>1885.4931476672332</v>
      </c>
      <c r="J26" s="130">
        <f>'HLH Tot Gen'!J26*Results!$B$5</f>
        <v>1613.5484897401418</v>
      </c>
      <c r="K26" s="130">
        <f>'HLH Tot Gen'!K26*Results!$B$5</f>
        <v>2198.6092380136133</v>
      </c>
      <c r="L26" s="130">
        <f>'HLH Tot Gen'!L26*Results!$B$5</f>
        <v>2174.298951026659</v>
      </c>
      <c r="M26" s="130">
        <f>'HLH Tot Gen'!M26*Results!$B$5</f>
        <v>2299.2370488975894</v>
      </c>
      <c r="N26" s="130">
        <f>'HLH Tot Gen'!N26*Results!$B$5</f>
        <v>2084.6348891548237</v>
      </c>
      <c r="O26" s="130">
        <f>'HLH Tot Gen'!O26*Results!$B$5</f>
        <v>1565.301737600405</v>
      </c>
      <c r="P26" s="130">
        <f>SUMPRODUCT(B26:O26,'HLH-LLH Loads'!$N$4:$AA$4)</f>
        <v>8998134.529520746</v>
      </c>
    </row>
    <row r="27" spans="1:16" ht="12.75">
      <c r="A27" s="128">
        <v>1953</v>
      </c>
      <c r="B27" s="130">
        <f>'HLH Tot Gen'!B27*Results!$B$5</f>
        <v>1646.7751692976458</v>
      </c>
      <c r="C27" s="130">
        <f>'HLH Tot Gen'!C27*Results!$B$5</f>
        <v>1137.7334482524307</v>
      </c>
      <c r="D27" s="130">
        <f>'HLH Tot Gen'!D27*Results!$B$5</f>
        <v>1130.3900976126658</v>
      </c>
      <c r="E27" s="130">
        <f>'HLH Tot Gen'!E27*Results!$B$5</f>
        <v>1259.401872452103</v>
      </c>
      <c r="F27" s="130">
        <f>'HLH Tot Gen'!F27*Results!$B$5</f>
        <v>1094.4090648716992</v>
      </c>
      <c r="G27" s="130">
        <f>'HLH Tot Gen'!G27*Results!$B$5</f>
        <v>1409.7991082969268</v>
      </c>
      <c r="H27" s="130">
        <f>'HLH Tot Gen'!H27*Results!$B$5</f>
        <v>1305.5721650016228</v>
      </c>
      <c r="I27" s="130">
        <f>'HLH Tot Gen'!I27*Results!$B$5</f>
        <v>2319.2803345663538</v>
      </c>
      <c r="J27" s="130">
        <f>'HLH Tot Gen'!J27*Results!$B$5</f>
        <v>1808.2673574968933</v>
      </c>
      <c r="K27" s="130">
        <f>'HLH Tot Gen'!K27*Results!$B$5</f>
        <v>1399.5037120960458</v>
      </c>
      <c r="L27" s="130">
        <f>'HLH Tot Gen'!L27*Results!$B$5</f>
        <v>1502.0539160445041</v>
      </c>
      <c r="M27" s="130">
        <f>'HLH Tot Gen'!M27*Results!$B$5</f>
        <v>1829.352727378374</v>
      </c>
      <c r="N27" s="130">
        <f>'HLH Tot Gen'!N27*Results!$B$5</f>
        <v>2207.6916317695573</v>
      </c>
      <c r="O27" s="130">
        <f>'HLH Tot Gen'!O27*Results!$B$5</f>
        <v>1893.1525844596863</v>
      </c>
      <c r="P27" s="130">
        <f>SUMPRODUCT(B27:O27,'HLH-LLH Loads'!$N$4:$AA$4)</f>
        <v>7946431.408838906</v>
      </c>
    </row>
    <row r="28" spans="1:16" ht="12.75">
      <c r="A28" s="128">
        <v>1954</v>
      </c>
      <c r="B28" s="130">
        <f>'HLH Tot Gen'!B28*Results!$B$5</f>
        <v>1776.2762763728638</v>
      </c>
      <c r="C28" s="130">
        <f>'HLH Tot Gen'!C28*Results!$B$5</f>
        <v>1572.8444980507616</v>
      </c>
      <c r="D28" s="130">
        <f>'HLH Tot Gen'!D28*Results!$B$5</f>
        <v>1258.3966764480326</v>
      </c>
      <c r="E28" s="130">
        <f>'HLH Tot Gen'!E28*Results!$B$5</f>
        <v>1420.5120965288445</v>
      </c>
      <c r="F28" s="130">
        <f>'HLH Tot Gen'!F28*Results!$B$5</f>
        <v>1176.5407064526523</v>
      </c>
      <c r="G28" s="130">
        <f>'HLH Tot Gen'!G28*Results!$B$5</f>
        <v>1428.7217029750523</v>
      </c>
      <c r="H28" s="130">
        <f>'HLH Tot Gen'!H28*Results!$B$5</f>
        <v>1944.856380469851</v>
      </c>
      <c r="I28" s="130">
        <f>'HLH Tot Gen'!I28*Results!$B$5</f>
        <v>2391.8091791833945</v>
      </c>
      <c r="J28" s="130">
        <f>'HLH Tot Gen'!J28*Results!$B$5</f>
        <v>1655.7565121058449</v>
      </c>
      <c r="K28" s="130">
        <f>'HLH Tot Gen'!K28*Results!$B$5</f>
        <v>1815.46546382655</v>
      </c>
      <c r="L28" s="130">
        <f>'HLH Tot Gen'!L28*Results!$B$5</f>
        <v>1735.0973434433392</v>
      </c>
      <c r="M28" s="130">
        <f>'HLH Tot Gen'!M28*Results!$B$5</f>
        <v>2060.762655363545</v>
      </c>
      <c r="N28" s="130">
        <f>'HLH Tot Gen'!N28*Results!$B$5</f>
        <v>2176.2279011460773</v>
      </c>
      <c r="O28" s="130">
        <f>'HLH Tot Gen'!O28*Results!$B$5</f>
        <v>1945.0030133317582</v>
      </c>
      <c r="P28" s="130">
        <f>SUMPRODUCT(B28:O28,'HLH-LLH Loads'!$N$4:$AA$4)</f>
        <v>8708068.483359098</v>
      </c>
    </row>
    <row r="29" spans="1:16" ht="12.75">
      <c r="A29" s="128">
        <v>1955</v>
      </c>
      <c r="B29" s="130">
        <f>'HLH Tot Gen'!B29*Results!$B$5</f>
        <v>1822.55773295039</v>
      </c>
      <c r="C29" s="130">
        <f>'HLH Tot Gen'!C29*Results!$B$5</f>
        <v>1694.0191342530477</v>
      </c>
      <c r="D29" s="130">
        <f>'HLH Tot Gen'!D29*Results!$B$5</f>
        <v>1802.1199250894997</v>
      </c>
      <c r="E29" s="130">
        <f>'HLH Tot Gen'!E29*Results!$B$5</f>
        <v>1568.8603945857208</v>
      </c>
      <c r="F29" s="130">
        <f>'HLH Tot Gen'!F29*Results!$B$5</f>
        <v>1333.3573235994204</v>
      </c>
      <c r="G29" s="130">
        <f>'HLH Tot Gen'!G29*Results!$B$5</f>
        <v>1477.0405401321984</v>
      </c>
      <c r="H29" s="130">
        <f>'HLH Tot Gen'!H29*Results!$B$5</f>
        <v>1783.7245982464435</v>
      </c>
      <c r="I29" s="130">
        <f>'HLH Tot Gen'!I29*Results!$B$5</f>
        <v>1637.4458729904443</v>
      </c>
      <c r="J29" s="130">
        <f>'HLH Tot Gen'!J29*Results!$B$5</f>
        <v>1020.3246600549434</v>
      </c>
      <c r="K29" s="130">
        <f>'HLH Tot Gen'!K29*Results!$B$5</f>
        <v>1538.6335760442723</v>
      </c>
      <c r="L29" s="130">
        <f>'HLH Tot Gen'!L29*Results!$B$5</f>
        <v>1587.5609585087502</v>
      </c>
      <c r="M29" s="130">
        <f>'HLH Tot Gen'!M29*Results!$B$5</f>
        <v>1523.1231024170536</v>
      </c>
      <c r="N29" s="130">
        <f>'HLH Tot Gen'!N29*Results!$B$5</f>
        <v>2316.67059786894</v>
      </c>
      <c r="O29" s="130">
        <f>'HLH Tot Gen'!O29*Results!$B$5</f>
        <v>1994.6986379905475</v>
      </c>
      <c r="P29" s="130">
        <f>SUMPRODUCT(B29:O29,'HLH-LLH Loads'!$N$4:$AA$4)</f>
        <v>8247283.2219701735</v>
      </c>
    </row>
    <row r="30" spans="1:16" ht="12.75">
      <c r="A30" s="128">
        <v>1956</v>
      </c>
      <c r="B30" s="130">
        <f>'HLH Tot Gen'!B30*Results!$B$5</f>
        <v>1738.8421927666193</v>
      </c>
      <c r="C30" s="130">
        <f>'HLH Tot Gen'!C30*Results!$B$5</f>
        <v>1678.4674531152484</v>
      </c>
      <c r="D30" s="130">
        <f>'HLH Tot Gen'!D30*Results!$B$5</f>
        <v>1280.4234834585916</v>
      </c>
      <c r="E30" s="130">
        <f>'HLH Tot Gen'!E30*Results!$B$5</f>
        <v>1523.310937526452</v>
      </c>
      <c r="F30" s="130">
        <f>'HLH Tot Gen'!F30*Results!$B$5</f>
        <v>1414.288250475386</v>
      </c>
      <c r="G30" s="130">
        <f>'HLH Tot Gen'!G30*Results!$B$5</f>
        <v>2025.8066690976557</v>
      </c>
      <c r="H30" s="130">
        <f>'HLH Tot Gen'!H30*Results!$B$5</f>
        <v>2522.535371695808</v>
      </c>
      <c r="I30" s="130">
        <f>'HLH Tot Gen'!I30*Results!$B$5</f>
        <v>2256.621035104636</v>
      </c>
      <c r="J30" s="130">
        <f>'HLH Tot Gen'!J30*Results!$B$5</f>
        <v>2002.4684065427073</v>
      </c>
      <c r="K30" s="130">
        <f>'HLH Tot Gen'!K30*Results!$B$5</f>
        <v>2075.302217875635</v>
      </c>
      <c r="L30" s="130">
        <f>'HLH Tot Gen'!L30*Results!$B$5</f>
        <v>2305.8898442881004</v>
      </c>
      <c r="M30" s="130">
        <f>'HLH Tot Gen'!M30*Results!$B$5</f>
        <v>2364.9672027737906</v>
      </c>
      <c r="N30" s="130">
        <f>'HLH Tot Gen'!N30*Results!$B$5</f>
        <v>2452.4029976592983</v>
      </c>
      <c r="O30" s="130">
        <f>'HLH Tot Gen'!O30*Results!$B$5</f>
        <v>1889.9663335518837</v>
      </c>
      <c r="P30" s="130">
        <f>SUMPRODUCT(B30:O30,'HLH-LLH Loads'!$N$4:$AA$4)</f>
        <v>9862607.58777083</v>
      </c>
    </row>
    <row r="31" spans="1:16" ht="12.75">
      <c r="A31" s="128">
        <v>1957</v>
      </c>
      <c r="B31" s="130">
        <f>'HLH Tot Gen'!B31*Results!$B$5</f>
        <v>1804.840544136951</v>
      </c>
      <c r="C31" s="130">
        <f>'HLH Tot Gen'!C31*Results!$B$5</f>
        <v>1600.9613864609553</v>
      </c>
      <c r="D31" s="130">
        <f>'HLH Tot Gen'!D31*Results!$B$5</f>
        <v>1224.705620690705</v>
      </c>
      <c r="E31" s="130">
        <f>'HLH Tot Gen'!E31*Results!$B$5</f>
        <v>1447.071337099481</v>
      </c>
      <c r="F31" s="130">
        <f>'HLH Tot Gen'!F31*Results!$B$5</f>
        <v>1079.3215007172703</v>
      </c>
      <c r="G31" s="130">
        <f>'HLH Tot Gen'!G31*Results!$B$5</f>
        <v>1519.5276040087329</v>
      </c>
      <c r="H31" s="130">
        <f>'HLH Tot Gen'!H31*Results!$B$5</f>
        <v>1735.1194120822572</v>
      </c>
      <c r="I31" s="130">
        <f>'HLH Tot Gen'!I31*Results!$B$5</f>
        <v>2100.2511357551925</v>
      </c>
      <c r="J31" s="130">
        <f>'HLH Tot Gen'!J31*Results!$B$5</f>
        <v>1632.872033302452</v>
      </c>
      <c r="K31" s="130">
        <f>'HLH Tot Gen'!K31*Results!$B$5</f>
        <v>2136.0786995618337</v>
      </c>
      <c r="L31" s="130">
        <f>'HLH Tot Gen'!L31*Results!$B$5</f>
        <v>1618.5110644699914</v>
      </c>
      <c r="M31" s="130">
        <f>'HLH Tot Gen'!M31*Results!$B$5</f>
        <v>2441.7505884824495</v>
      </c>
      <c r="N31" s="130">
        <f>'HLH Tot Gen'!N31*Results!$B$5</f>
        <v>2240.343586375577</v>
      </c>
      <c r="O31" s="130">
        <f>'HLH Tot Gen'!O31*Results!$B$5</f>
        <v>1524.4623372427316</v>
      </c>
      <c r="P31" s="130">
        <f>SUMPRODUCT(B31:O31,'HLH-LLH Loads'!$N$4:$AA$4)</f>
        <v>8555844.29646593</v>
      </c>
    </row>
    <row r="32" spans="1:16" ht="12.75">
      <c r="A32" s="128">
        <v>1958</v>
      </c>
      <c r="B32" s="130">
        <f>'HLH Tot Gen'!B32*Results!$B$5</f>
        <v>1432.9683828874802</v>
      </c>
      <c r="C32" s="130">
        <f>'HLH Tot Gen'!C32*Results!$B$5</f>
        <v>1161.6125693094482</v>
      </c>
      <c r="D32" s="130">
        <f>'HLH Tot Gen'!D32*Results!$B$5</f>
        <v>1155.5063798946892</v>
      </c>
      <c r="E32" s="130">
        <f>'HLH Tot Gen'!E32*Results!$B$5</f>
        <v>1304.8113355604562</v>
      </c>
      <c r="F32" s="130">
        <f>'HLH Tot Gen'!F32*Results!$B$5</f>
        <v>1071.396850850481</v>
      </c>
      <c r="G32" s="130">
        <f>'HLH Tot Gen'!G32*Results!$B$5</f>
        <v>1355.5979044240557</v>
      </c>
      <c r="H32" s="130">
        <f>'HLH Tot Gen'!H32*Results!$B$5</f>
        <v>1749.1135199599669</v>
      </c>
      <c r="I32" s="130">
        <f>'HLH Tot Gen'!I32*Results!$B$5</f>
        <v>2282.2330788769605</v>
      </c>
      <c r="J32" s="130">
        <f>'HLH Tot Gen'!J32*Results!$B$5</f>
        <v>1467.7665033648893</v>
      </c>
      <c r="K32" s="130">
        <f>'HLH Tot Gen'!K32*Results!$B$5</f>
        <v>1569.3846594749639</v>
      </c>
      <c r="L32" s="130">
        <f>'HLH Tot Gen'!L32*Results!$B$5</f>
        <v>1947.342314749149</v>
      </c>
      <c r="M32" s="130">
        <f>'HLH Tot Gen'!M32*Results!$B$5</f>
        <v>2349.3104641246427</v>
      </c>
      <c r="N32" s="130">
        <f>'HLH Tot Gen'!N32*Results!$B$5</f>
        <v>2130.8600000483</v>
      </c>
      <c r="O32" s="130">
        <f>'HLH Tot Gen'!O32*Results!$B$5</f>
        <v>1435.3081218326286</v>
      </c>
      <c r="P32" s="130">
        <f>SUMPRODUCT(B32:O32,'HLH-LLH Loads'!$N$4:$AA$4)</f>
        <v>8062247.4146458795</v>
      </c>
    </row>
    <row r="33" spans="1:16" ht="12.75">
      <c r="A33" s="128">
        <v>1959</v>
      </c>
      <c r="B33" s="130">
        <f>'HLH Tot Gen'!B33*Results!$B$5</f>
        <v>1409.3034656553987</v>
      </c>
      <c r="C33" s="130">
        <f>'HLH Tot Gen'!C33*Results!$B$5</f>
        <v>1191.1750761696132</v>
      </c>
      <c r="D33" s="130">
        <f>'HLH Tot Gen'!D33*Results!$B$5</f>
        <v>1151.820505459085</v>
      </c>
      <c r="E33" s="130">
        <f>'HLH Tot Gen'!E33*Results!$B$5</f>
        <v>1397.1732418297465</v>
      </c>
      <c r="F33" s="130">
        <f>'HLH Tot Gen'!F33*Results!$B$5</f>
        <v>1285.8451521710974</v>
      </c>
      <c r="G33" s="130">
        <f>'HLH Tot Gen'!G33*Results!$B$5</f>
        <v>1716.5209709132585</v>
      </c>
      <c r="H33" s="130">
        <f>'HLH Tot Gen'!H33*Results!$B$5</f>
        <v>2488.3255861849025</v>
      </c>
      <c r="I33" s="130">
        <f>'HLH Tot Gen'!I33*Results!$B$5</f>
        <v>2276.7346925930656</v>
      </c>
      <c r="J33" s="130">
        <f>'HLH Tot Gen'!J33*Results!$B$5</f>
        <v>1813.6217052485122</v>
      </c>
      <c r="K33" s="130">
        <f>'HLH Tot Gen'!K33*Results!$B$5</f>
        <v>1808.7222903734516</v>
      </c>
      <c r="L33" s="130">
        <f>'HLH Tot Gen'!L33*Results!$B$5</f>
        <v>1493.531614410086</v>
      </c>
      <c r="M33" s="130">
        <f>'HLH Tot Gen'!M33*Results!$B$5</f>
        <v>2000.7289225352642</v>
      </c>
      <c r="N33" s="130">
        <f>'HLH Tot Gen'!N33*Results!$B$5</f>
        <v>2172.639852592311</v>
      </c>
      <c r="O33" s="130">
        <f>'HLH Tot Gen'!O33*Results!$B$5</f>
        <v>1902.4108177829717</v>
      </c>
      <c r="P33" s="130">
        <f>SUMPRODUCT(B33:O33,'HLH-LLH Loads'!$N$4:$AA$4)</f>
        <v>8819496.624808887</v>
      </c>
    </row>
    <row r="34" spans="1:16" ht="12.75">
      <c r="A34" s="128">
        <v>1960</v>
      </c>
      <c r="B34" s="130">
        <f>'HLH Tot Gen'!B34*Results!$B$5</f>
        <v>1767.2857484768708</v>
      </c>
      <c r="C34" s="130">
        <f>'HLH Tot Gen'!C34*Results!$B$5</f>
        <v>1530.5849259403506</v>
      </c>
      <c r="D34" s="130">
        <f>'HLH Tot Gen'!D34*Results!$B$5</f>
        <v>1775.0150622588603</v>
      </c>
      <c r="E34" s="130">
        <f>'HLH Tot Gen'!E34*Results!$B$5</f>
        <v>1982.8364694277616</v>
      </c>
      <c r="F34" s="130">
        <f>'HLH Tot Gen'!F34*Results!$B$5</f>
        <v>1646.325825982827</v>
      </c>
      <c r="G34" s="130">
        <f>'HLH Tot Gen'!G34*Results!$B$5</f>
        <v>1802.8846819019907</v>
      </c>
      <c r="H34" s="130">
        <f>'HLH Tot Gen'!H34*Results!$B$5</f>
        <v>2262.330119574562</v>
      </c>
      <c r="I34" s="130">
        <f>'HLH Tot Gen'!I34*Results!$B$5</f>
        <v>1696.8266068964497</v>
      </c>
      <c r="J34" s="130">
        <f>'HLH Tot Gen'!J34*Results!$B$5</f>
        <v>1740.814939075251</v>
      </c>
      <c r="K34" s="130">
        <f>'HLH Tot Gen'!K34*Results!$B$5</f>
        <v>2403.968780612564</v>
      </c>
      <c r="L34" s="130">
        <f>'HLH Tot Gen'!L34*Results!$B$5</f>
        <v>1931.692548067712</v>
      </c>
      <c r="M34" s="130">
        <f>'HLH Tot Gen'!M34*Results!$B$5</f>
        <v>1745.1539796887423</v>
      </c>
      <c r="N34" s="130">
        <f>'HLH Tot Gen'!N34*Results!$B$5</f>
        <v>1876.4373307836709</v>
      </c>
      <c r="O34" s="130">
        <f>'HLH Tot Gen'!O34*Results!$B$5</f>
        <v>1720.6097128035824</v>
      </c>
      <c r="P34" s="130">
        <f>SUMPRODUCT(B34:O34,'HLH-LLH Loads'!$N$4:$AA$4)</f>
        <v>9203156.495174034</v>
      </c>
    </row>
    <row r="35" spans="1:16" ht="12.75">
      <c r="A35" s="128">
        <v>1961</v>
      </c>
      <c r="B35" s="130">
        <f>'HLH Tot Gen'!B35*Results!$B$5</f>
        <v>1690.2826611967419</v>
      </c>
      <c r="C35" s="130">
        <f>'HLH Tot Gen'!C35*Results!$B$5</f>
        <v>1142.0263508324758</v>
      </c>
      <c r="D35" s="130">
        <f>'HLH Tot Gen'!D35*Results!$B$5</f>
        <v>1199.3257696852588</v>
      </c>
      <c r="E35" s="130">
        <f>'HLH Tot Gen'!E35*Results!$B$5</f>
        <v>1410.5055338193263</v>
      </c>
      <c r="F35" s="130">
        <f>'HLH Tot Gen'!F35*Results!$B$5</f>
        <v>1201.6792874275575</v>
      </c>
      <c r="G35" s="130">
        <f>'HLH Tot Gen'!G35*Results!$B$5</f>
        <v>1265.9405165405653</v>
      </c>
      <c r="H35" s="130">
        <f>'HLH Tot Gen'!H35*Results!$B$5</f>
        <v>2102.374908447501</v>
      </c>
      <c r="I35" s="130">
        <f>'HLH Tot Gen'!I35*Results!$B$5</f>
        <v>2291.5680031379143</v>
      </c>
      <c r="J35" s="130">
        <f>'HLH Tot Gen'!J35*Results!$B$5</f>
        <v>1797.71338362539</v>
      </c>
      <c r="K35" s="130">
        <f>'HLH Tot Gen'!K35*Results!$B$5</f>
        <v>1763.187069461356</v>
      </c>
      <c r="L35" s="130">
        <f>'HLH Tot Gen'!L35*Results!$B$5</f>
        <v>1351.9931191742276</v>
      </c>
      <c r="M35" s="130">
        <f>'HLH Tot Gen'!M35*Results!$B$5</f>
        <v>2057.235541405664</v>
      </c>
      <c r="N35" s="130">
        <f>'HLH Tot Gen'!N35*Results!$B$5</f>
        <v>2169.4045778489412</v>
      </c>
      <c r="O35" s="130">
        <f>'HLH Tot Gen'!O35*Results!$B$5</f>
        <v>1618.8721791065389</v>
      </c>
      <c r="P35" s="130">
        <f>SUMPRODUCT(B35:O35,'HLH-LLH Loads'!$N$4:$AA$4)</f>
        <v>8368807.983110039</v>
      </c>
    </row>
    <row r="36" spans="1:16" ht="12.75">
      <c r="A36" s="128">
        <v>1962</v>
      </c>
      <c r="B36" s="130">
        <f>'HLH Tot Gen'!B36*Results!$B$5</f>
        <v>1593.2395545959887</v>
      </c>
      <c r="C36" s="130">
        <f>'HLH Tot Gen'!C36*Results!$B$5</f>
        <v>1208.1886837274203</v>
      </c>
      <c r="D36" s="130">
        <f>'HLH Tot Gen'!D36*Results!$B$5</f>
        <v>1115.9586242097494</v>
      </c>
      <c r="E36" s="130">
        <f>'HLH Tot Gen'!E36*Results!$B$5</f>
        <v>1356.214890252618</v>
      </c>
      <c r="F36" s="130">
        <f>'HLH Tot Gen'!F36*Results!$B$5</f>
        <v>1046.2941934283701</v>
      </c>
      <c r="G36" s="130">
        <f>'HLH Tot Gen'!G36*Results!$B$5</f>
        <v>1308.2163321306737</v>
      </c>
      <c r="H36" s="130">
        <f>'HLH Tot Gen'!H36*Results!$B$5</f>
        <v>2117.6757410956075</v>
      </c>
      <c r="I36" s="130">
        <f>'HLH Tot Gen'!I36*Results!$B$5</f>
        <v>1373.7139763524035</v>
      </c>
      <c r="J36" s="130">
        <f>'HLH Tot Gen'!J36*Results!$B$5</f>
        <v>1314.373946752812</v>
      </c>
      <c r="K36" s="130">
        <f>'HLH Tot Gen'!K36*Results!$B$5</f>
        <v>1977.5110994054914</v>
      </c>
      <c r="L36" s="130">
        <f>'HLH Tot Gen'!L36*Results!$B$5</f>
        <v>2000.0660983539308</v>
      </c>
      <c r="M36" s="130">
        <f>'HLH Tot Gen'!M36*Results!$B$5</f>
        <v>1805.1232147452586</v>
      </c>
      <c r="N36" s="130">
        <f>'HLH Tot Gen'!N36*Results!$B$5</f>
        <v>1590.910075323191</v>
      </c>
      <c r="O36" s="130">
        <f>'HLH Tot Gen'!O36*Results!$B$5</f>
        <v>1790.3170969598607</v>
      </c>
      <c r="P36" s="130">
        <f>SUMPRODUCT(B36:O36,'HLH-LLH Loads'!$N$4:$AA$4)</f>
        <v>7602179.897212826</v>
      </c>
    </row>
    <row r="37" spans="1:16" ht="12.75">
      <c r="A37" s="128">
        <v>1963</v>
      </c>
      <c r="B37" s="130">
        <f>'HLH Tot Gen'!B37*Results!$B$5</f>
        <v>1757.2835188965826</v>
      </c>
      <c r="C37" s="130">
        <f>'HLH Tot Gen'!C37*Results!$B$5</f>
        <v>1417.8097827555064</v>
      </c>
      <c r="D37" s="130">
        <f>'HLH Tot Gen'!D37*Results!$B$5</f>
        <v>1146.5702324265271</v>
      </c>
      <c r="E37" s="130">
        <f>'HLH Tot Gen'!E37*Results!$B$5</f>
        <v>1508.256722905075</v>
      </c>
      <c r="F37" s="130">
        <f>'HLH Tot Gen'!F37*Results!$B$5</f>
        <v>1324.1661613009223</v>
      </c>
      <c r="G37" s="130">
        <f>'HLH Tot Gen'!G37*Results!$B$5</f>
        <v>1716.752102761576</v>
      </c>
      <c r="H37" s="130">
        <f>'HLH Tot Gen'!H37*Results!$B$5</f>
        <v>2223.3789260713907</v>
      </c>
      <c r="I37" s="130">
        <f>'HLH Tot Gen'!I37*Results!$B$5</f>
        <v>1842.989908309277</v>
      </c>
      <c r="J37" s="130">
        <f>'HLH Tot Gen'!J37*Results!$B$5</f>
        <v>1366.3956170492295</v>
      </c>
      <c r="K37" s="130">
        <f>'HLH Tot Gen'!K37*Results!$B$5</f>
        <v>1678.5199095192158</v>
      </c>
      <c r="L37" s="130">
        <f>'HLH Tot Gen'!L37*Results!$B$5</f>
        <v>1662.0005976062314</v>
      </c>
      <c r="M37" s="130">
        <f>'HLH Tot Gen'!M37*Results!$B$5</f>
        <v>1679.0803864045604</v>
      </c>
      <c r="N37" s="130">
        <f>'HLH Tot Gen'!N37*Results!$B$5</f>
        <v>1907.8776247199012</v>
      </c>
      <c r="O37" s="130">
        <f>'HLH Tot Gen'!O37*Results!$B$5</f>
        <v>1741.5814444471132</v>
      </c>
      <c r="P37" s="130">
        <f>SUMPRODUCT(B37:O37,'HLH-LLH Loads'!$N$4:$AA$4)</f>
        <v>8222534.748584571</v>
      </c>
    </row>
    <row r="38" spans="1:16" ht="12.75">
      <c r="A38" s="128">
        <v>1964</v>
      </c>
      <c r="B38" s="130">
        <f>'HLH Tot Gen'!B38*Results!$B$5</f>
        <v>1720.3730581420002</v>
      </c>
      <c r="C38" s="130">
        <f>'HLH Tot Gen'!C38*Results!$B$5</f>
        <v>1369.9224003635918</v>
      </c>
      <c r="D38" s="130">
        <f>'HLH Tot Gen'!D38*Results!$B$5</f>
        <v>1330.1465645566354</v>
      </c>
      <c r="E38" s="130">
        <f>'HLH Tot Gen'!E38*Results!$B$5</f>
        <v>1334.3448597705258</v>
      </c>
      <c r="F38" s="130">
        <f>'HLH Tot Gen'!F38*Results!$B$5</f>
        <v>1078.7926124598062</v>
      </c>
      <c r="G38" s="130">
        <f>'HLH Tot Gen'!G38*Results!$B$5</f>
        <v>1290.5049503932323</v>
      </c>
      <c r="H38" s="130">
        <f>'HLH Tot Gen'!H38*Results!$B$5</f>
        <v>1702.5518633660658</v>
      </c>
      <c r="I38" s="130">
        <f>'HLH Tot Gen'!I38*Results!$B$5</f>
        <v>2098.5418358821044</v>
      </c>
      <c r="J38" s="130">
        <f>'HLH Tot Gen'!J38*Results!$B$5</f>
        <v>1171.8605838718413</v>
      </c>
      <c r="K38" s="130">
        <f>'HLH Tot Gen'!K38*Results!$B$5</f>
        <v>1751.2736352806621</v>
      </c>
      <c r="L38" s="130">
        <f>'HLH Tot Gen'!L38*Results!$B$5</f>
        <v>1436.2621908789522</v>
      </c>
      <c r="M38" s="130">
        <f>'HLH Tot Gen'!M38*Results!$B$5</f>
        <v>1755.162673787104</v>
      </c>
      <c r="N38" s="130">
        <f>'HLH Tot Gen'!N38*Results!$B$5</f>
        <v>2326.329576962931</v>
      </c>
      <c r="O38" s="130">
        <f>'HLH Tot Gen'!O38*Results!$B$5</f>
        <v>1951.5045150868427</v>
      </c>
      <c r="P38" s="130">
        <f>SUMPRODUCT(B38:O38,'HLH-LLH Loads'!$N$4:$AA$4)</f>
        <v>7979139.005672891</v>
      </c>
    </row>
    <row r="39" spans="1:16" ht="12.75">
      <c r="A39" s="128">
        <v>1965</v>
      </c>
      <c r="B39" s="130">
        <f>'HLH Tot Gen'!B39*Results!$B$5</f>
        <v>1777.114781597968</v>
      </c>
      <c r="C39" s="130">
        <f>'HLH Tot Gen'!C39*Results!$B$5</f>
        <v>1669.070177932025</v>
      </c>
      <c r="D39" s="130">
        <f>'HLH Tot Gen'!D39*Results!$B$5</f>
        <v>1404.3557740780786</v>
      </c>
      <c r="E39" s="130">
        <f>'HLH Tot Gen'!E39*Results!$B$5</f>
        <v>1581.1229124815513</v>
      </c>
      <c r="F39" s="130">
        <f>'HLH Tot Gen'!F39*Results!$B$5</f>
        <v>1220.7905458750813</v>
      </c>
      <c r="G39" s="130">
        <f>'HLH Tot Gen'!G39*Results!$B$5</f>
        <v>2100.1612072038834</v>
      </c>
      <c r="H39" s="130">
        <f>'HLH Tot Gen'!H39*Results!$B$5</f>
        <v>2639.656726868423</v>
      </c>
      <c r="I39" s="130">
        <f>'HLH Tot Gen'!I39*Results!$B$5</f>
        <v>2339.91182417898</v>
      </c>
      <c r="J39" s="130">
        <f>'HLH Tot Gen'!J39*Results!$B$5</f>
        <v>2008.4604089520212</v>
      </c>
      <c r="K39" s="130">
        <f>'HLH Tot Gen'!K39*Results!$B$5</f>
        <v>1780.8517055063087</v>
      </c>
      <c r="L39" s="130">
        <f>'HLH Tot Gen'!L39*Results!$B$5</f>
        <v>2171.614305460595</v>
      </c>
      <c r="M39" s="130">
        <f>'HLH Tot Gen'!M39*Results!$B$5</f>
        <v>2167.596487212922</v>
      </c>
      <c r="N39" s="130">
        <f>'HLH Tot Gen'!N39*Results!$B$5</f>
        <v>2220.5548691193458</v>
      </c>
      <c r="O39" s="130">
        <f>'HLH Tot Gen'!O39*Results!$B$5</f>
        <v>1725.4560458274898</v>
      </c>
      <c r="P39" s="130">
        <f>SUMPRODUCT(B39:O39,'HLH-LLH Loads'!$N$4:$AA$4)</f>
        <v>9645060.926564846</v>
      </c>
    </row>
    <row r="40" spans="1:16" ht="12.75">
      <c r="A40" s="128">
        <v>1966</v>
      </c>
      <c r="B40" s="130">
        <f>'HLH Tot Gen'!B40*Results!$B$5</f>
        <v>1765.5238581491203</v>
      </c>
      <c r="C40" s="130">
        <f>'HLH Tot Gen'!C40*Results!$B$5</f>
        <v>1622.9104767483482</v>
      </c>
      <c r="D40" s="130">
        <f>'HLH Tot Gen'!D40*Results!$B$5</f>
        <v>1250.748052159569</v>
      </c>
      <c r="E40" s="130">
        <f>'HLH Tot Gen'!E40*Results!$B$5</f>
        <v>1480.0925903559767</v>
      </c>
      <c r="F40" s="130">
        <f>'HLH Tot Gen'!F40*Results!$B$5</f>
        <v>1233.5577344145831</v>
      </c>
      <c r="G40" s="130">
        <f>'HLH Tot Gen'!G40*Results!$B$5</f>
        <v>1502.830684888709</v>
      </c>
      <c r="H40" s="130">
        <f>'HLH Tot Gen'!H40*Results!$B$5</f>
        <v>2067.3668542702007</v>
      </c>
      <c r="I40" s="130">
        <f>'HLH Tot Gen'!I40*Results!$B$5</f>
        <v>1987.6990518636655</v>
      </c>
      <c r="J40" s="130">
        <f>'HLH Tot Gen'!J40*Results!$B$5</f>
        <v>1351.2121475568235</v>
      </c>
      <c r="K40" s="130">
        <f>'HLH Tot Gen'!K40*Results!$B$5</f>
        <v>2070.628251797514</v>
      </c>
      <c r="L40" s="130">
        <f>'HLH Tot Gen'!L40*Results!$B$5</f>
        <v>1583.6635359233503</v>
      </c>
      <c r="M40" s="130">
        <f>'HLH Tot Gen'!M40*Results!$B$5</f>
        <v>1637.7516074559703</v>
      </c>
      <c r="N40" s="130">
        <f>'HLH Tot Gen'!N40*Results!$B$5</f>
        <v>1457.31490363637</v>
      </c>
      <c r="O40" s="130">
        <f>'HLH Tot Gen'!O40*Results!$B$5</f>
        <v>1791.8889829239577</v>
      </c>
      <c r="P40" s="130">
        <f>SUMPRODUCT(B40:O40,'HLH-LLH Loads'!$N$4:$AA$4)</f>
        <v>8031370.914755462</v>
      </c>
    </row>
    <row r="41" spans="1:16" ht="12.75">
      <c r="A41" s="128">
        <v>1967</v>
      </c>
      <c r="B41" s="130">
        <f>'HLH Tot Gen'!B41*Results!$B$5</f>
        <v>1736.6123734296239</v>
      </c>
      <c r="C41" s="130">
        <f>'HLH Tot Gen'!C41*Results!$B$5</f>
        <v>1173.8341542282374</v>
      </c>
      <c r="D41" s="130">
        <f>'HLH Tot Gen'!D41*Results!$B$5</f>
        <v>1164.0265218207685</v>
      </c>
      <c r="E41" s="130">
        <f>'HLH Tot Gen'!E41*Results!$B$5</f>
        <v>1322.7909951150718</v>
      </c>
      <c r="F41" s="130">
        <f>'HLH Tot Gen'!F41*Results!$B$5</f>
        <v>1077.2582713771728</v>
      </c>
      <c r="G41" s="130">
        <f>'HLH Tot Gen'!G41*Results!$B$5</f>
        <v>1390.682426904071</v>
      </c>
      <c r="H41" s="130">
        <f>'HLH Tot Gen'!H41*Results!$B$5</f>
        <v>2254.5640809120646</v>
      </c>
      <c r="I41" s="130">
        <f>'HLH Tot Gen'!I41*Results!$B$5</f>
        <v>2249.0036209977065</v>
      </c>
      <c r="J41" s="130">
        <f>'HLH Tot Gen'!J41*Results!$B$5</f>
        <v>1677.758333252304</v>
      </c>
      <c r="K41" s="130">
        <f>'HLH Tot Gen'!K41*Results!$B$5</f>
        <v>1625.614513631852</v>
      </c>
      <c r="L41" s="130">
        <f>'HLH Tot Gen'!L41*Results!$B$5</f>
        <v>1121.8777271074855</v>
      </c>
      <c r="M41" s="130">
        <f>'HLH Tot Gen'!M41*Results!$B$5</f>
        <v>1706.5148460401522</v>
      </c>
      <c r="N41" s="130">
        <f>'HLH Tot Gen'!N41*Results!$B$5</f>
        <v>2242.4073120329285</v>
      </c>
      <c r="O41" s="130">
        <f>'HLH Tot Gen'!O41*Results!$B$5</f>
        <v>1903.7582772076726</v>
      </c>
      <c r="P41" s="130">
        <f>SUMPRODUCT(B41:O41,'HLH-LLH Loads'!$N$4:$AA$4)</f>
        <v>8255202.167602028</v>
      </c>
    </row>
    <row r="42" spans="1:16" ht="12.75">
      <c r="A42" s="128">
        <v>1968</v>
      </c>
      <c r="B42" s="130">
        <f>'HLH Tot Gen'!B42*Results!$B$5</f>
        <v>1720.9484195473503</v>
      </c>
      <c r="C42" s="130">
        <f>'HLH Tot Gen'!C42*Results!$B$5</f>
        <v>1619.2615366280468</v>
      </c>
      <c r="D42" s="130">
        <f>'HLH Tot Gen'!D42*Results!$B$5</f>
        <v>1290.7359260552987</v>
      </c>
      <c r="E42" s="130">
        <f>'HLH Tot Gen'!E42*Results!$B$5</f>
        <v>1435.5648997649864</v>
      </c>
      <c r="F42" s="130">
        <f>'HLH Tot Gen'!F42*Results!$B$5</f>
        <v>1181.3065354270402</v>
      </c>
      <c r="G42" s="130">
        <f>'HLH Tot Gen'!G42*Results!$B$5</f>
        <v>1484.3860827271412</v>
      </c>
      <c r="H42" s="130">
        <f>'HLH Tot Gen'!H42*Results!$B$5</f>
        <v>2196.4009658057557</v>
      </c>
      <c r="I42" s="130">
        <f>'HLH Tot Gen'!I42*Results!$B$5</f>
        <v>2218.939160336263</v>
      </c>
      <c r="J42" s="130">
        <f>'HLH Tot Gen'!J42*Results!$B$5</f>
        <v>1799.6442536602815</v>
      </c>
      <c r="K42" s="130">
        <f>'HLH Tot Gen'!K42*Results!$B$5</f>
        <v>1244.0812800847673</v>
      </c>
      <c r="L42" s="130">
        <f>'HLH Tot Gen'!L42*Results!$B$5</f>
        <v>1338.386628522762</v>
      </c>
      <c r="M42" s="130">
        <f>'HLH Tot Gen'!M42*Results!$B$5</f>
        <v>1304.783000948444</v>
      </c>
      <c r="N42" s="130">
        <f>'HLH Tot Gen'!N42*Results!$B$5</f>
        <v>1921.9076228060449</v>
      </c>
      <c r="O42" s="130">
        <f>'HLH Tot Gen'!O42*Results!$B$5</f>
        <v>1751.3007830245153</v>
      </c>
      <c r="P42" s="130">
        <f>SUMPRODUCT(B42:O42,'HLH-LLH Loads'!$N$4:$AA$4)</f>
        <v>8151074.2782866135</v>
      </c>
    </row>
    <row r="43" spans="1:16" ht="12.75">
      <c r="A43" s="128">
        <v>1969</v>
      </c>
      <c r="B43" s="130">
        <f>'HLH Tot Gen'!B43*Results!$B$5</f>
        <v>1762.3152722702848</v>
      </c>
      <c r="C43" s="130">
        <f>'HLH Tot Gen'!C43*Results!$B$5</f>
        <v>1632.2157207627354</v>
      </c>
      <c r="D43" s="130">
        <f>'HLH Tot Gen'!D43*Results!$B$5</f>
        <v>1554.509859653906</v>
      </c>
      <c r="E43" s="130">
        <f>'HLH Tot Gen'!E43*Results!$B$5</f>
        <v>1606.1527320974126</v>
      </c>
      <c r="F43" s="130">
        <f>'HLH Tot Gen'!F43*Results!$B$5</f>
        <v>1446.4318682689586</v>
      </c>
      <c r="G43" s="130">
        <f>'HLH Tot Gen'!G43*Results!$B$5</f>
        <v>1666.162097016755</v>
      </c>
      <c r="H43" s="130">
        <f>'HLH Tot Gen'!H43*Results!$B$5</f>
        <v>2531.0611061867903</v>
      </c>
      <c r="I43" s="130">
        <f>'HLH Tot Gen'!I43*Results!$B$5</f>
        <v>2318.02443169127</v>
      </c>
      <c r="J43" s="130">
        <f>'HLH Tot Gen'!J43*Results!$B$5</f>
        <v>1885.888419283959</v>
      </c>
      <c r="K43" s="130">
        <f>'HLH Tot Gen'!K43*Results!$B$5</f>
        <v>2103.3010273382433</v>
      </c>
      <c r="L43" s="130">
        <f>'HLH Tot Gen'!L43*Results!$B$5</f>
        <v>2259.083279925633</v>
      </c>
      <c r="M43" s="130">
        <f>'HLH Tot Gen'!M43*Results!$B$5</f>
        <v>2344.004568754084</v>
      </c>
      <c r="N43" s="130">
        <f>'HLH Tot Gen'!N43*Results!$B$5</f>
        <v>2178.1302415951427</v>
      </c>
      <c r="O43" s="130">
        <f>'HLH Tot Gen'!O43*Results!$B$5</f>
        <v>1736.5922912592494</v>
      </c>
      <c r="P43" s="130">
        <f>SUMPRODUCT(B43:O43,'HLH-LLH Loads'!$N$4:$AA$4)</f>
        <v>9654953.869425952</v>
      </c>
    </row>
    <row r="44" spans="1:16" ht="12.75">
      <c r="A44" s="128">
        <v>1970</v>
      </c>
      <c r="B44" s="130">
        <f>'HLH Tot Gen'!B44*Results!$B$5</f>
        <v>1527.005636730123</v>
      </c>
      <c r="C44" s="130">
        <f>'HLH Tot Gen'!C44*Results!$B$5</f>
        <v>1062.8058187592387</v>
      </c>
      <c r="D44" s="130">
        <f>'HLH Tot Gen'!D44*Results!$B$5</f>
        <v>1153.4851265308064</v>
      </c>
      <c r="E44" s="130">
        <f>'HLH Tot Gen'!E44*Results!$B$5</f>
        <v>1431.040683185071</v>
      </c>
      <c r="F44" s="130">
        <f>'HLH Tot Gen'!F44*Results!$B$5</f>
        <v>1075.0457010658513</v>
      </c>
      <c r="G44" s="130">
        <f>'HLH Tot Gen'!G44*Results!$B$5</f>
        <v>1312.2930039600353</v>
      </c>
      <c r="H44" s="130">
        <f>'HLH Tot Gen'!H44*Results!$B$5</f>
        <v>1633.2352161241217</v>
      </c>
      <c r="I44" s="130">
        <f>'HLH Tot Gen'!I44*Results!$B$5</f>
        <v>2171.237754804997</v>
      </c>
      <c r="J44" s="130">
        <f>'HLH Tot Gen'!J44*Results!$B$5</f>
        <v>1553.4775998949617</v>
      </c>
      <c r="K44" s="130">
        <f>'HLH Tot Gen'!K44*Results!$B$5</f>
        <v>1389.2809789983396</v>
      </c>
      <c r="L44" s="130">
        <f>'HLH Tot Gen'!L44*Results!$B$5</f>
        <v>1546.0584137412595</v>
      </c>
      <c r="M44" s="130">
        <f>'HLH Tot Gen'!M44*Results!$B$5</f>
        <v>1786.3860035597459</v>
      </c>
      <c r="N44" s="130">
        <f>'HLH Tot Gen'!N44*Results!$B$5</f>
        <v>2014.6767900869975</v>
      </c>
      <c r="O44" s="130">
        <f>'HLH Tot Gen'!O44*Results!$B$5</f>
        <v>1547.6001412680048</v>
      </c>
      <c r="P44" s="130">
        <f>SUMPRODUCT(B44:O44,'HLH-LLH Loads'!$N$4:$AA$4)</f>
        <v>7676344.603347226</v>
      </c>
    </row>
    <row r="45" spans="1:16" ht="12.75">
      <c r="A45" s="128">
        <v>1971</v>
      </c>
      <c r="B45" s="130">
        <f>'HLH Tot Gen'!B45*Results!$B$5</f>
        <v>1540.6727323638431</v>
      </c>
      <c r="C45" s="130">
        <f>'HLH Tot Gen'!C45*Results!$B$5</f>
        <v>1173.7513547409396</v>
      </c>
      <c r="D45" s="130">
        <f>'HLH Tot Gen'!D45*Results!$B$5</f>
        <v>1111.5889385713174</v>
      </c>
      <c r="E45" s="130">
        <f>'HLH Tot Gen'!E45*Results!$B$5</f>
        <v>1293.3051359304186</v>
      </c>
      <c r="F45" s="130">
        <f>'HLH Tot Gen'!F45*Results!$B$5</f>
        <v>1042.6542249947017</v>
      </c>
      <c r="G45" s="130">
        <f>'HLH Tot Gen'!G45*Results!$B$5</f>
        <v>1561.0125290920216</v>
      </c>
      <c r="H45" s="130">
        <f>'HLH Tot Gen'!H45*Results!$B$5</f>
        <v>2563.9568735595144</v>
      </c>
      <c r="I45" s="130">
        <f>'HLH Tot Gen'!I45*Results!$B$5</f>
        <v>2472.786974331522</v>
      </c>
      <c r="J45" s="130">
        <f>'HLH Tot Gen'!J45*Results!$B$5</f>
        <v>2032.2620295447612</v>
      </c>
      <c r="K45" s="130">
        <f>'HLH Tot Gen'!K45*Results!$B$5</f>
        <v>2080.40938821169</v>
      </c>
      <c r="L45" s="130">
        <f>'HLH Tot Gen'!L45*Results!$B$5</f>
        <v>1939.3207888729319</v>
      </c>
      <c r="M45" s="130">
        <f>'HLH Tot Gen'!M45*Results!$B$5</f>
        <v>2328.417766730562</v>
      </c>
      <c r="N45" s="130">
        <f>'HLH Tot Gen'!N45*Results!$B$5</f>
        <v>2416.848755508019</v>
      </c>
      <c r="O45" s="130">
        <f>'HLH Tot Gen'!O45*Results!$B$5</f>
        <v>1967.286550111058</v>
      </c>
      <c r="P45" s="130">
        <f>SUMPRODUCT(B45:O45,'HLH-LLH Loads'!$N$4:$AA$4)</f>
        <v>9234552.389758153</v>
      </c>
    </row>
    <row r="46" spans="1:16" ht="12.75">
      <c r="A46" s="128">
        <v>1972</v>
      </c>
      <c r="B46" s="130">
        <f>'HLH Tot Gen'!B46*Results!$B$5</f>
        <v>1778.5133448746576</v>
      </c>
      <c r="C46" s="130">
        <f>'HLH Tot Gen'!C46*Results!$B$5</f>
        <v>1751.1087625796993</v>
      </c>
      <c r="D46" s="130">
        <f>'HLH Tot Gen'!D46*Results!$B$5</f>
        <v>1353.9900819034015</v>
      </c>
      <c r="E46" s="130">
        <f>'HLH Tot Gen'!E46*Results!$B$5</f>
        <v>1406.8388199736416</v>
      </c>
      <c r="F46" s="130">
        <f>'HLH Tot Gen'!F46*Results!$B$5</f>
        <v>1175.3171045470333</v>
      </c>
      <c r="G46" s="130">
        <f>'HLH Tot Gen'!G46*Results!$B$5</f>
        <v>1474.222915355506</v>
      </c>
      <c r="H46" s="130">
        <f>'HLH Tot Gen'!H46*Results!$B$5</f>
        <v>2506.647730031491</v>
      </c>
      <c r="I46" s="130">
        <f>'HLH Tot Gen'!I46*Results!$B$5</f>
        <v>2482.316560263987</v>
      </c>
      <c r="J46" s="130">
        <f>'HLH Tot Gen'!J46*Results!$B$5</f>
        <v>2415.26386378238</v>
      </c>
      <c r="K46" s="130">
        <f>'HLH Tot Gen'!K46*Results!$B$5</f>
        <v>2262.910397319936</v>
      </c>
      <c r="L46" s="130">
        <f>'HLH Tot Gen'!L46*Results!$B$5</f>
        <v>1757.669296457298</v>
      </c>
      <c r="M46" s="130">
        <f>'HLH Tot Gen'!M46*Results!$B$5</f>
        <v>2291.952121813845</v>
      </c>
      <c r="N46" s="130">
        <f>'HLH Tot Gen'!N46*Results!$B$5</f>
        <v>2455.460192733232</v>
      </c>
      <c r="O46" s="130">
        <f>'HLH Tot Gen'!O46*Results!$B$5</f>
        <v>1934.6110170922504</v>
      </c>
      <c r="P46" s="130">
        <f>SUMPRODUCT(B46:O46,'HLH-LLH Loads'!$N$4:$AA$4)</f>
        <v>9708834.927540582</v>
      </c>
    </row>
    <row r="47" spans="1:16" ht="12.75">
      <c r="A47" s="128">
        <v>1973</v>
      </c>
      <c r="B47" s="130">
        <f>'HLH Tot Gen'!B47*Results!$B$5</f>
        <v>1803.2618808070267</v>
      </c>
      <c r="C47" s="130">
        <f>'HLH Tot Gen'!C47*Results!$B$5</f>
        <v>1757.5475739809322</v>
      </c>
      <c r="D47" s="130">
        <f>'HLH Tot Gen'!D47*Results!$B$5</f>
        <v>1390.4439395298507</v>
      </c>
      <c r="E47" s="130">
        <f>'HLH Tot Gen'!E47*Results!$B$5</f>
        <v>1435.3919356313204</v>
      </c>
      <c r="F47" s="130">
        <f>'HLH Tot Gen'!F47*Results!$B$5</f>
        <v>1099.9008084917182</v>
      </c>
      <c r="G47" s="130">
        <f>'HLH Tot Gen'!G47*Results!$B$5</f>
        <v>1615.8594711642047</v>
      </c>
      <c r="H47" s="130">
        <f>'HLH Tot Gen'!H47*Results!$B$5</f>
        <v>1654.5285011807534</v>
      </c>
      <c r="I47" s="130">
        <f>'HLH Tot Gen'!I47*Results!$B$5</f>
        <v>1544.7142373553208</v>
      </c>
      <c r="J47" s="130">
        <f>'HLH Tot Gen'!J47*Results!$B$5</f>
        <v>1355.8653326650044</v>
      </c>
      <c r="K47" s="130">
        <f>'HLH Tot Gen'!K47*Results!$B$5</f>
        <v>1045.7560086071337</v>
      </c>
      <c r="L47" s="130">
        <f>'HLH Tot Gen'!L47*Results!$B$5</f>
        <v>1169.3466190049037</v>
      </c>
      <c r="M47" s="130">
        <f>'HLH Tot Gen'!M47*Results!$B$5</f>
        <v>1277.51633853075</v>
      </c>
      <c r="N47" s="130">
        <f>'HLH Tot Gen'!N47*Results!$B$5</f>
        <v>1344.964514804163</v>
      </c>
      <c r="O47" s="130">
        <f>'HLH Tot Gen'!O47*Results!$B$5</f>
        <v>1501.383677305455</v>
      </c>
      <c r="P47" s="130">
        <f>SUMPRODUCT(B47:O47,'HLH-LLH Loads'!$N$4:$AA$4)</f>
        <v>7147710.688117786</v>
      </c>
    </row>
    <row r="48" spans="1:16" ht="12.75">
      <c r="A48" s="128">
        <v>1974</v>
      </c>
      <c r="B48" s="130">
        <f>'HLH Tot Gen'!B48*Results!$B$5</f>
        <v>1444.3305160975654</v>
      </c>
      <c r="C48" s="130">
        <f>'HLH Tot Gen'!C48*Results!$B$5</f>
        <v>1053.038965841659</v>
      </c>
      <c r="D48" s="130">
        <f>'HLH Tot Gen'!D48*Results!$B$5</f>
        <v>1058.5652069485677</v>
      </c>
      <c r="E48" s="130">
        <f>'HLH Tot Gen'!E48*Results!$B$5</f>
        <v>1251.7120778555704</v>
      </c>
      <c r="F48" s="130">
        <f>'HLH Tot Gen'!F48*Results!$B$5</f>
        <v>1210.329124218808</v>
      </c>
      <c r="G48" s="130">
        <f>'HLH Tot Gen'!G48*Results!$B$5</f>
        <v>2006.6648792146839</v>
      </c>
      <c r="H48" s="130">
        <f>'HLH Tot Gen'!H48*Results!$B$5</f>
        <v>2652.6573865438736</v>
      </c>
      <c r="I48" s="130">
        <f>'HLH Tot Gen'!I48*Results!$B$5</f>
        <v>2477.2605134317023</v>
      </c>
      <c r="J48" s="130">
        <f>'HLH Tot Gen'!J48*Results!$B$5</f>
        <v>2161.185127513336</v>
      </c>
      <c r="K48" s="130">
        <f>'HLH Tot Gen'!K48*Results!$B$5</f>
        <v>2193.5404774057147</v>
      </c>
      <c r="L48" s="130">
        <f>'HLH Tot Gen'!L48*Results!$B$5</f>
        <v>2223.5523425625615</v>
      </c>
      <c r="M48" s="130">
        <f>'HLH Tot Gen'!M48*Results!$B$5</f>
        <v>2231.935872810223</v>
      </c>
      <c r="N48" s="130">
        <f>'HLH Tot Gen'!N48*Results!$B$5</f>
        <v>2499.9480234503276</v>
      </c>
      <c r="O48" s="130">
        <f>'HLH Tot Gen'!O48*Results!$B$5</f>
        <v>2065.7871016099484</v>
      </c>
      <c r="P48" s="130">
        <f>SUMPRODUCT(B48:O48,'HLH-LLH Loads'!$N$4:$AA$4)</f>
        <v>9613695.10282817</v>
      </c>
    </row>
    <row r="49" spans="1:16" ht="12.75">
      <c r="A49" s="128">
        <v>1975</v>
      </c>
      <c r="B49" s="130">
        <f>'HLH Tot Gen'!B49*Results!$B$5</f>
        <v>1759.3706728001969</v>
      </c>
      <c r="C49" s="130">
        <f>'HLH Tot Gen'!C49*Results!$B$5</f>
        <v>1668.9186002433078</v>
      </c>
      <c r="D49" s="130">
        <f>'HLH Tot Gen'!D49*Results!$B$5</f>
        <v>1293.8531972585215</v>
      </c>
      <c r="E49" s="130">
        <f>'HLH Tot Gen'!E49*Results!$B$5</f>
        <v>1302.034375548531</v>
      </c>
      <c r="F49" s="130">
        <f>'HLH Tot Gen'!F49*Results!$B$5</f>
        <v>1070.7841318798555</v>
      </c>
      <c r="G49" s="130">
        <f>'HLH Tot Gen'!G49*Results!$B$5</f>
        <v>1360.0594166446103</v>
      </c>
      <c r="H49" s="130">
        <f>'HLH Tot Gen'!H49*Results!$B$5</f>
        <v>2040.0755570672952</v>
      </c>
      <c r="I49" s="130">
        <f>'HLH Tot Gen'!I49*Results!$B$5</f>
        <v>2025.3382211050607</v>
      </c>
      <c r="J49" s="130">
        <f>'HLH Tot Gen'!J49*Results!$B$5</f>
        <v>2003.414237368645</v>
      </c>
      <c r="K49" s="130">
        <f>'HLH Tot Gen'!K49*Results!$B$5</f>
        <v>1761.0221784600835</v>
      </c>
      <c r="L49" s="130">
        <f>'HLH Tot Gen'!L49*Results!$B$5</f>
        <v>1575.609022375795</v>
      </c>
      <c r="M49" s="130">
        <f>'HLH Tot Gen'!M49*Results!$B$5</f>
        <v>1863.344069755723</v>
      </c>
      <c r="N49" s="130">
        <f>'HLH Tot Gen'!N49*Results!$B$5</f>
        <v>2244.9473325528197</v>
      </c>
      <c r="O49" s="130">
        <f>'HLH Tot Gen'!O49*Results!$B$5</f>
        <v>2016.6922053520275</v>
      </c>
      <c r="P49" s="130">
        <f>SUMPRODUCT(B49:O49,'HLH-LLH Loads'!$N$4:$AA$4)</f>
        <v>8599074.101792913</v>
      </c>
    </row>
    <row r="50" spans="1:16" ht="12.75">
      <c r="A50" s="128">
        <v>1976</v>
      </c>
      <c r="B50" s="130">
        <f>'HLH Tot Gen'!B50*Results!$B$5</f>
        <v>1539.2058988825495</v>
      </c>
      <c r="C50" s="130">
        <f>'HLH Tot Gen'!C50*Results!$B$5</f>
        <v>1393.7226072248143</v>
      </c>
      <c r="D50" s="130">
        <f>'HLH Tot Gen'!D50*Results!$B$5</f>
        <v>1205.0253925956388</v>
      </c>
      <c r="E50" s="130">
        <f>'HLH Tot Gen'!E50*Results!$B$5</f>
        <v>1544.720083195286</v>
      </c>
      <c r="F50" s="130">
        <f>'HLH Tot Gen'!F50*Results!$B$5</f>
        <v>1502.4580474900597</v>
      </c>
      <c r="G50" s="130">
        <f>'HLH Tot Gen'!G50*Results!$B$5</f>
        <v>2276.887770345805</v>
      </c>
      <c r="H50" s="130">
        <f>'HLH Tot Gen'!H50*Results!$B$5</f>
        <v>2550.751359228853</v>
      </c>
      <c r="I50" s="130">
        <f>'HLH Tot Gen'!I50*Results!$B$5</f>
        <v>2327.473305557881</v>
      </c>
      <c r="J50" s="130">
        <f>'HLH Tot Gen'!J50*Results!$B$5</f>
        <v>1742.2223709806988</v>
      </c>
      <c r="K50" s="130">
        <f>'HLH Tot Gen'!K50*Results!$B$5</f>
        <v>2224.844608940348</v>
      </c>
      <c r="L50" s="130">
        <f>'HLH Tot Gen'!L50*Results!$B$5</f>
        <v>1918.8667628048208</v>
      </c>
      <c r="M50" s="130">
        <f>'HLH Tot Gen'!M50*Results!$B$5</f>
        <v>2240.429867290819</v>
      </c>
      <c r="N50" s="130">
        <f>'HLH Tot Gen'!N50*Results!$B$5</f>
        <v>1905.317180683504</v>
      </c>
      <c r="O50" s="130">
        <f>'HLH Tot Gen'!O50*Results!$B$5</f>
        <v>1873.330188188491</v>
      </c>
      <c r="P50" s="130">
        <f>SUMPRODUCT(B50:O50,'HLH-LLH Loads'!$N$4:$AA$4)</f>
        <v>9462842.529619759</v>
      </c>
    </row>
    <row r="51" spans="1:16" ht="12.75">
      <c r="A51" s="128">
        <v>1977</v>
      </c>
      <c r="B51" s="130">
        <f>'HLH Tot Gen'!B51*Results!$B$5</f>
        <v>1891.1147910926975</v>
      </c>
      <c r="C51" s="130">
        <f>'HLH Tot Gen'!C51*Results!$B$5</f>
        <v>1722.097340040122</v>
      </c>
      <c r="D51" s="130">
        <f>'HLH Tot Gen'!D51*Results!$B$5</f>
        <v>1925.6021971642344</v>
      </c>
      <c r="E51" s="130">
        <f>'HLH Tot Gen'!E51*Results!$B$5</f>
        <v>1413.8124186365499</v>
      </c>
      <c r="F51" s="130">
        <f>'HLH Tot Gen'!F51*Results!$B$5</f>
        <v>1072.9120929909384</v>
      </c>
      <c r="G51" s="130">
        <f>'HLH Tot Gen'!G51*Results!$B$5</f>
        <v>1382.2127696983994</v>
      </c>
      <c r="H51" s="130">
        <f>'HLH Tot Gen'!H51*Results!$B$5</f>
        <v>1184.677821741805</v>
      </c>
      <c r="I51" s="130">
        <f>'HLH Tot Gen'!I51*Results!$B$5</f>
        <v>1415.1497803846137</v>
      </c>
      <c r="J51" s="130">
        <f>'HLH Tot Gen'!J51*Results!$B$5</f>
        <v>852.2522991388353</v>
      </c>
      <c r="K51" s="130">
        <f>'HLH Tot Gen'!K51*Results!$B$5</f>
        <v>953.8460120547179</v>
      </c>
      <c r="L51" s="130">
        <f>'HLH Tot Gen'!L51*Results!$B$5</f>
        <v>1330.9857253686994</v>
      </c>
      <c r="M51" s="130">
        <f>'HLH Tot Gen'!M51*Results!$B$5</f>
        <v>1295.532165819256</v>
      </c>
      <c r="N51" s="130">
        <f>'HLH Tot Gen'!N51*Results!$B$5</f>
        <v>1308.4508342685374</v>
      </c>
      <c r="O51" s="130">
        <f>'HLH Tot Gen'!O51*Results!$B$5</f>
        <v>1198.0843613830993</v>
      </c>
      <c r="P51" s="130">
        <f>SUMPRODUCT(B51:O51,'HLH-LLH Loads'!$N$4:$AA$4)</f>
        <v>6675373.433872484</v>
      </c>
    </row>
    <row r="52" spans="1:16" ht="12.75">
      <c r="A52" s="128">
        <v>1978</v>
      </c>
      <c r="B52" s="130">
        <f>'HLH Tot Gen'!B52*Results!$B$5</f>
        <v>1249.4755914711034</v>
      </c>
      <c r="C52" s="130">
        <f>'HLH Tot Gen'!C52*Results!$B$5</f>
        <v>1119.125217201673</v>
      </c>
      <c r="D52" s="130">
        <f>'HLH Tot Gen'!D52*Results!$B$5</f>
        <v>965.4183979120602</v>
      </c>
      <c r="E52" s="130">
        <f>'HLH Tot Gen'!E52*Results!$B$5</f>
        <v>1171.4848645217453</v>
      </c>
      <c r="F52" s="130">
        <f>'HLH Tot Gen'!F52*Results!$B$5</f>
        <v>1188.4979767215832</v>
      </c>
      <c r="G52" s="130">
        <f>'HLH Tot Gen'!G52*Results!$B$5</f>
        <v>1415.5211113334453</v>
      </c>
      <c r="H52" s="130">
        <f>'HLH Tot Gen'!H52*Results!$B$5</f>
        <v>1907.114064544222</v>
      </c>
      <c r="I52" s="130">
        <f>'HLH Tot Gen'!I52*Results!$B$5</f>
        <v>1444.6865839606699</v>
      </c>
      <c r="J52" s="130">
        <f>'HLH Tot Gen'!J52*Results!$B$5</f>
        <v>1905.3288857798943</v>
      </c>
      <c r="K52" s="130">
        <f>'HLH Tot Gen'!K52*Results!$B$5</f>
        <v>1919.727563125041</v>
      </c>
      <c r="L52" s="130">
        <f>'HLH Tot Gen'!L52*Results!$B$5</f>
        <v>1718.057069179131</v>
      </c>
      <c r="M52" s="130">
        <f>'HLH Tot Gen'!M52*Results!$B$5</f>
        <v>1810.3443278722361</v>
      </c>
      <c r="N52" s="130">
        <f>'HLH Tot Gen'!N52*Results!$B$5</f>
        <v>1606.364017985616</v>
      </c>
      <c r="O52" s="130">
        <f>'HLH Tot Gen'!O52*Results!$B$5</f>
        <v>1710.5570593140699</v>
      </c>
      <c r="P52" s="130">
        <f>SUMPRODUCT(B52:O52,'HLH-LLH Loads'!$N$4:$AA$4)</f>
        <v>7572385.152570177</v>
      </c>
    </row>
    <row r="53" spans="1:16" ht="12.75">
      <c r="A53" s="131" t="s">
        <v>46</v>
      </c>
      <c r="B53" s="130">
        <f>AVERAGE(B3:B52)</f>
        <v>1568.254389862767</v>
      </c>
      <c r="C53" s="130">
        <f aca="true" t="shared" si="0" ref="C53:P53">AVERAGE(C3:C52)</f>
        <v>1343.7943757505707</v>
      </c>
      <c r="D53" s="130">
        <f t="shared" si="0"/>
        <v>1234.676103748627</v>
      </c>
      <c r="E53" s="130">
        <f t="shared" si="0"/>
        <v>1389.6908003177025</v>
      </c>
      <c r="F53" s="130">
        <f t="shared" si="0"/>
        <v>1200.7622870476239</v>
      </c>
      <c r="G53" s="130">
        <f t="shared" si="0"/>
        <v>1550.3262510848372</v>
      </c>
      <c r="H53" s="130">
        <f t="shared" si="0"/>
        <v>1908.0211504558567</v>
      </c>
      <c r="I53" s="130">
        <f t="shared" si="0"/>
        <v>1846.2137928883662</v>
      </c>
      <c r="J53" s="130">
        <f t="shared" si="0"/>
        <v>1588.1087674315545</v>
      </c>
      <c r="K53" s="130">
        <f t="shared" si="0"/>
        <v>1726.8673388770974</v>
      </c>
      <c r="L53" s="130">
        <f t="shared" si="0"/>
        <v>1716.0168904805284</v>
      </c>
      <c r="M53" s="130">
        <f t="shared" si="0"/>
        <v>1881.3207991570155</v>
      </c>
      <c r="N53" s="130">
        <f t="shared" si="0"/>
        <v>1914.128400429383</v>
      </c>
      <c r="O53" s="130">
        <f t="shared" si="0"/>
        <v>1679.793387606473</v>
      </c>
      <c r="P53" s="130">
        <f t="shared" si="0"/>
        <v>8078962.629553873</v>
      </c>
    </row>
    <row r="54" ht="12.75">
      <c r="P54" s="1"/>
    </row>
    <row r="55" ht="12.75">
      <c r="P55" s="1"/>
    </row>
  </sheetData>
  <mergeCells count="1">
    <mergeCell ref="A1:N1"/>
  </mergeCells>
  <printOptions/>
  <pageMargins left="0.75" right="0.75" top="0.75" bottom="0.75" header="0.5" footer="0.5"/>
  <pageSetup fitToHeight="1" fitToWidth="1" horizontalDpi="300" verticalDpi="300" orientation="landscape" scale="68" r:id="rId1"/>
  <headerFooter alignWithMargins="0">
    <oddFooter>&amp;LSlice Cost Shift Study&amp;CPage &amp;P&amp;R'02 Rate Case</oddFooter>
  </headerFooter>
</worksheet>
</file>

<file path=xl/worksheets/sheet18.xml><?xml version="1.0" encoding="utf-8"?>
<worksheet xmlns="http://schemas.openxmlformats.org/spreadsheetml/2006/main" xmlns:r="http://schemas.openxmlformats.org/officeDocument/2006/relationships">
  <sheetPr codeName="Sheet61">
    <pageSetUpPr fitToPage="1"/>
  </sheetPr>
  <dimension ref="A1:P54"/>
  <sheetViews>
    <sheetView zoomScale="75" zoomScaleNormal="75" workbookViewId="0" topLeftCell="A29">
      <selection activeCell="A2" sqref="A2:P53"/>
    </sheetView>
  </sheetViews>
  <sheetFormatPr defaultColWidth="9.33203125" defaultRowHeight="12.75"/>
  <cols>
    <col min="16" max="16" width="11.5" style="0" customWidth="1"/>
  </cols>
  <sheetData>
    <row r="1" spans="1:14" ht="12.75">
      <c r="A1" s="229" t="s">
        <v>161</v>
      </c>
      <c r="B1" s="229"/>
      <c r="C1" s="229"/>
      <c r="D1" s="229"/>
      <c r="E1" s="229"/>
      <c r="F1" s="229"/>
      <c r="G1" s="229"/>
      <c r="H1" s="229"/>
      <c r="I1" s="229"/>
      <c r="J1" s="229"/>
      <c r="K1" s="229"/>
      <c r="L1" s="229"/>
      <c r="M1" s="229"/>
      <c r="N1" s="229"/>
    </row>
    <row r="2" spans="1:16" s="2" customFormat="1" ht="25.5">
      <c r="A2" s="145" t="s">
        <v>15</v>
      </c>
      <c r="B2" s="146" t="s">
        <v>1</v>
      </c>
      <c r="C2" s="146" t="s">
        <v>2</v>
      </c>
      <c r="D2" s="146" t="s">
        <v>3</v>
      </c>
      <c r="E2" s="146" t="s">
        <v>4</v>
      </c>
      <c r="F2" s="146" t="s">
        <v>5</v>
      </c>
      <c r="G2" s="146" t="s">
        <v>6</v>
      </c>
      <c r="H2" s="146" t="s">
        <v>7</v>
      </c>
      <c r="I2" s="146" t="s">
        <v>8</v>
      </c>
      <c r="J2" s="146" t="s">
        <v>9</v>
      </c>
      <c r="K2" s="146" t="s">
        <v>10</v>
      </c>
      <c r="L2" s="146" t="s">
        <v>11</v>
      </c>
      <c r="M2" s="146" t="s">
        <v>12</v>
      </c>
      <c r="N2" s="146" t="s">
        <v>13</v>
      </c>
      <c r="O2" s="146" t="s">
        <v>14</v>
      </c>
      <c r="P2" s="147" t="s">
        <v>45</v>
      </c>
    </row>
    <row r="3" spans="1:16" ht="12.75">
      <c r="A3" s="128">
        <v>1929</v>
      </c>
      <c r="B3" s="130">
        <f>'LLH Tot Gen'!B3*Results!$B$5</f>
        <v>1199.0518277059984</v>
      </c>
      <c r="C3" s="130">
        <f>'LLH Tot Gen'!C3*Results!$B$5</f>
        <v>949.0376626430971</v>
      </c>
      <c r="D3" s="130">
        <f>'LLH Tot Gen'!D3*Results!$B$5</f>
        <v>771.0654651725312</v>
      </c>
      <c r="E3" s="130">
        <f>'LLH Tot Gen'!E3*Results!$B$5</f>
        <v>874.9328494791386</v>
      </c>
      <c r="F3" s="130">
        <f>'LLH Tot Gen'!F3*Results!$B$5</f>
        <v>780.0635735113988</v>
      </c>
      <c r="G3" s="130">
        <f>'LLH Tot Gen'!G3*Results!$B$5</f>
        <v>888.5153260699112</v>
      </c>
      <c r="H3" s="130">
        <f>'LLH Tot Gen'!H3*Results!$B$5</f>
        <v>798.5943106269489</v>
      </c>
      <c r="I3" s="130">
        <f>'LLH Tot Gen'!I3*Results!$B$5</f>
        <v>920.1650098257903</v>
      </c>
      <c r="J3" s="130">
        <f>'LLH Tot Gen'!J3*Results!$B$5</f>
        <v>813.3264711621368</v>
      </c>
      <c r="K3" s="130">
        <f>'LLH Tot Gen'!K3*Results!$B$5</f>
        <v>869.9231943937036</v>
      </c>
      <c r="L3" s="130">
        <f>'LLH Tot Gen'!L3*Results!$B$5</f>
        <v>904.6773321615615</v>
      </c>
      <c r="M3" s="130">
        <f>'LLH Tot Gen'!M3*Results!$B$5</f>
        <v>922.9469842327102</v>
      </c>
      <c r="N3" s="130">
        <f>'LLH Tot Gen'!N3*Results!$B$5</f>
        <v>1126.3121340276534</v>
      </c>
      <c r="O3" s="130">
        <f>'LLH Tot Gen'!O3*Results!$B$5</f>
        <v>983.4588267946822</v>
      </c>
      <c r="P3" s="130">
        <f>SUMPRODUCT(B3:O3,'HLH-LLH Loads'!$N$5:$AA$5)</f>
        <v>3388573.8340826</v>
      </c>
    </row>
    <row r="4" spans="1:16" ht="12.75">
      <c r="A4" s="128">
        <v>1930</v>
      </c>
      <c r="B4" s="130">
        <f>'LLH Tot Gen'!B4*Results!$B$5</f>
        <v>891.069503259656</v>
      </c>
      <c r="C4" s="130">
        <f>'LLH Tot Gen'!C4*Results!$B$5</f>
        <v>861.4316586610889</v>
      </c>
      <c r="D4" s="130">
        <f>'LLH Tot Gen'!D4*Results!$B$5</f>
        <v>769.6741109971496</v>
      </c>
      <c r="E4" s="130">
        <f>'LLH Tot Gen'!E4*Results!$B$5</f>
        <v>803.0352242529142</v>
      </c>
      <c r="F4" s="130">
        <f>'LLH Tot Gen'!F4*Results!$B$5</f>
        <v>834.8112573145935</v>
      </c>
      <c r="G4" s="130">
        <f>'LLH Tot Gen'!G4*Results!$B$5</f>
        <v>903.6919020842447</v>
      </c>
      <c r="H4" s="130">
        <f>'LLH Tot Gen'!H4*Results!$B$5</f>
        <v>803.4660932852867</v>
      </c>
      <c r="I4" s="130">
        <f>'LLH Tot Gen'!I4*Results!$B$5</f>
        <v>889.9928243808835</v>
      </c>
      <c r="J4" s="130">
        <f>'LLH Tot Gen'!J4*Results!$B$5</f>
        <v>793.9366765688991</v>
      </c>
      <c r="K4" s="130">
        <f>'LLH Tot Gen'!K4*Results!$B$5</f>
        <v>910.8851138137696</v>
      </c>
      <c r="L4" s="130">
        <f>'LLH Tot Gen'!L4*Results!$B$5</f>
        <v>1311.6222541693505</v>
      </c>
      <c r="M4" s="130">
        <f>'LLH Tot Gen'!M4*Results!$B$5</f>
        <v>849.2288637543459</v>
      </c>
      <c r="N4" s="130">
        <f>'LLH Tot Gen'!N4*Results!$B$5</f>
        <v>834.6709381652348</v>
      </c>
      <c r="O4" s="130">
        <f>'LLH Tot Gen'!O4*Results!$B$5</f>
        <v>987.8809636856595</v>
      </c>
      <c r="P4" s="130">
        <f>SUMPRODUCT(B4:O4,'HLH-LLH Loads'!$N$5:$AA$5)</f>
        <v>3270668.8854397386</v>
      </c>
    </row>
    <row r="5" spans="1:16" ht="12.75">
      <c r="A5" s="128">
        <v>1931</v>
      </c>
      <c r="B5" s="130">
        <f>'LLH Tot Gen'!B5*Results!$B$5</f>
        <v>954.1910602486829</v>
      </c>
      <c r="C5" s="130">
        <f>'LLH Tot Gen'!C5*Results!$B$5</f>
        <v>941.3978576667921</v>
      </c>
      <c r="D5" s="130">
        <f>'LLH Tot Gen'!D5*Results!$B$5</f>
        <v>740.9562459864256</v>
      </c>
      <c r="E5" s="130">
        <f>'LLH Tot Gen'!E5*Results!$B$5</f>
        <v>797.857058165098</v>
      </c>
      <c r="F5" s="130">
        <f>'LLH Tot Gen'!F5*Results!$B$5</f>
        <v>843.5091394847169</v>
      </c>
      <c r="G5" s="130">
        <f>'LLH Tot Gen'!G5*Results!$B$5</f>
        <v>898.3367312135116</v>
      </c>
      <c r="H5" s="130">
        <f>'LLH Tot Gen'!H5*Results!$B$5</f>
        <v>763.6317052611051</v>
      </c>
      <c r="I5" s="130">
        <f>'LLH Tot Gen'!I5*Results!$B$5</f>
        <v>754.5308377829152</v>
      </c>
      <c r="J5" s="130">
        <f>'LLH Tot Gen'!J5*Results!$B$5</f>
        <v>796.165310824477</v>
      </c>
      <c r="K5" s="130">
        <f>'LLH Tot Gen'!K5*Results!$B$5</f>
        <v>1081.5173159294104</v>
      </c>
      <c r="L5" s="130">
        <f>'LLH Tot Gen'!L5*Results!$B$5</f>
        <v>843.3313388457335</v>
      </c>
      <c r="M5" s="130">
        <f>'LLH Tot Gen'!M5*Results!$B$5</f>
        <v>1103.91645952173</v>
      </c>
      <c r="N5" s="130">
        <f>'LLH Tot Gen'!N5*Results!$B$5</f>
        <v>884.5268091580026</v>
      </c>
      <c r="O5" s="130">
        <f>'LLH Tot Gen'!O5*Results!$B$5</f>
        <v>988.0957964317223</v>
      </c>
      <c r="P5" s="130">
        <f>SUMPRODUCT(B5:O5,'HLH-LLH Loads'!$N$5:$AA$5)</f>
        <v>3284946.067949189</v>
      </c>
    </row>
    <row r="6" spans="1:16" ht="12.75">
      <c r="A6" s="128">
        <v>1932</v>
      </c>
      <c r="B6" s="130">
        <f>'LLH Tot Gen'!B6*Results!$B$5</f>
        <v>916.7014873844136</v>
      </c>
      <c r="C6" s="130">
        <f>'LLH Tot Gen'!C6*Results!$B$5</f>
        <v>812.1768496668243</v>
      </c>
      <c r="D6" s="130">
        <f>'LLH Tot Gen'!D6*Results!$B$5</f>
        <v>724.1817522124329</v>
      </c>
      <c r="E6" s="130">
        <f>'LLH Tot Gen'!E6*Results!$B$5</f>
        <v>801.1341834543788</v>
      </c>
      <c r="F6" s="130">
        <f>'LLH Tot Gen'!F6*Results!$B$5</f>
        <v>835.2128632027343</v>
      </c>
      <c r="G6" s="130">
        <f>'LLH Tot Gen'!G6*Results!$B$5</f>
        <v>857.7681450366555</v>
      </c>
      <c r="H6" s="130">
        <f>'LLH Tot Gen'!H6*Results!$B$5</f>
        <v>755.5676561940099</v>
      </c>
      <c r="I6" s="130">
        <f>'LLH Tot Gen'!I6*Results!$B$5</f>
        <v>904.5635250122601</v>
      </c>
      <c r="J6" s="130">
        <f>'LLH Tot Gen'!J6*Results!$B$5</f>
        <v>1091.7365380154029</v>
      </c>
      <c r="K6" s="130">
        <f>'LLH Tot Gen'!K6*Results!$B$5</f>
        <v>1665.6256568923957</v>
      </c>
      <c r="L6" s="130">
        <f>'LLH Tot Gen'!L6*Results!$B$5</f>
        <v>1686.2477661685398</v>
      </c>
      <c r="M6" s="130">
        <f>'LLH Tot Gen'!M6*Results!$B$5</f>
        <v>1485.6869437196096</v>
      </c>
      <c r="N6" s="130">
        <f>'LLH Tot Gen'!N6*Results!$B$5</f>
        <v>1349.2653829212727</v>
      </c>
      <c r="O6" s="130">
        <f>'LLH Tot Gen'!O6*Results!$B$5</f>
        <v>1097.5215991891264</v>
      </c>
      <c r="P6" s="130">
        <f>SUMPRODUCT(B6:O6,'HLH-LLH Loads'!$N$5:$AA$5)</f>
        <v>3894168.91085542</v>
      </c>
    </row>
    <row r="7" spans="1:16" ht="12.75">
      <c r="A7" s="128">
        <v>1933</v>
      </c>
      <c r="B7" s="130">
        <f>'LLH Tot Gen'!B7*Results!$B$5</f>
        <v>964.9328384116956</v>
      </c>
      <c r="C7" s="130">
        <f>'LLH Tot Gen'!C7*Results!$B$5</f>
        <v>997.3971204904132</v>
      </c>
      <c r="D7" s="130">
        <f>'LLH Tot Gen'!D7*Results!$B$5</f>
        <v>802.524367550269</v>
      </c>
      <c r="E7" s="130">
        <f>'LLH Tot Gen'!E7*Results!$B$5</f>
        <v>889.7709436228926</v>
      </c>
      <c r="F7" s="130">
        <f>'LLH Tot Gen'!F7*Results!$B$5</f>
        <v>830.4405275549319</v>
      </c>
      <c r="G7" s="130">
        <f>'LLH Tot Gen'!G7*Results!$B$5</f>
        <v>903.328569824195</v>
      </c>
      <c r="H7" s="130">
        <f>'LLH Tot Gen'!H7*Results!$B$5</f>
        <v>1676.353742854775</v>
      </c>
      <c r="I7" s="130">
        <f>'LLH Tot Gen'!I7*Results!$B$5</f>
        <v>1222.3997303832027</v>
      </c>
      <c r="J7" s="130">
        <f>'LLH Tot Gen'!J7*Results!$B$5</f>
        <v>857.200057798948</v>
      </c>
      <c r="K7" s="130">
        <f>'LLH Tot Gen'!K7*Results!$B$5</f>
        <v>1449.3524981138187</v>
      </c>
      <c r="L7" s="130">
        <f>'LLH Tot Gen'!L7*Results!$B$5</f>
        <v>1026.9606668798394</v>
      </c>
      <c r="M7" s="130">
        <f>'LLH Tot Gen'!M7*Results!$B$5</f>
        <v>1253.550896506632</v>
      </c>
      <c r="N7" s="130">
        <f>'LLH Tot Gen'!N7*Results!$B$5</f>
        <v>1959.386357599025</v>
      </c>
      <c r="O7" s="130">
        <f>'LLH Tot Gen'!O7*Results!$B$5</f>
        <v>1929.9700546388708</v>
      </c>
      <c r="P7" s="130">
        <f>SUMPRODUCT(B7:O7,'HLH-LLH Loads'!$N$5:$AA$5)</f>
        <v>4552711.958784574</v>
      </c>
    </row>
    <row r="8" spans="1:16" ht="12.75">
      <c r="A8" s="128">
        <v>1934</v>
      </c>
      <c r="B8" s="130">
        <f>'LLH Tot Gen'!B8*Results!$B$5</f>
        <v>1236.5645944743358</v>
      </c>
      <c r="C8" s="130">
        <f>'LLH Tot Gen'!C8*Results!$B$5</f>
        <v>1334.8474329903158</v>
      </c>
      <c r="D8" s="130">
        <f>'LLH Tot Gen'!D8*Results!$B$5</f>
        <v>898.0381419049454</v>
      </c>
      <c r="E8" s="130">
        <f>'LLH Tot Gen'!E8*Results!$B$5</f>
        <v>1018.6367760836292</v>
      </c>
      <c r="F8" s="130">
        <f>'LLH Tot Gen'!F8*Results!$B$5</f>
        <v>1046.6508862900562</v>
      </c>
      <c r="G8" s="130">
        <f>'LLH Tot Gen'!G8*Results!$B$5</f>
        <v>1481.7834581026598</v>
      </c>
      <c r="H8" s="130">
        <f>'LLH Tot Gen'!H8*Results!$B$5</f>
        <v>2364.5027916645017</v>
      </c>
      <c r="I8" s="130">
        <f>'LLH Tot Gen'!I8*Results!$B$5</f>
        <v>1804.6465996336465</v>
      </c>
      <c r="J8" s="130">
        <f>'LLH Tot Gen'!J8*Results!$B$5</f>
        <v>1418.2965279962932</v>
      </c>
      <c r="K8" s="130">
        <f>'LLH Tot Gen'!K8*Results!$B$5</f>
        <v>2164.7108821008324</v>
      </c>
      <c r="L8" s="130">
        <f>'LLH Tot Gen'!L8*Results!$B$5</f>
        <v>1977.6698765493636</v>
      </c>
      <c r="M8" s="130">
        <f>'LLH Tot Gen'!M8*Results!$B$5</f>
        <v>1923.2234694192443</v>
      </c>
      <c r="N8" s="130">
        <f>'LLH Tot Gen'!N8*Results!$B$5</f>
        <v>1043.1328352094542</v>
      </c>
      <c r="O8" s="130">
        <f>'LLH Tot Gen'!O8*Results!$B$5</f>
        <v>888.8674223405792</v>
      </c>
      <c r="P8" s="130">
        <f>SUMPRODUCT(B8:O8,'HLH-LLH Loads'!$N$5:$AA$5)</f>
        <v>5385812.185770223</v>
      </c>
    </row>
    <row r="9" spans="1:16" ht="12.75">
      <c r="A9" s="128">
        <v>1935</v>
      </c>
      <c r="B9" s="130">
        <f>'LLH Tot Gen'!B9*Results!$B$5</f>
        <v>781.3160059530375</v>
      </c>
      <c r="C9" s="130">
        <f>'LLH Tot Gen'!C9*Results!$B$5</f>
        <v>727.6349213585435</v>
      </c>
      <c r="D9" s="130">
        <f>'LLH Tot Gen'!D9*Results!$B$5</f>
        <v>735.9148672118022</v>
      </c>
      <c r="E9" s="130">
        <f>'LLH Tot Gen'!E9*Results!$B$5</f>
        <v>769.8423777817878</v>
      </c>
      <c r="F9" s="130">
        <f>'LLH Tot Gen'!F9*Results!$B$5</f>
        <v>804.0036181878834</v>
      </c>
      <c r="G9" s="130">
        <f>'LLH Tot Gen'!G9*Results!$B$5</f>
        <v>876.3316602719216</v>
      </c>
      <c r="H9" s="130">
        <f>'LLH Tot Gen'!H9*Results!$B$5</f>
        <v>1571.0352634534117</v>
      </c>
      <c r="I9" s="130">
        <f>'LLH Tot Gen'!I9*Results!$B$5</f>
        <v>1089.6443440623534</v>
      </c>
      <c r="J9" s="130">
        <f>'LLH Tot Gen'!J9*Results!$B$5</f>
        <v>947.1019194312614</v>
      </c>
      <c r="K9" s="130">
        <f>'LLH Tot Gen'!K9*Results!$B$5</f>
        <v>1622.2894561062803</v>
      </c>
      <c r="L9" s="130">
        <f>'LLH Tot Gen'!L9*Results!$B$5</f>
        <v>1105.9679891536177</v>
      </c>
      <c r="M9" s="130">
        <f>'LLH Tot Gen'!M9*Results!$B$5</f>
        <v>1149.7789728144883</v>
      </c>
      <c r="N9" s="130">
        <f>'LLH Tot Gen'!N9*Results!$B$5</f>
        <v>1239.3865591382857</v>
      </c>
      <c r="O9" s="130">
        <f>'LLH Tot Gen'!O9*Results!$B$5</f>
        <v>1165.570176176479</v>
      </c>
      <c r="P9" s="130">
        <f>SUMPRODUCT(B9:O9,'HLH-LLH Loads'!$N$5:$AA$5)</f>
        <v>3901201.630774575</v>
      </c>
    </row>
    <row r="10" spans="1:16" ht="12.75">
      <c r="A10" s="128">
        <v>1936</v>
      </c>
      <c r="B10" s="130">
        <f>'LLH Tot Gen'!B10*Results!$B$5</f>
        <v>974.3422217295315</v>
      </c>
      <c r="C10" s="130">
        <f>'LLH Tot Gen'!C10*Results!$B$5</f>
        <v>756.4333413939024</v>
      </c>
      <c r="D10" s="130">
        <f>'LLH Tot Gen'!D10*Results!$B$5</f>
        <v>745.1315782433632</v>
      </c>
      <c r="E10" s="130">
        <f>'LLH Tot Gen'!E10*Results!$B$5</f>
        <v>837.4898375029775</v>
      </c>
      <c r="F10" s="130">
        <f>'LLH Tot Gen'!F10*Results!$B$5</f>
        <v>806.8372515812277</v>
      </c>
      <c r="G10" s="130">
        <f>'LLH Tot Gen'!G10*Results!$B$5</f>
        <v>883.6768500686587</v>
      </c>
      <c r="H10" s="130">
        <f>'LLH Tot Gen'!H10*Results!$B$5</f>
        <v>877.234803624304</v>
      </c>
      <c r="I10" s="130">
        <f>'LLH Tot Gen'!I10*Results!$B$5</f>
        <v>953.4869327259797</v>
      </c>
      <c r="J10" s="130">
        <f>'LLH Tot Gen'!J10*Results!$B$5</f>
        <v>859.1292770456558</v>
      </c>
      <c r="K10" s="130">
        <f>'LLH Tot Gen'!K10*Results!$B$5</f>
        <v>901.0670375092623</v>
      </c>
      <c r="L10" s="130">
        <f>'LLH Tot Gen'!L10*Results!$B$5</f>
        <v>1664.4057278301175</v>
      </c>
      <c r="M10" s="130">
        <f>'LLH Tot Gen'!M10*Results!$B$5</f>
        <v>1531.4373130482943</v>
      </c>
      <c r="N10" s="130">
        <f>'LLH Tot Gen'!N10*Results!$B$5</f>
        <v>1132.1442896612434</v>
      </c>
      <c r="O10" s="130">
        <f>'LLH Tot Gen'!O10*Results!$B$5</f>
        <v>1047.1690022380483</v>
      </c>
      <c r="P10" s="130">
        <f>SUMPRODUCT(B10:O10,'HLH-LLH Loads'!$N$5:$AA$5)</f>
        <v>3691641.0513040945</v>
      </c>
    </row>
    <row r="11" spans="1:16" ht="12.75">
      <c r="A11" s="128">
        <v>1937</v>
      </c>
      <c r="B11" s="130">
        <f>'LLH Tot Gen'!B11*Results!$B$5</f>
        <v>940.6754757897702</v>
      </c>
      <c r="C11" s="130">
        <f>'LLH Tot Gen'!C11*Results!$B$5</f>
        <v>876.8113600944508</v>
      </c>
      <c r="D11" s="130">
        <f>'LLH Tot Gen'!D11*Results!$B$5</f>
        <v>780.6627089828834</v>
      </c>
      <c r="E11" s="130">
        <f>'LLH Tot Gen'!E11*Results!$B$5</f>
        <v>809.6287206915766</v>
      </c>
      <c r="F11" s="130">
        <f>'LLH Tot Gen'!F11*Results!$B$5</f>
        <v>815.249071507014</v>
      </c>
      <c r="G11" s="130">
        <f>'LLH Tot Gen'!G11*Results!$B$5</f>
        <v>883.3008366845784</v>
      </c>
      <c r="H11" s="130">
        <f>'LLH Tot Gen'!H11*Results!$B$5</f>
        <v>807.067220683629</v>
      </c>
      <c r="I11" s="130">
        <f>'LLH Tot Gen'!I11*Results!$B$5</f>
        <v>891.1938469811031</v>
      </c>
      <c r="J11" s="130">
        <f>'LLH Tot Gen'!J11*Results!$B$5</f>
        <v>793.1320798876579</v>
      </c>
      <c r="K11" s="130">
        <f>'LLH Tot Gen'!K11*Results!$B$5</f>
        <v>864.3556100375873</v>
      </c>
      <c r="L11" s="130">
        <f>'LLH Tot Gen'!L11*Results!$B$5</f>
        <v>818.2129160354858</v>
      </c>
      <c r="M11" s="130">
        <f>'LLH Tot Gen'!M11*Results!$B$5</f>
        <v>1089.3784817484304</v>
      </c>
      <c r="N11" s="130">
        <f>'LLH Tot Gen'!N11*Results!$B$5</f>
        <v>919.0059305984979</v>
      </c>
      <c r="O11" s="130">
        <f>'LLH Tot Gen'!O11*Results!$B$5</f>
        <v>970.6443247572392</v>
      </c>
      <c r="P11" s="130">
        <f>SUMPRODUCT(B11:O11,'HLH-LLH Loads'!$N$5:$AA$5)</f>
        <v>3286851.909183801</v>
      </c>
    </row>
    <row r="12" spans="1:16" ht="12.75">
      <c r="A12" s="128">
        <v>1938</v>
      </c>
      <c r="B12" s="130">
        <f>'LLH Tot Gen'!B12*Results!$B$5</f>
        <v>946.8459041351426</v>
      </c>
      <c r="C12" s="130">
        <f>'LLH Tot Gen'!C12*Results!$B$5</f>
        <v>894.554782460791</v>
      </c>
      <c r="D12" s="130">
        <f>'LLH Tot Gen'!D12*Results!$B$5</f>
        <v>798.5725210520344</v>
      </c>
      <c r="E12" s="130">
        <f>'LLH Tot Gen'!E12*Results!$B$5</f>
        <v>822.105930539289</v>
      </c>
      <c r="F12" s="130">
        <f>'LLH Tot Gen'!F12*Results!$B$5</f>
        <v>853.9123067214432</v>
      </c>
      <c r="G12" s="130">
        <f>'LLH Tot Gen'!G12*Results!$B$5</f>
        <v>944.7415852300498</v>
      </c>
      <c r="H12" s="130">
        <f>'LLH Tot Gen'!H12*Results!$B$5</f>
        <v>1375.7703541401993</v>
      </c>
      <c r="I12" s="130">
        <f>'LLH Tot Gen'!I12*Results!$B$5</f>
        <v>1019.2401853497374</v>
      </c>
      <c r="J12" s="130">
        <f>'LLH Tot Gen'!J12*Results!$B$5</f>
        <v>1272.0909786132227</v>
      </c>
      <c r="K12" s="130">
        <f>'LLH Tot Gen'!K12*Results!$B$5</f>
        <v>1356.4502883839066</v>
      </c>
      <c r="L12" s="130">
        <f>'LLH Tot Gen'!L12*Results!$B$5</f>
        <v>1263.483989095322</v>
      </c>
      <c r="M12" s="130">
        <f>'LLH Tot Gen'!M12*Results!$B$5</f>
        <v>1774.2054226810599</v>
      </c>
      <c r="N12" s="130">
        <f>'LLH Tot Gen'!N12*Results!$B$5</f>
        <v>1318.8257870238624</v>
      </c>
      <c r="O12" s="130">
        <f>'LLH Tot Gen'!O12*Results!$B$5</f>
        <v>1025.1375039441953</v>
      </c>
      <c r="P12" s="130">
        <f>SUMPRODUCT(B12:O12,'HLH-LLH Loads'!$N$5:$AA$5)</f>
        <v>4199258.0718539655</v>
      </c>
    </row>
    <row r="13" spans="1:16" ht="12.75">
      <c r="A13" s="128">
        <v>1939</v>
      </c>
      <c r="B13" s="130">
        <f>'LLH Tot Gen'!B13*Results!$B$5</f>
        <v>912.6113936959049</v>
      </c>
      <c r="C13" s="130">
        <f>'LLH Tot Gen'!C13*Results!$B$5</f>
        <v>794.502249155279</v>
      </c>
      <c r="D13" s="130">
        <f>'LLH Tot Gen'!D13*Results!$B$5</f>
        <v>762.4361206779912</v>
      </c>
      <c r="E13" s="130">
        <f>'LLH Tot Gen'!E13*Results!$B$5</f>
        <v>895.9388962438969</v>
      </c>
      <c r="F13" s="130">
        <f>'LLH Tot Gen'!F13*Results!$B$5</f>
        <v>790.4253462603878</v>
      </c>
      <c r="G13" s="130">
        <f>'LLH Tot Gen'!G13*Results!$B$5</f>
        <v>885.4736930343497</v>
      </c>
      <c r="H13" s="130">
        <f>'LLH Tot Gen'!H13*Results!$B$5</f>
        <v>802.1833103831052</v>
      </c>
      <c r="I13" s="130">
        <f>'LLH Tot Gen'!I13*Results!$B$5</f>
        <v>1251.4170410066858</v>
      </c>
      <c r="J13" s="130">
        <f>'LLH Tot Gen'!J13*Results!$B$5</f>
        <v>990.9736614877445</v>
      </c>
      <c r="K13" s="130">
        <f>'LLH Tot Gen'!K13*Results!$B$5</f>
        <v>1196.6297766133252</v>
      </c>
      <c r="L13" s="130">
        <f>'LLH Tot Gen'!L13*Results!$B$5</f>
        <v>1238.4489696848775</v>
      </c>
      <c r="M13" s="130">
        <f>'LLH Tot Gen'!M13*Results!$B$5</f>
        <v>1167.5789709920452</v>
      </c>
      <c r="N13" s="130">
        <f>'LLH Tot Gen'!N13*Results!$B$5</f>
        <v>826.6985791007</v>
      </c>
      <c r="O13" s="130">
        <f>'LLH Tot Gen'!O13*Results!$B$5</f>
        <v>1136.465965644411</v>
      </c>
      <c r="P13" s="130">
        <f>SUMPRODUCT(B13:O13,'HLH-LLH Loads'!$N$5:$AA$5)</f>
        <v>3619723.479563423</v>
      </c>
    </row>
    <row r="14" spans="1:16" ht="12.75">
      <c r="A14" s="128">
        <v>1940</v>
      </c>
      <c r="B14" s="130">
        <f>'LLH Tot Gen'!B14*Results!$B$5</f>
        <v>977.8361587550908</v>
      </c>
      <c r="C14" s="130">
        <f>'LLH Tot Gen'!C14*Results!$B$5</f>
        <v>849.8540370954483</v>
      </c>
      <c r="D14" s="130">
        <f>'LLH Tot Gen'!D14*Results!$B$5</f>
        <v>775.4823627335975</v>
      </c>
      <c r="E14" s="130">
        <f>'LLH Tot Gen'!E14*Results!$B$5</f>
        <v>879.9274410198257</v>
      </c>
      <c r="F14" s="130">
        <f>'LLH Tot Gen'!F14*Results!$B$5</f>
        <v>817.5659856976606</v>
      </c>
      <c r="G14" s="130">
        <f>'LLH Tot Gen'!G14*Results!$B$5</f>
        <v>887.440991652362</v>
      </c>
      <c r="H14" s="130">
        <f>'LLH Tot Gen'!H14*Results!$B$5</f>
        <v>902.5249078669069</v>
      </c>
      <c r="I14" s="130">
        <f>'LLH Tot Gen'!I14*Results!$B$5</f>
        <v>1091.4261286269464</v>
      </c>
      <c r="J14" s="130">
        <f>'LLH Tot Gen'!J14*Results!$B$5</f>
        <v>1180.903659708183</v>
      </c>
      <c r="K14" s="130">
        <f>'LLH Tot Gen'!K14*Results!$B$5</f>
        <v>1198.2160854849471</v>
      </c>
      <c r="L14" s="130">
        <f>'LLH Tot Gen'!L14*Results!$B$5</f>
        <v>1266.2382409156892</v>
      </c>
      <c r="M14" s="130">
        <f>'LLH Tot Gen'!M14*Results!$B$5</f>
        <v>1062.0765724045775</v>
      </c>
      <c r="N14" s="130">
        <f>'LLH Tot Gen'!N14*Results!$B$5</f>
        <v>764.5943703900804</v>
      </c>
      <c r="O14" s="130">
        <f>'LLH Tot Gen'!O14*Results!$B$5</f>
        <v>985.5402176454174</v>
      </c>
      <c r="P14" s="130">
        <f>SUMPRODUCT(B14:O14,'HLH-LLH Loads'!$N$5:$AA$5)</f>
        <v>3593782.0095907804</v>
      </c>
    </row>
    <row r="15" spans="1:16" ht="12.75">
      <c r="A15" s="128">
        <v>1941</v>
      </c>
      <c r="B15" s="130">
        <f>'LLH Tot Gen'!B15*Results!$B$5</f>
        <v>941.8527571391784</v>
      </c>
      <c r="C15" s="130">
        <f>'LLH Tot Gen'!C15*Results!$B$5</f>
        <v>814.7074395786475</v>
      </c>
      <c r="D15" s="130">
        <f>'LLH Tot Gen'!D15*Results!$B$5</f>
        <v>813.457863719546</v>
      </c>
      <c r="E15" s="130">
        <f>'LLH Tot Gen'!E15*Results!$B$5</f>
        <v>904.3536244766173</v>
      </c>
      <c r="F15" s="130">
        <f>'LLH Tot Gen'!F15*Results!$B$5</f>
        <v>815.3263887060367</v>
      </c>
      <c r="G15" s="130">
        <f>'LLH Tot Gen'!G15*Results!$B$5</f>
        <v>893.039810091446</v>
      </c>
      <c r="H15" s="130">
        <f>'LLH Tot Gen'!H15*Results!$B$5</f>
        <v>892.921945293627</v>
      </c>
      <c r="I15" s="130">
        <f>'LLH Tot Gen'!I15*Results!$B$5</f>
        <v>876.8561506452558</v>
      </c>
      <c r="J15" s="130">
        <f>'LLH Tot Gen'!J15*Results!$B$5</f>
        <v>858.523960079994</v>
      </c>
      <c r="K15" s="130">
        <f>'LLH Tot Gen'!K15*Results!$B$5</f>
        <v>843.9967582954793</v>
      </c>
      <c r="L15" s="130">
        <f>'LLH Tot Gen'!L15*Results!$B$5</f>
        <v>948.5489730298352</v>
      </c>
      <c r="M15" s="130">
        <f>'LLH Tot Gen'!M15*Results!$B$5</f>
        <v>1030.5469418313985</v>
      </c>
      <c r="N15" s="130">
        <f>'LLH Tot Gen'!N15*Results!$B$5</f>
        <v>1085.1099220182496</v>
      </c>
      <c r="O15" s="130">
        <f>'LLH Tot Gen'!O15*Results!$B$5</f>
        <v>902.6419394180057</v>
      </c>
      <c r="P15" s="130">
        <f>SUMPRODUCT(B15:O15,'HLH-LLH Loads'!$N$5:$AA$5)</f>
        <v>3390637.48012407</v>
      </c>
    </row>
    <row r="16" spans="1:16" ht="12.75">
      <c r="A16" s="128">
        <v>1942</v>
      </c>
      <c r="B16" s="130">
        <f>'LLH Tot Gen'!B16*Results!$B$5</f>
        <v>905.6045526057819</v>
      </c>
      <c r="C16" s="130">
        <f>'LLH Tot Gen'!C16*Results!$B$5</f>
        <v>842.1148794985428</v>
      </c>
      <c r="D16" s="130">
        <f>'LLH Tot Gen'!D16*Results!$B$5</f>
        <v>770.0072194586985</v>
      </c>
      <c r="E16" s="130">
        <f>'LLH Tot Gen'!E16*Results!$B$5</f>
        <v>904.3606417839152</v>
      </c>
      <c r="F16" s="130">
        <f>'LLH Tot Gen'!F16*Results!$B$5</f>
        <v>868.5283583470215</v>
      </c>
      <c r="G16" s="130">
        <f>'LLH Tot Gen'!G16*Results!$B$5</f>
        <v>1164.7882682659263</v>
      </c>
      <c r="H16" s="130">
        <f>'LLH Tot Gen'!H16*Results!$B$5</f>
        <v>1356.8358041063932</v>
      </c>
      <c r="I16" s="130">
        <f>'LLH Tot Gen'!I16*Results!$B$5</f>
        <v>1111.1352267321759</v>
      </c>
      <c r="J16" s="130">
        <f>'LLH Tot Gen'!J16*Results!$B$5</f>
        <v>827.1498394507131</v>
      </c>
      <c r="K16" s="130">
        <f>'LLH Tot Gen'!K16*Results!$B$5</f>
        <v>1043.5491958653768</v>
      </c>
      <c r="L16" s="130">
        <f>'LLH Tot Gen'!L16*Results!$B$5</f>
        <v>1043.7361832026222</v>
      </c>
      <c r="M16" s="130">
        <f>'LLH Tot Gen'!M16*Results!$B$5</f>
        <v>1161.404310318695</v>
      </c>
      <c r="N16" s="130">
        <f>'LLH Tot Gen'!N16*Results!$B$5</f>
        <v>1193.1469866517245</v>
      </c>
      <c r="O16" s="130">
        <f>'LLH Tot Gen'!O16*Results!$B$5</f>
        <v>1264.4516559908554</v>
      </c>
      <c r="P16" s="130">
        <f>SUMPRODUCT(B16:O16,'HLH-LLH Loads'!$N$5:$AA$5)</f>
        <v>3924375.5336325564</v>
      </c>
    </row>
    <row r="17" spans="1:16" ht="12.75">
      <c r="A17" s="128">
        <v>1943</v>
      </c>
      <c r="B17" s="130">
        <f>'LLH Tot Gen'!B17*Results!$B$5</f>
        <v>1279.4877988831713</v>
      </c>
      <c r="C17" s="130">
        <f>'LLH Tot Gen'!C17*Results!$B$5</f>
        <v>1027.4734060641836</v>
      </c>
      <c r="D17" s="130">
        <f>'LLH Tot Gen'!D17*Results!$B$5</f>
        <v>843.4324503282049</v>
      </c>
      <c r="E17" s="130">
        <f>'LLH Tot Gen'!E17*Results!$B$5</f>
        <v>873.2692875187072</v>
      </c>
      <c r="F17" s="130">
        <f>'LLH Tot Gen'!F17*Results!$B$5</f>
        <v>803.6847715770126</v>
      </c>
      <c r="G17" s="130">
        <f>'LLH Tot Gen'!G17*Results!$B$5</f>
        <v>900.0450406896368</v>
      </c>
      <c r="H17" s="130">
        <f>'LLH Tot Gen'!H17*Results!$B$5</f>
        <v>1387.913886548482</v>
      </c>
      <c r="I17" s="130">
        <f>'LLH Tot Gen'!I17*Results!$B$5</f>
        <v>1403.5335625496818</v>
      </c>
      <c r="J17" s="130">
        <f>'LLH Tot Gen'!J17*Results!$B$5</f>
        <v>1261.4098377175299</v>
      </c>
      <c r="K17" s="130">
        <f>'LLH Tot Gen'!K17*Results!$B$5</f>
        <v>2003.7270744045572</v>
      </c>
      <c r="L17" s="130">
        <f>'LLH Tot Gen'!L17*Results!$B$5</f>
        <v>1746.4877228618618</v>
      </c>
      <c r="M17" s="130">
        <f>'LLH Tot Gen'!M17*Results!$B$5</f>
        <v>1708.330395550747</v>
      </c>
      <c r="N17" s="130">
        <f>'LLH Tot Gen'!N17*Results!$B$5</f>
        <v>1386.4623187950358</v>
      </c>
      <c r="O17" s="130">
        <f>'LLH Tot Gen'!O17*Results!$B$5</f>
        <v>1266.1603159540991</v>
      </c>
      <c r="P17" s="130">
        <f>SUMPRODUCT(B17:O17,'HLH-LLH Loads'!$N$5:$AA$5)</f>
        <v>4643931.787830776</v>
      </c>
    </row>
    <row r="18" spans="1:16" ht="12.75">
      <c r="A18" s="128">
        <v>1944</v>
      </c>
      <c r="B18" s="130">
        <f>'LLH Tot Gen'!B18*Results!$B$5</f>
        <v>1180.5859271729057</v>
      </c>
      <c r="C18" s="130">
        <f>'LLH Tot Gen'!C18*Results!$B$5</f>
        <v>1040.8281670631209</v>
      </c>
      <c r="D18" s="130">
        <f>'LLH Tot Gen'!D18*Results!$B$5</f>
        <v>782.8214525586808</v>
      </c>
      <c r="E18" s="130">
        <f>'LLH Tot Gen'!E18*Results!$B$5</f>
        <v>893.6210864869038</v>
      </c>
      <c r="F18" s="130">
        <f>'LLH Tot Gen'!F18*Results!$B$5</f>
        <v>788.272063447642</v>
      </c>
      <c r="G18" s="130">
        <f>'LLH Tot Gen'!G18*Results!$B$5</f>
        <v>903.0534599354131</v>
      </c>
      <c r="H18" s="130">
        <f>'LLH Tot Gen'!H18*Results!$B$5</f>
        <v>812.5011144210949</v>
      </c>
      <c r="I18" s="130">
        <f>'LLH Tot Gen'!I18*Results!$B$5</f>
        <v>942.7946990527588</v>
      </c>
      <c r="J18" s="130">
        <f>'LLH Tot Gen'!J18*Results!$B$5</f>
        <v>766.7406774492237</v>
      </c>
      <c r="K18" s="130">
        <f>'LLH Tot Gen'!K18*Results!$B$5</f>
        <v>881.3125041948189</v>
      </c>
      <c r="L18" s="130">
        <f>'LLH Tot Gen'!L18*Results!$B$5</f>
        <v>871.8616922868999</v>
      </c>
      <c r="M18" s="130">
        <f>'LLH Tot Gen'!M18*Results!$B$5</f>
        <v>972.5773359646166</v>
      </c>
      <c r="N18" s="130">
        <f>'LLH Tot Gen'!N18*Results!$B$5</f>
        <v>976.4207434753805</v>
      </c>
      <c r="O18" s="130">
        <f>'LLH Tot Gen'!O18*Results!$B$5</f>
        <v>902.741855048879</v>
      </c>
      <c r="P18" s="130">
        <f>SUMPRODUCT(B18:O18,'HLH-LLH Loads'!$N$5:$AA$5)</f>
        <v>3354110.401369403</v>
      </c>
    </row>
    <row r="19" spans="1:16" ht="12.75">
      <c r="A19" s="128">
        <v>1945</v>
      </c>
      <c r="B19" s="130">
        <f>'LLH Tot Gen'!B19*Results!$B$5</f>
        <v>923.051084235273</v>
      </c>
      <c r="C19" s="130">
        <f>'LLH Tot Gen'!C19*Results!$B$5</f>
        <v>800.7665761906412</v>
      </c>
      <c r="D19" s="130">
        <f>'LLH Tot Gen'!D19*Results!$B$5</f>
        <v>737.2637037179335</v>
      </c>
      <c r="E19" s="130">
        <f>'LLH Tot Gen'!E19*Results!$B$5</f>
        <v>818.3023385879741</v>
      </c>
      <c r="F19" s="130">
        <f>'LLH Tot Gen'!F19*Results!$B$5</f>
        <v>844.508492136339</v>
      </c>
      <c r="G19" s="130">
        <f>'LLH Tot Gen'!G19*Results!$B$5</f>
        <v>854.5026031672946</v>
      </c>
      <c r="H19" s="130">
        <f>'LLH Tot Gen'!H19*Results!$B$5</f>
        <v>760.1987068458814</v>
      </c>
      <c r="I19" s="130">
        <f>'LLH Tot Gen'!I19*Results!$B$5</f>
        <v>826.6448211148626</v>
      </c>
      <c r="J19" s="130">
        <f>'LLH Tot Gen'!J19*Results!$B$5</f>
        <v>802.7851845800367</v>
      </c>
      <c r="K19" s="130">
        <f>'LLH Tot Gen'!K19*Results!$B$5</f>
        <v>873.0688265284422</v>
      </c>
      <c r="L19" s="130">
        <f>'LLH Tot Gen'!L19*Results!$B$5</f>
        <v>924.7390671660614</v>
      </c>
      <c r="M19" s="130">
        <f>'LLH Tot Gen'!M19*Results!$B$5</f>
        <v>1244.6839277753302</v>
      </c>
      <c r="N19" s="130">
        <f>'LLH Tot Gen'!N19*Results!$B$5</f>
        <v>1183.7992005151532</v>
      </c>
      <c r="O19" s="130">
        <f>'LLH Tot Gen'!O19*Results!$B$5</f>
        <v>1075.37693249598</v>
      </c>
      <c r="P19" s="130">
        <f>SUMPRODUCT(B19:O19,'HLH-LLH Loads'!$N$5:$AA$5)</f>
        <v>3411865.7453828687</v>
      </c>
    </row>
    <row r="20" spans="1:16" ht="12.75">
      <c r="A20" s="128">
        <v>1946</v>
      </c>
      <c r="B20" s="130">
        <f>'LLH Tot Gen'!B20*Results!$B$5</f>
        <v>959.8929868755614</v>
      </c>
      <c r="C20" s="130">
        <f>'LLH Tot Gen'!C20*Results!$B$5</f>
        <v>966.4364532589032</v>
      </c>
      <c r="D20" s="130">
        <f>'LLH Tot Gen'!D20*Results!$B$5</f>
        <v>792.3923710134412</v>
      </c>
      <c r="E20" s="130">
        <f>'LLH Tot Gen'!E20*Results!$B$5</f>
        <v>807.7612084000244</v>
      </c>
      <c r="F20" s="130">
        <f>'LLH Tot Gen'!F20*Results!$B$5</f>
        <v>814.5454250555006</v>
      </c>
      <c r="G20" s="130">
        <f>'LLH Tot Gen'!G20*Results!$B$5</f>
        <v>982.5006634252957</v>
      </c>
      <c r="H20" s="130">
        <f>'LLH Tot Gen'!H20*Results!$B$5</f>
        <v>1524.6150934701946</v>
      </c>
      <c r="I20" s="130">
        <f>'LLH Tot Gen'!I20*Results!$B$5</f>
        <v>1062.8190942843069</v>
      </c>
      <c r="J20" s="130">
        <f>'LLH Tot Gen'!J20*Results!$B$5</f>
        <v>1154.3951022632145</v>
      </c>
      <c r="K20" s="130">
        <f>'LLH Tot Gen'!K20*Results!$B$5</f>
        <v>1344.1685982245126</v>
      </c>
      <c r="L20" s="130">
        <f>'LLH Tot Gen'!L20*Results!$B$5</f>
        <v>1563.8765533284952</v>
      </c>
      <c r="M20" s="130">
        <f>'LLH Tot Gen'!M20*Results!$B$5</f>
        <v>1953.7166847398926</v>
      </c>
      <c r="N20" s="130">
        <f>'LLH Tot Gen'!N20*Results!$B$5</f>
        <v>1382.572906908799</v>
      </c>
      <c r="O20" s="130">
        <f>'LLH Tot Gen'!O20*Results!$B$5</f>
        <v>1154.4516849397787</v>
      </c>
      <c r="P20" s="130">
        <f>SUMPRODUCT(B20:O20,'HLH-LLH Loads'!$N$5:$AA$5)</f>
        <v>4390243.113319896</v>
      </c>
    </row>
    <row r="21" spans="1:16" ht="12.75">
      <c r="A21" s="128">
        <v>1947</v>
      </c>
      <c r="B21" s="130">
        <f>'LLH Tot Gen'!B21*Results!$B$5</f>
        <v>1087.7386172649378</v>
      </c>
      <c r="C21" s="130">
        <f>'LLH Tot Gen'!C21*Results!$B$5</f>
        <v>820.775384735344</v>
      </c>
      <c r="D21" s="130">
        <f>'LLH Tot Gen'!D21*Results!$B$5</f>
        <v>846.1856341974081</v>
      </c>
      <c r="E21" s="130">
        <f>'LLH Tot Gen'!E21*Results!$B$5</f>
        <v>919.4546865621727</v>
      </c>
      <c r="F21" s="130">
        <f>'LLH Tot Gen'!F21*Results!$B$5</f>
        <v>832.2211964187362</v>
      </c>
      <c r="G21" s="130">
        <f>'LLH Tot Gen'!G21*Results!$B$5</f>
        <v>1198.8898558996304</v>
      </c>
      <c r="H21" s="130">
        <f>'LLH Tot Gen'!H21*Results!$B$5</f>
        <v>1831.101276369596</v>
      </c>
      <c r="I21" s="130">
        <f>'LLH Tot Gen'!I21*Results!$B$5</f>
        <v>1574.4829443337646</v>
      </c>
      <c r="J21" s="130">
        <f>'LLH Tot Gen'!J21*Results!$B$5</f>
        <v>1099.6514964991795</v>
      </c>
      <c r="K21" s="130">
        <f>'LLH Tot Gen'!K21*Results!$B$5</f>
        <v>1266.9239073122178</v>
      </c>
      <c r="L21" s="130">
        <f>'LLH Tot Gen'!L21*Results!$B$5</f>
        <v>1307.0956635601083</v>
      </c>
      <c r="M21" s="130">
        <f>'LLH Tot Gen'!M21*Results!$B$5</f>
        <v>1526.8116837756293</v>
      </c>
      <c r="N21" s="130">
        <f>'LLH Tot Gen'!N21*Results!$B$5</f>
        <v>1298.7309705048183</v>
      </c>
      <c r="O21" s="130">
        <f>'LLH Tot Gen'!O21*Results!$B$5</f>
        <v>1092.6627500375764</v>
      </c>
      <c r="P21" s="130">
        <f>SUMPRODUCT(B21:O21,'HLH-LLH Loads'!$N$5:$AA$5)</f>
        <v>4510653.570593262</v>
      </c>
    </row>
    <row r="22" spans="1:16" ht="12.75">
      <c r="A22" s="128">
        <v>1948</v>
      </c>
      <c r="B22" s="130">
        <f>'LLH Tot Gen'!B22*Results!$B$5</f>
        <v>1045.0257783406428</v>
      </c>
      <c r="C22" s="130">
        <f>'LLH Tot Gen'!C22*Results!$B$5</f>
        <v>912.1142370286508</v>
      </c>
      <c r="D22" s="130">
        <f>'LLH Tot Gen'!D22*Results!$B$5</f>
        <v>812.8947045408655</v>
      </c>
      <c r="E22" s="130">
        <f>'LLH Tot Gen'!E22*Results!$B$5</f>
        <v>1199.5895551337853</v>
      </c>
      <c r="F22" s="130">
        <f>'LLH Tot Gen'!F22*Results!$B$5</f>
        <v>967.7676196260394</v>
      </c>
      <c r="G22" s="130">
        <f>'LLH Tot Gen'!G22*Results!$B$5</f>
        <v>996.5866942089506</v>
      </c>
      <c r="H22" s="130">
        <f>'LLH Tot Gen'!H22*Results!$B$5</f>
        <v>1831.2741400919583</v>
      </c>
      <c r="I22" s="130">
        <f>'LLH Tot Gen'!I22*Results!$B$5</f>
        <v>1362.890507100059</v>
      </c>
      <c r="J22" s="130">
        <f>'LLH Tot Gen'!J22*Results!$B$5</f>
        <v>983.6005119000095</v>
      </c>
      <c r="K22" s="130">
        <f>'LLH Tot Gen'!K22*Results!$B$5</f>
        <v>1214.7773547392167</v>
      </c>
      <c r="L22" s="130">
        <f>'LLH Tot Gen'!L22*Results!$B$5</f>
        <v>1482.9448300929444</v>
      </c>
      <c r="M22" s="130">
        <f>'LLH Tot Gen'!M22*Results!$B$5</f>
        <v>2223.3632291613417</v>
      </c>
      <c r="N22" s="130">
        <f>'LLH Tot Gen'!N22*Results!$B$5</f>
        <v>2636.6804296131822</v>
      </c>
      <c r="O22" s="130">
        <f>'LLH Tot Gen'!O22*Results!$B$5</f>
        <v>1629.0446655990777</v>
      </c>
      <c r="P22" s="130">
        <f>SUMPRODUCT(B22:O22,'HLH-LLH Loads'!$N$5:$AA$5)</f>
        <v>5296259.748217388</v>
      </c>
    </row>
    <row r="23" spans="1:16" ht="12.75">
      <c r="A23" s="128">
        <v>1949</v>
      </c>
      <c r="B23" s="130">
        <f>'LLH Tot Gen'!B23*Results!$B$5</f>
        <v>1235.6911042561198</v>
      </c>
      <c r="C23" s="130">
        <f>'LLH Tot Gen'!C23*Results!$B$5</f>
        <v>1334.8897773331853</v>
      </c>
      <c r="D23" s="130">
        <f>'LLH Tot Gen'!D23*Results!$B$5</f>
        <v>921.4356434170211</v>
      </c>
      <c r="E23" s="130">
        <f>'LLH Tot Gen'!E23*Results!$B$5</f>
        <v>952.4033934906658</v>
      </c>
      <c r="F23" s="130">
        <f>'LLH Tot Gen'!F23*Results!$B$5</f>
        <v>803.4295677349725</v>
      </c>
      <c r="G23" s="130">
        <f>'LLH Tot Gen'!G23*Results!$B$5</f>
        <v>884.5020116060615</v>
      </c>
      <c r="H23" s="130">
        <f>'LLH Tot Gen'!H23*Results!$B$5</f>
        <v>1224.2622442049985</v>
      </c>
      <c r="I23" s="130">
        <f>'LLH Tot Gen'!I23*Results!$B$5</f>
        <v>1029.209900045823</v>
      </c>
      <c r="J23" s="130">
        <f>'LLH Tot Gen'!J23*Results!$B$5</f>
        <v>1598.433689183044</v>
      </c>
      <c r="K23" s="130">
        <f>'LLH Tot Gen'!K23*Results!$B$5</f>
        <v>1434.5545146763227</v>
      </c>
      <c r="L23" s="130">
        <f>'LLH Tot Gen'!L23*Results!$B$5</f>
        <v>1732.0944694518344</v>
      </c>
      <c r="M23" s="130">
        <f>'LLH Tot Gen'!M23*Results!$B$5</f>
        <v>1503.5500336661028</v>
      </c>
      <c r="N23" s="130">
        <f>'LLH Tot Gen'!N23*Results!$B$5</f>
        <v>1290.5169171791288</v>
      </c>
      <c r="O23" s="130">
        <f>'LLH Tot Gen'!O23*Results!$B$5</f>
        <v>868.3809434174432</v>
      </c>
      <c r="P23" s="130">
        <f>SUMPRODUCT(B23:O23,'HLH-LLH Loads'!$N$5:$AA$5)</f>
        <v>4355902.212301941</v>
      </c>
    </row>
    <row r="24" spans="1:16" ht="12.75">
      <c r="A24" s="128">
        <v>1950</v>
      </c>
      <c r="B24" s="130">
        <f>'LLH Tot Gen'!B24*Results!$B$5</f>
        <v>748.9272657506599</v>
      </c>
      <c r="C24" s="130">
        <f>'LLH Tot Gen'!C24*Results!$B$5</f>
        <v>715.0863927636912</v>
      </c>
      <c r="D24" s="130">
        <f>'LLH Tot Gen'!D24*Results!$B$5</f>
        <v>767.3907230129314</v>
      </c>
      <c r="E24" s="130">
        <f>'LLH Tot Gen'!E24*Results!$B$5</f>
        <v>831.8651052709482</v>
      </c>
      <c r="F24" s="130">
        <f>'LLH Tot Gen'!F24*Results!$B$5</f>
        <v>791.0919238975546</v>
      </c>
      <c r="G24" s="130">
        <f>'LLH Tot Gen'!G24*Results!$B$5</f>
        <v>950.9796110216453</v>
      </c>
      <c r="H24" s="130">
        <f>'LLH Tot Gen'!H24*Results!$B$5</f>
        <v>1535.8804486283245</v>
      </c>
      <c r="I24" s="130">
        <f>'LLH Tot Gen'!I24*Results!$B$5</f>
        <v>1348.0904511568367</v>
      </c>
      <c r="J24" s="130">
        <f>'LLH Tot Gen'!J24*Results!$B$5</f>
        <v>1411.4873388437431</v>
      </c>
      <c r="K24" s="130">
        <f>'LLH Tot Gen'!K24*Results!$B$5</f>
        <v>1739.1100393187269</v>
      </c>
      <c r="L24" s="130">
        <f>'LLH Tot Gen'!L24*Results!$B$5</f>
        <v>1606.9939213532682</v>
      </c>
      <c r="M24" s="130">
        <f>'LLH Tot Gen'!M24*Results!$B$5</f>
        <v>1542.9119613916216</v>
      </c>
      <c r="N24" s="130">
        <f>'LLH Tot Gen'!N24*Results!$B$5</f>
        <v>2293.5879141829882</v>
      </c>
      <c r="O24" s="130">
        <f>'LLH Tot Gen'!O24*Results!$B$5</f>
        <v>1539.4150054752859</v>
      </c>
      <c r="P24" s="130">
        <f>SUMPRODUCT(B24:O24,'HLH-LLH Loads'!$N$5:$AA$5)</f>
        <v>4814632.300778454</v>
      </c>
    </row>
    <row r="25" spans="1:16" ht="12.75">
      <c r="A25" s="128">
        <v>1951</v>
      </c>
      <c r="B25" s="130">
        <f>'LLH Tot Gen'!B25*Results!$B$5</f>
        <v>1077.0396225131578</v>
      </c>
      <c r="C25" s="130">
        <f>'LLH Tot Gen'!C25*Results!$B$5</f>
        <v>1060.5272598889403</v>
      </c>
      <c r="D25" s="130">
        <f>'LLH Tot Gen'!D25*Results!$B$5</f>
        <v>841.9029503533751</v>
      </c>
      <c r="E25" s="130">
        <f>'LLH Tot Gen'!E25*Results!$B$5</f>
        <v>1034.4714274841635</v>
      </c>
      <c r="F25" s="130">
        <f>'LLH Tot Gen'!F25*Results!$B$5</f>
        <v>1057.1879538618623</v>
      </c>
      <c r="G25" s="130">
        <f>'LLH Tot Gen'!G25*Results!$B$5</f>
        <v>1295.3163359465168</v>
      </c>
      <c r="H25" s="130">
        <f>'LLH Tot Gen'!H25*Results!$B$5</f>
        <v>2056.548388718406</v>
      </c>
      <c r="I25" s="130">
        <f>'LLH Tot Gen'!I25*Results!$B$5</f>
        <v>1729.1109554968257</v>
      </c>
      <c r="J25" s="130">
        <f>'LLH Tot Gen'!J25*Results!$B$5</f>
        <v>1384.8925052883596</v>
      </c>
      <c r="K25" s="130">
        <f>'LLH Tot Gen'!K25*Results!$B$5</f>
        <v>1841.1986857671552</v>
      </c>
      <c r="L25" s="130">
        <f>'LLH Tot Gen'!L25*Results!$B$5</f>
        <v>1815.4155385004476</v>
      </c>
      <c r="M25" s="130">
        <f>'LLH Tot Gen'!M25*Results!$B$5</f>
        <v>2021.8845500271066</v>
      </c>
      <c r="N25" s="130">
        <f>'LLH Tot Gen'!N25*Results!$B$5</f>
        <v>1223.061196202896</v>
      </c>
      <c r="O25" s="130">
        <f>'LLH Tot Gen'!O25*Results!$B$5</f>
        <v>1368.8751521807674</v>
      </c>
      <c r="P25" s="130">
        <f>SUMPRODUCT(B25:O25,'HLH-LLH Loads'!$N$5:$AA$5)</f>
        <v>5283496.093834502</v>
      </c>
    </row>
    <row r="26" spans="1:16" ht="12.75">
      <c r="A26" s="128">
        <v>1952</v>
      </c>
      <c r="B26" s="130">
        <f>'LLH Tot Gen'!B26*Results!$B$5</f>
        <v>1234.6975763266717</v>
      </c>
      <c r="C26" s="130">
        <f>'LLH Tot Gen'!C26*Results!$B$5</f>
        <v>1087.327899180965</v>
      </c>
      <c r="D26" s="130">
        <f>'LLH Tot Gen'!D26*Results!$B$5</f>
        <v>835.8027048749539</v>
      </c>
      <c r="E26" s="130">
        <f>'LLH Tot Gen'!E26*Results!$B$5</f>
        <v>1114.1347114752987</v>
      </c>
      <c r="F26" s="130">
        <f>'LLH Tot Gen'!F26*Results!$B$5</f>
        <v>854.9317223125299</v>
      </c>
      <c r="G26" s="130">
        <f>'LLH Tot Gen'!G26*Results!$B$5</f>
        <v>1072.0768172960168</v>
      </c>
      <c r="H26" s="130">
        <f>'LLH Tot Gen'!H26*Results!$B$5</f>
        <v>1765.0054028257155</v>
      </c>
      <c r="I26" s="130">
        <f>'LLH Tot Gen'!I26*Results!$B$5</f>
        <v>1230.7098937944459</v>
      </c>
      <c r="J26" s="130">
        <f>'LLH Tot Gen'!J26*Results!$B$5</f>
        <v>1033.3236773328538</v>
      </c>
      <c r="K26" s="130">
        <f>'LLH Tot Gen'!K26*Results!$B$5</f>
        <v>1823.082696028484</v>
      </c>
      <c r="L26" s="130">
        <f>'LLH Tot Gen'!L26*Results!$B$5</f>
        <v>1638.2413812163938</v>
      </c>
      <c r="M26" s="130">
        <f>'LLH Tot Gen'!M26*Results!$B$5</f>
        <v>2117.7957795807133</v>
      </c>
      <c r="N26" s="130">
        <f>'LLH Tot Gen'!N26*Results!$B$5</f>
        <v>1346.561150971635</v>
      </c>
      <c r="O26" s="130">
        <f>'LLH Tot Gen'!O26*Results!$B$5</f>
        <v>1057.0330623403104</v>
      </c>
      <c r="P26" s="130">
        <f>SUMPRODUCT(B26:O26,'HLH-LLH Loads'!$N$5:$AA$5)</f>
        <v>4792334.565644727</v>
      </c>
    </row>
    <row r="27" spans="1:16" ht="12.75">
      <c r="A27" s="128">
        <v>1953</v>
      </c>
      <c r="B27" s="130">
        <f>'LLH Tot Gen'!B27*Results!$B$5</f>
        <v>1048.714601461704</v>
      </c>
      <c r="C27" s="130">
        <f>'LLH Tot Gen'!C27*Results!$B$5</f>
        <v>860.9430344033418</v>
      </c>
      <c r="D27" s="130">
        <f>'LLH Tot Gen'!D27*Results!$B$5</f>
        <v>774.8260400958562</v>
      </c>
      <c r="E27" s="130">
        <f>'LLH Tot Gen'!E27*Results!$B$5</f>
        <v>842.2971769812933</v>
      </c>
      <c r="F27" s="130">
        <f>'LLH Tot Gen'!F27*Results!$B$5</f>
        <v>800.1549976790675</v>
      </c>
      <c r="G27" s="130">
        <f>'LLH Tot Gen'!G27*Results!$B$5</f>
        <v>894.4984842752058</v>
      </c>
      <c r="H27" s="130">
        <f>'LLH Tot Gen'!H27*Results!$B$5</f>
        <v>960.6552195805169</v>
      </c>
      <c r="I27" s="130">
        <f>'LLH Tot Gen'!I27*Results!$B$5</f>
        <v>1828.6545236331363</v>
      </c>
      <c r="J27" s="130">
        <f>'LLH Tot Gen'!J27*Results!$B$5</f>
        <v>1195.6322970917715</v>
      </c>
      <c r="K27" s="130">
        <f>'LLH Tot Gen'!K27*Results!$B$5</f>
        <v>1034.3229944778266</v>
      </c>
      <c r="L27" s="130">
        <f>'LLH Tot Gen'!L27*Results!$B$5</f>
        <v>1041.585727442085</v>
      </c>
      <c r="M27" s="130">
        <f>'LLH Tot Gen'!M27*Results!$B$5</f>
        <v>1301.1442489198485</v>
      </c>
      <c r="N27" s="130">
        <f>'LLH Tot Gen'!N27*Results!$B$5</f>
        <v>1486.838516071514</v>
      </c>
      <c r="O27" s="130">
        <f>'LLH Tot Gen'!O27*Results!$B$5</f>
        <v>1327.5667981445288</v>
      </c>
      <c r="P27" s="130">
        <f>SUMPRODUCT(B27:O27,'HLH-LLH Loads'!$N$5:$AA$5)</f>
        <v>4170518.0432941294</v>
      </c>
    </row>
    <row r="28" spans="1:16" ht="12.75">
      <c r="A28" s="128">
        <v>1954</v>
      </c>
      <c r="B28" s="130">
        <f>'LLH Tot Gen'!B28*Results!$B$5</f>
        <v>1262.5793117162523</v>
      </c>
      <c r="C28" s="130">
        <f>'LLH Tot Gen'!C28*Results!$B$5</f>
        <v>1065.0378108370417</v>
      </c>
      <c r="D28" s="130">
        <f>'LLH Tot Gen'!D28*Results!$B$5</f>
        <v>846.1385819913994</v>
      </c>
      <c r="E28" s="130">
        <f>'LLH Tot Gen'!E28*Results!$B$5</f>
        <v>944.4128566334982</v>
      </c>
      <c r="F28" s="130">
        <f>'LLH Tot Gen'!F28*Results!$B$5</f>
        <v>833.7097958910084</v>
      </c>
      <c r="G28" s="130">
        <f>'LLH Tot Gen'!G28*Results!$B$5</f>
        <v>926.6816267023971</v>
      </c>
      <c r="H28" s="130">
        <f>'LLH Tot Gen'!H28*Results!$B$5</f>
        <v>1264.6977600154107</v>
      </c>
      <c r="I28" s="130">
        <f>'LLH Tot Gen'!I28*Results!$B$5</f>
        <v>1986.5253767548288</v>
      </c>
      <c r="J28" s="130">
        <f>'LLH Tot Gen'!J28*Results!$B$5</f>
        <v>1048.4918600724102</v>
      </c>
      <c r="K28" s="130">
        <f>'LLH Tot Gen'!K28*Results!$B$5</f>
        <v>1346.1075655418624</v>
      </c>
      <c r="L28" s="130">
        <f>'LLH Tot Gen'!L28*Results!$B$5</f>
        <v>1270.2497618403975</v>
      </c>
      <c r="M28" s="130">
        <f>'LLH Tot Gen'!M28*Results!$B$5</f>
        <v>1756.5665350599756</v>
      </c>
      <c r="N28" s="130">
        <f>'LLH Tot Gen'!N28*Results!$B$5</f>
        <v>2128.069560488956</v>
      </c>
      <c r="O28" s="130">
        <f>'LLH Tot Gen'!O28*Results!$B$5</f>
        <v>1595.986092497489</v>
      </c>
      <c r="P28" s="130">
        <f>SUMPRODUCT(B28:O28,'HLH-LLH Loads'!$N$5:$AA$5)</f>
        <v>4918234.850975319</v>
      </c>
    </row>
    <row r="29" spans="1:16" ht="12.75">
      <c r="A29" s="128">
        <v>1955</v>
      </c>
      <c r="B29" s="130">
        <f>'LLH Tot Gen'!B29*Results!$B$5</f>
        <v>1467.6157361750252</v>
      </c>
      <c r="C29" s="130">
        <f>'LLH Tot Gen'!C29*Results!$B$5</f>
        <v>1292.165204903585</v>
      </c>
      <c r="D29" s="130">
        <f>'LLH Tot Gen'!D29*Results!$B$5</f>
        <v>1103.1746782015587</v>
      </c>
      <c r="E29" s="130">
        <f>'LLH Tot Gen'!E29*Results!$B$5</f>
        <v>1013.8172318100654</v>
      </c>
      <c r="F29" s="130">
        <f>'LLH Tot Gen'!F29*Results!$B$5</f>
        <v>906.9710779305168</v>
      </c>
      <c r="G29" s="130">
        <f>'LLH Tot Gen'!G29*Results!$B$5</f>
        <v>918.798067173475</v>
      </c>
      <c r="H29" s="130">
        <f>'LLH Tot Gen'!H29*Results!$B$5</f>
        <v>1138.8432424154262</v>
      </c>
      <c r="I29" s="130">
        <f>'LLH Tot Gen'!I29*Results!$B$5</f>
        <v>1079.5895322654292</v>
      </c>
      <c r="J29" s="130">
        <f>'LLH Tot Gen'!J29*Results!$B$5</f>
        <v>766.8299030687682</v>
      </c>
      <c r="K29" s="130">
        <f>'LLH Tot Gen'!K29*Results!$B$5</f>
        <v>1107.7478312273233</v>
      </c>
      <c r="L29" s="130">
        <f>'LLH Tot Gen'!L29*Results!$B$5</f>
        <v>1047.1179628567577</v>
      </c>
      <c r="M29" s="130">
        <f>'LLH Tot Gen'!M29*Results!$B$5</f>
        <v>1090.9785601750984</v>
      </c>
      <c r="N29" s="130">
        <f>'LLH Tot Gen'!N29*Results!$B$5</f>
        <v>1657.4781925863447</v>
      </c>
      <c r="O29" s="130">
        <f>'LLH Tot Gen'!O29*Results!$B$5</f>
        <v>2014.24619645063</v>
      </c>
      <c r="P29" s="130">
        <f>SUMPRODUCT(B29:O29,'HLH-LLH Loads'!$N$5:$AA$5)</f>
        <v>4430492.959054546</v>
      </c>
    </row>
    <row r="30" spans="1:16" ht="12.75">
      <c r="A30" s="128">
        <v>1956</v>
      </c>
      <c r="B30" s="130">
        <f>'LLH Tot Gen'!B30*Results!$B$5</f>
        <v>1224.4379649513426</v>
      </c>
      <c r="C30" s="130">
        <f>'LLH Tot Gen'!C30*Results!$B$5</f>
        <v>1197.1527486173752</v>
      </c>
      <c r="D30" s="130">
        <f>'LLH Tot Gen'!D30*Results!$B$5</f>
        <v>860.223430444722</v>
      </c>
      <c r="E30" s="130">
        <f>'LLH Tot Gen'!E30*Results!$B$5</f>
        <v>996.596663094859</v>
      </c>
      <c r="F30" s="130">
        <f>'LLH Tot Gen'!F30*Results!$B$5</f>
        <v>953.7724279539565</v>
      </c>
      <c r="G30" s="130">
        <f>'LLH Tot Gen'!G30*Results!$B$5</f>
        <v>1311.6241585745117</v>
      </c>
      <c r="H30" s="130">
        <f>'LLH Tot Gen'!H30*Results!$B$5</f>
        <v>2095.7967037868084</v>
      </c>
      <c r="I30" s="130">
        <f>'LLH Tot Gen'!I30*Results!$B$5</f>
        <v>1556.080014645871</v>
      </c>
      <c r="J30" s="130">
        <f>'LLH Tot Gen'!J30*Results!$B$5</f>
        <v>1415.6524852872321</v>
      </c>
      <c r="K30" s="130">
        <f>'LLH Tot Gen'!K30*Results!$B$5</f>
        <v>1664.0976369941243</v>
      </c>
      <c r="L30" s="130">
        <f>'LLH Tot Gen'!L30*Results!$B$5</f>
        <v>2043.5150538012142</v>
      </c>
      <c r="M30" s="130">
        <f>'LLH Tot Gen'!M30*Results!$B$5</f>
        <v>2388.3911389040063</v>
      </c>
      <c r="N30" s="130">
        <f>'LLH Tot Gen'!N30*Results!$B$5</f>
        <v>2126.251216802486</v>
      </c>
      <c r="O30" s="130">
        <f>'LLH Tot Gen'!O30*Results!$B$5</f>
        <v>1394.2071375869034</v>
      </c>
      <c r="P30" s="130">
        <f>SUMPRODUCT(B30:O30,'HLH-LLH Loads'!$N$5:$AA$5)</f>
        <v>5668974.409688555</v>
      </c>
    </row>
    <row r="31" spans="1:16" ht="12.75">
      <c r="A31" s="128">
        <v>1957</v>
      </c>
      <c r="B31" s="130">
        <f>'LLH Tot Gen'!B31*Results!$B$5</f>
        <v>1297.7947752109194</v>
      </c>
      <c r="C31" s="130">
        <f>'LLH Tot Gen'!C31*Results!$B$5</f>
        <v>1076.7472382375313</v>
      </c>
      <c r="D31" s="130">
        <f>'LLH Tot Gen'!D31*Results!$B$5</f>
        <v>822.4117084001388</v>
      </c>
      <c r="E31" s="130">
        <f>'LLH Tot Gen'!E31*Results!$B$5</f>
        <v>965.1004266880068</v>
      </c>
      <c r="F31" s="130">
        <f>'LLH Tot Gen'!F31*Results!$B$5</f>
        <v>796.6880354364042</v>
      </c>
      <c r="G31" s="130">
        <f>'LLH Tot Gen'!G31*Results!$B$5</f>
        <v>978.7077437921628</v>
      </c>
      <c r="H31" s="130">
        <f>'LLH Tot Gen'!H31*Results!$B$5</f>
        <v>1110.3035357542703</v>
      </c>
      <c r="I31" s="130">
        <f>'LLH Tot Gen'!I31*Results!$B$5</f>
        <v>1603.2103173204562</v>
      </c>
      <c r="J31" s="130">
        <f>'LLH Tot Gen'!J31*Results!$B$5</f>
        <v>1120.5050059693938</v>
      </c>
      <c r="K31" s="130">
        <f>'LLH Tot Gen'!K31*Results!$B$5</f>
        <v>1877.5591192008408</v>
      </c>
      <c r="L31" s="130">
        <f>'LLH Tot Gen'!L31*Results!$B$5</f>
        <v>1281.2391007165784</v>
      </c>
      <c r="M31" s="130">
        <f>'LLH Tot Gen'!M31*Results!$B$5</f>
        <v>2159.9655841182816</v>
      </c>
      <c r="N31" s="130">
        <f>'LLH Tot Gen'!N31*Results!$B$5</f>
        <v>1597.5468804279428</v>
      </c>
      <c r="O31" s="130">
        <f>'LLH Tot Gen'!O31*Results!$B$5</f>
        <v>1023.1364432952893</v>
      </c>
      <c r="P31" s="130">
        <f>SUMPRODUCT(B31:O31,'HLH-LLH Loads'!$N$5:$AA$5)</f>
        <v>4662387.145030458</v>
      </c>
    </row>
    <row r="32" spans="1:16" ht="12.75">
      <c r="A32" s="128">
        <v>1958</v>
      </c>
      <c r="B32" s="130">
        <f>'LLH Tot Gen'!B32*Results!$B$5</f>
        <v>966.1776870333963</v>
      </c>
      <c r="C32" s="130">
        <f>'LLH Tot Gen'!C32*Results!$B$5</f>
        <v>878.4362171220918</v>
      </c>
      <c r="D32" s="130">
        <f>'LLH Tot Gen'!D32*Results!$B$5</f>
        <v>782.5810707354104</v>
      </c>
      <c r="E32" s="130">
        <f>'LLH Tot Gen'!E32*Results!$B$5</f>
        <v>873.6802162561333</v>
      </c>
      <c r="F32" s="130">
        <f>'LLH Tot Gen'!F32*Results!$B$5</f>
        <v>792.0029618672552</v>
      </c>
      <c r="G32" s="130">
        <f>'LLH Tot Gen'!G32*Results!$B$5</f>
        <v>896.7815570534011</v>
      </c>
      <c r="H32" s="130">
        <f>'LLH Tot Gen'!H32*Results!$B$5</f>
        <v>1141.5960034196387</v>
      </c>
      <c r="I32" s="130">
        <f>'LLH Tot Gen'!I32*Results!$B$5</f>
        <v>1828.3635484249908</v>
      </c>
      <c r="J32" s="130">
        <f>'LLH Tot Gen'!J32*Results!$B$5</f>
        <v>963.3942562232232</v>
      </c>
      <c r="K32" s="130">
        <f>'LLH Tot Gen'!K32*Results!$B$5</f>
        <v>1099.4997235530209</v>
      </c>
      <c r="L32" s="130">
        <f>'LLH Tot Gen'!L32*Results!$B$5</f>
        <v>1396.1053195195343</v>
      </c>
      <c r="M32" s="130">
        <f>'LLH Tot Gen'!M32*Results!$B$5</f>
        <v>1799.5568506833729</v>
      </c>
      <c r="N32" s="130">
        <f>'LLH Tot Gen'!N32*Results!$B$5</f>
        <v>1411.081060827898</v>
      </c>
      <c r="O32" s="130">
        <f>'LLH Tot Gen'!O32*Results!$B$5</f>
        <v>1008.1608333726529</v>
      </c>
      <c r="P32" s="130">
        <f>SUMPRODUCT(B32:O32,'HLH-LLH Loads'!$N$5:$AA$5)</f>
        <v>4248150.569055319</v>
      </c>
    </row>
    <row r="33" spans="1:16" ht="12.75">
      <c r="A33" s="128">
        <v>1959</v>
      </c>
      <c r="B33" s="130">
        <f>'LLH Tot Gen'!B33*Results!$B$5</f>
        <v>965.9818633703267</v>
      </c>
      <c r="C33" s="130">
        <f>'LLH Tot Gen'!C33*Results!$B$5</f>
        <v>906.170402736179</v>
      </c>
      <c r="D33" s="130">
        <f>'LLH Tot Gen'!D33*Results!$B$5</f>
        <v>784.3440480093715</v>
      </c>
      <c r="E33" s="130">
        <f>'LLH Tot Gen'!E33*Results!$B$5</f>
        <v>925.3294040225386</v>
      </c>
      <c r="F33" s="130">
        <f>'LLH Tot Gen'!F33*Results!$B$5</f>
        <v>888.1709321553355</v>
      </c>
      <c r="G33" s="130">
        <f>'LLH Tot Gen'!G33*Results!$B$5</f>
        <v>1079.9607417142072</v>
      </c>
      <c r="H33" s="130">
        <f>'LLH Tot Gen'!H33*Results!$B$5</f>
        <v>2021.9056040645823</v>
      </c>
      <c r="I33" s="130">
        <f>'LLH Tot Gen'!I33*Results!$B$5</f>
        <v>1576.4994148872286</v>
      </c>
      <c r="J33" s="130">
        <f>'LLH Tot Gen'!J33*Results!$B$5</f>
        <v>1181.8009775221662</v>
      </c>
      <c r="K33" s="130">
        <f>'LLH Tot Gen'!K33*Results!$B$5</f>
        <v>1492.7770860097592</v>
      </c>
      <c r="L33" s="130">
        <f>'LLH Tot Gen'!L33*Results!$B$5</f>
        <v>1161.7827076968476</v>
      </c>
      <c r="M33" s="130">
        <f>'LLH Tot Gen'!M33*Results!$B$5</f>
        <v>1505.4121243742154</v>
      </c>
      <c r="N33" s="130">
        <f>'LLH Tot Gen'!N33*Results!$B$5</f>
        <v>1855.411885942621</v>
      </c>
      <c r="O33" s="130">
        <f>'LLH Tot Gen'!O33*Results!$B$5</f>
        <v>1361.5118218444188</v>
      </c>
      <c r="P33" s="130">
        <f>SUMPRODUCT(B33:O33,'HLH-LLH Loads'!$N$5:$AA$5)</f>
        <v>4819271.710100232</v>
      </c>
    </row>
    <row r="34" spans="1:16" ht="12.75">
      <c r="A34" s="128">
        <v>1960</v>
      </c>
      <c r="B34" s="130">
        <f>'LLH Tot Gen'!B34*Results!$B$5</f>
        <v>1251.219202239129</v>
      </c>
      <c r="C34" s="130">
        <f>'LLH Tot Gen'!C34*Results!$B$5</f>
        <v>1053.637309775235</v>
      </c>
      <c r="D34" s="130">
        <f>'LLH Tot Gen'!D34*Results!$B$5</f>
        <v>1087.4103486283327</v>
      </c>
      <c r="E34" s="130">
        <f>'LLH Tot Gen'!E34*Results!$B$5</f>
        <v>1318.4456964010476</v>
      </c>
      <c r="F34" s="130">
        <f>'LLH Tot Gen'!F34*Results!$B$5</f>
        <v>1105.0859345612917</v>
      </c>
      <c r="G34" s="130">
        <f>'LLH Tot Gen'!G34*Results!$B$5</f>
        <v>1101.7439776798847</v>
      </c>
      <c r="H34" s="130">
        <f>'LLH Tot Gen'!H34*Results!$B$5</f>
        <v>1776.9378569332544</v>
      </c>
      <c r="I34" s="130">
        <f>'LLH Tot Gen'!I34*Results!$B$5</f>
        <v>1119.614524138067</v>
      </c>
      <c r="J34" s="130">
        <f>'LLH Tot Gen'!J34*Results!$B$5</f>
        <v>1093.7287016600767</v>
      </c>
      <c r="K34" s="130">
        <f>'LLH Tot Gen'!K34*Results!$B$5</f>
        <v>2126.5814747408895</v>
      </c>
      <c r="L34" s="130">
        <f>'LLH Tot Gen'!L34*Results!$B$5</f>
        <v>1523.4612144874202</v>
      </c>
      <c r="M34" s="130">
        <f>'LLH Tot Gen'!M34*Results!$B$5</f>
        <v>1184.3885058474689</v>
      </c>
      <c r="N34" s="130">
        <f>'LLH Tot Gen'!N34*Results!$B$5</f>
        <v>1247.7646176284031</v>
      </c>
      <c r="O34" s="130">
        <f>'LLH Tot Gen'!O34*Results!$B$5</f>
        <v>1171.6065977945946</v>
      </c>
      <c r="P34" s="130">
        <f>SUMPRODUCT(B34:O34,'HLH-LLH Loads'!$N$5:$AA$5)</f>
        <v>4759173.734744089</v>
      </c>
    </row>
    <row r="35" spans="1:16" ht="12.75">
      <c r="A35" s="128">
        <v>1961</v>
      </c>
      <c r="B35" s="130">
        <f>'LLH Tot Gen'!B35*Results!$B$5</f>
        <v>1164.138364175289</v>
      </c>
      <c r="C35" s="130">
        <f>'LLH Tot Gen'!C35*Results!$B$5</f>
        <v>861.9566682085749</v>
      </c>
      <c r="D35" s="130">
        <f>'LLH Tot Gen'!D35*Results!$B$5</f>
        <v>808.2080113844211</v>
      </c>
      <c r="E35" s="130">
        <f>'LLH Tot Gen'!E35*Results!$B$5</f>
        <v>922.862445459198</v>
      </c>
      <c r="F35" s="130">
        <f>'LLH Tot Gen'!F35*Results!$B$5</f>
        <v>852.1983928699244</v>
      </c>
      <c r="G35" s="130">
        <f>'LLH Tot Gen'!G35*Results!$B$5</f>
        <v>848.2299274407059</v>
      </c>
      <c r="H35" s="130">
        <f>'LLH Tot Gen'!H35*Results!$B$5</f>
        <v>1459.8215713495576</v>
      </c>
      <c r="I35" s="130">
        <f>'LLH Tot Gen'!I35*Results!$B$5</f>
        <v>1789.3271924822714</v>
      </c>
      <c r="J35" s="130">
        <f>'LLH Tot Gen'!J35*Results!$B$5</f>
        <v>1154.4106023917254</v>
      </c>
      <c r="K35" s="130">
        <f>'LLH Tot Gen'!K35*Results!$B$5</f>
        <v>1383.646737151796</v>
      </c>
      <c r="L35" s="130">
        <f>'LLH Tot Gen'!L35*Results!$B$5</f>
        <v>967.1146636610604</v>
      </c>
      <c r="M35" s="130">
        <f>'LLH Tot Gen'!M35*Results!$B$5</f>
        <v>1734.7673132637635</v>
      </c>
      <c r="N35" s="130">
        <f>'LLH Tot Gen'!N35*Results!$B$5</f>
        <v>2119.621872818125</v>
      </c>
      <c r="O35" s="130">
        <f>'LLH Tot Gen'!O35*Results!$B$5</f>
        <v>1053.0531932828944</v>
      </c>
      <c r="P35" s="130">
        <f>SUMPRODUCT(B35:O35,'HLH-LLH Loads'!$N$5:$AA$5)</f>
        <v>4641978.592304456</v>
      </c>
    </row>
    <row r="36" spans="1:16" ht="12.75">
      <c r="A36" s="128">
        <v>1962</v>
      </c>
      <c r="B36" s="130">
        <f>'LLH Tot Gen'!B36*Results!$B$5</f>
        <v>1002.4384490773348</v>
      </c>
      <c r="C36" s="130">
        <f>'LLH Tot Gen'!C36*Results!$B$5</f>
        <v>915.1265703619841</v>
      </c>
      <c r="D36" s="130">
        <f>'LLH Tot Gen'!D36*Results!$B$5</f>
        <v>762.4652702588937</v>
      </c>
      <c r="E36" s="130">
        <f>'LLH Tot Gen'!E36*Results!$B$5</f>
        <v>898.6098659420605</v>
      </c>
      <c r="F36" s="130">
        <f>'LLH Tot Gen'!F36*Results!$B$5</f>
        <v>793.37302416981</v>
      </c>
      <c r="G36" s="130">
        <f>'LLH Tot Gen'!G36*Results!$B$5</f>
        <v>873.2205745387809</v>
      </c>
      <c r="H36" s="130">
        <f>'LLH Tot Gen'!H36*Results!$B$5</f>
        <v>1439.1682694484653</v>
      </c>
      <c r="I36" s="130">
        <f>'LLH Tot Gen'!I36*Results!$B$5</f>
        <v>988.281285884918</v>
      </c>
      <c r="J36" s="130">
        <f>'LLH Tot Gen'!J36*Results!$B$5</f>
        <v>866.2172096737888</v>
      </c>
      <c r="K36" s="130">
        <f>'LLH Tot Gen'!K36*Results!$B$5</f>
        <v>1672.1749340743268</v>
      </c>
      <c r="L36" s="130">
        <f>'LLH Tot Gen'!L36*Results!$B$5</f>
        <v>1606.804410317947</v>
      </c>
      <c r="M36" s="130">
        <f>'LLH Tot Gen'!M36*Results!$B$5</f>
        <v>1231.525874091236</v>
      </c>
      <c r="N36" s="130">
        <f>'LLH Tot Gen'!N36*Results!$B$5</f>
        <v>1154.3109965257086</v>
      </c>
      <c r="O36" s="130">
        <f>'LLH Tot Gen'!O36*Results!$B$5</f>
        <v>1218.9676099778503</v>
      </c>
      <c r="P36" s="130">
        <f>SUMPRODUCT(B36:O36,'HLH-LLH Loads'!$N$5:$AA$5)</f>
        <v>4016959.052348545</v>
      </c>
    </row>
    <row r="37" spans="1:16" ht="12.75">
      <c r="A37" s="128">
        <v>1963</v>
      </c>
      <c r="B37" s="130">
        <f>'LLH Tot Gen'!B37*Results!$B$5</f>
        <v>1200.5591489136318</v>
      </c>
      <c r="C37" s="130">
        <f>'LLH Tot Gen'!C37*Results!$B$5</f>
        <v>1016.4512899744952</v>
      </c>
      <c r="D37" s="130">
        <f>'LLH Tot Gen'!D37*Results!$B$5</f>
        <v>780.6421091664006</v>
      </c>
      <c r="E37" s="130">
        <f>'LLH Tot Gen'!E37*Results!$B$5</f>
        <v>993.5204381810643</v>
      </c>
      <c r="F37" s="130">
        <f>'LLH Tot Gen'!F37*Results!$B$5</f>
        <v>909.983926913292</v>
      </c>
      <c r="G37" s="130">
        <f>'LLH Tot Gen'!G37*Results!$B$5</f>
        <v>1047.1394007578976</v>
      </c>
      <c r="H37" s="130">
        <f>'LLH Tot Gen'!H37*Results!$B$5</f>
        <v>1516.7311775225228</v>
      </c>
      <c r="I37" s="130">
        <f>'LLH Tot Gen'!I37*Results!$B$5</f>
        <v>1215.730556516052</v>
      </c>
      <c r="J37" s="130">
        <f>'LLH Tot Gen'!J37*Results!$B$5</f>
        <v>877.4015915376052</v>
      </c>
      <c r="K37" s="130">
        <f>'LLH Tot Gen'!K37*Results!$B$5</f>
        <v>1121.970903409949</v>
      </c>
      <c r="L37" s="130">
        <f>'LLH Tot Gen'!L37*Results!$B$5</f>
        <v>1085.4641527356328</v>
      </c>
      <c r="M37" s="130">
        <f>'LLH Tot Gen'!M37*Results!$B$5</f>
        <v>1160.2864662990844</v>
      </c>
      <c r="N37" s="130">
        <f>'LLH Tot Gen'!N37*Results!$B$5</f>
        <v>1244.7880707103222</v>
      </c>
      <c r="O37" s="130">
        <f>'LLH Tot Gen'!O37*Results!$B$5</f>
        <v>1192.6454063800693</v>
      </c>
      <c r="P37" s="130">
        <f>SUMPRODUCT(B37:O37,'HLH-LLH Loads'!$N$5:$AA$5)</f>
        <v>4110598.070656983</v>
      </c>
    </row>
    <row r="38" spans="1:16" ht="12.75">
      <c r="A38" s="128">
        <v>1964</v>
      </c>
      <c r="B38" s="130">
        <f>'LLH Tot Gen'!B38*Results!$B$5</f>
        <v>1137.0740668868395</v>
      </c>
      <c r="C38" s="130">
        <f>'LLH Tot Gen'!C38*Results!$B$5</f>
        <v>1013.0492167816552</v>
      </c>
      <c r="D38" s="130">
        <f>'LLH Tot Gen'!D38*Results!$B$5</f>
        <v>898.9176467687192</v>
      </c>
      <c r="E38" s="130">
        <f>'LLH Tot Gen'!E38*Results!$B$5</f>
        <v>887.9917577893991</v>
      </c>
      <c r="F38" s="130">
        <f>'LLH Tot Gen'!F38*Results!$B$5</f>
        <v>797.4906928488389</v>
      </c>
      <c r="G38" s="130">
        <f>'LLH Tot Gen'!G38*Results!$B$5</f>
        <v>856.3944722867456</v>
      </c>
      <c r="H38" s="130">
        <f>'LLH Tot Gen'!H38*Results!$B$5</f>
        <v>1087.8692856721827</v>
      </c>
      <c r="I38" s="130">
        <f>'LLH Tot Gen'!I38*Results!$B$5</f>
        <v>1608.8979165181388</v>
      </c>
      <c r="J38" s="130">
        <f>'LLH Tot Gen'!J38*Results!$B$5</f>
        <v>841.5309631238372</v>
      </c>
      <c r="K38" s="130">
        <f>'LLH Tot Gen'!K38*Results!$B$5</f>
        <v>1331.687206273464</v>
      </c>
      <c r="L38" s="130">
        <f>'LLH Tot Gen'!L38*Results!$B$5</f>
        <v>1014.0533798925817</v>
      </c>
      <c r="M38" s="130">
        <f>'LLH Tot Gen'!M38*Results!$B$5</f>
        <v>1230.7890549157632</v>
      </c>
      <c r="N38" s="130">
        <f>'LLH Tot Gen'!N38*Results!$B$5</f>
        <v>1979.2977184387219</v>
      </c>
      <c r="O38" s="130">
        <f>'LLH Tot Gen'!O38*Results!$B$5</f>
        <v>1737.4258918446963</v>
      </c>
      <c r="P38" s="130">
        <f>SUMPRODUCT(B38:O38,'HLH-LLH Loads'!$N$5:$AA$5)</f>
        <v>4421573.377603924</v>
      </c>
    </row>
    <row r="39" spans="1:16" ht="12.75">
      <c r="A39" s="128">
        <v>1965</v>
      </c>
      <c r="B39" s="130">
        <f>'LLH Tot Gen'!B39*Results!$B$5</f>
        <v>1253.5652690081108</v>
      </c>
      <c r="C39" s="130">
        <f>'LLH Tot Gen'!C39*Results!$B$5</f>
        <v>1153.7354496152175</v>
      </c>
      <c r="D39" s="130">
        <f>'LLH Tot Gen'!D39*Results!$B$5</f>
        <v>952.1269192479302</v>
      </c>
      <c r="E39" s="130">
        <f>'LLH Tot Gen'!E39*Results!$B$5</f>
        <v>1022.8623850492874</v>
      </c>
      <c r="F39" s="130">
        <f>'LLH Tot Gen'!F39*Results!$B$5</f>
        <v>847.7158118655964</v>
      </c>
      <c r="G39" s="130">
        <f>'LLH Tot Gen'!G39*Results!$B$5</f>
        <v>1366.3329821364864</v>
      </c>
      <c r="H39" s="130">
        <f>'LLH Tot Gen'!H39*Results!$B$5</f>
        <v>2207.7329775113117</v>
      </c>
      <c r="I39" s="130">
        <f>'LLH Tot Gen'!I39*Results!$B$5</f>
        <v>1751.7675677613595</v>
      </c>
      <c r="J39" s="130">
        <f>'LLH Tot Gen'!J39*Results!$B$5</f>
        <v>1387.3138843831496</v>
      </c>
      <c r="K39" s="130">
        <f>'LLH Tot Gen'!K39*Results!$B$5</f>
        <v>1239.0673688204836</v>
      </c>
      <c r="L39" s="130">
        <f>'LLH Tot Gen'!L39*Results!$B$5</f>
        <v>1770.4249217142092</v>
      </c>
      <c r="M39" s="130">
        <f>'LLH Tot Gen'!M39*Results!$B$5</f>
        <v>1777.7211400432286</v>
      </c>
      <c r="N39" s="130">
        <f>'LLH Tot Gen'!N39*Results!$B$5</f>
        <v>1530.6985916442236</v>
      </c>
      <c r="O39" s="130">
        <f>'LLH Tot Gen'!O39*Results!$B$5</f>
        <v>1153.2485222455468</v>
      </c>
      <c r="P39" s="130">
        <f>SUMPRODUCT(B39:O39,'HLH-LLH Loads'!$N$5:$AA$5)</f>
        <v>5207626.332861728</v>
      </c>
    </row>
    <row r="40" spans="1:16" ht="12.75">
      <c r="A40" s="128">
        <v>1966</v>
      </c>
      <c r="B40" s="130">
        <f>'LLH Tot Gen'!B40*Results!$B$5</f>
        <v>1279.6125534205473</v>
      </c>
      <c r="C40" s="130">
        <f>'LLH Tot Gen'!C40*Results!$B$5</f>
        <v>1093.3348790809496</v>
      </c>
      <c r="D40" s="130">
        <f>'LLH Tot Gen'!D40*Results!$B$5</f>
        <v>850.6420367060414</v>
      </c>
      <c r="E40" s="130">
        <f>'LLH Tot Gen'!E40*Results!$B$5</f>
        <v>976.1044397141158</v>
      </c>
      <c r="F40" s="130">
        <f>'LLH Tot Gen'!F40*Results!$B$5</f>
        <v>855.8463805483794</v>
      </c>
      <c r="G40" s="130">
        <f>'LLH Tot Gen'!G40*Results!$B$5</f>
        <v>951.1192579823534</v>
      </c>
      <c r="H40" s="130">
        <f>'LLH Tot Gen'!H40*Results!$B$5</f>
        <v>1322.1098783478874</v>
      </c>
      <c r="I40" s="130">
        <f>'LLH Tot Gen'!I40*Results!$B$5</f>
        <v>1271.433432512735</v>
      </c>
      <c r="J40" s="130">
        <f>'LLH Tot Gen'!J40*Results!$B$5</f>
        <v>887.900441326769</v>
      </c>
      <c r="K40" s="130">
        <f>'LLH Tot Gen'!K40*Results!$B$5</f>
        <v>1617.2389547308355</v>
      </c>
      <c r="L40" s="130">
        <f>'LLH Tot Gen'!L40*Results!$B$5</f>
        <v>1176.2391609537965</v>
      </c>
      <c r="M40" s="130">
        <f>'LLH Tot Gen'!M40*Results!$B$5</f>
        <v>1095.8400016203957</v>
      </c>
      <c r="N40" s="130">
        <f>'LLH Tot Gen'!N40*Results!$B$5</f>
        <v>1029.8920771109767</v>
      </c>
      <c r="O40" s="130">
        <f>'LLH Tot Gen'!O40*Results!$B$5</f>
        <v>1259.3732471457852</v>
      </c>
      <c r="P40" s="130">
        <f>SUMPRODUCT(B40:O40,'HLH-LLH Loads'!$N$5:$AA$5)</f>
        <v>4094580.782635697</v>
      </c>
    </row>
    <row r="41" spans="1:16" ht="12.75">
      <c r="A41" s="128">
        <v>1967</v>
      </c>
      <c r="B41" s="130">
        <f>'LLH Tot Gen'!B41*Results!$B$5</f>
        <v>1212.5653243469394</v>
      </c>
      <c r="C41" s="130">
        <f>'LLH Tot Gen'!C41*Results!$B$5</f>
        <v>889.1024934809121</v>
      </c>
      <c r="D41" s="130">
        <f>'LLH Tot Gen'!D41*Results!$B$5</f>
        <v>779.2221794741229</v>
      </c>
      <c r="E41" s="130">
        <f>'LLH Tot Gen'!E41*Results!$B$5</f>
        <v>873.0577574577849</v>
      </c>
      <c r="F41" s="130">
        <f>'LLH Tot Gen'!F41*Results!$B$5</f>
        <v>791.7356613545364</v>
      </c>
      <c r="G41" s="130">
        <f>'LLH Tot Gen'!G41*Results!$B$5</f>
        <v>910.4587042332034</v>
      </c>
      <c r="H41" s="130">
        <f>'LLH Tot Gen'!H41*Results!$B$5</f>
        <v>1759.4923471395075</v>
      </c>
      <c r="I41" s="130">
        <f>'LLH Tot Gen'!I41*Results!$B$5</f>
        <v>1547.0252954598477</v>
      </c>
      <c r="J41" s="130">
        <f>'LLH Tot Gen'!J41*Results!$B$5</f>
        <v>1076.8559320794698</v>
      </c>
      <c r="K41" s="130">
        <f>'LLH Tot Gen'!K41*Results!$B$5</f>
        <v>1347.8338138934052</v>
      </c>
      <c r="L41" s="130">
        <f>'LLH Tot Gen'!L41*Results!$B$5</f>
        <v>856.3359547576254</v>
      </c>
      <c r="M41" s="130">
        <f>'LLH Tot Gen'!M41*Results!$B$5</f>
        <v>1291.7014180163424</v>
      </c>
      <c r="N41" s="130">
        <f>'LLH Tot Gen'!N41*Results!$B$5</f>
        <v>1850.7972014117306</v>
      </c>
      <c r="O41" s="130">
        <f>'LLH Tot Gen'!O41*Results!$B$5</f>
        <v>1723.0387845513746</v>
      </c>
      <c r="P41" s="130">
        <f>SUMPRODUCT(B41:O41,'HLH-LLH Loads'!$N$5:$AA$5)</f>
        <v>4607023.918353361</v>
      </c>
    </row>
    <row r="42" spans="1:16" ht="12.75">
      <c r="A42" s="128">
        <v>1968</v>
      </c>
      <c r="B42" s="130">
        <f>'LLH Tot Gen'!B42*Results!$B$5</f>
        <v>1354.2461929214269</v>
      </c>
      <c r="C42" s="130">
        <f>'LLH Tot Gen'!C42*Results!$B$5</f>
        <v>1093.0990870855856</v>
      </c>
      <c r="D42" s="130">
        <f>'LLH Tot Gen'!D42*Results!$B$5</f>
        <v>869.8208095560398</v>
      </c>
      <c r="E42" s="130">
        <f>'LLH Tot Gen'!E42*Results!$B$5</f>
        <v>954.5332209113918</v>
      </c>
      <c r="F42" s="130">
        <f>'LLH Tot Gen'!F42*Results!$B$5</f>
        <v>840.5121061702717</v>
      </c>
      <c r="G42" s="130">
        <f>'LLH Tot Gen'!G42*Results!$B$5</f>
        <v>940.4114427910728</v>
      </c>
      <c r="H42" s="130">
        <f>'LLH Tot Gen'!H42*Results!$B$5</f>
        <v>1486.0516103415398</v>
      </c>
      <c r="I42" s="130">
        <f>'LLH Tot Gen'!I42*Results!$B$5</f>
        <v>1550.3609150509694</v>
      </c>
      <c r="J42" s="130">
        <f>'LLH Tot Gen'!J42*Results!$B$5</f>
        <v>1123.4473916573588</v>
      </c>
      <c r="K42" s="130">
        <f>'LLH Tot Gen'!K42*Results!$B$5</f>
        <v>907.4719170015746</v>
      </c>
      <c r="L42" s="130">
        <f>'LLH Tot Gen'!L42*Results!$B$5</f>
        <v>936.9158390091402</v>
      </c>
      <c r="M42" s="130">
        <f>'LLH Tot Gen'!M42*Results!$B$5</f>
        <v>967.5360524571089</v>
      </c>
      <c r="N42" s="130">
        <f>'LLH Tot Gen'!N42*Results!$B$5</f>
        <v>1284.3832457759506</v>
      </c>
      <c r="O42" s="130">
        <f>'LLH Tot Gen'!O42*Results!$B$5</f>
        <v>1211.5924266488869</v>
      </c>
      <c r="P42" s="130">
        <f>SUMPRODUCT(B42:O42,'HLH-LLH Loads'!$N$5:$AA$5)</f>
        <v>4167484.524100289</v>
      </c>
    </row>
    <row r="43" spans="1:16" ht="12.75">
      <c r="A43" s="128">
        <v>1969</v>
      </c>
      <c r="B43" s="130">
        <f>'LLH Tot Gen'!B43*Results!$B$5</f>
        <v>1407.1412153877577</v>
      </c>
      <c r="C43" s="130">
        <f>'LLH Tot Gen'!C43*Results!$B$5</f>
        <v>1091.72443647784</v>
      </c>
      <c r="D43" s="130">
        <f>'LLH Tot Gen'!D43*Results!$B$5</f>
        <v>991.9737213267316</v>
      </c>
      <c r="E43" s="130">
        <f>'LLH Tot Gen'!E43*Results!$B$5</f>
        <v>1042.8333469358013</v>
      </c>
      <c r="F43" s="130">
        <f>'LLH Tot Gen'!F43*Results!$B$5</f>
        <v>959.415135227976</v>
      </c>
      <c r="G43" s="130">
        <f>'LLH Tot Gen'!G43*Results!$B$5</f>
        <v>1017.6925830278784</v>
      </c>
      <c r="H43" s="130">
        <f>'LLH Tot Gen'!H43*Results!$B$5</f>
        <v>2012.52898038831</v>
      </c>
      <c r="I43" s="130">
        <f>'LLH Tot Gen'!I43*Results!$B$5</f>
        <v>1540.3447426156415</v>
      </c>
      <c r="J43" s="130">
        <f>'LLH Tot Gen'!J43*Results!$B$5</f>
        <v>1241.4507222250904</v>
      </c>
      <c r="K43" s="130">
        <f>'LLH Tot Gen'!K43*Results!$B$5</f>
        <v>1626.9899754771436</v>
      </c>
      <c r="L43" s="130">
        <f>'LLH Tot Gen'!L43*Results!$B$5</f>
        <v>1703.2431269812041</v>
      </c>
      <c r="M43" s="130">
        <f>'LLH Tot Gen'!M43*Results!$B$5</f>
        <v>2218.892800987864</v>
      </c>
      <c r="N43" s="130">
        <f>'LLH Tot Gen'!N43*Results!$B$5</f>
        <v>1544.5034668594349</v>
      </c>
      <c r="O43" s="130">
        <f>'LLH Tot Gen'!O43*Results!$B$5</f>
        <v>1178.3475825970274</v>
      </c>
      <c r="P43" s="130">
        <f>SUMPRODUCT(B43:O43,'HLH-LLH Loads'!$N$5:$AA$5)</f>
        <v>5197045.931191408</v>
      </c>
    </row>
    <row r="44" spans="1:16" ht="12.75">
      <c r="A44" s="128">
        <v>1970</v>
      </c>
      <c r="B44" s="130">
        <f>'LLH Tot Gen'!B44*Results!$B$5</f>
        <v>985.5310912185474</v>
      </c>
      <c r="C44" s="130">
        <f>'LLH Tot Gen'!C44*Results!$B$5</f>
        <v>763.3169667894811</v>
      </c>
      <c r="D44" s="130">
        <f>'LLH Tot Gen'!D44*Results!$B$5</f>
        <v>781.4046871223517</v>
      </c>
      <c r="E44" s="130">
        <f>'LLH Tot Gen'!E44*Results!$B$5</f>
        <v>937.6010168346107</v>
      </c>
      <c r="F44" s="130">
        <f>'LLH Tot Gen'!F44*Results!$B$5</f>
        <v>791.3311155708819</v>
      </c>
      <c r="G44" s="130">
        <f>'LLH Tot Gen'!G44*Results!$B$5</f>
        <v>872.2410923445133</v>
      </c>
      <c r="H44" s="130">
        <f>'LLH Tot Gen'!H44*Results!$B$5</f>
        <v>1118.83702110021</v>
      </c>
      <c r="I44" s="130">
        <f>'LLH Tot Gen'!I44*Results!$B$5</f>
        <v>1606.9639852380162</v>
      </c>
      <c r="J44" s="130">
        <f>'LLH Tot Gen'!J44*Results!$B$5</f>
        <v>977.7602449792014</v>
      </c>
      <c r="K44" s="130">
        <f>'LLH Tot Gen'!K44*Results!$B$5</f>
        <v>1025.7672034368195</v>
      </c>
      <c r="L44" s="130">
        <f>'LLH Tot Gen'!L44*Results!$B$5</f>
        <v>1079.955635331509</v>
      </c>
      <c r="M44" s="130">
        <f>'LLH Tot Gen'!M44*Results!$B$5</f>
        <v>1204.0150481648957</v>
      </c>
      <c r="N44" s="130">
        <f>'LLH Tot Gen'!N44*Results!$B$5</f>
        <v>1366.1962070751013</v>
      </c>
      <c r="O44" s="130">
        <f>'LLH Tot Gen'!O44*Results!$B$5</f>
        <v>1036.185193684142</v>
      </c>
      <c r="P44" s="130">
        <f>SUMPRODUCT(B44:O44,'HLH-LLH Loads'!$N$5:$AA$5)</f>
        <v>3927942.5434008087</v>
      </c>
    </row>
    <row r="45" spans="1:16" ht="12.75">
      <c r="A45" s="128">
        <v>1971</v>
      </c>
      <c r="B45" s="130">
        <f>'LLH Tot Gen'!B45*Results!$B$5</f>
        <v>997.3728330342119</v>
      </c>
      <c r="C45" s="130">
        <f>'LLH Tot Gen'!C45*Results!$B$5</f>
        <v>886.7031426977001</v>
      </c>
      <c r="D45" s="130">
        <f>'LLH Tot Gen'!D45*Results!$B$5</f>
        <v>774.8310435862112</v>
      </c>
      <c r="E45" s="130">
        <f>'LLH Tot Gen'!E45*Results!$B$5</f>
        <v>860.5731775887133</v>
      </c>
      <c r="F45" s="130">
        <f>'LLH Tot Gen'!F45*Results!$B$5</f>
        <v>804.2733436436642</v>
      </c>
      <c r="G45" s="130">
        <f>'LLH Tot Gen'!G45*Results!$B$5</f>
        <v>1004.0457023753307</v>
      </c>
      <c r="H45" s="130">
        <f>'LLH Tot Gen'!H45*Results!$B$5</f>
        <v>1829.0751571686285</v>
      </c>
      <c r="I45" s="130">
        <f>'LLH Tot Gen'!I45*Results!$B$5</f>
        <v>1907.1007008913039</v>
      </c>
      <c r="J45" s="130">
        <f>'LLH Tot Gen'!J45*Results!$B$5</f>
        <v>1355.5789830997082</v>
      </c>
      <c r="K45" s="130">
        <f>'LLH Tot Gen'!K45*Results!$B$5</f>
        <v>1797.577570235159</v>
      </c>
      <c r="L45" s="130">
        <f>'LLH Tot Gen'!L45*Results!$B$5</f>
        <v>1685.4468847324406</v>
      </c>
      <c r="M45" s="130">
        <f>'LLH Tot Gen'!M45*Results!$B$5</f>
        <v>2359.9630946037605</v>
      </c>
      <c r="N45" s="130">
        <f>'LLH Tot Gen'!N45*Results!$B$5</f>
        <v>1848.56966605516</v>
      </c>
      <c r="O45" s="130">
        <f>'LLH Tot Gen'!O45*Results!$B$5</f>
        <v>1450.7648770850155</v>
      </c>
      <c r="P45" s="130">
        <f>SUMPRODUCT(B45:O45,'HLH-LLH Loads'!$N$5:$AA$5)</f>
        <v>5260278.495379202</v>
      </c>
    </row>
    <row r="46" spans="1:16" ht="12.75">
      <c r="A46" s="128">
        <v>1972</v>
      </c>
      <c r="B46" s="130">
        <f>'LLH Tot Gen'!B46*Results!$B$5</f>
        <v>1380.9908202644438</v>
      </c>
      <c r="C46" s="130">
        <f>'LLH Tot Gen'!C46*Results!$B$5</f>
        <v>1280.895011682161</v>
      </c>
      <c r="D46" s="130">
        <f>'LLH Tot Gen'!D46*Results!$B$5</f>
        <v>918.0815266923667</v>
      </c>
      <c r="E46" s="130">
        <f>'LLH Tot Gen'!E46*Results!$B$5</f>
        <v>926.5445807811941</v>
      </c>
      <c r="F46" s="130">
        <f>'LLH Tot Gen'!F46*Results!$B$5</f>
        <v>846.1411807139091</v>
      </c>
      <c r="G46" s="130">
        <f>'LLH Tot Gen'!G46*Results!$B$5</f>
        <v>957.7148504586191</v>
      </c>
      <c r="H46" s="130">
        <f>'LLH Tot Gen'!H46*Results!$B$5</f>
        <v>1793.3436871833437</v>
      </c>
      <c r="I46" s="130">
        <f>'LLH Tot Gen'!I46*Results!$B$5</f>
        <v>1770.0925017471477</v>
      </c>
      <c r="J46" s="130">
        <f>'LLH Tot Gen'!J46*Results!$B$5</f>
        <v>2244.484126300468</v>
      </c>
      <c r="K46" s="130">
        <f>'LLH Tot Gen'!K46*Results!$B$5</f>
        <v>1978.2768369961013</v>
      </c>
      <c r="L46" s="130">
        <f>'LLH Tot Gen'!L46*Results!$B$5</f>
        <v>1308.6001580059062</v>
      </c>
      <c r="M46" s="130">
        <f>'LLH Tot Gen'!M46*Results!$B$5</f>
        <v>2259.106607015086</v>
      </c>
      <c r="N46" s="130">
        <f>'LLH Tot Gen'!N46*Results!$B$5</f>
        <v>2189.859750069932</v>
      </c>
      <c r="O46" s="130">
        <f>'LLH Tot Gen'!O46*Results!$B$5</f>
        <v>1886.7590339710748</v>
      </c>
      <c r="P46" s="130">
        <f>SUMPRODUCT(B46:O46,'HLH-LLH Loads'!$N$5:$AA$5)</f>
        <v>5859476.842542356</v>
      </c>
    </row>
    <row r="47" spans="1:16" ht="12.75">
      <c r="A47" s="128">
        <v>1973</v>
      </c>
      <c r="B47" s="130">
        <f>'LLH Tot Gen'!B47*Results!$B$5</f>
        <v>1411.444959224727</v>
      </c>
      <c r="C47" s="130">
        <f>'LLH Tot Gen'!C47*Results!$B$5</f>
        <v>1352.6037559905026</v>
      </c>
      <c r="D47" s="130">
        <f>'LLH Tot Gen'!D47*Results!$B$5</f>
        <v>939.3778855715141</v>
      </c>
      <c r="E47" s="130">
        <f>'LLH Tot Gen'!E47*Results!$B$5</f>
        <v>953.1786103444525</v>
      </c>
      <c r="F47" s="130">
        <f>'LLH Tot Gen'!F47*Results!$B$5</f>
        <v>815.0478981527257</v>
      </c>
      <c r="G47" s="130">
        <f>'LLH Tot Gen'!G47*Results!$B$5</f>
        <v>1040.1768197290085</v>
      </c>
      <c r="H47" s="130">
        <f>'LLH Tot Gen'!H47*Results!$B$5</f>
        <v>1126.7018320102281</v>
      </c>
      <c r="I47" s="130">
        <f>'LLH Tot Gen'!I47*Results!$B$5</f>
        <v>1005.8801636585557</v>
      </c>
      <c r="J47" s="130">
        <f>'LLH Tot Gen'!J47*Results!$B$5</f>
        <v>868.4457595645137</v>
      </c>
      <c r="K47" s="130">
        <f>'LLH Tot Gen'!K47*Results!$B$5</f>
        <v>855.5652367931204</v>
      </c>
      <c r="L47" s="130">
        <f>'LLH Tot Gen'!L47*Results!$B$5</f>
        <v>826.2429898649013</v>
      </c>
      <c r="M47" s="130">
        <f>'LLH Tot Gen'!M47*Results!$B$5</f>
        <v>942.855669895715</v>
      </c>
      <c r="N47" s="130">
        <f>'LLH Tot Gen'!N47*Results!$B$5</f>
        <v>935.1973350908753</v>
      </c>
      <c r="O47" s="130">
        <f>'LLH Tot Gen'!O47*Results!$B$5</f>
        <v>1018.9054942552004</v>
      </c>
      <c r="P47" s="130">
        <f>SUMPRODUCT(B47:O47,'HLH-LLH Loads'!$N$5:$AA$5)</f>
        <v>3712297.645013391</v>
      </c>
    </row>
    <row r="48" spans="1:16" ht="12.75">
      <c r="A48" s="128">
        <v>1974</v>
      </c>
      <c r="B48" s="130">
        <f>'LLH Tot Gen'!B48*Results!$B$5</f>
        <v>961.0793525618285</v>
      </c>
      <c r="C48" s="130">
        <f>'LLH Tot Gen'!C48*Results!$B$5</f>
        <v>760.1151361731755</v>
      </c>
      <c r="D48" s="130">
        <f>'LLH Tot Gen'!D48*Results!$B$5</f>
        <v>745.3333029182598</v>
      </c>
      <c r="E48" s="130">
        <f>'LLH Tot Gen'!E48*Results!$B$5</f>
        <v>837.1784582562469</v>
      </c>
      <c r="F48" s="130">
        <f>'LLH Tot Gen'!F48*Results!$B$5</f>
        <v>862.7574429592308</v>
      </c>
      <c r="G48" s="130">
        <f>'LLH Tot Gen'!G48*Results!$B$5</f>
        <v>1230.3924466530354</v>
      </c>
      <c r="H48" s="130">
        <f>'LLH Tot Gen'!H48*Results!$B$5</f>
        <v>2425.6456540796726</v>
      </c>
      <c r="I48" s="130">
        <f>'LLH Tot Gen'!I48*Results!$B$5</f>
        <v>1976.539602997864</v>
      </c>
      <c r="J48" s="130">
        <f>'LLH Tot Gen'!J48*Results!$B$5</f>
        <v>1816.1225035689222</v>
      </c>
      <c r="K48" s="130">
        <f>'LLH Tot Gen'!K48*Results!$B$5</f>
        <v>1763.4004214564782</v>
      </c>
      <c r="L48" s="130">
        <f>'LLH Tot Gen'!L48*Results!$B$5</f>
        <v>1936.7543532574841</v>
      </c>
      <c r="M48" s="130">
        <f>'LLH Tot Gen'!M48*Results!$B$5</f>
        <v>2244.2769030480868</v>
      </c>
      <c r="N48" s="130">
        <f>'LLH Tot Gen'!N48*Results!$B$5</f>
        <v>2512.441239472538</v>
      </c>
      <c r="O48" s="130">
        <f>'LLH Tot Gen'!O48*Results!$B$5</f>
        <v>2016.3067254128691</v>
      </c>
      <c r="P48" s="130">
        <f>SUMPRODUCT(B48:O48,'HLH-LLH Loads'!$N$5:$AA$5)</f>
        <v>6043383.466769755</v>
      </c>
    </row>
    <row r="49" spans="1:16" ht="12.75">
      <c r="A49" s="128">
        <v>1975</v>
      </c>
      <c r="B49" s="130">
        <f>'LLH Tot Gen'!B49*Results!$B$5</f>
        <v>1244.832881144647</v>
      </c>
      <c r="C49" s="130">
        <f>'LLH Tot Gen'!C49*Results!$B$5</f>
        <v>1178.686709105045</v>
      </c>
      <c r="D49" s="130">
        <f>'LLH Tot Gen'!D49*Results!$B$5</f>
        <v>870.1682475596126</v>
      </c>
      <c r="E49" s="130">
        <f>'LLH Tot Gen'!E49*Results!$B$5</f>
        <v>866.0213711132764</v>
      </c>
      <c r="F49" s="130">
        <f>'LLH Tot Gen'!F49*Results!$B$5</f>
        <v>792.3733216665418</v>
      </c>
      <c r="G49" s="130">
        <f>'LLH Tot Gen'!G49*Results!$B$5</f>
        <v>901.9395768053737</v>
      </c>
      <c r="H49" s="130">
        <f>'LLH Tot Gen'!H49*Results!$B$5</f>
        <v>1311.7352696024436</v>
      </c>
      <c r="I49" s="130">
        <f>'LLH Tot Gen'!I49*Results!$B$5</f>
        <v>1450.6948338388063</v>
      </c>
      <c r="J49" s="130">
        <f>'LLH Tot Gen'!J49*Results!$B$5</f>
        <v>1360.5923814525638</v>
      </c>
      <c r="K49" s="130">
        <f>'LLH Tot Gen'!K49*Results!$B$5</f>
        <v>1291.296812526901</v>
      </c>
      <c r="L49" s="130">
        <f>'LLH Tot Gen'!L49*Results!$B$5</f>
        <v>1151.5538650939297</v>
      </c>
      <c r="M49" s="130">
        <f>'LLH Tot Gen'!M49*Results!$B$5</f>
        <v>1484.2901488807775</v>
      </c>
      <c r="N49" s="130">
        <f>'LLH Tot Gen'!N49*Results!$B$5</f>
        <v>1607.2671626652461</v>
      </c>
      <c r="O49" s="130">
        <f>'LLH Tot Gen'!O49*Results!$B$5</f>
        <v>1752.4071175705378</v>
      </c>
      <c r="P49" s="130">
        <f>SUMPRODUCT(B49:O49,'HLH-LLH Loads'!$N$5:$AA$5)</f>
        <v>4633145.969090571</v>
      </c>
    </row>
    <row r="50" spans="1:16" ht="12.75">
      <c r="A50" s="128">
        <v>1976</v>
      </c>
      <c r="B50" s="130">
        <f>'LLH Tot Gen'!B50*Results!$B$5</f>
        <v>1026.8283557084108</v>
      </c>
      <c r="C50" s="130">
        <f>'LLH Tot Gen'!C50*Results!$B$5</f>
        <v>1017.7646766479592</v>
      </c>
      <c r="D50" s="130">
        <f>'LLH Tot Gen'!D50*Results!$B$5</f>
        <v>804.4529229997801</v>
      </c>
      <c r="E50" s="130">
        <f>'LLH Tot Gen'!E50*Results!$B$5</f>
        <v>1002.550941060064</v>
      </c>
      <c r="F50" s="130">
        <f>'LLH Tot Gen'!F50*Results!$B$5</f>
        <v>994.958970545386</v>
      </c>
      <c r="G50" s="130">
        <f>'LLH Tot Gen'!G50*Results!$B$5</f>
        <v>1424.1866966943196</v>
      </c>
      <c r="H50" s="130">
        <f>'LLH Tot Gen'!H50*Results!$B$5</f>
        <v>2055.6238967961067</v>
      </c>
      <c r="I50" s="130">
        <f>'LLH Tot Gen'!I50*Results!$B$5</f>
        <v>1627.5093738180346</v>
      </c>
      <c r="J50" s="130">
        <f>'LLH Tot Gen'!J50*Results!$B$5</f>
        <v>1158.9523515965436</v>
      </c>
      <c r="K50" s="130">
        <f>'LLH Tot Gen'!K50*Results!$B$5</f>
        <v>1920.5628287737347</v>
      </c>
      <c r="L50" s="130">
        <f>'LLH Tot Gen'!L50*Results!$B$5</f>
        <v>1608.9149176935605</v>
      </c>
      <c r="M50" s="130">
        <f>'LLH Tot Gen'!M50*Results!$B$5</f>
        <v>2110.8884005820273</v>
      </c>
      <c r="N50" s="130">
        <f>'LLH Tot Gen'!N50*Results!$B$5</f>
        <v>1255.4563124387962</v>
      </c>
      <c r="O50" s="130">
        <f>'LLH Tot Gen'!O50*Results!$B$5</f>
        <v>1584.5057939203914</v>
      </c>
      <c r="P50" s="130">
        <f>SUMPRODUCT(B50:O50,'HLH-LLH Loads'!$N$5:$AA$5)</f>
        <v>5260765.331402904</v>
      </c>
    </row>
    <row r="51" spans="1:16" ht="12.75">
      <c r="A51" s="128">
        <v>1977</v>
      </c>
      <c r="B51" s="130">
        <f>'LLH Tot Gen'!B51*Results!$B$5</f>
        <v>1704.2573247848416</v>
      </c>
      <c r="C51" s="130">
        <f>'LLH Tot Gen'!C51*Results!$B$5</f>
        <v>1555.8076231311181</v>
      </c>
      <c r="D51" s="130">
        <f>'LLH Tot Gen'!D51*Results!$B$5</f>
        <v>1307.7805527101048</v>
      </c>
      <c r="E51" s="130">
        <f>'LLH Tot Gen'!E51*Results!$B$5</f>
        <v>915.7876094208394</v>
      </c>
      <c r="F51" s="130">
        <f>'LLH Tot Gen'!F51*Results!$B$5</f>
        <v>791.0385733810989</v>
      </c>
      <c r="G51" s="130">
        <f>'LLH Tot Gen'!G51*Results!$B$5</f>
        <v>899.3517797510206</v>
      </c>
      <c r="H51" s="130">
        <f>'LLH Tot Gen'!H51*Results!$B$5</f>
        <v>854.469420626245</v>
      </c>
      <c r="I51" s="130">
        <f>'LLH Tot Gen'!I51*Results!$B$5</f>
        <v>989.9347145187095</v>
      </c>
      <c r="J51" s="130">
        <f>'LLH Tot Gen'!J51*Results!$B$5</f>
        <v>727.4156474985512</v>
      </c>
      <c r="K51" s="130">
        <f>'LLH Tot Gen'!K51*Results!$B$5</f>
        <v>841.4710219443214</v>
      </c>
      <c r="L51" s="130">
        <f>'LLH Tot Gen'!L51*Results!$B$5</f>
        <v>905.4259419934734</v>
      </c>
      <c r="M51" s="130">
        <f>'LLH Tot Gen'!M51*Results!$B$5</f>
        <v>931.7360096971049</v>
      </c>
      <c r="N51" s="130">
        <f>'LLH Tot Gen'!N51*Results!$B$5</f>
        <v>909.770451087879</v>
      </c>
      <c r="O51" s="130">
        <f>'LLH Tot Gen'!O51*Results!$B$5</f>
        <v>893.91406517347</v>
      </c>
      <c r="P51" s="130">
        <f>SUMPRODUCT(B51:O51,'HLH-LLH Loads'!$N$5:$AA$5)</f>
        <v>3659499.9464874594</v>
      </c>
    </row>
    <row r="52" spans="1:16" ht="12.75">
      <c r="A52" s="128">
        <v>1978</v>
      </c>
      <c r="B52" s="130">
        <f>'LLH Tot Gen'!B52*Results!$B$5</f>
        <v>913.982040768378</v>
      </c>
      <c r="C52" s="130">
        <f>'LLH Tot Gen'!C52*Results!$B$5</f>
        <v>812.3015605781272</v>
      </c>
      <c r="D52" s="130">
        <f>'LLH Tot Gen'!D52*Results!$B$5</f>
        <v>710.6758476482572</v>
      </c>
      <c r="E52" s="130">
        <f>'LLH Tot Gen'!E52*Results!$B$5</f>
        <v>790.2514264075147</v>
      </c>
      <c r="F52" s="130">
        <f>'LLH Tot Gen'!F52*Results!$B$5</f>
        <v>840.619098024123</v>
      </c>
      <c r="G52" s="130">
        <f>'LLH Tot Gen'!G52*Results!$B$5</f>
        <v>966.5345798061667</v>
      </c>
      <c r="H52" s="130">
        <f>'LLH Tot Gen'!H52*Results!$B$5</f>
        <v>1267.924195044032</v>
      </c>
      <c r="I52" s="130">
        <f>'LLH Tot Gen'!I52*Results!$B$5</f>
        <v>1059.2015348076025</v>
      </c>
      <c r="J52" s="130">
        <f>'LLH Tot Gen'!J52*Results!$B$5</f>
        <v>1268.8252112112918</v>
      </c>
      <c r="K52" s="130">
        <f>'LLH Tot Gen'!K52*Results!$B$5</f>
        <v>1549.8156898973318</v>
      </c>
      <c r="L52" s="130">
        <f>'LLH Tot Gen'!L52*Results!$B$5</f>
        <v>1260.0175157268918</v>
      </c>
      <c r="M52" s="130">
        <f>'LLH Tot Gen'!M52*Results!$B$5</f>
        <v>1412.6088992285568</v>
      </c>
      <c r="N52" s="130">
        <f>'LLH Tot Gen'!N52*Results!$B$5</f>
        <v>1162.4602558080137</v>
      </c>
      <c r="O52" s="130">
        <f>'LLH Tot Gen'!O52*Results!$B$5</f>
        <v>1110.6098749666578</v>
      </c>
      <c r="P52" s="130">
        <f>SUMPRODUCT(B52:O52,'HLH-LLH Loads'!$N$5:$AA$5)</f>
        <v>4023522.4817952844</v>
      </c>
    </row>
    <row r="53" spans="1:16" ht="12.75">
      <c r="A53" s="131" t="s">
        <v>46</v>
      </c>
      <c r="B53" s="130">
        <f>AVERAGE(B3:B52)</f>
        <v>1108.758298558267</v>
      </c>
      <c r="C53" s="130">
        <f aca="true" t="shared" si="0" ref="C53:P53">AVERAGE(C3:C52)</f>
        <v>985.7038357351323</v>
      </c>
      <c r="D53" s="130">
        <f t="shared" si="0"/>
        <v>833.5372458224606</v>
      </c>
      <c r="E53" s="130">
        <f t="shared" si="0"/>
        <v>919.9125965328607</v>
      </c>
      <c r="F53" s="130">
        <f t="shared" si="0"/>
        <v>851.2709110107263</v>
      </c>
      <c r="G53" s="130">
        <f t="shared" si="0"/>
        <v>992.1410033520941</v>
      </c>
      <c r="H53" s="130">
        <f t="shared" si="0"/>
        <v>1401.2517753772993</v>
      </c>
      <c r="I53" s="130">
        <f t="shared" si="0"/>
        <v>1330.5321756093256</v>
      </c>
      <c r="J53" s="130">
        <f t="shared" si="0"/>
        <v>1100.3425682738678</v>
      </c>
      <c r="K53" s="130">
        <f t="shared" si="0"/>
        <v>1372.2200387074627</v>
      </c>
      <c r="L53" s="130">
        <f t="shared" si="0"/>
        <v>1308.6773556724877</v>
      </c>
      <c r="M53" s="130">
        <f t="shared" si="0"/>
        <v>1503.3158127103886</v>
      </c>
      <c r="N53" s="130">
        <f t="shared" si="0"/>
        <v>1434.6110836369442</v>
      </c>
      <c r="O53" s="130">
        <f t="shared" si="0"/>
        <v>1254.04061156169</v>
      </c>
      <c r="P53" s="130">
        <f t="shared" si="0"/>
        <v>4375203.38548126</v>
      </c>
    </row>
    <row r="54" spans="1:15" ht="12.75">
      <c r="A54" s="11"/>
      <c r="B54" s="1"/>
      <c r="C54" s="1"/>
      <c r="D54" s="1"/>
      <c r="E54" s="1"/>
      <c r="F54" s="1"/>
      <c r="G54" s="1"/>
      <c r="H54" s="1"/>
      <c r="I54" s="1"/>
      <c r="J54" s="1"/>
      <c r="K54" s="1"/>
      <c r="L54" s="1"/>
      <c r="M54" s="1"/>
      <c r="N54" s="1"/>
      <c r="O54" s="1"/>
    </row>
  </sheetData>
  <mergeCells count="1">
    <mergeCell ref="A1:N1"/>
  </mergeCells>
  <printOptions/>
  <pageMargins left="0.75" right="0.75" top="0.75" bottom="0.75" header="0.5" footer="0.5"/>
  <pageSetup fitToHeight="1" fitToWidth="1" horizontalDpi="300" verticalDpi="300" orientation="landscape" scale="68" r:id="rId1"/>
  <headerFooter alignWithMargins="0">
    <oddFooter>&amp;LSlice Cost Shift Study&amp;CPage &amp;P&amp;R'02 Rate Case</oddFooter>
  </headerFooter>
</worksheet>
</file>

<file path=xl/worksheets/sheet19.xml><?xml version="1.0" encoding="utf-8"?>
<worksheet xmlns="http://schemas.openxmlformats.org/spreadsheetml/2006/main" xmlns:r="http://schemas.openxmlformats.org/officeDocument/2006/relationships">
  <sheetPr codeName="Sheet7">
    <pageSetUpPr fitToPage="1"/>
  </sheetPr>
  <dimension ref="A1:Q74"/>
  <sheetViews>
    <sheetView workbookViewId="0" topLeftCell="A49">
      <selection activeCell="A3" sqref="A3:O62"/>
    </sheetView>
  </sheetViews>
  <sheetFormatPr defaultColWidth="9.33203125" defaultRowHeight="12.75"/>
  <cols>
    <col min="1" max="1" width="13.33203125" style="0" bestFit="1" customWidth="1"/>
    <col min="17" max="17" width="12" style="0" bestFit="1" customWidth="1"/>
  </cols>
  <sheetData>
    <row r="1" spans="1:15" ht="12.75">
      <c r="A1" s="229" t="s">
        <v>133</v>
      </c>
      <c r="B1" s="229"/>
      <c r="C1" s="229"/>
      <c r="D1" s="229"/>
      <c r="E1" s="229"/>
      <c r="F1" s="229"/>
      <c r="G1" s="229"/>
      <c r="H1" s="229"/>
      <c r="I1" s="229"/>
      <c r="J1" s="229"/>
      <c r="K1" s="229"/>
      <c r="L1" s="229"/>
      <c r="M1" s="229"/>
      <c r="N1" s="229"/>
      <c r="O1" s="229"/>
    </row>
    <row r="2" spans="1:15" ht="12.75">
      <c r="A2" s="229" t="s">
        <v>130</v>
      </c>
      <c r="B2" s="229"/>
      <c r="C2" s="229"/>
      <c r="D2" s="229"/>
      <c r="E2" s="229"/>
      <c r="F2" s="229"/>
      <c r="G2" s="229"/>
      <c r="H2" s="229"/>
      <c r="I2" s="229"/>
      <c r="J2" s="229"/>
      <c r="K2" s="229"/>
      <c r="L2" s="229"/>
      <c r="M2" s="229"/>
      <c r="N2" s="229"/>
      <c r="O2" s="229"/>
    </row>
    <row r="3" spans="1:15" ht="12.75">
      <c r="A3" s="136" t="s">
        <v>36</v>
      </c>
      <c r="B3" s="134" t="s">
        <v>22</v>
      </c>
      <c r="C3" s="134" t="s">
        <v>23</v>
      </c>
      <c r="D3" s="134" t="s">
        <v>24</v>
      </c>
      <c r="E3" s="134" t="s">
        <v>25</v>
      </c>
      <c r="F3" s="134" t="s">
        <v>26</v>
      </c>
      <c r="G3" s="134" t="s">
        <v>27</v>
      </c>
      <c r="H3" s="134" t="s">
        <v>28</v>
      </c>
      <c r="I3" s="134" t="s">
        <v>29</v>
      </c>
      <c r="J3" s="134" t="s">
        <v>30</v>
      </c>
      <c r="K3" s="134" t="s">
        <v>31</v>
      </c>
      <c r="L3" s="134" t="s">
        <v>32</v>
      </c>
      <c r="M3" s="134" t="s">
        <v>33</v>
      </c>
      <c r="N3" s="134" t="s">
        <v>34</v>
      </c>
      <c r="O3" s="135" t="s">
        <v>35</v>
      </c>
    </row>
    <row r="4" spans="1:17" ht="12.75">
      <c r="A4" s="131">
        <v>1929</v>
      </c>
      <c r="B4" s="139">
        <v>49.98223114013672</v>
      </c>
      <c r="C4" s="139">
        <v>49.98223114013672</v>
      </c>
      <c r="D4" s="139">
        <v>45.68647003173828</v>
      </c>
      <c r="E4" s="139">
        <v>31.58</v>
      </c>
      <c r="F4" s="139">
        <v>46.01828384399414</v>
      </c>
      <c r="G4" s="139">
        <v>46.94460678100586</v>
      </c>
      <c r="H4" s="139">
        <v>64.3404769897461</v>
      </c>
      <c r="I4" s="139">
        <v>51.27085876464844</v>
      </c>
      <c r="J4" s="139">
        <v>46.62065505981445</v>
      </c>
      <c r="K4" s="139">
        <v>36.66878890991211</v>
      </c>
      <c r="L4" s="139">
        <v>36.66878890991211</v>
      </c>
      <c r="M4" s="139">
        <v>39.579185485839844</v>
      </c>
      <c r="N4" s="139">
        <v>36.03375244140625</v>
      </c>
      <c r="O4" s="139">
        <v>53.91383361816406</v>
      </c>
      <c r="Q4" s="7"/>
    </row>
    <row r="5" spans="1:17" ht="12.75">
      <c r="A5" s="131">
        <v>1930</v>
      </c>
      <c r="B5" s="139">
        <v>71.8197021484375</v>
      </c>
      <c r="C5" s="139">
        <v>71.8197021484375</v>
      </c>
      <c r="D5" s="139">
        <v>47.62398147583008</v>
      </c>
      <c r="E5" s="139">
        <v>35.67223358154297</v>
      </c>
      <c r="F5" s="139">
        <v>46.09431838989258</v>
      </c>
      <c r="G5" s="139">
        <v>48.690879821777344</v>
      </c>
      <c r="H5" s="139">
        <v>64.92215728759766</v>
      </c>
      <c r="I5" s="139">
        <v>48.90607452392578</v>
      </c>
      <c r="J5" s="139">
        <v>46.80635452270508</v>
      </c>
      <c r="K5" s="139">
        <v>32.881202697753906</v>
      </c>
      <c r="L5" s="139">
        <v>32.881202697753906</v>
      </c>
      <c r="M5" s="139">
        <v>40.7275276184082</v>
      </c>
      <c r="N5" s="139">
        <v>50.5593376159668</v>
      </c>
      <c r="O5" s="139">
        <v>54.0067253112793</v>
      </c>
      <c r="Q5" s="7"/>
    </row>
    <row r="6" spans="1:15" ht="12.75">
      <c r="A6" s="131">
        <v>1931</v>
      </c>
      <c r="B6" s="139">
        <v>67.29759216308594</v>
      </c>
      <c r="C6" s="139">
        <v>67.29759216308594</v>
      </c>
      <c r="D6" s="139">
        <v>48.36855697631836</v>
      </c>
      <c r="E6" s="139">
        <v>35.84833526611328</v>
      </c>
      <c r="F6" s="139">
        <v>47.034507751464844</v>
      </c>
      <c r="G6" s="139">
        <v>49.05936813354492</v>
      </c>
      <c r="H6" s="139">
        <v>71.17549133300781</v>
      </c>
      <c r="I6" s="139">
        <v>73.36119842529297</v>
      </c>
      <c r="J6" s="139">
        <v>46.77305221557617</v>
      </c>
      <c r="K6" s="139">
        <v>36.2357292175293</v>
      </c>
      <c r="L6" s="139">
        <v>36.2357292175293</v>
      </c>
      <c r="M6" s="139">
        <v>35.493370056152344</v>
      </c>
      <c r="N6" s="139">
        <v>47.99314498901367</v>
      </c>
      <c r="O6" s="139">
        <v>56.33155822753906</v>
      </c>
    </row>
    <row r="7" spans="1:15" ht="12.75">
      <c r="A7" s="131">
        <v>1932</v>
      </c>
      <c r="B7" s="139">
        <v>73.88241577148438</v>
      </c>
      <c r="C7" s="139">
        <v>73.88241577148438</v>
      </c>
      <c r="D7" s="139">
        <v>48.95857238769531</v>
      </c>
      <c r="E7" s="139">
        <v>36.04567337036133</v>
      </c>
      <c r="F7" s="139">
        <v>46.89311218261719</v>
      </c>
      <c r="G7" s="139">
        <v>49.71906280517578</v>
      </c>
      <c r="H7" s="139">
        <v>74.17229461669922</v>
      </c>
      <c r="I7" s="139">
        <v>50.01841354370117</v>
      </c>
      <c r="J7" s="139">
        <v>35.95195770263672</v>
      </c>
      <c r="K7" s="139">
        <v>22.402172088623047</v>
      </c>
      <c r="L7" s="139">
        <v>22.402172088623047</v>
      </c>
      <c r="M7" s="139">
        <v>23.069639205932617</v>
      </c>
      <c r="N7" s="139">
        <v>25.289321899414062</v>
      </c>
      <c r="O7" s="139">
        <v>41.54071807861328</v>
      </c>
    </row>
    <row r="8" spans="1:15" ht="12.75">
      <c r="A8" s="131">
        <v>1933</v>
      </c>
      <c r="B8" s="139">
        <v>59.33458709716797</v>
      </c>
      <c r="C8" s="139">
        <v>59.33458709716797</v>
      </c>
      <c r="D8" s="139">
        <v>45.59168243408203</v>
      </c>
      <c r="E8" s="139">
        <v>31.99336051940918</v>
      </c>
      <c r="F8" s="139">
        <v>40.398223876953125</v>
      </c>
      <c r="G8" s="139">
        <v>44.73744583129883</v>
      </c>
      <c r="H8" s="139">
        <v>31.620187759399414</v>
      </c>
      <c r="I8" s="139">
        <v>41.18186569213867</v>
      </c>
      <c r="J8" s="139">
        <v>39.900821685791016</v>
      </c>
      <c r="K8" s="139">
        <v>30.274852752685547</v>
      </c>
      <c r="L8" s="139">
        <v>30.274852752685547</v>
      </c>
      <c r="M8" s="139">
        <v>31.209915161132812</v>
      </c>
      <c r="N8" s="139">
        <v>9.009385108947754</v>
      </c>
      <c r="O8" s="139">
        <v>26.25252914428711</v>
      </c>
    </row>
    <row r="9" spans="1:17" ht="12.75">
      <c r="A9" s="131">
        <v>1934</v>
      </c>
      <c r="B9" s="139">
        <v>41.93391418457031</v>
      </c>
      <c r="C9" s="139">
        <v>41.93391418457031</v>
      </c>
      <c r="D9" s="139">
        <v>39.61853790283203</v>
      </c>
      <c r="E9" s="139">
        <v>27.723472595214844</v>
      </c>
      <c r="F9" s="139">
        <v>36.51942825317383</v>
      </c>
      <c r="G9" s="139">
        <v>31.94772720336914</v>
      </c>
      <c r="H9" s="139">
        <v>24.881498336791992</v>
      </c>
      <c r="I9" s="139">
        <v>28.39647102355957</v>
      </c>
      <c r="J9" s="139">
        <v>27.889806747436523</v>
      </c>
      <c r="K9" s="139">
        <v>19.65617561340332</v>
      </c>
      <c r="L9" s="139">
        <v>19.65617561340332</v>
      </c>
      <c r="M9" s="139">
        <v>24.547243118286133</v>
      </c>
      <c r="N9" s="139">
        <v>42.361507415771484</v>
      </c>
      <c r="O9" s="139">
        <v>66.50033569335938</v>
      </c>
      <c r="Q9" s="28"/>
    </row>
    <row r="10" spans="1:15" ht="12.75">
      <c r="A10" s="131">
        <v>1935</v>
      </c>
      <c r="B10" s="139">
        <v>83.63211059570312</v>
      </c>
      <c r="C10" s="139">
        <v>83.63211059570312</v>
      </c>
      <c r="D10" s="139">
        <v>48.68345642089844</v>
      </c>
      <c r="E10" s="139">
        <v>36.47065353393555</v>
      </c>
      <c r="F10" s="139">
        <v>42.023155212402344</v>
      </c>
      <c r="G10" s="139">
        <v>46.650489807128906</v>
      </c>
      <c r="H10" s="139">
        <v>32.28128433227539</v>
      </c>
      <c r="I10" s="139">
        <v>41.451271057128906</v>
      </c>
      <c r="J10" s="139">
        <v>37.99269104003906</v>
      </c>
      <c r="K10" s="139">
        <v>28.65276336669922</v>
      </c>
      <c r="L10" s="139">
        <v>28.65276336669922</v>
      </c>
      <c r="M10" s="139">
        <v>34.19163131713867</v>
      </c>
      <c r="N10" s="139">
        <v>30.502063751220703</v>
      </c>
      <c r="O10" s="139">
        <v>41.17710876464844</v>
      </c>
    </row>
    <row r="11" spans="1:15" ht="12.75">
      <c r="A11" s="131">
        <v>1936</v>
      </c>
      <c r="B11" s="139">
        <v>68.27781677246094</v>
      </c>
      <c r="C11" s="139">
        <v>68.27781677246094</v>
      </c>
      <c r="D11" s="139">
        <v>48.56626510620117</v>
      </c>
      <c r="E11" s="139">
        <v>33.954898834228516</v>
      </c>
      <c r="F11" s="139">
        <v>47.03532791137695</v>
      </c>
      <c r="G11" s="139">
        <v>49.12309646606445</v>
      </c>
      <c r="H11" s="139">
        <v>53.48120880126953</v>
      </c>
      <c r="I11" s="139">
        <v>47.9755973815918</v>
      </c>
      <c r="J11" s="139">
        <v>41.40406799316406</v>
      </c>
      <c r="K11" s="139">
        <v>28.67549705505371</v>
      </c>
      <c r="L11" s="139">
        <v>28.67549705505371</v>
      </c>
      <c r="M11" s="139">
        <v>16.074853897094727</v>
      </c>
      <c r="N11" s="139">
        <v>35.91419982910156</v>
      </c>
      <c r="O11" s="139">
        <v>46.20702362060547</v>
      </c>
    </row>
    <row r="12" spans="1:15" ht="12.75">
      <c r="A12" s="131">
        <v>1937</v>
      </c>
      <c r="B12" s="139">
        <v>67.71321868896484</v>
      </c>
      <c r="C12" s="139">
        <v>67.71321868896484</v>
      </c>
      <c r="D12" s="139">
        <v>48.0147705078125</v>
      </c>
      <c r="E12" s="139">
        <v>35.2254524230957</v>
      </c>
      <c r="F12" s="139">
        <v>46.90837860107422</v>
      </c>
      <c r="G12" s="139">
        <v>48.48968505859375</v>
      </c>
      <c r="H12" s="139">
        <v>66.6221923828125</v>
      </c>
      <c r="I12" s="139">
        <v>54.52849578857422</v>
      </c>
      <c r="J12" s="139">
        <v>50.28902816772461</v>
      </c>
      <c r="K12" s="139">
        <v>37.830726623535156</v>
      </c>
      <c r="L12" s="139">
        <v>37.830726623535156</v>
      </c>
      <c r="M12" s="139">
        <v>37.338504791259766</v>
      </c>
      <c r="N12" s="139">
        <v>45.865806579589844</v>
      </c>
      <c r="O12" s="139">
        <v>55.962677001953125</v>
      </c>
    </row>
    <row r="13" spans="1:15" ht="12.75">
      <c r="A13" s="131">
        <v>1938</v>
      </c>
      <c r="B13" s="139">
        <v>69.96097564697266</v>
      </c>
      <c r="C13" s="139">
        <v>69.96097564697266</v>
      </c>
      <c r="D13" s="139">
        <v>46.16633987426758</v>
      </c>
      <c r="E13" s="139">
        <v>34.441558837890625</v>
      </c>
      <c r="F13" s="139">
        <v>40.15402603149414</v>
      </c>
      <c r="G13" s="139">
        <v>43.87191390991211</v>
      </c>
      <c r="H13" s="139">
        <v>35.01136779785156</v>
      </c>
      <c r="I13" s="139">
        <v>43.2371826171875</v>
      </c>
      <c r="J13" s="139">
        <v>31.050500869750977</v>
      </c>
      <c r="K13" s="139">
        <v>25.741090774536133</v>
      </c>
      <c r="L13" s="139">
        <v>25.741090774536133</v>
      </c>
      <c r="M13" s="139">
        <v>18.920108795166016</v>
      </c>
      <c r="N13" s="139">
        <v>23.427417755126953</v>
      </c>
      <c r="O13" s="139">
        <v>46.03863525390625</v>
      </c>
    </row>
    <row r="14" spans="1:15" ht="12.75">
      <c r="A14" s="131">
        <v>1939</v>
      </c>
      <c r="B14" s="139">
        <v>78.65361022949219</v>
      </c>
      <c r="C14" s="139">
        <v>78.65361022949219</v>
      </c>
      <c r="D14" s="139">
        <v>47.152122497558594</v>
      </c>
      <c r="E14" s="139">
        <v>32.09966278076172</v>
      </c>
      <c r="F14" s="139">
        <v>46.13828659057617</v>
      </c>
      <c r="G14" s="139">
        <v>47.03144836425781</v>
      </c>
      <c r="H14" s="139">
        <v>57.234134674072266</v>
      </c>
      <c r="I14" s="139">
        <v>40.69471740722656</v>
      </c>
      <c r="J14" s="139">
        <v>37.602943420410156</v>
      </c>
      <c r="K14" s="139">
        <v>27.72288703918457</v>
      </c>
      <c r="L14" s="139">
        <v>27.72288703918457</v>
      </c>
      <c r="M14" s="139">
        <v>31.215030670166016</v>
      </c>
      <c r="N14" s="139">
        <v>48.8448486328125</v>
      </c>
      <c r="O14" s="139">
        <v>42.7003059387207</v>
      </c>
    </row>
    <row r="15" spans="1:15" ht="12.75">
      <c r="A15" s="131">
        <v>1940</v>
      </c>
      <c r="B15" s="139">
        <v>68.28060913085938</v>
      </c>
      <c r="C15" s="139">
        <v>68.28060913085938</v>
      </c>
      <c r="D15" s="139">
        <v>47.25720977783203</v>
      </c>
      <c r="E15" s="139">
        <v>32.26349639892578</v>
      </c>
      <c r="F15" s="139">
        <v>45.27425003051758</v>
      </c>
      <c r="G15" s="139">
        <v>46.76656723022461</v>
      </c>
      <c r="H15" s="139">
        <v>49.898895263671875</v>
      </c>
      <c r="I15" s="139">
        <v>42.14195251464844</v>
      </c>
      <c r="J15" s="139">
        <v>31.390268325805664</v>
      </c>
      <c r="K15" s="139">
        <v>27.84589385986328</v>
      </c>
      <c r="L15" s="139">
        <v>27.84589385986328</v>
      </c>
      <c r="M15" s="139">
        <v>36.17695999145508</v>
      </c>
      <c r="N15" s="139">
        <v>55.317955017089844</v>
      </c>
      <c r="O15" s="139">
        <v>60.97811508178711</v>
      </c>
    </row>
    <row r="16" spans="1:15" ht="12.75">
      <c r="A16" s="131">
        <v>1941</v>
      </c>
      <c r="B16" s="139">
        <v>71.34965515136719</v>
      </c>
      <c r="C16" s="139">
        <v>71.34965515136719</v>
      </c>
      <c r="D16" s="139">
        <v>47.050331115722656</v>
      </c>
      <c r="E16" s="139">
        <v>32.32933807373047</v>
      </c>
      <c r="F16" s="139">
        <v>46.91002655029297</v>
      </c>
      <c r="G16" s="139">
        <v>48.27995681762695</v>
      </c>
      <c r="H16" s="139">
        <v>53.54852294921875</v>
      </c>
      <c r="I16" s="139">
        <v>54.45612716674805</v>
      </c>
      <c r="J16" s="139">
        <v>39.89749526977539</v>
      </c>
      <c r="K16" s="139">
        <v>36.74440383911133</v>
      </c>
      <c r="L16" s="139">
        <v>36.74440383911133</v>
      </c>
      <c r="M16" s="139">
        <v>38.54298400878906</v>
      </c>
      <c r="N16" s="139">
        <v>43.89681625366211</v>
      </c>
      <c r="O16" s="139">
        <v>66.50837707519531</v>
      </c>
    </row>
    <row r="17" spans="1:15" ht="12.75">
      <c r="A17" s="131">
        <v>1942</v>
      </c>
      <c r="B17" s="139">
        <v>79.3150405883789</v>
      </c>
      <c r="C17" s="139">
        <v>79.3150405883789</v>
      </c>
      <c r="D17" s="139">
        <v>47.685020446777344</v>
      </c>
      <c r="E17" s="139">
        <v>32.58281326293945</v>
      </c>
      <c r="F17" s="139">
        <v>43.85780715942383</v>
      </c>
      <c r="G17" s="139">
        <v>40.49671936035156</v>
      </c>
      <c r="H17" s="139">
        <v>37.41703414916992</v>
      </c>
      <c r="I17" s="139">
        <v>41.74388885498047</v>
      </c>
      <c r="J17" s="139">
        <v>46.580902099609375</v>
      </c>
      <c r="K17" s="139">
        <v>34.90336990356445</v>
      </c>
      <c r="L17" s="139">
        <v>34.90336990356445</v>
      </c>
      <c r="M17" s="139">
        <v>32.557640075683594</v>
      </c>
      <c r="N17" s="139">
        <v>32.71044921875</v>
      </c>
      <c r="O17" s="139">
        <v>37.83280944824219</v>
      </c>
    </row>
    <row r="18" spans="1:15" ht="12.75">
      <c r="A18" s="131">
        <v>1943</v>
      </c>
      <c r="B18" s="139">
        <v>49.859336853027344</v>
      </c>
      <c r="C18" s="139">
        <v>49.859336853027344</v>
      </c>
      <c r="D18" s="139">
        <v>44.227500915527344</v>
      </c>
      <c r="E18" s="139">
        <v>32.81398010253906</v>
      </c>
      <c r="F18" s="139">
        <v>44.00847244262695</v>
      </c>
      <c r="G18" s="139">
        <v>46.156368255615234</v>
      </c>
      <c r="H18" s="139">
        <v>35.451663970947266</v>
      </c>
      <c r="I18" s="139">
        <v>35.81964874267578</v>
      </c>
      <c r="J18" s="139">
        <v>30.702024459838867</v>
      </c>
      <c r="K18" s="139">
        <v>17.780607223510742</v>
      </c>
      <c r="L18" s="139">
        <v>17.780607223510742</v>
      </c>
      <c r="M18" s="139">
        <v>20.77402114868164</v>
      </c>
      <c r="N18" s="139">
        <v>18.857620239257812</v>
      </c>
      <c r="O18" s="139">
        <v>33.19821548461914</v>
      </c>
    </row>
    <row r="19" spans="1:15" ht="12.75">
      <c r="A19" s="131">
        <v>1944</v>
      </c>
      <c r="B19" s="139">
        <v>47.36073303222656</v>
      </c>
      <c r="C19" s="139">
        <v>47.36073303222656</v>
      </c>
      <c r="D19" s="139">
        <v>46.363529205322266</v>
      </c>
      <c r="E19" s="139">
        <v>31.63910484313965</v>
      </c>
      <c r="F19" s="139">
        <v>46.011802673339844</v>
      </c>
      <c r="G19" s="139">
        <v>45.951053619384766</v>
      </c>
      <c r="H19" s="139">
        <v>61.305641174316406</v>
      </c>
      <c r="I19" s="139">
        <v>47.08372497558594</v>
      </c>
      <c r="J19" s="139">
        <v>49.398658752441406</v>
      </c>
      <c r="K19" s="139">
        <v>37.10411071777344</v>
      </c>
      <c r="L19" s="139">
        <v>37.10411071777344</v>
      </c>
      <c r="M19" s="139">
        <v>39.52602005004883</v>
      </c>
      <c r="N19" s="139">
        <v>46.323204040527344</v>
      </c>
      <c r="O19" s="139">
        <v>65.5819091796875</v>
      </c>
    </row>
    <row r="20" spans="1:15" ht="12.75">
      <c r="A20" s="131">
        <v>1945</v>
      </c>
      <c r="B20" s="139">
        <v>78.6517333984375</v>
      </c>
      <c r="C20" s="139">
        <v>78.6517333984375</v>
      </c>
      <c r="D20" s="139">
        <v>47.33244705200195</v>
      </c>
      <c r="E20" s="139">
        <v>35.429954528808594</v>
      </c>
      <c r="F20" s="139">
        <v>46.13984298706055</v>
      </c>
      <c r="G20" s="139">
        <v>51.070587158203125</v>
      </c>
      <c r="H20" s="139">
        <v>65.8474349975586</v>
      </c>
      <c r="I20" s="139">
        <v>62.564414978027344</v>
      </c>
      <c r="J20" s="139">
        <v>46.774288177490234</v>
      </c>
      <c r="K20" s="139">
        <v>36.42096710205078</v>
      </c>
      <c r="L20" s="139">
        <v>36.42096710205078</v>
      </c>
      <c r="M20" s="139">
        <v>29.068269729614258</v>
      </c>
      <c r="N20" s="139">
        <v>35.30885696411133</v>
      </c>
      <c r="O20" s="139">
        <v>44.217262268066406</v>
      </c>
    </row>
    <row r="21" spans="1:15" ht="12.75">
      <c r="A21" s="131">
        <v>1946</v>
      </c>
      <c r="B21" s="139">
        <v>66.07268524169922</v>
      </c>
      <c r="C21" s="139">
        <v>66.07268524169922</v>
      </c>
      <c r="D21" s="139">
        <v>45.96280288696289</v>
      </c>
      <c r="E21" s="139">
        <v>34.47867965698242</v>
      </c>
      <c r="F21" s="139">
        <v>43.848445892333984</v>
      </c>
      <c r="G21" s="139">
        <v>42.9616584777832</v>
      </c>
      <c r="H21" s="139">
        <v>30.681142807006836</v>
      </c>
      <c r="I21" s="139">
        <v>41.83129119873047</v>
      </c>
      <c r="J21" s="139">
        <v>33.23501968383789</v>
      </c>
      <c r="K21" s="139">
        <v>23.73577117919922</v>
      </c>
      <c r="L21" s="139">
        <v>23.73577117919922</v>
      </c>
      <c r="M21" s="139">
        <v>17.77484703063965</v>
      </c>
      <c r="N21" s="139">
        <v>21.30707550048828</v>
      </c>
      <c r="O21" s="139">
        <v>39.742942810058594</v>
      </c>
    </row>
    <row r="22" spans="1:15" ht="12.75">
      <c r="A22" s="131">
        <v>1947</v>
      </c>
      <c r="B22" s="139">
        <v>57.247398376464844</v>
      </c>
      <c r="C22" s="139">
        <v>57.247398376464844</v>
      </c>
      <c r="D22" s="139">
        <v>42.4131965637207</v>
      </c>
      <c r="E22" s="139">
        <v>31.132373809814453</v>
      </c>
      <c r="F22" s="139">
        <v>40.68009567260742</v>
      </c>
      <c r="G22" s="139">
        <v>39.767250061035156</v>
      </c>
      <c r="H22" s="139">
        <v>28.952396392822266</v>
      </c>
      <c r="I22" s="139">
        <v>29.9648380279541</v>
      </c>
      <c r="J22" s="139">
        <v>34.507850646972656</v>
      </c>
      <c r="K22" s="139">
        <v>25.511198043823242</v>
      </c>
      <c r="L22" s="139">
        <v>25.511198043823242</v>
      </c>
      <c r="M22" s="139">
        <v>19.221086502075195</v>
      </c>
      <c r="N22" s="139">
        <v>25.366838455200195</v>
      </c>
      <c r="O22" s="139">
        <v>42.502811431884766</v>
      </c>
    </row>
    <row r="23" spans="1:15" ht="12.75">
      <c r="A23" s="131">
        <v>1948</v>
      </c>
      <c r="B23" s="139">
        <v>57.20787811279297</v>
      </c>
      <c r="C23" s="139">
        <v>57.20787811279297</v>
      </c>
      <c r="D23" s="139">
        <v>44.162357330322266</v>
      </c>
      <c r="E23" s="139">
        <v>25.369834899902344</v>
      </c>
      <c r="F23" s="139">
        <v>37.895442962646484</v>
      </c>
      <c r="G23" s="139">
        <v>42.358970642089844</v>
      </c>
      <c r="H23" s="139">
        <v>28.707378387451172</v>
      </c>
      <c r="I23" s="139">
        <v>38.85208511352539</v>
      </c>
      <c r="J23" s="139">
        <v>38.74230194091797</v>
      </c>
      <c r="K23" s="139">
        <v>26.886728286743164</v>
      </c>
      <c r="L23" s="139">
        <v>26.886728286743164</v>
      </c>
      <c r="M23" s="139">
        <v>9.003024101257324</v>
      </c>
      <c r="N23" s="139">
        <v>9.009385108947754</v>
      </c>
      <c r="O23" s="139">
        <v>32.71635818481445</v>
      </c>
    </row>
    <row r="24" spans="1:15" ht="12.75">
      <c r="A24" s="131">
        <v>1949</v>
      </c>
      <c r="B24" s="139">
        <v>41.458770751953125</v>
      </c>
      <c r="C24" s="139">
        <v>41.458770751953125</v>
      </c>
      <c r="D24" s="139">
        <v>38.21305465698242</v>
      </c>
      <c r="E24" s="139">
        <v>30.853364944458008</v>
      </c>
      <c r="F24" s="139">
        <v>43.84585952758789</v>
      </c>
      <c r="G24" s="139">
        <v>47.80190658569336</v>
      </c>
      <c r="H24" s="139">
        <v>40.86198425292969</v>
      </c>
      <c r="I24" s="139">
        <v>42.51063919067383</v>
      </c>
      <c r="J24" s="139">
        <v>24.127363204956055</v>
      </c>
      <c r="K24" s="139">
        <v>22.352249145507812</v>
      </c>
      <c r="L24" s="139">
        <v>22.352249145507812</v>
      </c>
      <c r="M24" s="139">
        <v>17.27195167541504</v>
      </c>
      <c r="N24" s="139">
        <v>27.310293197631836</v>
      </c>
      <c r="O24" s="139">
        <v>63.719058990478516</v>
      </c>
    </row>
    <row r="25" spans="1:15" ht="12.75">
      <c r="A25" s="131">
        <v>1950</v>
      </c>
      <c r="B25" s="139">
        <v>82.15382385253906</v>
      </c>
      <c r="C25" s="139">
        <v>82.15382385253906</v>
      </c>
      <c r="D25" s="139">
        <v>47.27619934082031</v>
      </c>
      <c r="E25" s="139">
        <v>33.309364318847656</v>
      </c>
      <c r="F25" s="139">
        <v>43.77351760864258</v>
      </c>
      <c r="G25" s="139">
        <v>43.31320571899414</v>
      </c>
      <c r="H25" s="139">
        <v>31.54852294921875</v>
      </c>
      <c r="I25" s="139">
        <v>38.40781784057617</v>
      </c>
      <c r="J25" s="139">
        <v>26.734209060668945</v>
      </c>
      <c r="K25" s="139">
        <v>21.337955474853516</v>
      </c>
      <c r="L25" s="139">
        <v>21.337955474853516</v>
      </c>
      <c r="M25" s="139">
        <v>22.2078857421875</v>
      </c>
      <c r="N25" s="139">
        <v>9.009384155273438</v>
      </c>
      <c r="O25" s="139">
        <v>30.880813598632812</v>
      </c>
    </row>
    <row r="26" spans="1:15" ht="12.75">
      <c r="A26" s="131">
        <v>1951</v>
      </c>
      <c r="B26" s="139">
        <v>46.30047607421875</v>
      </c>
      <c r="C26" s="139">
        <v>46.30047607421875</v>
      </c>
      <c r="D26" s="139">
        <v>40.641082763671875</v>
      </c>
      <c r="E26" s="139">
        <v>27.92420196533203</v>
      </c>
      <c r="F26" s="139">
        <v>36.370731353759766</v>
      </c>
      <c r="G26" s="139">
        <v>35.1783332824707</v>
      </c>
      <c r="H26" s="139">
        <v>26.435352325439453</v>
      </c>
      <c r="I26" s="139">
        <v>25.813249588012695</v>
      </c>
      <c r="J26" s="139">
        <v>28.18731689453125</v>
      </c>
      <c r="K26" s="139">
        <v>20.251171112060547</v>
      </c>
      <c r="L26" s="139">
        <v>20.251171112060547</v>
      </c>
      <c r="M26" s="139">
        <v>17.833457946777344</v>
      </c>
      <c r="N26" s="139">
        <v>30.800251007080078</v>
      </c>
      <c r="O26" s="139">
        <v>33.46870803833008</v>
      </c>
    </row>
    <row r="27" spans="1:15" ht="12.75">
      <c r="A27" s="131">
        <v>1952</v>
      </c>
      <c r="B27" s="139">
        <v>45.56999969482422</v>
      </c>
      <c r="C27" s="139">
        <v>45.56999969482422</v>
      </c>
      <c r="D27" s="139">
        <v>40.88037109375</v>
      </c>
      <c r="E27" s="139">
        <v>26.91307258605957</v>
      </c>
      <c r="F27" s="139">
        <v>39.398292541503906</v>
      </c>
      <c r="G27" s="139">
        <v>40.88383102416992</v>
      </c>
      <c r="H27" s="139">
        <v>29.79423713684082</v>
      </c>
      <c r="I27" s="139">
        <v>39.28050231933594</v>
      </c>
      <c r="J27" s="139">
        <v>36.28879928588867</v>
      </c>
      <c r="K27" s="139">
        <v>20.995014190673828</v>
      </c>
      <c r="L27" s="139">
        <v>20.995014190673828</v>
      </c>
      <c r="M27" s="139">
        <v>10.442686080932617</v>
      </c>
      <c r="N27" s="139">
        <v>20.778629302978516</v>
      </c>
      <c r="O27" s="139">
        <v>44.125972747802734</v>
      </c>
    </row>
    <row r="28" spans="1:15" ht="12.75">
      <c r="A28" s="131">
        <v>1953</v>
      </c>
      <c r="B28" s="139">
        <v>58.66532897949219</v>
      </c>
      <c r="C28" s="139">
        <v>58.66532897949219</v>
      </c>
      <c r="D28" s="139">
        <v>46.959503173828125</v>
      </c>
      <c r="E28" s="139">
        <v>33.79920959472656</v>
      </c>
      <c r="F28" s="139">
        <v>46.02207946777344</v>
      </c>
      <c r="G28" s="139">
        <v>47.647789001464844</v>
      </c>
      <c r="H28" s="139">
        <v>44.93584442138672</v>
      </c>
      <c r="I28" s="139">
        <v>27.206497192382812</v>
      </c>
      <c r="J28" s="139">
        <v>33.04603958129883</v>
      </c>
      <c r="K28" s="139">
        <v>34.06893539428711</v>
      </c>
      <c r="L28" s="139">
        <v>34.06893539428711</v>
      </c>
      <c r="M28" s="139">
        <v>27.86403465270996</v>
      </c>
      <c r="N28" s="139">
        <v>14.193856239318848</v>
      </c>
      <c r="O28" s="139">
        <v>33.43259811401367</v>
      </c>
    </row>
    <row r="29" spans="1:15" ht="12.75">
      <c r="A29" s="131">
        <v>1954</v>
      </c>
      <c r="B29" s="139">
        <v>46.14816665649414</v>
      </c>
      <c r="C29" s="139">
        <v>46.14816665649414</v>
      </c>
      <c r="D29" s="139">
        <v>41.88719177246094</v>
      </c>
      <c r="E29" s="139">
        <v>31.04453468322754</v>
      </c>
      <c r="F29" s="139">
        <v>40.36676025390625</v>
      </c>
      <c r="G29" s="139">
        <v>43.9378547668457</v>
      </c>
      <c r="H29" s="139">
        <v>36.95893859863281</v>
      </c>
      <c r="I29" s="139">
        <v>26.43301773071289</v>
      </c>
      <c r="J29" s="139">
        <v>34.493492126464844</v>
      </c>
      <c r="K29" s="139">
        <v>26.051929473876953</v>
      </c>
      <c r="L29" s="139">
        <v>26.051929473876953</v>
      </c>
      <c r="M29" s="139">
        <v>21.007591247558594</v>
      </c>
      <c r="N29" s="139">
        <v>15.716715812683105</v>
      </c>
      <c r="O29" s="139">
        <v>30.704683303833008</v>
      </c>
    </row>
    <row r="30" spans="1:15" ht="12.75">
      <c r="A30" s="131">
        <v>1955</v>
      </c>
      <c r="B30" s="139">
        <v>38.84025955200195</v>
      </c>
      <c r="C30" s="139">
        <v>38.84025955200195</v>
      </c>
      <c r="D30" s="139">
        <v>32.40303421020508</v>
      </c>
      <c r="E30" s="139">
        <v>30.079551696777344</v>
      </c>
      <c r="F30" s="139">
        <v>38.655426025390625</v>
      </c>
      <c r="G30" s="139">
        <v>44.081600189208984</v>
      </c>
      <c r="H30" s="139">
        <v>41.377681732177734</v>
      </c>
      <c r="I30" s="139">
        <v>41.866939544677734</v>
      </c>
      <c r="J30" s="139">
        <v>47.691200256347656</v>
      </c>
      <c r="K30" s="139">
        <v>33.125396728515625</v>
      </c>
      <c r="L30" s="139">
        <v>33.125396728515625</v>
      </c>
      <c r="M30" s="139">
        <v>35.651309967041016</v>
      </c>
      <c r="N30" s="139">
        <v>9.828214645385742</v>
      </c>
      <c r="O30" s="139">
        <v>25.378009796142578</v>
      </c>
    </row>
    <row r="31" spans="1:15" ht="12.75">
      <c r="A31" s="131">
        <v>1956</v>
      </c>
      <c r="B31" s="139">
        <v>44.07684326171875</v>
      </c>
      <c r="C31" s="139">
        <v>44.07684326171875</v>
      </c>
      <c r="D31" s="139">
        <v>40.94175338745117</v>
      </c>
      <c r="E31" s="139">
        <v>28.501731872558594</v>
      </c>
      <c r="F31" s="139">
        <v>37.579010009765625</v>
      </c>
      <c r="G31" s="139">
        <v>37.74904251098633</v>
      </c>
      <c r="H31" s="139">
        <v>25.879789352416992</v>
      </c>
      <c r="I31" s="139">
        <v>29.813947677612305</v>
      </c>
      <c r="J31" s="139">
        <v>27.785024642944336</v>
      </c>
      <c r="K31" s="139">
        <v>20.43007469177246</v>
      </c>
      <c r="L31" s="139">
        <v>20.43007469177246</v>
      </c>
      <c r="M31" s="139">
        <v>9.00302505493164</v>
      </c>
      <c r="N31" s="139">
        <v>9.009384155273438</v>
      </c>
      <c r="O31" s="139">
        <v>33.023441314697266</v>
      </c>
    </row>
    <row r="32" spans="1:15" ht="12.75">
      <c r="A32" s="131">
        <v>1957</v>
      </c>
      <c r="B32" s="139">
        <v>44.148223876953125</v>
      </c>
      <c r="C32" s="139">
        <v>44.148223876953125</v>
      </c>
      <c r="D32" s="139">
        <v>42.65437316894531</v>
      </c>
      <c r="E32" s="139">
        <v>30.279376983642578</v>
      </c>
      <c r="F32" s="139">
        <v>43.58076477050781</v>
      </c>
      <c r="G32" s="139">
        <v>43.02875518798828</v>
      </c>
      <c r="H32" s="139">
        <v>40.6415901184082</v>
      </c>
      <c r="I32" s="139">
        <v>31.362930297851562</v>
      </c>
      <c r="J32" s="139">
        <v>34.695613861083984</v>
      </c>
      <c r="K32" s="139">
        <v>23.42098617553711</v>
      </c>
      <c r="L32" s="139">
        <v>23.42098617553711</v>
      </c>
      <c r="M32" s="139">
        <v>9.00302505493164</v>
      </c>
      <c r="N32" s="139">
        <v>12.24075698852539</v>
      </c>
      <c r="O32" s="139">
        <v>47.62525939941406</v>
      </c>
    </row>
    <row r="33" spans="1:15" ht="12.75">
      <c r="A33" s="131">
        <v>1958</v>
      </c>
      <c r="B33" s="139">
        <v>66.32274627685547</v>
      </c>
      <c r="C33" s="139">
        <v>66.32274627685547</v>
      </c>
      <c r="D33" s="139">
        <v>46.35333251953125</v>
      </c>
      <c r="E33" s="139">
        <v>32.30604934692383</v>
      </c>
      <c r="F33" s="139">
        <v>46.02760696411133</v>
      </c>
      <c r="G33" s="139">
        <v>46.392494201660156</v>
      </c>
      <c r="H33" s="139">
        <v>39.41446304321289</v>
      </c>
      <c r="I33" s="139">
        <v>27.565715789794922</v>
      </c>
      <c r="J33" s="139">
        <v>37.974239349365234</v>
      </c>
      <c r="K33" s="139">
        <v>27.466108322143555</v>
      </c>
      <c r="L33" s="139">
        <v>27.466108322143555</v>
      </c>
      <c r="M33" s="139">
        <v>9.00302505493164</v>
      </c>
      <c r="N33" s="139">
        <v>18.222309112548828</v>
      </c>
      <c r="O33" s="139">
        <v>52.07624053955078</v>
      </c>
    </row>
    <row r="34" spans="1:15" ht="12.75">
      <c r="A34" s="131">
        <v>1959</v>
      </c>
      <c r="B34" s="139">
        <v>66.04222106933594</v>
      </c>
      <c r="C34" s="139">
        <v>66.04222106933594</v>
      </c>
      <c r="D34" s="139">
        <v>45.69423294067383</v>
      </c>
      <c r="E34" s="139">
        <v>31.097797393798828</v>
      </c>
      <c r="F34" s="139">
        <v>38.85344696044922</v>
      </c>
      <c r="G34" s="139">
        <v>40.9439697265625</v>
      </c>
      <c r="H34" s="139">
        <v>26.800153732299805</v>
      </c>
      <c r="I34" s="139">
        <v>30.2769775390625</v>
      </c>
      <c r="J34" s="139">
        <v>33.084259033203125</v>
      </c>
      <c r="K34" s="139">
        <v>26.362964630126953</v>
      </c>
      <c r="L34" s="139">
        <v>26.362964630126953</v>
      </c>
      <c r="M34" s="139">
        <v>23.65245246887207</v>
      </c>
      <c r="N34" s="139">
        <v>15.921622276306152</v>
      </c>
      <c r="O34" s="139">
        <v>33.29775619506836</v>
      </c>
    </row>
    <row r="35" spans="1:15" ht="12.75">
      <c r="A35" s="131">
        <v>1960</v>
      </c>
      <c r="B35" s="139">
        <v>46.49416732788086</v>
      </c>
      <c r="C35" s="139">
        <v>46.49416732788086</v>
      </c>
      <c r="D35" s="139">
        <v>32.079654693603516</v>
      </c>
      <c r="E35" s="139">
        <v>24.016677856445312</v>
      </c>
      <c r="F35" s="139">
        <v>35.772369384765625</v>
      </c>
      <c r="G35" s="139">
        <v>40.958946228027344</v>
      </c>
      <c r="H35" s="139">
        <v>30.38878631591797</v>
      </c>
      <c r="I35" s="139">
        <v>40.701011657714844</v>
      </c>
      <c r="J35" s="139">
        <v>33.53600311279297</v>
      </c>
      <c r="K35" s="139">
        <v>20.198650360107422</v>
      </c>
      <c r="L35" s="139">
        <v>20.198650360107422</v>
      </c>
      <c r="M35" s="139">
        <v>29.957551956176758</v>
      </c>
      <c r="N35" s="139">
        <v>30.37407875061035</v>
      </c>
      <c r="O35" s="139">
        <v>40.17887878417969</v>
      </c>
    </row>
    <row r="36" spans="1:15" ht="12.75">
      <c r="A36" s="131">
        <v>1961</v>
      </c>
      <c r="B36" s="139">
        <v>53.55301284790039</v>
      </c>
      <c r="C36" s="139">
        <v>53.55301284790039</v>
      </c>
      <c r="D36" s="139">
        <v>44.780357360839844</v>
      </c>
      <c r="E36" s="139">
        <v>31.211856842041016</v>
      </c>
      <c r="F36" s="139">
        <v>40.21503829956055</v>
      </c>
      <c r="G36" s="139">
        <v>48.799072265625</v>
      </c>
      <c r="H36" s="139">
        <v>34.14049530029297</v>
      </c>
      <c r="I36" s="139">
        <v>28.481557846069336</v>
      </c>
      <c r="J36" s="139">
        <v>32.79635238647461</v>
      </c>
      <c r="K36" s="139">
        <v>31.355802536010742</v>
      </c>
      <c r="L36" s="139">
        <v>31.355802536010742</v>
      </c>
      <c r="M36" s="139">
        <v>21.14804458618164</v>
      </c>
      <c r="N36" s="139">
        <v>16.081518173217773</v>
      </c>
      <c r="O36" s="139">
        <v>43.273921966552734</v>
      </c>
    </row>
    <row r="37" spans="1:15" ht="12.75">
      <c r="A37" s="131">
        <v>1962</v>
      </c>
      <c r="B37" s="139">
        <v>59.3487434387207</v>
      </c>
      <c r="C37" s="139">
        <v>59.3487434387207</v>
      </c>
      <c r="D37" s="139">
        <v>47.369293212890625</v>
      </c>
      <c r="E37" s="139">
        <v>31.4036808013916</v>
      </c>
      <c r="F37" s="139">
        <v>46.89751434326172</v>
      </c>
      <c r="G37" s="139">
        <v>48.18916320800781</v>
      </c>
      <c r="H37" s="139">
        <v>34.726200103759766</v>
      </c>
      <c r="I37" s="139">
        <v>44.531917572021484</v>
      </c>
      <c r="J37" s="139">
        <v>39.300174713134766</v>
      </c>
      <c r="K37" s="139">
        <v>22.297039031982422</v>
      </c>
      <c r="L37" s="139">
        <v>22.297039031982422</v>
      </c>
      <c r="M37" s="139">
        <v>29.15838623046875</v>
      </c>
      <c r="N37" s="139">
        <v>37.057403564453125</v>
      </c>
      <c r="O37" s="139">
        <v>39.04954528808594</v>
      </c>
    </row>
    <row r="38" spans="1:15" ht="12.75">
      <c r="A38" s="131">
        <v>1963</v>
      </c>
      <c r="B38" s="139">
        <v>49.714149475097656</v>
      </c>
      <c r="C38" s="139">
        <v>49.714149475097656</v>
      </c>
      <c r="D38" s="139">
        <v>46.643001556396484</v>
      </c>
      <c r="E38" s="139">
        <v>30.370351791381836</v>
      </c>
      <c r="F38" s="139">
        <v>38.833858489990234</v>
      </c>
      <c r="G38" s="139">
        <v>40.95965576171875</v>
      </c>
      <c r="H38" s="139">
        <v>32.870323181152344</v>
      </c>
      <c r="I38" s="139">
        <v>39.540287017822266</v>
      </c>
      <c r="J38" s="139">
        <v>39.41706085205078</v>
      </c>
      <c r="K38" s="139">
        <v>29.357662200927734</v>
      </c>
      <c r="L38" s="139">
        <v>29.357662200927734</v>
      </c>
      <c r="M38" s="139">
        <v>32.57984161376953</v>
      </c>
      <c r="N38" s="139">
        <v>30.517675399780273</v>
      </c>
      <c r="O38" s="139">
        <v>40.37105941772461</v>
      </c>
    </row>
    <row r="39" spans="1:15" ht="12.75">
      <c r="A39" s="131">
        <v>1964</v>
      </c>
      <c r="B39" s="139">
        <v>51.87153625488281</v>
      </c>
      <c r="C39" s="139">
        <v>51.87153625488281</v>
      </c>
      <c r="D39" s="139">
        <v>39.646785736083984</v>
      </c>
      <c r="E39" s="139">
        <v>31.728534698486328</v>
      </c>
      <c r="F39" s="139">
        <v>43.59971618652344</v>
      </c>
      <c r="G39" s="139">
        <v>48.05657196044922</v>
      </c>
      <c r="H39" s="139">
        <v>41.734825134277344</v>
      </c>
      <c r="I39" s="139">
        <v>34.44403839111328</v>
      </c>
      <c r="J39" s="139">
        <v>41.75715255737305</v>
      </c>
      <c r="K39" s="139">
        <v>30.309919357299805</v>
      </c>
      <c r="L39" s="139">
        <v>30.309919357299805</v>
      </c>
      <c r="M39" s="139">
        <v>29.655139923095703</v>
      </c>
      <c r="N39" s="139">
        <v>9.572978019714355</v>
      </c>
      <c r="O39" s="139">
        <v>30.228713989257812</v>
      </c>
    </row>
    <row r="40" spans="1:15" ht="12.75">
      <c r="A40" s="131">
        <v>1965</v>
      </c>
      <c r="B40" s="139">
        <v>43.11864471435547</v>
      </c>
      <c r="C40" s="139">
        <v>43.11864471435547</v>
      </c>
      <c r="D40" s="139">
        <v>37.821632385253906</v>
      </c>
      <c r="E40" s="139">
        <v>29.449047088623047</v>
      </c>
      <c r="F40" s="139">
        <v>40.3092041015625</v>
      </c>
      <c r="G40" s="139">
        <v>35.49192428588867</v>
      </c>
      <c r="H40" s="139">
        <v>25.413902282714844</v>
      </c>
      <c r="I40" s="139">
        <v>27.802309036254883</v>
      </c>
      <c r="J40" s="139">
        <v>28.715099334716797</v>
      </c>
      <c r="K40" s="139">
        <v>23.05027198791504</v>
      </c>
      <c r="L40" s="139">
        <v>23.05027198791504</v>
      </c>
      <c r="M40" s="139">
        <v>16.27909278869629</v>
      </c>
      <c r="N40" s="139">
        <v>13.318784713745117</v>
      </c>
      <c r="O40" s="139">
        <v>39.2469482421875</v>
      </c>
    </row>
    <row r="41" spans="1:15" ht="12.75">
      <c r="A41" s="131">
        <v>1966</v>
      </c>
      <c r="B41" s="139">
        <v>45.115379333496094</v>
      </c>
      <c r="C41" s="139">
        <v>45.115379333496094</v>
      </c>
      <c r="D41" s="139">
        <v>40.89384078979492</v>
      </c>
      <c r="E41" s="139">
        <v>30.644161224365234</v>
      </c>
      <c r="F41" s="139">
        <v>40.40196990966797</v>
      </c>
      <c r="G41" s="139">
        <v>44.06595993041992</v>
      </c>
      <c r="H41" s="139">
        <v>35.33742141723633</v>
      </c>
      <c r="I41" s="139">
        <v>40.08911895751953</v>
      </c>
      <c r="J41" s="139">
        <v>39.169368743896484</v>
      </c>
      <c r="K41" s="139">
        <v>24.719430923461914</v>
      </c>
      <c r="L41" s="139">
        <v>24.719430923461914</v>
      </c>
      <c r="M41" s="139">
        <v>34.90816116333008</v>
      </c>
      <c r="N41" s="139">
        <v>39.192989349365234</v>
      </c>
      <c r="O41" s="139">
        <v>37.221370697021484</v>
      </c>
    </row>
    <row r="42" spans="1:15" ht="12.75">
      <c r="A42" s="131">
        <v>1967</v>
      </c>
      <c r="B42" s="139">
        <v>53.72943878173828</v>
      </c>
      <c r="C42" s="139">
        <v>53.72943878173828</v>
      </c>
      <c r="D42" s="139">
        <v>46.00236129760742</v>
      </c>
      <c r="E42" s="139">
        <v>32.16194152832031</v>
      </c>
      <c r="F42" s="139">
        <v>44.31858444213867</v>
      </c>
      <c r="G42" s="139">
        <v>44.17277526855469</v>
      </c>
      <c r="H42" s="139">
        <v>29.540624618530273</v>
      </c>
      <c r="I42" s="139">
        <v>30.36716079711914</v>
      </c>
      <c r="J42" s="139">
        <v>36.04554748535156</v>
      </c>
      <c r="K42" s="139">
        <v>32.49845504760742</v>
      </c>
      <c r="L42" s="139">
        <v>32.49845504760742</v>
      </c>
      <c r="M42" s="139">
        <v>30.09380531311035</v>
      </c>
      <c r="N42" s="139">
        <v>12.123636245727539</v>
      </c>
      <c r="O42" s="139">
        <v>31.732519149780273</v>
      </c>
    </row>
    <row r="43" spans="1:15" ht="12.75">
      <c r="A43" s="131">
        <v>1968</v>
      </c>
      <c r="B43" s="139">
        <v>46.09112548828125</v>
      </c>
      <c r="C43" s="139">
        <v>46.09112548828125</v>
      </c>
      <c r="D43" s="139">
        <v>40.4873161315918</v>
      </c>
      <c r="E43" s="139">
        <v>30.308090209960938</v>
      </c>
      <c r="F43" s="139">
        <v>40.43767547607422</v>
      </c>
      <c r="G43" s="139">
        <v>44.05641174316406</v>
      </c>
      <c r="H43" s="139">
        <v>31.487947463989258</v>
      </c>
      <c r="I43" s="139">
        <v>29.72602081298828</v>
      </c>
      <c r="J43" s="139">
        <v>31.5997314453125</v>
      </c>
      <c r="K43" s="139">
        <v>36.01984405517578</v>
      </c>
      <c r="L43" s="139">
        <v>36.01984405517578</v>
      </c>
      <c r="M43" s="139">
        <v>37.9765510559082</v>
      </c>
      <c r="N43" s="139">
        <v>29.690624237060547</v>
      </c>
      <c r="O43" s="139">
        <v>38.956871032714844</v>
      </c>
    </row>
    <row r="44" spans="1:15" ht="12.75">
      <c r="A44" s="131">
        <v>1969</v>
      </c>
      <c r="B44" s="139">
        <v>44.277645111083984</v>
      </c>
      <c r="C44" s="139">
        <v>44.277645111083984</v>
      </c>
      <c r="D44" s="139">
        <v>35.09506607055664</v>
      </c>
      <c r="E44" s="139">
        <v>28.02606201171875</v>
      </c>
      <c r="F44" s="139">
        <v>37.68716812133789</v>
      </c>
      <c r="G44" s="139">
        <v>41.52616882324219</v>
      </c>
      <c r="H44" s="139">
        <v>26.760807037353516</v>
      </c>
      <c r="I44" s="139">
        <v>29.969614028930664</v>
      </c>
      <c r="J44" s="139">
        <v>31.61466407775879</v>
      </c>
      <c r="K44" s="139">
        <v>20.49435806274414</v>
      </c>
      <c r="L44" s="139">
        <v>20.49435806274414</v>
      </c>
      <c r="M44" s="139">
        <v>9.00302505493164</v>
      </c>
      <c r="N44" s="139">
        <v>15.625986099243164</v>
      </c>
      <c r="O44" s="139">
        <v>40.588706970214844</v>
      </c>
    </row>
    <row r="45" spans="1:15" ht="12.75">
      <c r="A45" s="131">
        <v>1970</v>
      </c>
      <c r="B45" s="139">
        <v>67.12730407714844</v>
      </c>
      <c r="C45" s="139">
        <v>67.12730407714844</v>
      </c>
      <c r="D45" s="139">
        <v>45.7869987487793</v>
      </c>
      <c r="E45" s="139">
        <v>30.9504337310791</v>
      </c>
      <c r="F45" s="139">
        <v>44.431705474853516</v>
      </c>
      <c r="G45" s="139">
        <v>47.58161163330078</v>
      </c>
      <c r="H45" s="139">
        <v>41.82294845581055</v>
      </c>
      <c r="I45" s="139">
        <v>30.747421264648438</v>
      </c>
      <c r="J45" s="139">
        <v>37.88728713989258</v>
      </c>
      <c r="K45" s="139">
        <v>33.89430618286133</v>
      </c>
      <c r="L45" s="139">
        <v>33.89430618286133</v>
      </c>
      <c r="M45" s="139">
        <v>28.82429313659668</v>
      </c>
      <c r="N45" s="139">
        <v>24.625022888183594</v>
      </c>
      <c r="O45" s="139">
        <v>45.37776184082031</v>
      </c>
    </row>
    <row r="46" spans="1:15" ht="12.75">
      <c r="A46" s="131">
        <v>1971</v>
      </c>
      <c r="B46" s="139">
        <v>62.266109466552734</v>
      </c>
      <c r="C46" s="139">
        <v>62.266109466552734</v>
      </c>
      <c r="D46" s="139">
        <v>46.93742370605469</v>
      </c>
      <c r="E46" s="139">
        <v>32.34469985961914</v>
      </c>
      <c r="F46" s="139">
        <v>44.406471252441406</v>
      </c>
      <c r="G46" s="139">
        <v>43.16856002807617</v>
      </c>
      <c r="H46" s="139">
        <v>26.584779739379883</v>
      </c>
      <c r="I46" s="139">
        <v>24.987422943115234</v>
      </c>
      <c r="J46" s="139">
        <v>27.794795989990234</v>
      </c>
      <c r="K46" s="139">
        <v>22.168088912963867</v>
      </c>
      <c r="L46" s="139">
        <v>22.168088912963867</v>
      </c>
      <c r="M46" s="139">
        <v>9.155885696411133</v>
      </c>
      <c r="N46" s="139">
        <v>9.009385108947754</v>
      </c>
      <c r="O46" s="139">
        <v>31.43025016784668</v>
      </c>
    </row>
    <row r="47" spans="1:15" ht="12.75">
      <c r="A47" s="131">
        <v>1972</v>
      </c>
      <c r="B47" s="139">
        <v>40.26996994018555</v>
      </c>
      <c r="C47" s="139">
        <v>40.26996994018555</v>
      </c>
      <c r="D47" s="139">
        <v>38.33373260498047</v>
      </c>
      <c r="E47" s="139">
        <v>30.97293472290039</v>
      </c>
      <c r="F47" s="139">
        <v>40.23429870605469</v>
      </c>
      <c r="G47" s="139">
        <v>43.55202865600586</v>
      </c>
      <c r="H47" s="139">
        <v>26.881174087524414</v>
      </c>
      <c r="I47" s="139">
        <v>26.074831008911133</v>
      </c>
      <c r="J47" s="139">
        <v>20.914756774902344</v>
      </c>
      <c r="K47" s="139">
        <v>20.725095748901367</v>
      </c>
      <c r="L47" s="139">
        <v>20.725095748901367</v>
      </c>
      <c r="M47" s="139">
        <v>10.768875122070312</v>
      </c>
      <c r="N47" s="139">
        <v>9.009384155273438</v>
      </c>
      <c r="O47" s="139">
        <v>28.773542404174805</v>
      </c>
    </row>
    <row r="48" spans="1:15" ht="12.75">
      <c r="A48" s="131">
        <v>1973</v>
      </c>
      <c r="B48" s="139">
        <v>38.7880859375</v>
      </c>
      <c r="C48" s="139">
        <v>38.7880859375</v>
      </c>
      <c r="D48" s="139">
        <v>37.880165100097656</v>
      </c>
      <c r="E48" s="139">
        <v>30.960317611694336</v>
      </c>
      <c r="F48" s="139">
        <v>43.66147232055664</v>
      </c>
      <c r="G48" s="139">
        <v>42.094024658203125</v>
      </c>
      <c r="H48" s="139">
        <v>41.501766204833984</v>
      </c>
      <c r="I48" s="139">
        <v>42.7237663269043</v>
      </c>
      <c r="J48" s="139">
        <v>39.32374572753906</v>
      </c>
      <c r="K48" s="139">
        <v>36.993988037109375</v>
      </c>
      <c r="L48" s="139">
        <v>36.993988037109375</v>
      </c>
      <c r="M48" s="139">
        <v>39.03730010986328</v>
      </c>
      <c r="N48" s="139">
        <v>46.54196548461914</v>
      </c>
      <c r="O48" s="139">
        <v>53.87276840209961</v>
      </c>
    </row>
    <row r="49" spans="1:15" ht="12.75">
      <c r="A49" s="131">
        <v>1974</v>
      </c>
      <c r="B49" s="139">
        <v>71.99090576171875</v>
      </c>
      <c r="C49" s="139">
        <v>71.99090576171875</v>
      </c>
      <c r="D49" s="139">
        <v>47.4367561340332</v>
      </c>
      <c r="E49" s="139">
        <v>34.54800796508789</v>
      </c>
      <c r="F49" s="139">
        <v>40.22959518432617</v>
      </c>
      <c r="G49" s="139">
        <v>38.60597610473633</v>
      </c>
      <c r="H49" s="139">
        <v>22.49910545349121</v>
      </c>
      <c r="I49" s="139">
        <v>24.18514633178711</v>
      </c>
      <c r="J49" s="139">
        <v>22.942012786865234</v>
      </c>
      <c r="K49" s="139">
        <v>19.597604751586914</v>
      </c>
      <c r="L49" s="139">
        <v>19.597604751586914</v>
      </c>
      <c r="M49" s="139">
        <v>13.440227508544922</v>
      </c>
      <c r="N49" s="139">
        <v>9.009384155273438</v>
      </c>
      <c r="O49" s="139">
        <v>23.592599868774414</v>
      </c>
    </row>
    <row r="50" spans="1:15" ht="12.75">
      <c r="A50" s="131">
        <v>1975</v>
      </c>
      <c r="B50" s="139">
        <v>42.21084976196289</v>
      </c>
      <c r="C50" s="139">
        <v>42.21084976196289</v>
      </c>
      <c r="D50" s="139">
        <v>39.74307632446289</v>
      </c>
      <c r="E50" s="139">
        <v>32.34713363647461</v>
      </c>
      <c r="F50" s="139">
        <v>44.10102081298828</v>
      </c>
      <c r="G50" s="139">
        <v>44.80927658081055</v>
      </c>
      <c r="H50" s="139">
        <v>35.43701934814453</v>
      </c>
      <c r="I50" s="139">
        <v>37.06875991821289</v>
      </c>
      <c r="J50" s="139">
        <v>28.87794303894043</v>
      </c>
      <c r="K50" s="139">
        <v>29.35850715637207</v>
      </c>
      <c r="L50" s="139">
        <v>29.35850715637207</v>
      </c>
      <c r="M50" s="139">
        <v>26.45225715637207</v>
      </c>
      <c r="N50" s="139">
        <v>11.980074882507324</v>
      </c>
      <c r="O50" s="139">
        <v>29.478811264038086</v>
      </c>
    </row>
    <row r="51" spans="1:15" ht="12.75">
      <c r="A51" s="131">
        <v>1976</v>
      </c>
      <c r="B51" s="139">
        <v>51.47785186767578</v>
      </c>
      <c r="C51" s="139">
        <v>51.47785186767578</v>
      </c>
      <c r="D51" s="139">
        <v>42.70083236694336</v>
      </c>
      <c r="E51" s="139">
        <v>29.120986938476562</v>
      </c>
      <c r="F51" s="139">
        <v>37.159847259521484</v>
      </c>
      <c r="G51" s="139">
        <v>31.343490600585938</v>
      </c>
      <c r="H51" s="139">
        <v>25.83307456970215</v>
      </c>
      <c r="I51" s="139">
        <v>28.47126007080078</v>
      </c>
      <c r="J51" s="139">
        <v>33.270660400390625</v>
      </c>
      <c r="K51" s="139">
        <v>21.008502960205078</v>
      </c>
      <c r="L51" s="139">
        <v>21.008502960205078</v>
      </c>
      <c r="M51" s="139">
        <v>13.04029369354248</v>
      </c>
      <c r="N51" s="139">
        <v>29.69246482849121</v>
      </c>
      <c r="O51" s="139">
        <v>32.54243850708008</v>
      </c>
    </row>
    <row r="52" spans="1:15" ht="12.75">
      <c r="A52" s="131">
        <v>1977</v>
      </c>
      <c r="B52" s="139">
        <v>35.459197998046875</v>
      </c>
      <c r="C52" s="139">
        <v>35.459197998046875</v>
      </c>
      <c r="D52" s="139">
        <v>31.188844680786133</v>
      </c>
      <c r="E52" s="139">
        <v>31.077428817749023</v>
      </c>
      <c r="F52" s="139">
        <v>46.144691467285156</v>
      </c>
      <c r="G52" s="139">
        <v>46.7803955078125</v>
      </c>
      <c r="H52" s="139">
        <v>56.42789840698242</v>
      </c>
      <c r="I52" s="139">
        <v>44.24455642700195</v>
      </c>
      <c r="J52" s="139">
        <v>50.41988754272461</v>
      </c>
      <c r="K52" s="139">
        <v>37.26820755004883</v>
      </c>
      <c r="L52" s="139">
        <v>37.26820755004883</v>
      </c>
      <c r="M52" s="139">
        <v>39.9476203918457</v>
      </c>
      <c r="N52" s="139">
        <v>48.39657974243164</v>
      </c>
      <c r="O52" s="139">
        <v>66.87979125976562</v>
      </c>
    </row>
    <row r="53" spans="1:15" ht="12.75">
      <c r="A53" s="131">
        <v>1978</v>
      </c>
      <c r="B53" s="139">
        <v>79.02733612060547</v>
      </c>
      <c r="C53" s="139">
        <v>79.02733612060547</v>
      </c>
      <c r="D53" s="139">
        <v>50.70112991333008</v>
      </c>
      <c r="E53" s="139">
        <v>35.62076950073242</v>
      </c>
      <c r="F53" s="139">
        <v>46.07793045043945</v>
      </c>
      <c r="G53" s="139">
        <v>44.802940368652344</v>
      </c>
      <c r="H53" s="139">
        <v>38.48188018798828</v>
      </c>
      <c r="I53" s="139">
        <v>43.216915130615234</v>
      </c>
      <c r="J53" s="139">
        <v>30.667890548706055</v>
      </c>
      <c r="K53" s="139">
        <v>25.202844619750977</v>
      </c>
      <c r="L53" s="139">
        <v>25.202844619750977</v>
      </c>
      <c r="M53" s="139">
        <v>26.85503387451172</v>
      </c>
      <c r="N53" s="139">
        <v>35.74900436401367</v>
      </c>
      <c r="O53" s="139">
        <v>39.47954177856445</v>
      </c>
    </row>
    <row r="54" spans="1:15" ht="12.75">
      <c r="A54" s="131" t="s">
        <v>64</v>
      </c>
      <c r="B54" s="140">
        <f aca="true" t="shared" si="0" ref="B54:O54">AVERAGE(B4:B53)</f>
        <v>57.389831161499025</v>
      </c>
      <c r="C54" s="140">
        <f t="shared" si="0"/>
        <v>57.389831161499025</v>
      </c>
      <c r="D54" s="140">
        <f t="shared" si="0"/>
        <v>43.64635097503662</v>
      </c>
      <c r="E54" s="140">
        <f t="shared" si="0"/>
        <v>31.649324990844725</v>
      </c>
      <c r="F54" s="140">
        <f t="shared" si="0"/>
        <v>42.58473724365234</v>
      </c>
      <c r="G54" s="140">
        <f t="shared" si="0"/>
        <v>44.00097183227539</v>
      </c>
      <c r="H54" s="140">
        <f t="shared" si="0"/>
        <v>39.80143882751465</v>
      </c>
      <c r="I54" s="140">
        <f t="shared" si="0"/>
        <v>38.467829360961915</v>
      </c>
      <c r="J54" s="140">
        <f t="shared" si="0"/>
        <v>36.0733676147461</v>
      </c>
      <c r="K54" s="140">
        <f t="shared" si="0"/>
        <v>27.72112602233887</v>
      </c>
      <c r="L54" s="140">
        <f t="shared" si="0"/>
        <v>27.72112602233887</v>
      </c>
      <c r="M54" s="140">
        <f t="shared" si="0"/>
        <v>25.12467388153076</v>
      </c>
      <c r="N54" s="140">
        <f t="shared" si="0"/>
        <v>26.489986877441407</v>
      </c>
      <c r="O54" s="140">
        <f t="shared" si="0"/>
        <v>42.27837669372558</v>
      </c>
    </row>
    <row r="55" spans="1:15" ht="12.75">
      <c r="A55" s="131"/>
      <c r="B55" s="131"/>
      <c r="C55" s="131"/>
      <c r="D55" s="131"/>
      <c r="E55" s="131"/>
      <c r="F55" s="131"/>
      <c r="G55" s="131"/>
      <c r="H55" s="131"/>
      <c r="I55" s="131"/>
      <c r="J55" s="131"/>
      <c r="K55" s="131"/>
      <c r="L55" s="131"/>
      <c r="M55" s="131"/>
      <c r="N55" s="131"/>
      <c r="O55" s="131"/>
    </row>
    <row r="56" spans="1:15" ht="12.75">
      <c r="A56" s="238" t="str">
        <f>"HLH PF Price consistent with BPA Revenue Requirement (Slice) of "&amp;DOLLAR('Fixed Revenues'!C8,0)</f>
        <v>HLH PF Price consistent with BPA Revenue Requirement (Slice) of $1,703,316,200</v>
      </c>
      <c r="B56" s="238"/>
      <c r="C56" s="238"/>
      <c r="D56" s="238"/>
      <c r="E56" s="238"/>
      <c r="F56" s="238"/>
      <c r="G56" s="238"/>
      <c r="H56" s="238"/>
      <c r="I56" s="238"/>
      <c r="J56" s="238"/>
      <c r="K56" s="238"/>
      <c r="L56" s="238"/>
      <c r="M56" s="238"/>
      <c r="N56" s="238"/>
      <c r="O56" s="238"/>
    </row>
    <row r="57" spans="1:15" ht="12.75">
      <c r="A57" s="131"/>
      <c r="B57" s="133" t="s">
        <v>22</v>
      </c>
      <c r="C57" s="133" t="s">
        <v>23</v>
      </c>
      <c r="D57" s="133" t="s">
        <v>24</v>
      </c>
      <c r="E57" s="133" t="s">
        <v>25</v>
      </c>
      <c r="F57" s="133" t="s">
        <v>26</v>
      </c>
      <c r="G57" s="133" t="s">
        <v>27</v>
      </c>
      <c r="H57" s="133" t="s">
        <v>28</v>
      </c>
      <c r="I57" s="133" t="s">
        <v>29</v>
      </c>
      <c r="J57" s="133" t="s">
        <v>30</v>
      </c>
      <c r="K57" s="133" t="s">
        <v>31</v>
      </c>
      <c r="L57" s="133" t="s">
        <v>32</v>
      </c>
      <c r="M57" s="133" t="s">
        <v>33</v>
      </c>
      <c r="N57" s="133" t="s">
        <v>34</v>
      </c>
      <c r="O57" s="133" t="s">
        <v>35</v>
      </c>
    </row>
    <row r="58" spans="1:15" ht="12.75">
      <c r="A58" s="131" t="s">
        <v>49</v>
      </c>
      <c r="B58" s="141">
        <f>C61</f>
        <v>32.02</v>
      </c>
      <c r="C58" s="141">
        <f>C61</f>
        <v>32.02</v>
      </c>
      <c r="D58" s="141">
        <f>D61</f>
        <v>22.94</v>
      </c>
      <c r="E58" s="141">
        <f aca="true" t="shared" si="1" ref="E58:K58">E61</f>
        <v>16.27</v>
      </c>
      <c r="F58" s="141">
        <f t="shared" si="1"/>
        <v>22</v>
      </c>
      <c r="G58" s="141">
        <f t="shared" si="1"/>
        <v>22.65</v>
      </c>
      <c r="H58" s="141">
        <f t="shared" si="1"/>
        <v>20.12</v>
      </c>
      <c r="I58" s="141">
        <f t="shared" si="1"/>
        <v>18.58</v>
      </c>
      <c r="J58" s="141">
        <f t="shared" si="1"/>
        <v>16.83</v>
      </c>
      <c r="K58" s="141">
        <f t="shared" si="1"/>
        <v>13.18</v>
      </c>
      <c r="L58" s="141">
        <f>K61</f>
        <v>13.18</v>
      </c>
      <c r="M58" s="141">
        <f>L61</f>
        <v>13.13</v>
      </c>
      <c r="N58" s="141">
        <f>M61</f>
        <v>16.45</v>
      </c>
      <c r="O58" s="141">
        <f>N61</f>
        <v>21.63</v>
      </c>
    </row>
    <row r="59" spans="1:15" ht="12.75">
      <c r="A59" s="131"/>
      <c r="B59" s="131"/>
      <c r="C59" s="131"/>
      <c r="D59" s="131"/>
      <c r="E59" s="131"/>
      <c r="F59" s="131"/>
      <c r="G59" s="131"/>
      <c r="H59" s="131"/>
      <c r="I59" s="131"/>
      <c r="J59" s="131"/>
      <c r="K59" s="131"/>
      <c r="L59" s="131"/>
      <c r="M59" s="131"/>
      <c r="N59" s="131"/>
      <c r="O59" s="131"/>
    </row>
    <row r="60" spans="1:15" ht="12.75">
      <c r="A60" s="131"/>
      <c r="B60" s="131"/>
      <c r="C60" s="133" t="s">
        <v>97</v>
      </c>
      <c r="D60" s="133" t="s">
        <v>24</v>
      </c>
      <c r="E60" s="133" t="s">
        <v>25</v>
      </c>
      <c r="F60" s="133" t="s">
        <v>26</v>
      </c>
      <c r="G60" s="133" t="s">
        <v>27</v>
      </c>
      <c r="H60" s="133" t="s">
        <v>28</v>
      </c>
      <c r="I60" s="133" t="s">
        <v>29</v>
      </c>
      <c r="J60" s="133" t="s">
        <v>30</v>
      </c>
      <c r="K60" s="133" t="s">
        <v>96</v>
      </c>
      <c r="L60" s="133" t="s">
        <v>33</v>
      </c>
      <c r="M60" s="133" t="s">
        <v>34</v>
      </c>
      <c r="N60" s="133" t="s">
        <v>35</v>
      </c>
      <c r="O60" s="131"/>
    </row>
    <row r="61" spans="1:15" ht="12.75">
      <c r="A61" s="143" t="s">
        <v>113</v>
      </c>
      <c r="B61" s="140"/>
      <c r="C61" s="141">
        <v>32.02</v>
      </c>
      <c r="D61" s="141">
        <v>22.94</v>
      </c>
      <c r="E61" s="141">
        <v>16.27</v>
      </c>
      <c r="F61" s="141">
        <v>22</v>
      </c>
      <c r="G61" s="141">
        <v>22.65</v>
      </c>
      <c r="H61" s="141">
        <v>20.12</v>
      </c>
      <c r="I61" s="141">
        <v>18.58</v>
      </c>
      <c r="J61" s="141">
        <v>16.83</v>
      </c>
      <c r="K61" s="141">
        <v>13.18</v>
      </c>
      <c r="L61" s="141">
        <v>13.13</v>
      </c>
      <c r="M61" s="141">
        <v>16.45</v>
      </c>
      <c r="N61" s="141">
        <v>21.63</v>
      </c>
      <c r="O61" s="131"/>
    </row>
    <row r="62" spans="1:15" ht="12.75">
      <c r="A62" s="143" t="s">
        <v>102</v>
      </c>
      <c r="B62" s="131"/>
      <c r="C62" s="144">
        <v>2.31</v>
      </c>
      <c r="D62" s="144">
        <v>2.31</v>
      </c>
      <c r="E62" s="144">
        <v>1.76</v>
      </c>
      <c r="F62" s="144">
        <v>2.31</v>
      </c>
      <c r="G62" s="144">
        <v>2.31</v>
      </c>
      <c r="H62" s="144">
        <v>2.16</v>
      </c>
      <c r="I62" s="144">
        <v>2.03</v>
      </c>
      <c r="J62" s="144">
        <v>1.82</v>
      </c>
      <c r="K62" s="144">
        <v>1.45</v>
      </c>
      <c r="L62" s="144">
        <v>1.43</v>
      </c>
      <c r="M62" s="144">
        <v>1.79</v>
      </c>
      <c r="N62" s="144">
        <v>2.31</v>
      </c>
      <c r="O62" s="131"/>
    </row>
    <row r="66" spans="1:14" ht="15.75">
      <c r="A66" s="79"/>
      <c r="B66" s="84"/>
      <c r="C66" s="84"/>
      <c r="D66" s="84"/>
      <c r="E66" s="84"/>
      <c r="F66" s="84"/>
      <c r="G66" s="84"/>
      <c r="H66" s="84"/>
      <c r="I66" s="84"/>
      <c r="J66" s="84"/>
      <c r="K66" s="84"/>
      <c r="L66" s="84"/>
      <c r="M66" s="84"/>
      <c r="N66" s="93"/>
    </row>
    <row r="67" spans="2:14" ht="12.75">
      <c r="B67" s="33"/>
      <c r="C67" s="33"/>
      <c r="D67" s="33"/>
      <c r="E67" s="33"/>
      <c r="F67" s="33"/>
      <c r="G67" s="33"/>
      <c r="H67" s="33"/>
      <c r="I67" s="33"/>
      <c r="J67" s="33"/>
      <c r="K67" s="33"/>
      <c r="L67" s="33"/>
      <c r="M67" s="33"/>
      <c r="N67" s="32"/>
    </row>
    <row r="68" spans="2:14" ht="12.75">
      <c r="B68" s="29"/>
      <c r="C68" s="29"/>
      <c r="D68" s="29"/>
      <c r="E68" s="29"/>
      <c r="F68" s="29"/>
      <c r="G68" s="29"/>
      <c r="H68" s="29"/>
      <c r="I68" s="29"/>
      <c r="J68" s="29"/>
      <c r="K68" s="29"/>
      <c r="L68" s="29"/>
      <c r="M68" s="29"/>
      <c r="N68" s="32"/>
    </row>
    <row r="69" spans="2:14" ht="12.75">
      <c r="B69" s="29"/>
      <c r="C69" s="29"/>
      <c r="D69" s="29"/>
      <c r="E69" s="29"/>
      <c r="F69" s="29"/>
      <c r="G69" s="29"/>
      <c r="H69" s="29"/>
      <c r="I69" s="29"/>
      <c r="J69" s="29"/>
      <c r="K69" s="29"/>
      <c r="L69" s="29"/>
      <c r="M69" s="29"/>
      <c r="N69" s="32"/>
    </row>
    <row r="70" spans="1:14" ht="15.75">
      <c r="A70" s="79"/>
      <c r="B70" s="84"/>
      <c r="C70" s="84"/>
      <c r="D70" s="84"/>
      <c r="E70" s="84"/>
      <c r="F70" s="84"/>
      <c r="G70" s="84"/>
      <c r="H70" s="84"/>
      <c r="I70" s="84"/>
      <c r="J70" s="84"/>
      <c r="K70" s="84"/>
      <c r="L70" s="84"/>
      <c r="M70" s="84"/>
      <c r="N70" s="93"/>
    </row>
    <row r="71" spans="2:14" ht="12.75">
      <c r="B71" s="37"/>
      <c r="C71" s="4"/>
      <c r="D71" s="4"/>
      <c r="E71" s="4"/>
      <c r="F71" s="4"/>
      <c r="G71" s="4"/>
      <c r="H71" s="4"/>
      <c r="I71" s="4"/>
      <c r="J71" s="4"/>
      <c r="K71" s="4"/>
      <c r="L71" s="4"/>
      <c r="M71" s="4"/>
      <c r="N71" s="32"/>
    </row>
    <row r="72" spans="2:14" ht="12.75">
      <c r="B72" s="37"/>
      <c r="C72" s="37"/>
      <c r="D72" s="37"/>
      <c r="E72" s="37"/>
      <c r="F72" s="37"/>
      <c r="G72" s="37"/>
      <c r="H72" s="37"/>
      <c r="I72" s="37"/>
      <c r="J72" s="37"/>
      <c r="K72" s="37"/>
      <c r="L72" s="37"/>
      <c r="M72" s="37"/>
      <c r="N72" s="32"/>
    </row>
    <row r="73" spans="1:14" ht="15.75">
      <c r="A73" s="79"/>
      <c r="B73" s="84"/>
      <c r="C73" s="84"/>
      <c r="D73" s="84"/>
      <c r="E73" s="84"/>
      <c r="F73" s="84"/>
      <c r="G73" s="84"/>
      <c r="H73" s="84"/>
      <c r="I73" s="84"/>
      <c r="J73" s="84"/>
      <c r="K73" s="84"/>
      <c r="L73" s="84"/>
      <c r="M73" s="84"/>
      <c r="N73" s="93"/>
    </row>
    <row r="74" spans="1:14" ht="12.75">
      <c r="A74" s="32"/>
      <c r="B74" s="29"/>
      <c r="C74" s="29"/>
      <c r="D74" s="29"/>
      <c r="E74" s="29"/>
      <c r="F74" s="29"/>
      <c r="G74" s="29"/>
      <c r="H74" s="29"/>
      <c r="I74" s="29"/>
      <c r="J74" s="29"/>
      <c r="K74" s="29"/>
      <c r="L74" s="29"/>
      <c r="M74" s="29"/>
      <c r="N74" s="32"/>
    </row>
  </sheetData>
  <mergeCells count="3">
    <mergeCell ref="A1:O1"/>
    <mergeCell ref="A2:O2"/>
    <mergeCell ref="A56:O56"/>
  </mergeCells>
  <printOptions/>
  <pageMargins left="0.5" right="0.5" top="0.75" bottom="0.75" header="0.5" footer="0.5"/>
  <pageSetup fitToHeight="1" fitToWidth="1" horizontalDpi="300" verticalDpi="300" orientation="portrait" scale="74" r:id="rId1"/>
  <headerFooter alignWithMargins="0">
    <oddFooter>&amp;LSlice Cost Shift Study&amp;CPage &amp;P&amp;R'02 Rate Case</oddFooter>
  </headerFooter>
</worksheet>
</file>

<file path=xl/worksheets/sheet2.xml><?xml version="1.0" encoding="utf-8"?>
<worksheet xmlns="http://schemas.openxmlformats.org/spreadsheetml/2006/main" xmlns:r="http://schemas.openxmlformats.org/officeDocument/2006/relationships">
  <sheetPr codeName="Sheet15">
    <pageSetUpPr fitToPage="1"/>
  </sheetPr>
  <dimension ref="A1:S33"/>
  <sheetViews>
    <sheetView workbookViewId="0" topLeftCell="L1">
      <selection activeCell="B23" sqref="B23:C25"/>
    </sheetView>
  </sheetViews>
  <sheetFormatPr defaultColWidth="9.33203125" defaultRowHeight="12.75"/>
  <cols>
    <col min="1" max="1" width="3.83203125" style="0" customWidth="1"/>
    <col min="2" max="2" width="31.33203125" style="0" bestFit="1" customWidth="1"/>
  </cols>
  <sheetData>
    <row r="1" spans="2:16" ht="18.75">
      <c r="B1" s="190" t="str">
        <f>"Change in BPA's Power Deliveries under "&amp;TEXT(Results!B5,"0%")&amp;" Slice (aMWs)"</f>
        <v>Change in BPA's Power Deliveries under 15% Slice (aMWs)</v>
      </c>
      <c r="C1" s="190"/>
      <c r="D1" s="190"/>
      <c r="E1" s="190"/>
      <c r="F1" s="190"/>
      <c r="G1" s="190"/>
      <c r="H1" s="190"/>
      <c r="I1" s="190"/>
      <c r="J1" s="190"/>
      <c r="K1" s="190"/>
      <c r="L1" s="190"/>
      <c r="M1" s="190"/>
      <c r="N1" s="190"/>
      <c r="O1" s="190"/>
      <c r="P1" s="190"/>
    </row>
    <row r="2" spans="6:19" ht="12.75">
      <c r="F2" s="12"/>
      <c r="G2" s="12"/>
      <c r="H2" s="12"/>
      <c r="I2" s="12"/>
      <c r="J2" s="12"/>
      <c r="K2" s="12"/>
      <c r="L2" s="12"/>
      <c r="M2" s="12"/>
      <c r="N2" s="12"/>
      <c r="O2" s="12"/>
      <c r="P2" s="12"/>
      <c r="Q2" s="12"/>
      <c r="R2" s="12"/>
      <c r="S2" s="12"/>
    </row>
    <row r="3" spans="1:19" ht="12.75">
      <c r="A3">
        <v>1</v>
      </c>
      <c r="B3" s="143" t="s">
        <v>19</v>
      </c>
      <c r="C3" s="157" t="s">
        <v>1</v>
      </c>
      <c r="D3" s="157" t="s">
        <v>2</v>
      </c>
      <c r="E3" s="157" t="s">
        <v>3</v>
      </c>
      <c r="F3" s="157" t="s">
        <v>4</v>
      </c>
      <c r="G3" s="157" t="s">
        <v>5</v>
      </c>
      <c r="H3" s="157" t="s">
        <v>6</v>
      </c>
      <c r="I3" s="157" t="s">
        <v>7</v>
      </c>
      <c r="J3" s="157" t="s">
        <v>8</v>
      </c>
      <c r="K3" s="157" t="s">
        <v>9</v>
      </c>
      <c r="L3" s="157" t="s">
        <v>10</v>
      </c>
      <c r="M3" s="157" t="s">
        <v>11</v>
      </c>
      <c r="N3" s="157" t="s">
        <v>12</v>
      </c>
      <c r="O3" s="157" t="s">
        <v>13</v>
      </c>
      <c r="P3" s="157" t="s">
        <v>14</v>
      </c>
      <c r="Q3" s="12"/>
      <c r="R3" s="12"/>
      <c r="S3" s="12"/>
    </row>
    <row r="4" spans="1:16" ht="12.75">
      <c r="A4">
        <v>2</v>
      </c>
      <c r="B4" s="11" t="s">
        <v>175</v>
      </c>
      <c r="C4" s="1">
        <f>'HLH-LLH Loads'!N7</f>
        <v>920.3032217209618</v>
      </c>
      <c r="D4" s="1">
        <f>'HLH-LLH Loads'!O7</f>
        <v>920.3032217209618</v>
      </c>
      <c r="E4" s="1">
        <f>'HLH-LLH Loads'!P7</f>
        <v>1155.6503966047267</v>
      </c>
      <c r="F4" s="1">
        <f>'HLH-LLH Loads'!Q7</f>
        <v>1018.6687596787216</v>
      </c>
      <c r="G4" s="1">
        <f>'HLH-LLH Loads'!R7</f>
        <v>1160.7020350162345</v>
      </c>
      <c r="H4" s="1">
        <f>'HLH-LLH Loads'!S7</f>
        <v>1487.2963323183735</v>
      </c>
      <c r="I4" s="1">
        <f>'HLH-LLH Loads'!T7</f>
        <v>1574.4142515907345</v>
      </c>
      <c r="J4" s="1">
        <f>'HLH-LLH Loads'!U7</f>
        <v>1656.4185291377514</v>
      </c>
      <c r="K4" s="1">
        <f>'HLH-LLH Loads'!V7</f>
        <v>1386.054710820556</v>
      </c>
      <c r="L4" s="1">
        <f>'HLH-LLH Loads'!W7</f>
        <v>1377.3256884987381</v>
      </c>
      <c r="M4" s="1">
        <f>'HLH-LLH Loads'!X7</f>
        <v>1377.3256884987381</v>
      </c>
      <c r="N4" s="1">
        <f>'HLH-LLH Loads'!Y7</f>
        <v>838.2848030672804</v>
      </c>
      <c r="O4" s="1">
        <f>'HLH-LLH Loads'!Z7</f>
        <v>745.1754056789449</v>
      </c>
      <c r="P4" s="1">
        <f>'HLH-LLH Loads'!AA7</f>
        <v>728.2582909985465</v>
      </c>
    </row>
    <row r="5" spans="1:16" ht="12.75">
      <c r="A5">
        <v>3</v>
      </c>
      <c r="B5" t="str">
        <f>"'"&amp;'Effect on Loads'!C24&amp;" Water' Slice Load"</f>
        <v>'1931 Water' Slice Load</v>
      </c>
      <c r="C5" s="1">
        <f>VLOOKUP('Effect on Loads'!$C$24,'HLH Slice Load'!$A$3:$O$52,C21)</f>
        <v>1363.209049733194</v>
      </c>
      <c r="D5" s="1">
        <f>VLOOKUP('Effect on Loads'!$C$24,'HLH Slice Load'!$A$3:$O$52,D21)</f>
        <v>1242.0111875156522</v>
      </c>
      <c r="E5" s="1">
        <f>VLOOKUP('Effect on Loads'!$C$24,'HLH Slice Load'!$A$3:$O$52,E21)</f>
        <v>1052.6549039570073</v>
      </c>
      <c r="F5" s="1">
        <f>VLOOKUP('Effect on Loads'!$C$24,'HLH Slice Load'!$A$3:$O$52,F21)</f>
        <v>1178.7230933996268</v>
      </c>
      <c r="G5" s="1">
        <f>VLOOKUP('Effect on Loads'!$C$24,'HLH Slice Load'!$A$3:$O$52,G21)</f>
        <v>1220.2730987854775</v>
      </c>
      <c r="H5" s="1">
        <f>VLOOKUP('Effect on Loads'!$C$24,'HLH Slice Load'!$A$3:$O$52,H21)</f>
        <v>1465.8403574285337</v>
      </c>
      <c r="I5" s="1">
        <f>VLOOKUP('Effect on Loads'!$C$24,'HLH Slice Load'!$A$3:$O$52,I21)</f>
        <v>964.4638170534688</v>
      </c>
      <c r="J5" s="1">
        <f>VLOOKUP('Effect on Loads'!$C$24,'HLH Slice Load'!$A$3:$O$52,J21)</f>
        <v>948.5768434567209</v>
      </c>
      <c r="K5" s="1">
        <f>VLOOKUP('Effect on Loads'!$C$24,'HLH Slice Load'!$A$3:$O$52,K21)</f>
        <v>1010.9192751486971</v>
      </c>
      <c r="L5" s="1">
        <f>VLOOKUP('Effect on Loads'!$C$24,'HLH Slice Load'!$A$3:$O$52,L21)</f>
        <v>1443.875233072635</v>
      </c>
      <c r="M5" s="1">
        <f>VLOOKUP('Effect on Loads'!$C$24,'HLH Slice Load'!$A$3:$O$52,M21)</f>
        <v>1203.520608847155</v>
      </c>
      <c r="N5" s="1">
        <f>VLOOKUP('Effect on Loads'!$C$24,'HLH Slice Load'!$A$3:$O$52,N21)</f>
        <v>1656.4871158069595</v>
      </c>
      <c r="O5" s="1">
        <f>VLOOKUP('Effect on Loads'!$C$24,'HLH Slice Load'!$A$3:$O$52,O21)</f>
        <v>1289.546279843978</v>
      </c>
      <c r="P5" s="1">
        <f>VLOOKUP('Effect on Loads'!$C$24,'HLH Slice Load'!$A$3:$O$52,P21)</f>
        <v>1460.0670194612346</v>
      </c>
    </row>
    <row r="6" spans="1:16" ht="12.75">
      <c r="A6">
        <v>4</v>
      </c>
      <c r="B6" t="str">
        <f>"'"&amp;'Effect on Loads'!C25&amp;" Water' Slice Load"</f>
        <v>'1934 Water' Slice Load</v>
      </c>
      <c r="C6" s="1">
        <f>VLOOKUP('Effect on Loads'!$C$25,'HLH Slice Load'!$A$3:$O$52,C21)</f>
        <v>1738.6396355581676</v>
      </c>
      <c r="D6" s="1">
        <f>VLOOKUP('Effect on Loads'!$C$25,'HLH Slice Load'!$A$3:$O$52,D21)</f>
        <v>1755.754522787469</v>
      </c>
      <c r="E6" s="1">
        <f>VLOOKUP('Effect on Loads'!$C$25,'HLH Slice Load'!$A$3:$O$52,E21)</f>
        <v>1312.1753913692655</v>
      </c>
      <c r="F6" s="1">
        <f>VLOOKUP('Effect on Loads'!$C$25,'HLH Slice Load'!$A$3:$O$52,F21)</f>
        <v>1577.7532504648643</v>
      </c>
      <c r="G6" s="1">
        <f>VLOOKUP('Effect on Loads'!$C$25,'HLH Slice Load'!$A$3:$O$52,G21)</f>
        <v>1580.729094114101</v>
      </c>
      <c r="H6" s="1">
        <f>VLOOKUP('Effect on Loads'!$C$25,'HLH Slice Load'!$A$3:$O$52,H21)</f>
        <v>2298.921427863403</v>
      </c>
      <c r="I6" s="1">
        <f>VLOOKUP('Effect on Loads'!$C$25,'HLH Slice Load'!$A$3:$O$52,I21)</f>
        <v>2546.6706093508133</v>
      </c>
      <c r="J6" s="1">
        <f>VLOOKUP('Effect on Loads'!$C$25,'HLH Slice Load'!$A$3:$O$52,J21)</f>
        <v>2254.315050274765</v>
      </c>
      <c r="K6" s="1">
        <f>VLOOKUP('Effect on Loads'!$C$25,'HLH Slice Load'!$A$3:$O$52,K21)</f>
        <v>1954.2092810801282</v>
      </c>
      <c r="L6" s="1">
        <f>VLOOKUP('Effect on Loads'!$C$25,'HLH Slice Load'!$A$3:$O$52,L21)</f>
        <v>2215.4232428751848</v>
      </c>
      <c r="M6" s="1">
        <f>VLOOKUP('Effect on Loads'!$C$25,'HLH Slice Load'!$A$3:$O$52,M21)</f>
        <v>2135.236277330042</v>
      </c>
      <c r="N6" s="1">
        <f>VLOOKUP('Effect on Loads'!$C$25,'HLH Slice Load'!$A$3:$O$52,N21)</f>
        <v>1944.6444328796279</v>
      </c>
      <c r="O6" s="1">
        <f>VLOOKUP('Effect on Loads'!$C$25,'HLH Slice Load'!$A$3:$O$52,O21)</f>
        <v>1476.7842941170384</v>
      </c>
      <c r="P6" s="1">
        <f>VLOOKUP('Effect on Loads'!$C$25,'HLH Slice Load'!$A$3:$O$52,P21)</f>
        <v>1207.9056460315535</v>
      </c>
    </row>
    <row r="7" spans="1:16" ht="12.75">
      <c r="A7">
        <v>5</v>
      </c>
      <c r="B7" t="str">
        <f>"50 Yr Ave Slice Load"</f>
        <v>50 Yr Ave Slice Load</v>
      </c>
      <c r="C7" s="1">
        <f>'HLH Slice Load'!B53</f>
        <v>1568.254389862767</v>
      </c>
      <c r="D7" s="1">
        <f>'HLH Slice Load'!C53</f>
        <v>1343.7943757505707</v>
      </c>
      <c r="E7" s="1">
        <f>'HLH Slice Load'!D53</f>
        <v>1234.676103748627</v>
      </c>
      <c r="F7" s="1">
        <f>'HLH Slice Load'!E53</f>
        <v>1389.6908003177025</v>
      </c>
      <c r="G7" s="1">
        <f>'HLH Slice Load'!F53</f>
        <v>1200.7622870476239</v>
      </c>
      <c r="H7" s="1">
        <f>'HLH Slice Load'!G53</f>
        <v>1550.3262510848372</v>
      </c>
      <c r="I7" s="1">
        <f>'HLH Slice Load'!H53</f>
        <v>1908.0211504558567</v>
      </c>
      <c r="J7" s="1">
        <f>'HLH Slice Load'!I53</f>
        <v>1846.2137928883662</v>
      </c>
      <c r="K7" s="1">
        <f>'HLH Slice Load'!J53</f>
        <v>1588.1087674315545</v>
      </c>
      <c r="L7" s="1">
        <f>'HLH Slice Load'!K53</f>
        <v>1726.8673388770974</v>
      </c>
      <c r="M7" s="1">
        <f>'HLH Slice Load'!L53</f>
        <v>1716.0168904805284</v>
      </c>
      <c r="N7" s="1">
        <f>'HLH Slice Load'!M53</f>
        <v>1881.3207991570155</v>
      </c>
      <c r="O7" s="1">
        <f>'HLH Slice Load'!N53</f>
        <v>1914.128400429383</v>
      </c>
      <c r="P7" s="1">
        <f>'HLH Slice Load'!O53</f>
        <v>1679.793387606473</v>
      </c>
    </row>
    <row r="8" spans="1:16" ht="12.75">
      <c r="A8">
        <v>6</v>
      </c>
      <c r="B8" t="str">
        <f>"Slice ("&amp;'Effect on Loads'!C24&amp;") - Non-Slice Load"</f>
        <v>Slice (1931) - Non-Slice Load</v>
      </c>
      <c r="C8" s="1">
        <f aca="true" t="shared" si="0" ref="C8:P8">C5-C$4</f>
        <v>442.9058280122322</v>
      </c>
      <c r="D8" s="1">
        <f t="shared" si="0"/>
        <v>321.7079657946904</v>
      </c>
      <c r="E8" s="1">
        <f t="shared" si="0"/>
        <v>-102.9954926477194</v>
      </c>
      <c r="F8" s="1">
        <f t="shared" si="0"/>
        <v>160.05433372090522</v>
      </c>
      <c r="G8" s="1">
        <f t="shared" si="0"/>
        <v>59.57106376924298</v>
      </c>
      <c r="H8" s="1">
        <f t="shared" si="0"/>
        <v>-21.45597488983981</v>
      </c>
      <c r="I8" s="1">
        <f t="shared" si="0"/>
        <v>-609.9504345372657</v>
      </c>
      <c r="J8" s="1">
        <f t="shared" si="0"/>
        <v>-707.8416856810305</v>
      </c>
      <c r="K8" s="1">
        <f t="shared" si="0"/>
        <v>-375.1354356718589</v>
      </c>
      <c r="L8" s="1">
        <f t="shared" si="0"/>
        <v>66.54954457389681</v>
      </c>
      <c r="M8" s="1">
        <f t="shared" si="0"/>
        <v>-173.80507965158313</v>
      </c>
      <c r="N8" s="1">
        <f t="shared" si="0"/>
        <v>818.2023127396791</v>
      </c>
      <c r="O8" s="1">
        <f t="shared" si="0"/>
        <v>544.3708741650331</v>
      </c>
      <c r="P8" s="1">
        <f t="shared" si="0"/>
        <v>731.8087284626881</v>
      </c>
    </row>
    <row r="9" spans="1:16" ht="12.75">
      <c r="A9">
        <v>7</v>
      </c>
      <c r="B9" t="str">
        <f>"Slice ("&amp;'Effect on Loads'!C25&amp;") - Non-Slice Load"</f>
        <v>Slice (1934) - Non-Slice Load</v>
      </c>
      <c r="C9" s="1">
        <f aca="true" t="shared" si="1" ref="C9:P9">C6-C$4</f>
        <v>818.3364138372058</v>
      </c>
      <c r="D9" s="1">
        <f t="shared" si="1"/>
        <v>835.4513010665073</v>
      </c>
      <c r="E9" s="1">
        <f t="shared" si="1"/>
        <v>156.52499476453886</v>
      </c>
      <c r="F9" s="1">
        <f t="shared" si="1"/>
        <v>559.0844907861427</v>
      </c>
      <c r="G9" s="1">
        <f t="shared" si="1"/>
        <v>420.0270590978664</v>
      </c>
      <c r="H9" s="1">
        <f t="shared" si="1"/>
        <v>811.6250955450296</v>
      </c>
      <c r="I9" s="1">
        <f t="shared" si="1"/>
        <v>972.2563577600788</v>
      </c>
      <c r="J9" s="1">
        <f t="shared" si="1"/>
        <v>597.8965211370135</v>
      </c>
      <c r="K9" s="1">
        <f t="shared" si="1"/>
        <v>568.1545702595722</v>
      </c>
      <c r="L9" s="1">
        <f t="shared" si="1"/>
        <v>838.0975543764466</v>
      </c>
      <c r="M9" s="1">
        <f t="shared" si="1"/>
        <v>757.9105888313038</v>
      </c>
      <c r="N9" s="1">
        <f t="shared" si="1"/>
        <v>1106.3596298123475</v>
      </c>
      <c r="O9" s="1">
        <f t="shared" si="1"/>
        <v>731.6088884380935</v>
      </c>
      <c r="P9" s="1">
        <f t="shared" si="1"/>
        <v>479.647355033007</v>
      </c>
    </row>
    <row r="10" spans="1:16" ht="12.75">
      <c r="A10">
        <v>8</v>
      </c>
      <c r="B10" t="str">
        <f>"Slice (50 Yr Ave) - Non-Slice Load"</f>
        <v>Slice (50 Yr Ave) - Non-Slice Load</v>
      </c>
      <c r="C10" s="1">
        <f aca="true" t="shared" si="2" ref="C10:P10">C7-C$4</f>
        <v>647.9511681418053</v>
      </c>
      <c r="D10" s="1">
        <f t="shared" si="2"/>
        <v>423.4911540296089</v>
      </c>
      <c r="E10" s="1">
        <f t="shared" si="2"/>
        <v>79.02570714390026</v>
      </c>
      <c r="F10" s="1">
        <f t="shared" si="2"/>
        <v>371.0220406389809</v>
      </c>
      <c r="G10" s="1">
        <f t="shared" si="2"/>
        <v>40.06025203138938</v>
      </c>
      <c r="H10" s="1">
        <f t="shared" si="2"/>
        <v>63.02991876646365</v>
      </c>
      <c r="I10" s="1">
        <f t="shared" si="2"/>
        <v>333.6068988651223</v>
      </c>
      <c r="J10" s="1">
        <f t="shared" si="2"/>
        <v>189.79526375061482</v>
      </c>
      <c r="K10" s="1">
        <f t="shared" si="2"/>
        <v>202.0540566109985</v>
      </c>
      <c r="L10" s="1">
        <f t="shared" si="2"/>
        <v>349.54165037835924</v>
      </c>
      <c r="M10" s="1">
        <f t="shared" si="2"/>
        <v>338.6912019817903</v>
      </c>
      <c r="N10" s="1">
        <f t="shared" si="2"/>
        <v>1043.035996089735</v>
      </c>
      <c r="O10" s="1">
        <f t="shared" si="2"/>
        <v>1168.952994750438</v>
      </c>
      <c r="P10" s="1">
        <f t="shared" si="2"/>
        <v>951.5350966079266</v>
      </c>
    </row>
    <row r="11" ht="12.75">
      <c r="A11">
        <v>9</v>
      </c>
    </row>
    <row r="12" spans="1:4" ht="12.75">
      <c r="A12">
        <v>10</v>
      </c>
      <c r="B12" s="143" t="s">
        <v>38</v>
      </c>
      <c r="C12" s="100"/>
      <c r="D12" s="100"/>
    </row>
    <row r="13" spans="1:16" ht="12.75">
      <c r="A13">
        <v>11</v>
      </c>
      <c r="B13" s="11" t="s">
        <v>37</v>
      </c>
      <c r="C13" s="1">
        <f>'HLH-LLH Loads'!N8</f>
        <v>641.5972382491898</v>
      </c>
      <c r="D13" s="1">
        <f>'HLH-LLH Loads'!O8</f>
        <v>641.5972382491898</v>
      </c>
      <c r="E13" s="1">
        <f>'HLH-LLH Loads'!P8</f>
        <v>881.7798700919733</v>
      </c>
      <c r="F13" s="1">
        <f>'HLH-LLH Loads'!Q8</f>
        <v>783.8836208241862</v>
      </c>
      <c r="G13" s="1">
        <f>'HLH-LLH Loads'!R8</f>
        <v>916.0221877454992</v>
      </c>
      <c r="H13" s="1">
        <f>'HLH-LLH Loads'!S8</f>
        <v>1062.8097067741721</v>
      </c>
      <c r="I13" s="1">
        <f>'HLH-LLH Loads'!T8</f>
        <v>1432.628989508567</v>
      </c>
      <c r="J13" s="1">
        <f>'HLH-LLH Loads'!U8</f>
        <v>1402.6846522579233</v>
      </c>
      <c r="K13" s="1">
        <f>'HLH-LLH Loads'!V8</f>
        <v>1161.0153149177233</v>
      </c>
      <c r="L13" s="1">
        <f>'HLH-LLH Loads'!W8</f>
        <v>987.3603495236785</v>
      </c>
      <c r="M13" s="1">
        <f>'HLH-LLH Loads'!X8</f>
        <v>987.3603495236785</v>
      </c>
      <c r="N13" s="1">
        <f>'HLH-LLH Loads'!Y8</f>
        <v>729.6288905675602</v>
      </c>
      <c r="O13" s="1">
        <f>'HLH-LLH Loads'!Z8</f>
        <v>558.1658539579454</v>
      </c>
      <c r="P13" s="1">
        <f>'HLH-LLH Loads'!AA8</f>
        <v>524.9233978642097</v>
      </c>
    </row>
    <row r="14" spans="1:16" ht="12.75">
      <c r="A14">
        <v>12</v>
      </c>
      <c r="B14" t="str">
        <f>B5</f>
        <v>'1931 Water' Slice Load</v>
      </c>
      <c r="C14" s="1">
        <f>VLOOKUP('Effect on Loads'!$C$24,'LLH Slice Load'!$A$3:$O$52,C21)</f>
        <v>954.1910602486829</v>
      </c>
      <c r="D14" s="1">
        <f>VLOOKUP('Effect on Loads'!$C$24,'LLH Slice Load'!$A$3:$O$52,D21)</f>
        <v>941.3978576667921</v>
      </c>
      <c r="E14" s="1">
        <f>VLOOKUP('Effect on Loads'!$C$24,'LLH Slice Load'!$A$3:$O$52,E21)</f>
        <v>740.9562459864256</v>
      </c>
      <c r="F14" s="1">
        <f>VLOOKUP('Effect on Loads'!$C$24,'LLH Slice Load'!$A$3:$O$52,F21)</f>
        <v>797.857058165098</v>
      </c>
      <c r="G14" s="1">
        <f>VLOOKUP('Effect on Loads'!$C$24,'LLH Slice Load'!$A$3:$O$52,G21)</f>
        <v>843.5091394847169</v>
      </c>
      <c r="H14" s="1">
        <f>VLOOKUP('Effect on Loads'!$C$24,'LLH Slice Load'!$A$3:$O$52,H21)</f>
        <v>898.3367312135116</v>
      </c>
      <c r="I14" s="1">
        <f>VLOOKUP('Effect on Loads'!$C$24,'LLH Slice Load'!$A$3:$O$52,I21)</f>
        <v>763.6317052611051</v>
      </c>
      <c r="J14" s="1">
        <f>VLOOKUP('Effect on Loads'!$C$24,'LLH Slice Load'!$A$3:$O$52,J21)</f>
        <v>754.5308377829152</v>
      </c>
      <c r="K14" s="1">
        <f>VLOOKUP('Effect on Loads'!$C$24,'LLH Slice Load'!$A$3:$O$52,K21)</f>
        <v>796.165310824477</v>
      </c>
      <c r="L14" s="1">
        <f>VLOOKUP('Effect on Loads'!$C$24,'LLH Slice Load'!$A$3:$O$52,L21)</f>
        <v>1081.5173159294104</v>
      </c>
      <c r="M14" s="1">
        <f>VLOOKUP('Effect on Loads'!$C$24,'LLH Slice Load'!$A$3:$O$52,M21)</f>
        <v>843.3313388457335</v>
      </c>
      <c r="N14" s="1">
        <f>VLOOKUP('Effect on Loads'!$C$24,'LLH Slice Load'!$A$3:$O$52,N21)</f>
        <v>1103.91645952173</v>
      </c>
      <c r="O14" s="1">
        <f>VLOOKUP('Effect on Loads'!$C$24,'LLH Slice Load'!$A$3:$O$52,O21)</f>
        <v>884.5268091580026</v>
      </c>
      <c r="P14" s="1">
        <f>VLOOKUP('Effect on Loads'!$C$24,'LLH Slice Load'!$A$3:$O$52,P21)</f>
        <v>988.0957964317223</v>
      </c>
    </row>
    <row r="15" spans="1:16" ht="12.75">
      <c r="A15">
        <v>13</v>
      </c>
      <c r="B15" t="str">
        <f>B6</f>
        <v>'1934 Water' Slice Load</v>
      </c>
      <c r="C15" s="1">
        <f>VLOOKUP('Effect on Loads'!$C$25,'LLH Slice Load'!$A$3:$O$52,C21)</f>
        <v>1236.5645944743358</v>
      </c>
      <c r="D15" s="1">
        <f>VLOOKUP('Effect on Loads'!$C$25,'LLH Slice Load'!$A$3:$O$52,D21)</f>
        <v>1334.8474329903158</v>
      </c>
      <c r="E15" s="1">
        <f>VLOOKUP('Effect on Loads'!$C$25,'LLH Slice Load'!$A$3:$O$52,E21)</f>
        <v>898.0381419049454</v>
      </c>
      <c r="F15" s="1">
        <f>VLOOKUP('Effect on Loads'!$C$25,'LLH Slice Load'!$A$3:$O$52,F21)</f>
        <v>1018.6367760836292</v>
      </c>
      <c r="G15" s="1">
        <f>VLOOKUP('Effect on Loads'!$C$25,'LLH Slice Load'!$A$3:$O$52,G21)</f>
        <v>1046.6508862900562</v>
      </c>
      <c r="H15" s="1">
        <f>VLOOKUP('Effect on Loads'!$C$25,'LLH Slice Load'!$A$3:$O$52,H21)</f>
        <v>1481.7834581026598</v>
      </c>
      <c r="I15" s="1">
        <f>VLOOKUP('Effect on Loads'!$C$25,'LLH Slice Load'!$A$3:$O$52,I21)</f>
        <v>2364.5027916645017</v>
      </c>
      <c r="J15" s="1">
        <f>VLOOKUP('Effect on Loads'!$C$25,'LLH Slice Load'!$A$3:$O$52,J21)</f>
        <v>1804.6465996336465</v>
      </c>
      <c r="K15" s="1">
        <f>VLOOKUP('Effect on Loads'!$C$25,'LLH Slice Load'!$A$3:$O$52,K21)</f>
        <v>1418.2965279962932</v>
      </c>
      <c r="L15" s="1">
        <f>VLOOKUP('Effect on Loads'!$C$25,'LLH Slice Load'!$A$3:$O$52,L21)</f>
        <v>2164.7108821008324</v>
      </c>
      <c r="M15" s="1">
        <f>VLOOKUP('Effect on Loads'!$C$25,'LLH Slice Load'!$A$3:$O$52,M21)</f>
        <v>1977.6698765493636</v>
      </c>
      <c r="N15" s="1">
        <f>VLOOKUP('Effect on Loads'!$C$25,'LLH Slice Load'!$A$3:$O$52,N21)</f>
        <v>1923.2234694192443</v>
      </c>
      <c r="O15" s="1">
        <f>VLOOKUP('Effect on Loads'!$C$25,'LLH Slice Load'!$A$3:$O$52,O21)</f>
        <v>1043.1328352094542</v>
      </c>
      <c r="P15" s="1">
        <f>VLOOKUP('Effect on Loads'!$C$25,'LLH Slice Load'!$A$3:$O$52,P21)</f>
        <v>888.8674223405792</v>
      </c>
    </row>
    <row r="16" spans="1:16" ht="12.75">
      <c r="A16">
        <v>14</v>
      </c>
      <c r="B16" t="str">
        <f>"Slice 50 Yr Ave"</f>
        <v>Slice 50 Yr Ave</v>
      </c>
      <c r="C16" s="1">
        <f>'LLH Slice Load'!B53</f>
        <v>1108.758298558267</v>
      </c>
      <c r="D16" s="1">
        <f>'LLH Slice Load'!C53</f>
        <v>985.7038357351323</v>
      </c>
      <c r="E16" s="1">
        <f>'LLH Slice Load'!D53</f>
        <v>833.5372458224606</v>
      </c>
      <c r="F16" s="1">
        <f>'LLH Slice Load'!E53</f>
        <v>919.9125965328607</v>
      </c>
      <c r="G16" s="1">
        <f>'LLH Slice Load'!F53</f>
        <v>851.2709110107263</v>
      </c>
      <c r="H16" s="1">
        <f>'LLH Slice Load'!G53</f>
        <v>992.1410033520941</v>
      </c>
      <c r="I16" s="1">
        <f>'LLH Slice Load'!H53</f>
        <v>1401.2517753772993</v>
      </c>
      <c r="J16" s="1">
        <f>'LLH Slice Load'!I53</f>
        <v>1330.5321756093256</v>
      </c>
      <c r="K16" s="1">
        <f>'LLH Slice Load'!J53</f>
        <v>1100.3425682738678</v>
      </c>
      <c r="L16" s="1">
        <f>'LLH Slice Load'!K53</f>
        <v>1372.2200387074627</v>
      </c>
      <c r="M16" s="1">
        <f>'LLH Slice Load'!L53</f>
        <v>1308.6773556724877</v>
      </c>
      <c r="N16" s="1">
        <f>'LLH Slice Load'!M53</f>
        <v>1503.3158127103886</v>
      </c>
      <c r="O16" s="1">
        <f>'LLH Slice Load'!N53</f>
        <v>1434.6110836369442</v>
      </c>
      <c r="P16" s="1">
        <f>'LLH Slice Load'!O53</f>
        <v>1254.04061156169</v>
      </c>
    </row>
    <row r="17" spans="1:16" ht="12.75">
      <c r="A17">
        <v>15</v>
      </c>
      <c r="B17" t="str">
        <f>B8</f>
        <v>Slice (1931) - Non-Slice Load</v>
      </c>
      <c r="C17" s="1">
        <f aca="true" t="shared" si="3" ref="C17:P17">C14-C$13</f>
        <v>312.5938219994931</v>
      </c>
      <c r="D17" s="1">
        <f t="shared" si="3"/>
        <v>299.8006194176023</v>
      </c>
      <c r="E17" s="1">
        <f t="shared" si="3"/>
        <v>-140.82362410554765</v>
      </c>
      <c r="F17" s="1">
        <f t="shared" si="3"/>
        <v>13.9734373409118</v>
      </c>
      <c r="G17" s="1">
        <f t="shared" si="3"/>
        <v>-72.51304826078228</v>
      </c>
      <c r="H17" s="1">
        <f t="shared" si="3"/>
        <v>-164.47297556066053</v>
      </c>
      <c r="I17" s="1">
        <f t="shared" si="3"/>
        <v>-668.9972842474618</v>
      </c>
      <c r="J17" s="1">
        <f t="shared" si="3"/>
        <v>-648.1538144750081</v>
      </c>
      <c r="K17" s="1">
        <f t="shared" si="3"/>
        <v>-364.8500040932463</v>
      </c>
      <c r="L17" s="1">
        <f t="shared" si="3"/>
        <v>94.15696640573196</v>
      </c>
      <c r="M17" s="1">
        <f t="shared" si="3"/>
        <v>-144.02901067794494</v>
      </c>
      <c r="N17" s="1">
        <f t="shared" si="3"/>
        <v>374.28756895416984</v>
      </c>
      <c r="O17" s="1">
        <f t="shared" si="3"/>
        <v>326.3609552000572</v>
      </c>
      <c r="P17" s="1">
        <f t="shared" si="3"/>
        <v>463.1723985675126</v>
      </c>
    </row>
    <row r="18" spans="1:16" ht="12.75">
      <c r="A18">
        <v>16</v>
      </c>
      <c r="B18" t="str">
        <f>B9</f>
        <v>Slice (1934) - Non-Slice Load</v>
      </c>
      <c r="C18" s="1">
        <f aca="true" t="shared" si="4" ref="C18:P18">C15-C$13</f>
        <v>594.967356225146</v>
      </c>
      <c r="D18" s="1">
        <f t="shared" si="4"/>
        <v>693.250194741126</v>
      </c>
      <c r="E18" s="1">
        <f t="shared" si="4"/>
        <v>16.25827181297211</v>
      </c>
      <c r="F18" s="1">
        <f t="shared" si="4"/>
        <v>234.75315525944302</v>
      </c>
      <c r="G18" s="1">
        <f t="shared" si="4"/>
        <v>130.62869854455698</v>
      </c>
      <c r="H18" s="1">
        <f t="shared" si="4"/>
        <v>418.97375132848765</v>
      </c>
      <c r="I18" s="1">
        <f t="shared" si="4"/>
        <v>931.8738021559348</v>
      </c>
      <c r="J18" s="1">
        <f t="shared" si="4"/>
        <v>401.9619473757232</v>
      </c>
      <c r="K18" s="1">
        <f t="shared" si="4"/>
        <v>257.28121307856986</v>
      </c>
      <c r="L18" s="1">
        <f t="shared" si="4"/>
        <v>1177.350532577154</v>
      </c>
      <c r="M18" s="1">
        <f t="shared" si="4"/>
        <v>990.3095270256852</v>
      </c>
      <c r="N18" s="1">
        <f t="shared" si="4"/>
        <v>1193.5945788516842</v>
      </c>
      <c r="O18" s="1">
        <f t="shared" si="4"/>
        <v>484.96698125150886</v>
      </c>
      <c r="P18" s="1">
        <f t="shared" si="4"/>
        <v>363.94402447636946</v>
      </c>
    </row>
    <row r="19" spans="1:16" ht="12.75">
      <c r="A19">
        <v>17</v>
      </c>
      <c r="B19" t="str">
        <f>"Slice (50 Yr Ave) - Load"</f>
        <v>Slice (50 Yr Ave) - Load</v>
      </c>
      <c r="C19" s="1">
        <f aca="true" t="shared" si="5" ref="C19:P19">C16-C$13</f>
        <v>467.16106030907713</v>
      </c>
      <c r="D19" s="1">
        <f t="shared" si="5"/>
        <v>344.10659748594253</v>
      </c>
      <c r="E19" s="1">
        <f t="shared" si="5"/>
        <v>-48.2426242695127</v>
      </c>
      <c r="F19" s="1">
        <f t="shared" si="5"/>
        <v>136.02897570867447</v>
      </c>
      <c r="G19" s="1">
        <f t="shared" si="5"/>
        <v>-64.75127673477289</v>
      </c>
      <c r="H19" s="1">
        <f t="shared" si="5"/>
        <v>-70.66870342207801</v>
      </c>
      <c r="I19" s="1">
        <f t="shared" si="5"/>
        <v>-31.377214131267692</v>
      </c>
      <c r="J19" s="1">
        <f t="shared" si="5"/>
        <v>-72.15247664859771</v>
      </c>
      <c r="K19" s="1">
        <f t="shared" si="5"/>
        <v>-60.67274664385559</v>
      </c>
      <c r="L19" s="1">
        <f t="shared" si="5"/>
        <v>384.8596891837842</v>
      </c>
      <c r="M19" s="1">
        <f t="shared" si="5"/>
        <v>321.31700614880924</v>
      </c>
      <c r="N19" s="1">
        <f t="shared" si="5"/>
        <v>773.6869221428284</v>
      </c>
      <c r="O19" s="1">
        <f t="shared" si="5"/>
        <v>876.4452296789988</v>
      </c>
      <c r="P19" s="1">
        <f t="shared" si="5"/>
        <v>729.1172136974802</v>
      </c>
    </row>
    <row r="20" ht="12.75">
      <c r="A20">
        <v>18</v>
      </c>
    </row>
    <row r="21" spans="1:16" ht="12.75">
      <c r="A21">
        <v>19</v>
      </c>
      <c r="B21" t="s">
        <v>86</v>
      </c>
      <c r="C21">
        <v>2</v>
      </c>
      <c r="D21">
        <v>3</v>
      </c>
      <c r="E21">
        <v>4</v>
      </c>
      <c r="F21">
        <v>5</v>
      </c>
      <c r="G21">
        <v>6</v>
      </c>
      <c r="H21">
        <v>7</v>
      </c>
      <c r="I21">
        <v>8</v>
      </c>
      <c r="J21">
        <v>9</v>
      </c>
      <c r="K21">
        <v>10</v>
      </c>
      <c r="L21">
        <v>11</v>
      </c>
      <c r="M21">
        <v>12</v>
      </c>
      <c r="N21">
        <v>13</v>
      </c>
      <c r="O21">
        <v>14</v>
      </c>
      <c r="P21">
        <v>15</v>
      </c>
    </row>
    <row r="22" ht="13.5" thickBot="1">
      <c r="A22">
        <v>20</v>
      </c>
    </row>
    <row r="23" spans="1:3" ht="12.75">
      <c r="A23">
        <v>21</v>
      </c>
      <c r="B23" s="193" t="s">
        <v>88</v>
      </c>
      <c r="C23" s="194"/>
    </row>
    <row r="24" spans="1:3" ht="12.75">
      <c r="A24">
        <v>22</v>
      </c>
      <c r="B24" s="186" t="s">
        <v>177</v>
      </c>
      <c r="C24" s="187">
        <f>'Effect on Loads'!H32</f>
        <v>1931</v>
      </c>
    </row>
    <row r="25" spans="1:3" ht="13.5" thickBot="1">
      <c r="A25">
        <v>23</v>
      </c>
      <c r="B25" s="188" t="s">
        <v>89</v>
      </c>
      <c r="C25" s="189">
        <f>'Effect on Loads'!H33</f>
        <v>1934</v>
      </c>
    </row>
    <row r="26" ht="12.75">
      <c r="A26">
        <v>24</v>
      </c>
    </row>
    <row r="27" spans="1:11" ht="12.75">
      <c r="A27">
        <v>25</v>
      </c>
      <c r="J27" s="8"/>
      <c r="K27" s="8"/>
    </row>
    <row r="28" ht="12.75">
      <c r="A28">
        <v>26</v>
      </c>
    </row>
    <row r="29" spans="1:4" ht="12.75">
      <c r="A29">
        <v>27</v>
      </c>
      <c r="B29" s="195" t="s">
        <v>67</v>
      </c>
      <c r="C29" s="195"/>
      <c r="D29" s="195"/>
    </row>
    <row r="30" spans="1:6" ht="12.75">
      <c r="A30">
        <v>28</v>
      </c>
      <c r="B30" s="24"/>
      <c r="C30" s="25"/>
      <c r="D30" s="119" t="s">
        <v>17</v>
      </c>
      <c r="F30" t="s">
        <v>150</v>
      </c>
    </row>
    <row r="31" spans="1:9" ht="25.5">
      <c r="A31">
        <v>29</v>
      </c>
      <c r="B31" s="26" t="s">
        <v>65</v>
      </c>
      <c r="C31" s="23"/>
      <c r="D31" s="27">
        <f>MAX('Change in Rev'!P3:P52)</f>
        <v>93.91925561358039</v>
      </c>
      <c r="H31" s="7" t="s">
        <v>21</v>
      </c>
      <c r="I31" s="118" t="s">
        <v>178</v>
      </c>
    </row>
    <row r="32" spans="1:9" ht="12.75">
      <c r="A32">
        <v>30</v>
      </c>
      <c r="B32" s="24"/>
      <c r="C32" s="25"/>
      <c r="D32" s="119" t="s">
        <v>17</v>
      </c>
      <c r="G32" t="s">
        <v>62</v>
      </c>
      <c r="H32">
        <f>DGET('Change in Rev'!$A$2:$P$52,"Water Year",D30:D31)</f>
        <v>1931</v>
      </c>
      <c r="I32" s="10">
        <f>D31</f>
        <v>93.91925561358039</v>
      </c>
    </row>
    <row r="33" spans="1:9" ht="12.75">
      <c r="A33">
        <v>31</v>
      </c>
      <c r="B33" s="26" t="s">
        <v>66</v>
      </c>
      <c r="C33" s="23"/>
      <c r="D33" s="27">
        <f>MIN('Change in Rev'!P3:P52)</f>
        <v>-57.82102894524621</v>
      </c>
      <c r="G33" t="s">
        <v>63</v>
      </c>
      <c r="H33">
        <f>DGET('Change in Rev'!$A$2:$P$52,"Water Year",D32:D33)</f>
        <v>1934</v>
      </c>
      <c r="I33" s="10">
        <f>D33</f>
        <v>-57.82102894524621</v>
      </c>
    </row>
  </sheetData>
  <mergeCells count="3">
    <mergeCell ref="B1:P1"/>
    <mergeCell ref="B23:C23"/>
    <mergeCell ref="B29:D29"/>
  </mergeCells>
  <printOptions/>
  <pageMargins left="0.75" right="0.75" top="1" bottom="1" header="0.5" footer="0.5"/>
  <pageSetup fitToHeight="1" fitToWidth="1" horizontalDpi="200" verticalDpi="200" orientation="landscape" scale="81" r:id="rId1"/>
  <headerFooter alignWithMargins="0">
    <oddFooter>&amp;LSlice Cost Shift Study&amp;R'02 Rate Case
</oddFooter>
  </headerFooter>
</worksheet>
</file>

<file path=xl/worksheets/sheet20.xml><?xml version="1.0" encoding="utf-8"?>
<worksheet xmlns="http://schemas.openxmlformats.org/spreadsheetml/2006/main" xmlns:r="http://schemas.openxmlformats.org/officeDocument/2006/relationships">
  <sheetPr codeName="Sheet8">
    <pageSetUpPr fitToPage="1"/>
  </sheetPr>
  <dimension ref="A1:Q66"/>
  <sheetViews>
    <sheetView workbookViewId="0" topLeftCell="B45">
      <selection activeCell="J16" sqref="J16"/>
    </sheetView>
  </sheetViews>
  <sheetFormatPr defaultColWidth="9.33203125" defaultRowHeight="12.75"/>
  <cols>
    <col min="1" max="1" width="13.33203125" style="0" bestFit="1" customWidth="1"/>
    <col min="17" max="17" width="12.5" style="0" bestFit="1" customWidth="1"/>
  </cols>
  <sheetData>
    <row r="1" spans="1:17" ht="12.75">
      <c r="A1" s="229" t="s">
        <v>132</v>
      </c>
      <c r="B1" s="229"/>
      <c r="C1" s="229"/>
      <c r="D1" s="229"/>
      <c r="E1" s="229"/>
      <c r="F1" s="229"/>
      <c r="G1" s="229"/>
      <c r="H1" s="229"/>
      <c r="I1" s="229"/>
      <c r="J1" s="229"/>
      <c r="K1" s="229"/>
      <c r="L1" s="229"/>
      <c r="M1" s="229"/>
      <c r="N1" s="229"/>
      <c r="O1" s="229"/>
      <c r="Q1" s="7"/>
    </row>
    <row r="2" spans="1:17" ht="12.75">
      <c r="A2" s="229" t="s">
        <v>131</v>
      </c>
      <c r="B2" s="229"/>
      <c r="C2" s="229"/>
      <c r="D2" s="229"/>
      <c r="E2" s="229"/>
      <c r="F2" s="229"/>
      <c r="G2" s="229"/>
      <c r="H2" s="229"/>
      <c r="I2" s="229"/>
      <c r="J2" s="229"/>
      <c r="K2" s="229"/>
      <c r="L2" s="229"/>
      <c r="M2" s="229"/>
      <c r="N2" s="229"/>
      <c r="O2" s="229"/>
      <c r="Q2" s="7"/>
    </row>
    <row r="3" spans="1:15" ht="12.75">
      <c r="A3" s="136" t="s">
        <v>36</v>
      </c>
      <c r="B3" s="134" t="s">
        <v>22</v>
      </c>
      <c r="C3" s="134" t="s">
        <v>23</v>
      </c>
      <c r="D3" s="134" t="s">
        <v>24</v>
      </c>
      <c r="E3" s="134" t="s">
        <v>25</v>
      </c>
      <c r="F3" s="134" t="s">
        <v>26</v>
      </c>
      <c r="G3" s="134" t="s">
        <v>27</v>
      </c>
      <c r="H3" s="134" t="s">
        <v>28</v>
      </c>
      <c r="I3" s="134" t="s">
        <v>29</v>
      </c>
      <c r="J3" s="134" t="s">
        <v>30</v>
      </c>
      <c r="K3" s="134" t="s">
        <v>31</v>
      </c>
      <c r="L3" s="134" t="s">
        <v>32</v>
      </c>
      <c r="M3" s="134" t="s">
        <v>33</v>
      </c>
      <c r="N3" s="134" t="s">
        <v>34</v>
      </c>
      <c r="O3" s="135" t="s">
        <v>35</v>
      </c>
    </row>
    <row r="4" spans="1:15" ht="12.75">
      <c r="A4" s="131">
        <v>1929</v>
      </c>
      <c r="B4" s="139">
        <v>30.880979537963867</v>
      </c>
      <c r="C4" s="139">
        <v>30.880979537963867</v>
      </c>
      <c r="D4" s="139">
        <v>30.58127784729004</v>
      </c>
      <c r="E4" s="139">
        <v>17.59278106689453</v>
      </c>
      <c r="F4" s="139">
        <v>39.34072494506836</v>
      </c>
      <c r="G4" s="139">
        <v>33.5470085144043</v>
      </c>
      <c r="H4" s="139">
        <v>51.66277313232422</v>
      </c>
      <c r="I4" s="139">
        <v>36.352203369140625</v>
      </c>
      <c r="J4" s="139">
        <v>25.459575653076172</v>
      </c>
      <c r="K4" s="139">
        <v>19.896484375</v>
      </c>
      <c r="L4" s="139">
        <v>19.896484375</v>
      </c>
      <c r="M4" s="139">
        <v>16.908010482788086</v>
      </c>
      <c r="N4" s="139">
        <v>16.303983688354492</v>
      </c>
      <c r="O4" s="139">
        <v>33.427364349365234</v>
      </c>
    </row>
    <row r="5" spans="1:15" ht="12.75">
      <c r="A5" s="131">
        <v>1930</v>
      </c>
      <c r="B5" s="139">
        <v>38.67770767211914</v>
      </c>
      <c r="C5" s="139">
        <v>38.67770767211914</v>
      </c>
      <c r="D5" s="139">
        <v>31.536684036254883</v>
      </c>
      <c r="E5" s="139">
        <v>21.427894592285156</v>
      </c>
      <c r="F5" s="139">
        <v>39.546730041503906</v>
      </c>
      <c r="G5" s="139">
        <v>36.250648498535156</v>
      </c>
      <c r="H5" s="139">
        <v>54.16926956176758</v>
      </c>
      <c r="I5" s="139">
        <v>34.07918930053711</v>
      </c>
      <c r="J5" s="139">
        <v>25.790781021118164</v>
      </c>
      <c r="K5" s="139">
        <v>14.556724548339844</v>
      </c>
      <c r="L5" s="139">
        <v>14.556724548339844</v>
      </c>
      <c r="M5" s="139">
        <v>17.833391189575195</v>
      </c>
      <c r="N5" s="139">
        <v>22.832422256469727</v>
      </c>
      <c r="O5" s="139">
        <v>33.39257049560547</v>
      </c>
    </row>
    <row r="6" spans="1:17" ht="12.75">
      <c r="A6" s="131">
        <v>1931</v>
      </c>
      <c r="B6" s="139">
        <v>37.69986343383789</v>
      </c>
      <c r="C6" s="139">
        <v>37.69986343383789</v>
      </c>
      <c r="D6" s="139">
        <v>31.732088088989258</v>
      </c>
      <c r="E6" s="139">
        <v>21.246288299560547</v>
      </c>
      <c r="F6" s="139">
        <v>39.61696243286133</v>
      </c>
      <c r="G6" s="139">
        <v>37.5800666809082</v>
      </c>
      <c r="H6" s="139">
        <v>64.03734588623047</v>
      </c>
      <c r="I6" s="139">
        <v>68.7044677734375</v>
      </c>
      <c r="J6" s="139">
        <v>25.892860412597656</v>
      </c>
      <c r="K6" s="139">
        <v>19.33428955078125</v>
      </c>
      <c r="L6" s="139">
        <v>19.33428955078125</v>
      </c>
      <c r="M6" s="139">
        <v>11.704486846923828</v>
      </c>
      <c r="N6" s="139">
        <v>22.596229553222656</v>
      </c>
      <c r="O6" s="139">
        <v>33.79115676879883</v>
      </c>
      <c r="Q6" s="28"/>
    </row>
    <row r="7" spans="1:15" ht="12.75">
      <c r="A7" s="131">
        <v>1932</v>
      </c>
      <c r="B7" s="139">
        <v>38.61590576171875</v>
      </c>
      <c r="C7" s="139">
        <v>38.61590576171875</v>
      </c>
      <c r="D7" s="139">
        <v>31.56975555419922</v>
      </c>
      <c r="E7" s="139">
        <v>21.417293548583984</v>
      </c>
      <c r="F7" s="139">
        <v>39.68328094482422</v>
      </c>
      <c r="G7" s="139">
        <v>39.66139602661133</v>
      </c>
      <c r="H7" s="139">
        <v>66.59138488769531</v>
      </c>
      <c r="I7" s="139">
        <v>35.73601531982422</v>
      </c>
      <c r="J7" s="139">
        <v>17.209102630615234</v>
      </c>
      <c r="K7" s="139">
        <v>5.0023193359375</v>
      </c>
      <c r="L7" s="139">
        <v>5.0023193359375</v>
      </c>
      <c r="M7" s="139">
        <v>6.251961708068848</v>
      </c>
      <c r="N7" s="139">
        <v>7.957110404968262</v>
      </c>
      <c r="O7" s="139">
        <v>30.480056762695312</v>
      </c>
    </row>
    <row r="8" spans="1:15" ht="12.75">
      <c r="A8" s="131">
        <v>1933</v>
      </c>
      <c r="B8" s="139">
        <v>35.729373931884766</v>
      </c>
      <c r="C8" s="139">
        <v>35.729373931884766</v>
      </c>
      <c r="D8" s="139">
        <v>30.53940200805664</v>
      </c>
      <c r="E8" s="139">
        <v>17.562456130981445</v>
      </c>
      <c r="F8" s="139">
        <v>28.443204879760742</v>
      </c>
      <c r="G8" s="139">
        <v>28.401378631591797</v>
      </c>
      <c r="H8" s="139">
        <v>16.43620491027832</v>
      </c>
      <c r="I8" s="139">
        <v>24.70162010192871</v>
      </c>
      <c r="J8" s="139">
        <v>22.929046630859375</v>
      </c>
      <c r="K8" s="139">
        <v>12.644630432128906</v>
      </c>
      <c r="L8" s="139">
        <v>12.644630432128906</v>
      </c>
      <c r="M8" s="139">
        <v>10.844443321228027</v>
      </c>
      <c r="N8" s="139">
        <v>4.993064880371094</v>
      </c>
      <c r="O8" s="139">
        <v>18.666427612304688</v>
      </c>
    </row>
    <row r="9" spans="1:15" ht="12.75">
      <c r="A9" s="131">
        <v>1934</v>
      </c>
      <c r="B9" s="139">
        <v>29.417884826660156</v>
      </c>
      <c r="C9" s="139">
        <v>29.417884826660156</v>
      </c>
      <c r="D9" s="139">
        <v>29.75169563293457</v>
      </c>
      <c r="E9" s="139">
        <v>13.895033836364746</v>
      </c>
      <c r="F9" s="139">
        <v>21.353416442871094</v>
      </c>
      <c r="G9" s="139">
        <v>17.356821060180664</v>
      </c>
      <c r="H9" s="139">
        <v>11.019347190856934</v>
      </c>
      <c r="I9" s="139">
        <v>13.068936347961426</v>
      </c>
      <c r="J9" s="139">
        <v>12.82285213470459</v>
      </c>
      <c r="K9" s="139">
        <v>5.0023193359375</v>
      </c>
      <c r="L9" s="139">
        <v>5.0023193359375</v>
      </c>
      <c r="M9" s="139">
        <v>4.997760772705078</v>
      </c>
      <c r="N9" s="139">
        <v>19.43502426147461</v>
      </c>
      <c r="O9" s="139">
        <v>37.33281326293945</v>
      </c>
    </row>
    <row r="10" spans="1:15" ht="12.75">
      <c r="A10" s="131">
        <v>1935</v>
      </c>
      <c r="B10" s="139">
        <v>38.44782638549805</v>
      </c>
      <c r="C10" s="139">
        <v>38.44782638549805</v>
      </c>
      <c r="D10" s="139">
        <v>31.75489616394043</v>
      </c>
      <c r="E10" s="139">
        <v>21.386676788330078</v>
      </c>
      <c r="F10" s="139">
        <v>34.32096481323242</v>
      </c>
      <c r="G10" s="139">
        <v>33.73176956176758</v>
      </c>
      <c r="H10" s="139">
        <v>17.136014938354492</v>
      </c>
      <c r="I10" s="139">
        <v>25.543779373168945</v>
      </c>
      <c r="J10" s="139">
        <v>19.68596076965332</v>
      </c>
      <c r="K10" s="139">
        <v>11.580937385559082</v>
      </c>
      <c r="L10" s="139">
        <v>11.580937385559082</v>
      </c>
      <c r="M10" s="139">
        <v>10.873604774475098</v>
      </c>
      <c r="N10" s="139">
        <v>10.043243408203125</v>
      </c>
      <c r="O10" s="139">
        <v>29.65843963623047</v>
      </c>
    </row>
    <row r="11" spans="1:15" ht="12.75">
      <c r="A11" s="131">
        <v>1936</v>
      </c>
      <c r="B11" s="139">
        <v>37.81919860839844</v>
      </c>
      <c r="C11" s="139">
        <v>37.81919860839844</v>
      </c>
      <c r="D11" s="139">
        <v>31.551013946533203</v>
      </c>
      <c r="E11" s="139">
        <v>19.506135940551758</v>
      </c>
      <c r="F11" s="139">
        <v>39.65036392211914</v>
      </c>
      <c r="G11" s="139">
        <v>37.62358856201172</v>
      </c>
      <c r="H11" s="139">
        <v>37.93893814086914</v>
      </c>
      <c r="I11" s="139">
        <v>32.17890548706055</v>
      </c>
      <c r="J11" s="139">
        <v>23.193756103515625</v>
      </c>
      <c r="K11" s="139">
        <v>12.483011245727539</v>
      </c>
      <c r="L11" s="139">
        <v>12.483011245727539</v>
      </c>
      <c r="M11" s="139">
        <v>5.361171245574951</v>
      </c>
      <c r="N11" s="139">
        <v>16.052165985107422</v>
      </c>
      <c r="O11" s="139">
        <v>32.01960754394531</v>
      </c>
    </row>
    <row r="12" spans="1:15" ht="12.75">
      <c r="A12" s="131">
        <v>1937</v>
      </c>
      <c r="B12" s="139">
        <v>37.80638885498047</v>
      </c>
      <c r="C12" s="139">
        <v>37.80638885498047</v>
      </c>
      <c r="D12" s="139">
        <v>31.46482276916504</v>
      </c>
      <c r="E12" s="139">
        <v>21.28034019470215</v>
      </c>
      <c r="F12" s="139">
        <v>39.731990814208984</v>
      </c>
      <c r="G12" s="139">
        <v>36.56512451171875</v>
      </c>
      <c r="H12" s="139">
        <v>58.08088684082031</v>
      </c>
      <c r="I12" s="139">
        <v>39.11357116699219</v>
      </c>
      <c r="J12" s="139">
        <v>28.202423095703125</v>
      </c>
      <c r="K12" s="139">
        <v>22.04581642150879</v>
      </c>
      <c r="L12" s="139">
        <v>22.04581642150879</v>
      </c>
      <c r="M12" s="139">
        <v>13.169793128967285</v>
      </c>
      <c r="N12" s="139">
        <v>21.155502319335938</v>
      </c>
      <c r="O12" s="139">
        <v>33.66316223144531</v>
      </c>
    </row>
    <row r="13" spans="1:15" ht="12.75">
      <c r="A13" s="131">
        <v>1938</v>
      </c>
      <c r="B13" s="139">
        <v>38.1826286315918</v>
      </c>
      <c r="C13" s="139">
        <v>38.1826286315918</v>
      </c>
      <c r="D13" s="139">
        <v>30.51426887512207</v>
      </c>
      <c r="E13" s="139">
        <v>19.608638763427734</v>
      </c>
      <c r="F13" s="139">
        <v>27.70787811279297</v>
      </c>
      <c r="G13" s="139">
        <v>26.970922470092773</v>
      </c>
      <c r="H13" s="139">
        <v>19.57850456237793</v>
      </c>
      <c r="I13" s="139">
        <v>27.58147621154785</v>
      </c>
      <c r="J13" s="139">
        <v>13.993003845214844</v>
      </c>
      <c r="K13" s="139">
        <v>12.147713661193848</v>
      </c>
      <c r="L13" s="139">
        <v>12.147713661193848</v>
      </c>
      <c r="M13" s="139">
        <v>4.997760772705078</v>
      </c>
      <c r="N13" s="139">
        <v>7.088983535766602</v>
      </c>
      <c r="O13" s="139">
        <v>32.03352737426758</v>
      </c>
    </row>
    <row r="14" spans="1:15" ht="12.75">
      <c r="A14" s="131">
        <v>1939</v>
      </c>
      <c r="B14" s="139">
        <v>38.69010543823242</v>
      </c>
      <c r="C14" s="139">
        <v>38.69010543823242</v>
      </c>
      <c r="D14" s="139">
        <v>31.277568817138672</v>
      </c>
      <c r="E14" s="139">
        <v>17.572641372680664</v>
      </c>
      <c r="F14" s="139">
        <v>39.36261749267578</v>
      </c>
      <c r="G14" s="139">
        <v>33.5470085144043</v>
      </c>
      <c r="H14" s="139">
        <v>43.21001434326172</v>
      </c>
      <c r="I14" s="139">
        <v>24.5019588470459</v>
      </c>
      <c r="J14" s="139">
        <v>18.983840942382812</v>
      </c>
      <c r="K14" s="139">
        <v>12.210858345031738</v>
      </c>
      <c r="L14" s="139">
        <v>12.210858345031738</v>
      </c>
      <c r="M14" s="139">
        <v>11.089674949645996</v>
      </c>
      <c r="N14" s="139">
        <v>22.944652557373047</v>
      </c>
      <c r="O14" s="139">
        <v>30.823665618896484</v>
      </c>
    </row>
    <row r="15" spans="1:15" ht="12.75">
      <c r="A15" s="131">
        <v>1940</v>
      </c>
      <c r="B15" s="139">
        <v>37.86166763305664</v>
      </c>
      <c r="C15" s="139">
        <v>37.86166763305664</v>
      </c>
      <c r="D15" s="139">
        <v>31.518537521362305</v>
      </c>
      <c r="E15" s="139">
        <v>18.463960647583008</v>
      </c>
      <c r="F15" s="139">
        <v>39.08376693725586</v>
      </c>
      <c r="G15" s="139">
        <v>33.47869110107422</v>
      </c>
      <c r="H15" s="139">
        <v>32.86955261230469</v>
      </c>
      <c r="I15" s="139">
        <v>25.795394897460938</v>
      </c>
      <c r="J15" s="139">
        <v>14.165493965148926</v>
      </c>
      <c r="K15" s="139">
        <v>13.394155502319336</v>
      </c>
      <c r="L15" s="139">
        <v>13.394155502319336</v>
      </c>
      <c r="M15" s="139">
        <v>12.770663261413574</v>
      </c>
      <c r="N15" s="139">
        <v>25.56842613220215</v>
      </c>
      <c r="O15" s="139">
        <v>34.76811218261719</v>
      </c>
    </row>
    <row r="16" spans="1:15" ht="12.75">
      <c r="A16" s="131">
        <v>1941</v>
      </c>
      <c r="B16" s="139">
        <v>38.64699172973633</v>
      </c>
      <c r="C16" s="139">
        <v>38.64699172973633</v>
      </c>
      <c r="D16" s="139">
        <v>30.560688018798828</v>
      </c>
      <c r="E16" s="139">
        <v>18.48240852355957</v>
      </c>
      <c r="F16" s="139">
        <v>39.723838806152344</v>
      </c>
      <c r="G16" s="139">
        <v>35.729366302490234</v>
      </c>
      <c r="H16" s="139">
        <v>38.110618591308594</v>
      </c>
      <c r="I16" s="139">
        <v>38.37324142456055</v>
      </c>
      <c r="J16" s="139">
        <v>22.495986938476562</v>
      </c>
      <c r="K16" s="139">
        <v>19.921846389770508</v>
      </c>
      <c r="L16" s="139">
        <v>19.921846389770508</v>
      </c>
      <c r="M16" s="139">
        <v>15.052030563354492</v>
      </c>
      <c r="N16" s="139">
        <v>19.73598861694336</v>
      </c>
      <c r="O16" s="139">
        <v>37.396732330322266</v>
      </c>
    </row>
    <row r="17" spans="1:15" ht="12.75">
      <c r="A17" s="131">
        <v>1942</v>
      </c>
      <c r="B17" s="139">
        <v>38.71441650390625</v>
      </c>
      <c r="C17" s="139">
        <v>38.71441650390625</v>
      </c>
      <c r="D17" s="139">
        <v>31.060449600219727</v>
      </c>
      <c r="E17" s="139">
        <v>18.990215301513672</v>
      </c>
      <c r="F17" s="139">
        <v>37.369346618652344</v>
      </c>
      <c r="G17" s="139">
        <v>23.093740463256836</v>
      </c>
      <c r="H17" s="139">
        <v>22.228731155395508</v>
      </c>
      <c r="I17" s="139">
        <v>25.579917907714844</v>
      </c>
      <c r="J17" s="139">
        <v>25.774362564086914</v>
      </c>
      <c r="K17" s="139">
        <v>16.22783660888672</v>
      </c>
      <c r="L17" s="139">
        <v>16.22783660888672</v>
      </c>
      <c r="M17" s="139">
        <v>10.444169044494629</v>
      </c>
      <c r="N17" s="139">
        <v>12.974475860595703</v>
      </c>
      <c r="O17" s="139">
        <v>27.707489013671875</v>
      </c>
    </row>
    <row r="18" spans="1:15" ht="12.75">
      <c r="A18" s="131">
        <v>1943</v>
      </c>
      <c r="B18" s="139">
        <v>31.15083885192871</v>
      </c>
      <c r="C18" s="139">
        <v>31.15083885192871</v>
      </c>
      <c r="D18" s="139">
        <v>30.395689010620117</v>
      </c>
      <c r="E18" s="139">
        <v>19.043546676635742</v>
      </c>
      <c r="F18" s="139">
        <v>37.3463020324707</v>
      </c>
      <c r="G18" s="139">
        <v>30.31414222717285</v>
      </c>
      <c r="H18" s="139">
        <v>19.866928100585938</v>
      </c>
      <c r="I18" s="139">
        <v>17.964031219482422</v>
      </c>
      <c r="J18" s="139">
        <v>14.698731422424316</v>
      </c>
      <c r="K18" s="139">
        <v>5.0023193359375</v>
      </c>
      <c r="L18" s="139">
        <v>5.0023193359375</v>
      </c>
      <c r="M18" s="139">
        <v>4.997760772705078</v>
      </c>
      <c r="N18" s="139">
        <v>4.993065357208252</v>
      </c>
      <c r="O18" s="139">
        <v>22.713520050048828</v>
      </c>
    </row>
    <row r="19" spans="1:15" ht="12.75">
      <c r="A19" s="131">
        <v>1944</v>
      </c>
      <c r="B19" s="139">
        <v>31.008708953857422</v>
      </c>
      <c r="C19" s="139">
        <v>31.008708953857422</v>
      </c>
      <c r="D19" s="139">
        <v>30.643423080444336</v>
      </c>
      <c r="E19" s="139">
        <v>17.522266387939453</v>
      </c>
      <c r="F19" s="139">
        <v>39.340728759765625</v>
      </c>
      <c r="G19" s="139">
        <v>31.345972061157227</v>
      </c>
      <c r="H19" s="139">
        <v>46.300174713134766</v>
      </c>
      <c r="I19" s="139">
        <v>31.59152603149414</v>
      </c>
      <c r="J19" s="139">
        <v>27.753490447998047</v>
      </c>
      <c r="K19" s="139">
        <v>20.926164627075195</v>
      </c>
      <c r="L19" s="139">
        <v>20.926164627075195</v>
      </c>
      <c r="M19" s="139">
        <v>16.456941604614258</v>
      </c>
      <c r="N19" s="139">
        <v>21.361709594726562</v>
      </c>
      <c r="O19" s="139">
        <v>37.141571044921875</v>
      </c>
    </row>
    <row r="20" spans="1:15" ht="12.75">
      <c r="A20" s="131">
        <v>1945</v>
      </c>
      <c r="B20" s="139">
        <v>38.67583084106445</v>
      </c>
      <c r="C20" s="139">
        <v>38.67583084106445</v>
      </c>
      <c r="D20" s="139">
        <v>30.84724235534668</v>
      </c>
      <c r="E20" s="139">
        <v>21.403697967529297</v>
      </c>
      <c r="F20" s="139">
        <v>39.58708190917969</v>
      </c>
      <c r="G20" s="139">
        <v>42.80369567871094</v>
      </c>
      <c r="H20" s="139">
        <v>57.820125579833984</v>
      </c>
      <c r="I20" s="139">
        <v>51.02471160888672</v>
      </c>
      <c r="J20" s="139">
        <v>25.742801666259766</v>
      </c>
      <c r="K20" s="139">
        <v>19.600799560546875</v>
      </c>
      <c r="L20" s="139">
        <v>19.600799560546875</v>
      </c>
      <c r="M20" s="139">
        <v>11.029768943786621</v>
      </c>
      <c r="N20" s="139">
        <v>14.145607948303223</v>
      </c>
      <c r="O20" s="139">
        <v>31.024309158325195</v>
      </c>
    </row>
    <row r="21" spans="1:15" ht="12.75">
      <c r="A21" s="131">
        <v>1946</v>
      </c>
      <c r="B21" s="139">
        <v>37.21711349487305</v>
      </c>
      <c r="C21" s="139">
        <v>37.21711349487305</v>
      </c>
      <c r="D21" s="139">
        <v>30.490270614624023</v>
      </c>
      <c r="E21" s="139">
        <v>19.945802688598633</v>
      </c>
      <c r="F21" s="139">
        <v>37.22068405151367</v>
      </c>
      <c r="G21" s="139">
        <v>25.396818161010742</v>
      </c>
      <c r="H21" s="139">
        <v>15.976811408996582</v>
      </c>
      <c r="I21" s="139">
        <v>26.077497482299805</v>
      </c>
      <c r="J21" s="139">
        <v>15.384276390075684</v>
      </c>
      <c r="K21" s="139">
        <v>8.82396411895752</v>
      </c>
      <c r="L21" s="139">
        <v>8.82396411895752</v>
      </c>
      <c r="M21" s="139">
        <v>4.997760772705078</v>
      </c>
      <c r="N21" s="139">
        <v>4.993065357208252</v>
      </c>
      <c r="O21" s="139">
        <v>28.78731918334961</v>
      </c>
    </row>
    <row r="22" spans="1:15" ht="12.75">
      <c r="A22" s="131">
        <v>1947</v>
      </c>
      <c r="B22" s="139">
        <v>35.205970764160156</v>
      </c>
      <c r="C22" s="139">
        <v>35.205970764160156</v>
      </c>
      <c r="D22" s="139">
        <v>30.104907989501953</v>
      </c>
      <c r="E22" s="139">
        <v>17.234487533569336</v>
      </c>
      <c r="F22" s="139">
        <v>29.942577362060547</v>
      </c>
      <c r="G22" s="139">
        <v>21.595237731933594</v>
      </c>
      <c r="H22" s="139">
        <v>13.928394317626953</v>
      </c>
      <c r="I22" s="139">
        <v>14.919625282287598</v>
      </c>
      <c r="J22" s="139">
        <v>16.327503204345703</v>
      </c>
      <c r="K22" s="139">
        <v>12.002140045166016</v>
      </c>
      <c r="L22" s="139">
        <v>12.002140045166016</v>
      </c>
      <c r="M22" s="139">
        <v>4.997760772705078</v>
      </c>
      <c r="N22" s="139">
        <v>7.81956148147583</v>
      </c>
      <c r="O22" s="139">
        <v>30.728281021118164</v>
      </c>
    </row>
    <row r="23" spans="1:15" ht="12.75">
      <c r="A23" s="131">
        <v>1948</v>
      </c>
      <c r="B23" s="139">
        <v>35.22997283935547</v>
      </c>
      <c r="C23" s="139">
        <v>35.22997283935547</v>
      </c>
      <c r="D23" s="139">
        <v>30.599424362182617</v>
      </c>
      <c r="E23" s="139">
        <v>11.064139366149902</v>
      </c>
      <c r="F23" s="139">
        <v>23.54454231262207</v>
      </c>
      <c r="G23" s="139">
        <v>25.782121658325195</v>
      </c>
      <c r="H23" s="139">
        <v>13.719497680664062</v>
      </c>
      <c r="I23" s="139">
        <v>18.903215408325195</v>
      </c>
      <c r="J23" s="139">
        <v>21.25408172607422</v>
      </c>
      <c r="K23" s="139">
        <v>11.240106582641602</v>
      </c>
      <c r="L23" s="139">
        <v>11.240106582641602</v>
      </c>
      <c r="M23" s="139">
        <v>4.997760772705078</v>
      </c>
      <c r="N23" s="139">
        <v>4.993064880371094</v>
      </c>
      <c r="O23" s="139">
        <v>22.24578857421875</v>
      </c>
    </row>
    <row r="24" spans="1:15" ht="12.75">
      <c r="A24" s="131">
        <v>1949</v>
      </c>
      <c r="B24" s="139">
        <v>28.87130355834961</v>
      </c>
      <c r="C24" s="139">
        <v>28.87130355834961</v>
      </c>
      <c r="D24" s="139">
        <v>29.281301498413086</v>
      </c>
      <c r="E24" s="139">
        <v>16.035423278808594</v>
      </c>
      <c r="F24" s="139">
        <v>35.477848052978516</v>
      </c>
      <c r="G24" s="139">
        <v>34.7799186706543</v>
      </c>
      <c r="H24" s="139">
        <v>25.364057540893555</v>
      </c>
      <c r="I24" s="139">
        <v>25.705537796020508</v>
      </c>
      <c r="J24" s="139">
        <v>10.255033493041992</v>
      </c>
      <c r="K24" s="139">
        <v>6.348480701446533</v>
      </c>
      <c r="L24" s="139">
        <v>6.348480701446533</v>
      </c>
      <c r="M24" s="139">
        <v>5.849294662475586</v>
      </c>
      <c r="N24" s="139">
        <v>8.142333030700684</v>
      </c>
      <c r="O24" s="139">
        <v>36.910133361816406</v>
      </c>
    </row>
    <row r="25" spans="1:15" ht="12.75">
      <c r="A25" s="131">
        <v>1950</v>
      </c>
      <c r="B25" s="139">
        <v>38.65584182739258</v>
      </c>
      <c r="C25" s="139">
        <v>38.65584182739258</v>
      </c>
      <c r="D25" s="139">
        <v>31.610898971557617</v>
      </c>
      <c r="E25" s="139">
        <v>18.953426361083984</v>
      </c>
      <c r="F25" s="139">
        <v>37.18472671508789</v>
      </c>
      <c r="G25" s="139">
        <v>25.92900848388672</v>
      </c>
      <c r="H25" s="139">
        <v>16.085248947143555</v>
      </c>
      <c r="I25" s="139">
        <v>18.81602668762207</v>
      </c>
      <c r="J25" s="139">
        <v>12.478981018066406</v>
      </c>
      <c r="K25" s="139">
        <v>5.0023193359375</v>
      </c>
      <c r="L25" s="139">
        <v>5.0023193359375</v>
      </c>
      <c r="M25" s="139">
        <v>4.997760772705078</v>
      </c>
      <c r="N25" s="139">
        <v>4.993064880371094</v>
      </c>
      <c r="O25" s="139">
        <v>20.89032554626465</v>
      </c>
    </row>
    <row r="26" spans="1:15" ht="12.75">
      <c r="A26" s="131">
        <v>1951</v>
      </c>
      <c r="B26" s="139">
        <v>30.70728302001953</v>
      </c>
      <c r="C26" s="139">
        <v>30.70728302001953</v>
      </c>
      <c r="D26" s="139">
        <v>29.750389099121094</v>
      </c>
      <c r="E26" s="139">
        <v>13.70385456085205</v>
      </c>
      <c r="F26" s="139">
        <v>20.44740104675293</v>
      </c>
      <c r="G26" s="139">
        <v>18.540712356567383</v>
      </c>
      <c r="H26" s="139">
        <v>12.313941955566406</v>
      </c>
      <c r="I26" s="139">
        <v>12.287492752075195</v>
      </c>
      <c r="J26" s="139">
        <v>12.61739730834961</v>
      </c>
      <c r="K26" s="139">
        <v>5.002318859100342</v>
      </c>
      <c r="L26" s="139">
        <v>5.002318859100342</v>
      </c>
      <c r="M26" s="139">
        <v>4.997760772705078</v>
      </c>
      <c r="N26" s="139">
        <v>10.658060073852539</v>
      </c>
      <c r="O26" s="139">
        <v>23.764249801635742</v>
      </c>
    </row>
    <row r="27" spans="1:15" ht="12.75">
      <c r="A27" s="131">
        <v>1952</v>
      </c>
      <c r="B27" s="139">
        <v>30.776287078857422</v>
      </c>
      <c r="C27" s="139">
        <v>30.776287078857422</v>
      </c>
      <c r="D27" s="139">
        <v>29.681182861328125</v>
      </c>
      <c r="E27" s="139">
        <v>11.829270362854004</v>
      </c>
      <c r="F27" s="139">
        <v>27.6304988861084</v>
      </c>
      <c r="G27" s="139">
        <v>24.435317993164062</v>
      </c>
      <c r="H27" s="139">
        <v>15.240001678466797</v>
      </c>
      <c r="I27" s="139">
        <v>19.598241806030273</v>
      </c>
      <c r="J27" s="139">
        <v>17.602401733398438</v>
      </c>
      <c r="K27" s="139">
        <v>5.0023193359375</v>
      </c>
      <c r="L27" s="139">
        <v>5.0023193359375</v>
      </c>
      <c r="M27" s="139">
        <v>4.997760772705078</v>
      </c>
      <c r="N27" s="139">
        <v>6.050258636474609</v>
      </c>
      <c r="O27" s="139">
        <v>31.309329986572266</v>
      </c>
    </row>
    <row r="28" spans="1:15" ht="12.75">
      <c r="A28" s="131">
        <v>1953</v>
      </c>
      <c r="B28" s="139">
        <v>35.62253189086914</v>
      </c>
      <c r="C28" s="139">
        <v>35.62253189086914</v>
      </c>
      <c r="D28" s="139">
        <v>31.67394256591797</v>
      </c>
      <c r="E28" s="139">
        <v>19.238658905029297</v>
      </c>
      <c r="F28" s="139">
        <v>39.34487533569336</v>
      </c>
      <c r="G28" s="139">
        <v>33.51881408691406</v>
      </c>
      <c r="H28" s="139">
        <v>27.84789276123047</v>
      </c>
      <c r="I28" s="139">
        <v>13.416949272155762</v>
      </c>
      <c r="J28" s="139">
        <v>15.329276084899902</v>
      </c>
      <c r="K28" s="139">
        <v>15.928054809570312</v>
      </c>
      <c r="L28" s="139">
        <v>15.928054809570312</v>
      </c>
      <c r="M28" s="139">
        <v>8.830215454101562</v>
      </c>
      <c r="N28" s="139">
        <v>4.993065357208252</v>
      </c>
      <c r="O28" s="139">
        <v>23.81715202331543</v>
      </c>
    </row>
    <row r="29" spans="1:15" ht="12.75">
      <c r="A29" s="131">
        <v>1954</v>
      </c>
      <c r="B29" s="139">
        <v>30.58174705505371</v>
      </c>
      <c r="C29" s="139">
        <v>30.58174705505371</v>
      </c>
      <c r="D29" s="139">
        <v>29.738052368164062</v>
      </c>
      <c r="E29" s="139">
        <v>15.929131507873535</v>
      </c>
      <c r="F29" s="139">
        <v>29.472522735595703</v>
      </c>
      <c r="G29" s="139">
        <v>26.822769165039062</v>
      </c>
      <c r="H29" s="139">
        <v>21.97548484802246</v>
      </c>
      <c r="I29" s="139">
        <v>12.180791854858398</v>
      </c>
      <c r="J29" s="139">
        <v>17.006561279296875</v>
      </c>
      <c r="K29" s="139">
        <v>12.286666870117188</v>
      </c>
      <c r="L29" s="139">
        <v>12.286666870117188</v>
      </c>
      <c r="M29" s="139">
        <v>4.997760772705078</v>
      </c>
      <c r="N29" s="139">
        <v>4.993065357208252</v>
      </c>
      <c r="O29" s="139">
        <v>19.89661407470703</v>
      </c>
    </row>
    <row r="30" spans="1:15" ht="12.75">
      <c r="A30" s="131">
        <v>1955</v>
      </c>
      <c r="B30" s="139">
        <v>27.96881675720215</v>
      </c>
      <c r="C30" s="139">
        <v>27.96881675720215</v>
      </c>
      <c r="D30" s="139">
        <v>22.079744338989258</v>
      </c>
      <c r="E30" s="139">
        <v>14.122584342956543</v>
      </c>
      <c r="F30" s="139">
        <v>24.367170333862305</v>
      </c>
      <c r="G30" s="139">
        <v>28.03745460510254</v>
      </c>
      <c r="H30" s="139">
        <v>25.144332885742188</v>
      </c>
      <c r="I30" s="139">
        <v>25.807373046875</v>
      </c>
      <c r="J30" s="139">
        <v>25.79327392578125</v>
      </c>
      <c r="K30" s="139">
        <v>14.635306358337402</v>
      </c>
      <c r="L30" s="139">
        <v>14.635306358337402</v>
      </c>
      <c r="M30" s="139">
        <v>11.786835670471191</v>
      </c>
      <c r="N30" s="139">
        <v>4.993065357208252</v>
      </c>
      <c r="O30" s="139">
        <v>17.516748428344727</v>
      </c>
    </row>
    <row r="31" spans="1:15" ht="12.75">
      <c r="A31" s="131">
        <v>1956</v>
      </c>
      <c r="B31" s="139">
        <v>30.056257247924805</v>
      </c>
      <c r="C31" s="139">
        <v>30.056257247924805</v>
      </c>
      <c r="D31" s="139">
        <v>29.49410057067871</v>
      </c>
      <c r="E31" s="139">
        <v>13.906343460083008</v>
      </c>
      <c r="F31" s="139">
        <v>22.83987808227539</v>
      </c>
      <c r="G31" s="139">
        <v>20.363893508911133</v>
      </c>
      <c r="H31" s="139">
        <v>12.34614372253418</v>
      </c>
      <c r="I31" s="139">
        <v>15.06238842010498</v>
      </c>
      <c r="J31" s="139">
        <v>12.745369911193848</v>
      </c>
      <c r="K31" s="139">
        <v>5.0023193359375</v>
      </c>
      <c r="L31" s="139">
        <v>5.0023193359375</v>
      </c>
      <c r="M31" s="139">
        <v>4.997761249542236</v>
      </c>
      <c r="N31" s="139">
        <v>4.993065357208252</v>
      </c>
      <c r="O31" s="139">
        <v>23.21605682373047</v>
      </c>
    </row>
    <row r="32" spans="1:15" ht="12.75">
      <c r="A32" s="131">
        <v>1957</v>
      </c>
      <c r="B32" s="139">
        <v>30.35801887512207</v>
      </c>
      <c r="C32" s="139">
        <v>30.35801887512207</v>
      </c>
      <c r="D32" s="139">
        <v>30.000045776367188</v>
      </c>
      <c r="E32" s="139">
        <v>14.292211532592773</v>
      </c>
      <c r="F32" s="139">
        <v>37.202476501464844</v>
      </c>
      <c r="G32" s="139">
        <v>25.506053924560547</v>
      </c>
      <c r="H32" s="139">
        <v>25.01164436340332</v>
      </c>
      <c r="I32" s="139">
        <v>15.423823356628418</v>
      </c>
      <c r="J32" s="139">
        <v>16.319013595581055</v>
      </c>
      <c r="K32" s="139">
        <v>6.0794878005981445</v>
      </c>
      <c r="L32" s="139">
        <v>6.0794878005981445</v>
      </c>
      <c r="M32" s="139">
        <v>4.997760772705078</v>
      </c>
      <c r="N32" s="139">
        <v>4.993064880371094</v>
      </c>
      <c r="O32" s="139">
        <v>32.35389709472656</v>
      </c>
    </row>
    <row r="33" spans="1:15" ht="12.75">
      <c r="A33" s="131">
        <v>1958</v>
      </c>
      <c r="B33" s="139">
        <v>37.438743591308594</v>
      </c>
      <c r="C33" s="139">
        <v>37.438743591308594</v>
      </c>
      <c r="D33" s="139">
        <v>30.775896072387695</v>
      </c>
      <c r="E33" s="139">
        <v>17.76746940612793</v>
      </c>
      <c r="F33" s="139">
        <v>39.351837158203125</v>
      </c>
      <c r="G33" s="139">
        <v>32.93163299560547</v>
      </c>
      <c r="H33" s="139">
        <v>23.78636360168457</v>
      </c>
      <c r="I33" s="139">
        <v>12.423025131225586</v>
      </c>
      <c r="J33" s="139">
        <v>20.347217559814453</v>
      </c>
      <c r="K33" s="139">
        <v>12.293497085571289</v>
      </c>
      <c r="L33" s="139">
        <v>12.293497085571289</v>
      </c>
      <c r="M33" s="139">
        <v>4.997760772705078</v>
      </c>
      <c r="N33" s="139">
        <v>4.99306583404541</v>
      </c>
      <c r="O33" s="139">
        <v>32.704429626464844</v>
      </c>
    </row>
    <row r="34" spans="1:15" ht="12.75">
      <c r="A34" s="131">
        <v>1959</v>
      </c>
      <c r="B34" s="139">
        <v>37.21711349487305</v>
      </c>
      <c r="C34" s="139">
        <v>37.21711349487305</v>
      </c>
      <c r="D34" s="139">
        <v>30.64749526977539</v>
      </c>
      <c r="E34" s="139">
        <v>16.758039474487305</v>
      </c>
      <c r="F34" s="139">
        <v>24.935102462768555</v>
      </c>
      <c r="G34" s="139">
        <v>24.4189395904541</v>
      </c>
      <c r="H34" s="139">
        <v>14.0166654586792</v>
      </c>
      <c r="I34" s="139">
        <v>15.010749816894531</v>
      </c>
      <c r="J34" s="139">
        <v>15.12352466583252</v>
      </c>
      <c r="K34" s="139">
        <v>11.804616928100586</v>
      </c>
      <c r="L34" s="139">
        <v>11.804616928100586</v>
      </c>
      <c r="M34" s="139">
        <v>4.997760772705078</v>
      </c>
      <c r="N34" s="139">
        <v>4.993065357208252</v>
      </c>
      <c r="O34" s="139">
        <v>23.410219192504883</v>
      </c>
    </row>
    <row r="35" spans="1:15" ht="12.75">
      <c r="A35" s="131">
        <v>1960</v>
      </c>
      <c r="B35" s="139">
        <v>31.256507873535156</v>
      </c>
      <c r="C35" s="139">
        <v>31.256507873535156</v>
      </c>
      <c r="D35" s="139">
        <v>21.391122817993164</v>
      </c>
      <c r="E35" s="139">
        <v>10.122900009155273</v>
      </c>
      <c r="F35" s="139">
        <v>19.948139190673828</v>
      </c>
      <c r="G35" s="139">
        <v>24.704193115234375</v>
      </c>
      <c r="H35" s="139">
        <v>16.03439712524414</v>
      </c>
      <c r="I35" s="139">
        <v>24.282737731933594</v>
      </c>
      <c r="J35" s="139">
        <v>15.356893539428711</v>
      </c>
      <c r="K35" s="139">
        <v>5.0023193359375</v>
      </c>
      <c r="L35" s="139">
        <v>5.0023193359375</v>
      </c>
      <c r="M35" s="139">
        <v>11.576447486877441</v>
      </c>
      <c r="N35" s="139">
        <v>9.727242469787598</v>
      </c>
      <c r="O35" s="139">
        <v>28.976184844970703</v>
      </c>
    </row>
    <row r="36" spans="1:15" ht="12.75">
      <c r="A36" s="131">
        <v>1961</v>
      </c>
      <c r="B36" s="139">
        <v>33.0289192199707</v>
      </c>
      <c r="C36" s="139">
        <v>33.0289192199707</v>
      </c>
      <c r="D36" s="139">
        <v>30.400192260742188</v>
      </c>
      <c r="E36" s="139">
        <v>16.839702606201172</v>
      </c>
      <c r="F36" s="139">
        <v>28.248611450195312</v>
      </c>
      <c r="G36" s="139">
        <v>36.753299713134766</v>
      </c>
      <c r="H36" s="139">
        <v>18.220932006835938</v>
      </c>
      <c r="I36" s="139">
        <v>12.749666213989258</v>
      </c>
      <c r="J36" s="139">
        <v>15.482747077941895</v>
      </c>
      <c r="K36" s="139">
        <v>13.26347541809082</v>
      </c>
      <c r="L36" s="139">
        <v>13.26347541809082</v>
      </c>
      <c r="M36" s="139">
        <v>4.997760772705078</v>
      </c>
      <c r="N36" s="139">
        <v>4.993064880371094</v>
      </c>
      <c r="O36" s="139">
        <v>30.99712562561035</v>
      </c>
    </row>
    <row r="37" spans="1:15" ht="12.75">
      <c r="A37" s="131">
        <v>1962</v>
      </c>
      <c r="B37" s="139">
        <v>35.729373931884766</v>
      </c>
      <c r="C37" s="139">
        <v>35.729373931884766</v>
      </c>
      <c r="D37" s="139">
        <v>31.77706527709961</v>
      </c>
      <c r="E37" s="139">
        <v>17.295068740844727</v>
      </c>
      <c r="F37" s="139">
        <v>39.75224685668945</v>
      </c>
      <c r="G37" s="139">
        <v>35.05445098876953</v>
      </c>
      <c r="H37" s="139">
        <v>19.099117279052734</v>
      </c>
      <c r="I37" s="139">
        <v>29.47317123413086</v>
      </c>
      <c r="J37" s="139">
        <v>21.881807327270508</v>
      </c>
      <c r="K37" s="139">
        <v>5.0023193359375</v>
      </c>
      <c r="L37" s="139">
        <v>5.0023193359375</v>
      </c>
      <c r="M37" s="139">
        <v>11.320637702941895</v>
      </c>
      <c r="N37" s="139">
        <v>15.213990211486816</v>
      </c>
      <c r="O37" s="139">
        <v>28.799131393432617</v>
      </c>
    </row>
    <row r="38" spans="1:15" ht="12.75">
      <c r="A38" s="131">
        <v>1963</v>
      </c>
      <c r="B38" s="139">
        <v>30.894994735717773</v>
      </c>
      <c r="C38" s="139">
        <v>30.894994735717773</v>
      </c>
      <c r="D38" s="139">
        <v>30.952911376953125</v>
      </c>
      <c r="E38" s="139">
        <v>14.619135856628418</v>
      </c>
      <c r="F38" s="139">
        <v>24.522342681884766</v>
      </c>
      <c r="G38" s="139">
        <v>24.519243240356445</v>
      </c>
      <c r="H38" s="139">
        <v>16.909698486328125</v>
      </c>
      <c r="I38" s="139">
        <v>20.235095977783203</v>
      </c>
      <c r="J38" s="139">
        <v>21.809280395507812</v>
      </c>
      <c r="K38" s="139">
        <v>13.00821304321289</v>
      </c>
      <c r="L38" s="139">
        <v>13.00821304321289</v>
      </c>
      <c r="M38" s="139">
        <v>10.393736839294434</v>
      </c>
      <c r="N38" s="139">
        <v>9.876380920410156</v>
      </c>
      <c r="O38" s="139">
        <v>29.532419204711914</v>
      </c>
    </row>
    <row r="39" spans="1:15" ht="12.75">
      <c r="A39" s="131">
        <v>1964</v>
      </c>
      <c r="B39" s="139">
        <v>32.20865249633789</v>
      </c>
      <c r="C39" s="139">
        <v>32.20865249633789</v>
      </c>
      <c r="D39" s="139">
        <v>29.404354095458984</v>
      </c>
      <c r="E39" s="139">
        <v>17.568429946899414</v>
      </c>
      <c r="F39" s="139">
        <v>37.24332046508789</v>
      </c>
      <c r="G39" s="139">
        <v>34.66721725463867</v>
      </c>
      <c r="H39" s="139">
        <v>25.149505615234375</v>
      </c>
      <c r="I39" s="139">
        <v>17.457365036010742</v>
      </c>
      <c r="J39" s="139">
        <v>23.68682098388672</v>
      </c>
      <c r="K39" s="139">
        <v>12.830486297607422</v>
      </c>
      <c r="L39" s="139">
        <v>12.830486297607422</v>
      </c>
      <c r="M39" s="139">
        <v>11.053850173950195</v>
      </c>
      <c r="N39" s="139">
        <v>4.993065357208252</v>
      </c>
      <c r="O39" s="139">
        <v>19.722932815551758</v>
      </c>
    </row>
    <row r="40" spans="1:15" ht="12.75">
      <c r="A40" s="131">
        <v>1965</v>
      </c>
      <c r="B40" s="139">
        <v>30.29595947265625</v>
      </c>
      <c r="C40" s="139">
        <v>30.29595947265625</v>
      </c>
      <c r="D40" s="139">
        <v>28.63100814819336</v>
      </c>
      <c r="E40" s="139">
        <v>13.99934196472168</v>
      </c>
      <c r="F40" s="139">
        <v>28.534543991088867</v>
      </c>
      <c r="G40" s="139">
        <v>19.19708824157715</v>
      </c>
      <c r="H40" s="139">
        <v>11.77634334564209</v>
      </c>
      <c r="I40" s="139">
        <v>12.757478713989258</v>
      </c>
      <c r="J40" s="139">
        <v>13.724690437316895</v>
      </c>
      <c r="K40" s="139">
        <v>7.87624454498291</v>
      </c>
      <c r="L40" s="139">
        <v>7.87624454498291</v>
      </c>
      <c r="M40" s="139">
        <v>4.997760772705078</v>
      </c>
      <c r="N40" s="139">
        <v>4.993064880371094</v>
      </c>
      <c r="O40" s="139">
        <v>28.765377044677734</v>
      </c>
    </row>
    <row r="41" spans="1:15" ht="12.75">
      <c r="A41" s="131">
        <v>1966</v>
      </c>
      <c r="B41" s="139">
        <v>30.38380241394043</v>
      </c>
      <c r="C41" s="139">
        <v>30.38380241394043</v>
      </c>
      <c r="D41" s="139">
        <v>29.48508071899414</v>
      </c>
      <c r="E41" s="139">
        <v>15.472573280334473</v>
      </c>
      <c r="F41" s="139">
        <v>28.864294052124023</v>
      </c>
      <c r="G41" s="139">
        <v>26.889429092407227</v>
      </c>
      <c r="H41" s="139">
        <v>19.74388313293457</v>
      </c>
      <c r="I41" s="139">
        <v>20.472768783569336</v>
      </c>
      <c r="J41" s="139">
        <v>21.2874813079834</v>
      </c>
      <c r="K41" s="139">
        <v>10.716445922851562</v>
      </c>
      <c r="L41" s="139">
        <v>10.716445922851562</v>
      </c>
      <c r="M41" s="139">
        <v>10.692742347717285</v>
      </c>
      <c r="N41" s="139">
        <v>16.852813720703125</v>
      </c>
      <c r="O41" s="139">
        <v>27.5842227935791</v>
      </c>
    </row>
    <row r="42" spans="1:15" ht="12.75">
      <c r="A42" s="131">
        <v>1967</v>
      </c>
      <c r="B42" s="139">
        <v>32.82470703125</v>
      </c>
      <c r="C42" s="139">
        <v>32.82470703125</v>
      </c>
      <c r="D42" s="139">
        <v>30.569419860839844</v>
      </c>
      <c r="E42" s="139">
        <v>17.597251892089844</v>
      </c>
      <c r="F42" s="139">
        <v>38.85606384277344</v>
      </c>
      <c r="G42" s="139">
        <v>28.250429153442383</v>
      </c>
      <c r="H42" s="139">
        <v>14.486923217773438</v>
      </c>
      <c r="I42" s="139">
        <v>16.21925163269043</v>
      </c>
      <c r="J42" s="139">
        <v>17.532833099365234</v>
      </c>
      <c r="K42" s="139">
        <v>14.667196273803711</v>
      </c>
      <c r="L42" s="139">
        <v>14.667196273803711</v>
      </c>
      <c r="M42" s="139">
        <v>9.022527694702148</v>
      </c>
      <c r="N42" s="139">
        <v>4.993065357208252</v>
      </c>
      <c r="O42" s="139">
        <v>21.57518768310547</v>
      </c>
    </row>
    <row r="43" spans="1:15" ht="12.75">
      <c r="A43" s="131">
        <v>1968</v>
      </c>
      <c r="B43" s="139">
        <v>30.879501342773438</v>
      </c>
      <c r="C43" s="139">
        <v>30.879501342773438</v>
      </c>
      <c r="D43" s="139">
        <v>29.688196182250977</v>
      </c>
      <c r="E43" s="139">
        <v>14.95040225982666</v>
      </c>
      <c r="F43" s="139">
        <v>29.05368995666504</v>
      </c>
      <c r="G43" s="139">
        <v>26.88370132446289</v>
      </c>
      <c r="H43" s="139">
        <v>16.43620491027832</v>
      </c>
      <c r="I43" s="139">
        <v>13.903298377990723</v>
      </c>
      <c r="J43" s="139">
        <v>14.776996612548828</v>
      </c>
      <c r="K43" s="139">
        <v>17.164386749267578</v>
      </c>
      <c r="L43" s="139">
        <v>17.164386749267578</v>
      </c>
      <c r="M43" s="139">
        <v>14.725523948669434</v>
      </c>
      <c r="N43" s="139">
        <v>8.368610382080078</v>
      </c>
      <c r="O43" s="139">
        <v>28.518230438232422</v>
      </c>
    </row>
    <row r="44" spans="1:15" ht="12.75">
      <c r="A44" s="131">
        <v>1969</v>
      </c>
      <c r="B44" s="139">
        <v>30.37874984741211</v>
      </c>
      <c r="C44" s="139">
        <v>30.37874984741211</v>
      </c>
      <c r="D44" s="139">
        <v>26.37471580505371</v>
      </c>
      <c r="E44" s="139">
        <v>14.03720474243164</v>
      </c>
      <c r="F44" s="139">
        <v>23.20699119567871</v>
      </c>
      <c r="G44" s="139">
        <v>25.110530853271484</v>
      </c>
      <c r="H44" s="139">
        <v>13.393336296081543</v>
      </c>
      <c r="I44" s="139">
        <v>14.579079627990723</v>
      </c>
      <c r="J44" s="139">
        <v>14.536144256591797</v>
      </c>
      <c r="K44" s="139">
        <v>5.002318859100342</v>
      </c>
      <c r="L44" s="139">
        <v>5.002318859100342</v>
      </c>
      <c r="M44" s="139">
        <v>4.997760772705078</v>
      </c>
      <c r="N44" s="139">
        <v>4.993065357208252</v>
      </c>
      <c r="O44" s="139">
        <v>29.580900192260742</v>
      </c>
    </row>
    <row r="45" spans="1:15" ht="12.75">
      <c r="A45" s="131">
        <v>1970</v>
      </c>
      <c r="B45" s="139">
        <v>37.70059585571289</v>
      </c>
      <c r="C45" s="139">
        <v>37.70059585571289</v>
      </c>
      <c r="D45" s="139">
        <v>30.648086547851562</v>
      </c>
      <c r="E45" s="139">
        <v>15.919981002807617</v>
      </c>
      <c r="F45" s="139">
        <v>38.91238021850586</v>
      </c>
      <c r="G45" s="139">
        <v>34.10858154296875</v>
      </c>
      <c r="H45" s="139">
        <v>25.39480972290039</v>
      </c>
      <c r="I45" s="139">
        <v>15.200057029724121</v>
      </c>
      <c r="J45" s="139">
        <v>19.54092025756836</v>
      </c>
      <c r="K45" s="139">
        <v>15.327691078186035</v>
      </c>
      <c r="L45" s="139">
        <v>15.327691078186035</v>
      </c>
      <c r="M45" s="139">
        <v>10.75790023803711</v>
      </c>
      <c r="N45" s="139">
        <v>5.324565887451172</v>
      </c>
      <c r="O45" s="139">
        <v>31.897964477539062</v>
      </c>
    </row>
    <row r="46" spans="1:15" ht="12.75">
      <c r="A46" s="131">
        <v>1971</v>
      </c>
      <c r="B46" s="139">
        <v>36.71431350708008</v>
      </c>
      <c r="C46" s="139">
        <v>36.71431350708008</v>
      </c>
      <c r="D46" s="139">
        <v>31.552011489868164</v>
      </c>
      <c r="E46" s="139">
        <v>17.87407684326172</v>
      </c>
      <c r="F46" s="139">
        <v>38.99417495727539</v>
      </c>
      <c r="G46" s="139">
        <v>25.56151580810547</v>
      </c>
      <c r="H46" s="139">
        <v>12.72862720489502</v>
      </c>
      <c r="I46" s="139">
        <v>12.29343032836914</v>
      </c>
      <c r="J46" s="139">
        <v>13.487981796264648</v>
      </c>
      <c r="K46" s="139">
        <v>5.0023193359375</v>
      </c>
      <c r="L46" s="139">
        <v>5.0023193359375</v>
      </c>
      <c r="M46" s="139">
        <v>4.997760772705078</v>
      </c>
      <c r="N46" s="139">
        <v>4.993065357208252</v>
      </c>
      <c r="O46" s="139">
        <v>20.9849910736084</v>
      </c>
    </row>
    <row r="47" spans="1:15" ht="12.75">
      <c r="A47" s="131">
        <v>1972</v>
      </c>
      <c r="B47" s="139">
        <v>28.19263458251953</v>
      </c>
      <c r="C47" s="139">
        <v>28.19263458251953</v>
      </c>
      <c r="D47" s="139">
        <v>29.27718162536621</v>
      </c>
      <c r="E47" s="139">
        <v>16.11696434020996</v>
      </c>
      <c r="F47" s="139">
        <v>28.51719856262207</v>
      </c>
      <c r="G47" s="139">
        <v>26.90889549255371</v>
      </c>
      <c r="H47" s="139">
        <v>13.224745750427246</v>
      </c>
      <c r="I47" s="139">
        <v>12.101198196411133</v>
      </c>
      <c r="J47" s="139">
        <v>8.19206428527832</v>
      </c>
      <c r="K47" s="139">
        <v>5.0023193359375</v>
      </c>
      <c r="L47" s="139">
        <v>5.0023193359375</v>
      </c>
      <c r="M47" s="139">
        <v>4.99776029586792</v>
      </c>
      <c r="N47" s="139">
        <v>4.993065357208252</v>
      </c>
      <c r="O47" s="139">
        <v>19.059619903564453</v>
      </c>
    </row>
    <row r="48" spans="1:15" ht="12.75">
      <c r="A48" s="131">
        <v>1973</v>
      </c>
      <c r="B48" s="139">
        <v>27.997699737548828</v>
      </c>
      <c r="C48" s="139">
        <v>27.997699737548828</v>
      </c>
      <c r="D48" s="139">
        <v>28.395370483398438</v>
      </c>
      <c r="E48" s="139">
        <v>15.911299705505371</v>
      </c>
      <c r="F48" s="139">
        <v>35.998226165771484</v>
      </c>
      <c r="G48" s="139">
        <v>25.136241912841797</v>
      </c>
      <c r="H48" s="139">
        <v>25.487741470336914</v>
      </c>
      <c r="I48" s="139">
        <v>26.48663902282715</v>
      </c>
      <c r="J48" s="139">
        <v>21.34618377685547</v>
      </c>
      <c r="K48" s="139">
        <v>19.982563018798828</v>
      </c>
      <c r="L48" s="139">
        <v>19.982563018798828</v>
      </c>
      <c r="M48" s="139">
        <v>15.803886413574219</v>
      </c>
      <c r="N48" s="139">
        <v>21.437551498413086</v>
      </c>
      <c r="O48" s="139">
        <v>33.31919860839844</v>
      </c>
    </row>
    <row r="49" spans="1:15" ht="12.75">
      <c r="A49" s="131">
        <v>1974</v>
      </c>
      <c r="B49" s="139">
        <v>38.6978759765625</v>
      </c>
      <c r="C49" s="139">
        <v>38.6978759765625</v>
      </c>
      <c r="D49" s="139">
        <v>31.398006439208984</v>
      </c>
      <c r="E49" s="139">
        <v>20.632518768310547</v>
      </c>
      <c r="F49" s="139">
        <v>30.362071990966797</v>
      </c>
      <c r="G49" s="139">
        <v>20.074398040771484</v>
      </c>
      <c r="H49" s="139">
        <v>11.820710182189941</v>
      </c>
      <c r="I49" s="139">
        <v>12.893448829650879</v>
      </c>
      <c r="J49" s="139">
        <v>11.702906608581543</v>
      </c>
      <c r="K49" s="139">
        <v>5.0023193359375</v>
      </c>
      <c r="L49" s="139">
        <v>5.0023193359375</v>
      </c>
      <c r="M49" s="139">
        <v>4.997760772705078</v>
      </c>
      <c r="N49" s="139">
        <v>4.993064880371094</v>
      </c>
      <c r="O49" s="139">
        <v>16.945268630981445</v>
      </c>
    </row>
    <row r="50" spans="1:15" ht="12.75">
      <c r="A50" s="131">
        <v>1975</v>
      </c>
      <c r="B50" s="139">
        <v>29.41474723815918</v>
      </c>
      <c r="C50" s="139">
        <v>29.41474723815918</v>
      </c>
      <c r="D50" s="139">
        <v>29.730749130249023</v>
      </c>
      <c r="E50" s="139">
        <v>18.373958587646484</v>
      </c>
      <c r="F50" s="139">
        <v>38.79126739501953</v>
      </c>
      <c r="G50" s="139">
        <v>28.517343521118164</v>
      </c>
      <c r="H50" s="139">
        <v>20.230085372924805</v>
      </c>
      <c r="I50" s="139">
        <v>18.67673110961914</v>
      </c>
      <c r="J50" s="139">
        <v>13.084344863891602</v>
      </c>
      <c r="K50" s="139">
        <v>13.076930046081543</v>
      </c>
      <c r="L50" s="139">
        <v>13.076930046081543</v>
      </c>
      <c r="M50" s="139">
        <v>5.219665050506592</v>
      </c>
      <c r="N50" s="139">
        <v>4.993064880371094</v>
      </c>
      <c r="O50" s="139">
        <v>19.26873016357422</v>
      </c>
    </row>
    <row r="51" spans="1:15" ht="12.75">
      <c r="A51" s="131">
        <v>1976</v>
      </c>
      <c r="B51" s="139">
        <v>31.89884376525879</v>
      </c>
      <c r="C51" s="139">
        <v>31.89884376525879</v>
      </c>
      <c r="D51" s="139">
        <v>30.150924682617188</v>
      </c>
      <c r="E51" s="139">
        <v>13.841010093688965</v>
      </c>
      <c r="F51" s="139">
        <v>21.936059951782227</v>
      </c>
      <c r="G51" s="139">
        <v>15.595589637756348</v>
      </c>
      <c r="H51" s="139">
        <v>12.289642333984375</v>
      </c>
      <c r="I51" s="139">
        <v>13.312735557556152</v>
      </c>
      <c r="J51" s="139">
        <v>15.607552528381348</v>
      </c>
      <c r="K51" s="139">
        <v>5.0023193359375</v>
      </c>
      <c r="L51" s="139">
        <v>5.0023193359375</v>
      </c>
      <c r="M51" s="139">
        <v>4.997760772705078</v>
      </c>
      <c r="N51" s="139">
        <v>9.46192741394043</v>
      </c>
      <c r="O51" s="139">
        <v>21.472909927368164</v>
      </c>
    </row>
    <row r="52" spans="1:15" ht="12.75">
      <c r="A52" s="131">
        <v>1977</v>
      </c>
      <c r="B52" s="139">
        <v>23.801605224609375</v>
      </c>
      <c r="C52" s="139">
        <v>23.801605224609375</v>
      </c>
      <c r="D52" s="139">
        <v>19.200613021850586</v>
      </c>
      <c r="E52" s="139">
        <v>17.22688865661621</v>
      </c>
      <c r="F52" s="139">
        <v>39.53629684448242</v>
      </c>
      <c r="G52" s="139">
        <v>33.12036895751953</v>
      </c>
      <c r="H52" s="139">
        <v>42.03290557861328</v>
      </c>
      <c r="I52" s="139">
        <v>29.38631820678711</v>
      </c>
      <c r="J52" s="139">
        <v>28.15016746520996</v>
      </c>
      <c r="K52" s="139">
        <v>21.412818908691406</v>
      </c>
      <c r="L52" s="139">
        <v>21.412818908691406</v>
      </c>
      <c r="M52" s="139">
        <v>16.914888381958008</v>
      </c>
      <c r="N52" s="139">
        <v>22.585573196411133</v>
      </c>
      <c r="O52" s="139">
        <v>37.53285598754883</v>
      </c>
    </row>
    <row r="53" spans="1:15" ht="12.75">
      <c r="A53" s="131">
        <v>1978</v>
      </c>
      <c r="B53" s="139">
        <v>38.8074836730957</v>
      </c>
      <c r="C53" s="139">
        <v>38.8074836730957</v>
      </c>
      <c r="D53" s="139">
        <v>31.730636596679688</v>
      </c>
      <c r="E53" s="139">
        <v>21.495075225830078</v>
      </c>
      <c r="F53" s="139">
        <v>39.317195892333984</v>
      </c>
      <c r="G53" s="139">
        <v>28.772958755493164</v>
      </c>
      <c r="H53" s="139">
        <v>23.12933349609375</v>
      </c>
      <c r="I53" s="139">
        <v>27.539833068847656</v>
      </c>
      <c r="J53" s="139">
        <v>14.162823677062988</v>
      </c>
      <c r="K53" s="139">
        <v>9.992697715759277</v>
      </c>
      <c r="L53" s="139">
        <v>9.992697715759277</v>
      </c>
      <c r="M53" s="139">
        <v>6.633221626281738</v>
      </c>
      <c r="N53" s="139">
        <v>12.930642127990723</v>
      </c>
      <c r="O53" s="139">
        <v>29.225664138793945</v>
      </c>
    </row>
    <row r="54" spans="1:15" ht="12.75">
      <c r="A54" s="131" t="s">
        <v>64</v>
      </c>
      <c r="B54" s="140">
        <f aca="true" t="shared" si="0" ref="B54:O54">AVERAGE(B4:B53)</f>
        <v>33.90080574035645</v>
      </c>
      <c r="C54" s="140">
        <f t="shared" si="0"/>
        <v>33.90080574035645</v>
      </c>
      <c r="D54" s="140">
        <f t="shared" si="0"/>
        <v>29.879696044921875</v>
      </c>
      <c r="E54" s="140">
        <f t="shared" si="0"/>
        <v>17.141538066864015</v>
      </c>
      <c r="F54" s="140">
        <f t="shared" si="0"/>
        <v>33.21532913208008</v>
      </c>
      <c r="G54" s="140">
        <f t="shared" si="0"/>
        <v>28.91771020889282</v>
      </c>
      <c r="H54" s="140">
        <f t="shared" si="0"/>
        <v>25.548044776916505</v>
      </c>
      <c r="I54" s="140">
        <f t="shared" si="0"/>
        <v>22.95087978363037</v>
      </c>
      <c r="J54" s="140">
        <f t="shared" si="0"/>
        <v>18.37457244873047</v>
      </c>
      <c r="K54" s="140">
        <f t="shared" si="0"/>
        <v>11.555304174423219</v>
      </c>
      <c r="L54" s="140">
        <f t="shared" si="0"/>
        <v>11.555304174423219</v>
      </c>
      <c r="M54" s="140">
        <f t="shared" si="0"/>
        <v>8.706489219665528</v>
      </c>
      <c r="N54" s="140">
        <f t="shared" si="0"/>
        <v>10.589988126754761</v>
      </c>
      <c r="O54" s="140">
        <f t="shared" si="0"/>
        <v>28.146999702453613</v>
      </c>
    </row>
    <row r="55" spans="1:15" ht="12.75">
      <c r="A55" s="131"/>
      <c r="B55" s="131"/>
      <c r="C55" s="131"/>
      <c r="D55" s="131"/>
      <c r="E55" s="131"/>
      <c r="F55" s="131"/>
      <c r="G55" s="131"/>
      <c r="H55" s="131"/>
      <c r="I55" s="131"/>
      <c r="J55" s="131"/>
      <c r="K55" s="131"/>
      <c r="L55" s="131"/>
      <c r="M55" s="131"/>
      <c r="N55" s="131"/>
      <c r="O55" s="131"/>
    </row>
    <row r="56" spans="1:15" ht="12.75">
      <c r="A56" s="235" t="str">
        <f>"LLH PF Price consistent with BPA Revenue Requirement (Slice) of "&amp;DOLLAR('Fixed Revenues'!C8,0)</f>
        <v>LLH PF Price consistent with BPA Revenue Requirement (Slice) of $1,703,316,200</v>
      </c>
      <c r="B56" s="235"/>
      <c r="C56" s="235"/>
      <c r="D56" s="235"/>
      <c r="E56" s="235"/>
      <c r="F56" s="235"/>
      <c r="G56" s="235"/>
      <c r="H56" s="235"/>
      <c r="I56" s="235"/>
      <c r="J56" s="235"/>
      <c r="K56" s="235"/>
      <c r="L56" s="235"/>
      <c r="M56" s="235"/>
      <c r="N56" s="235"/>
      <c r="O56" s="235"/>
    </row>
    <row r="57" spans="1:15" ht="12.75">
      <c r="A57" s="131"/>
      <c r="B57" s="133" t="s">
        <v>22</v>
      </c>
      <c r="C57" s="133" t="s">
        <v>23</v>
      </c>
      <c r="D57" s="133" t="s">
        <v>24</v>
      </c>
      <c r="E57" s="133" t="s">
        <v>25</v>
      </c>
      <c r="F57" s="133" t="s">
        <v>26</v>
      </c>
      <c r="G57" s="133" t="s">
        <v>27</v>
      </c>
      <c r="H57" s="133" t="s">
        <v>28</v>
      </c>
      <c r="I57" s="133" t="s">
        <v>29</v>
      </c>
      <c r="J57" s="133" t="s">
        <v>30</v>
      </c>
      <c r="K57" s="133" t="s">
        <v>31</v>
      </c>
      <c r="L57" s="133" t="s">
        <v>32</v>
      </c>
      <c r="M57" s="133" t="s">
        <v>33</v>
      </c>
      <c r="N57" s="133" t="s">
        <v>34</v>
      </c>
      <c r="O57" s="133" t="s">
        <v>35</v>
      </c>
    </row>
    <row r="58" spans="1:15" ht="12.75">
      <c r="A58" s="131" t="s">
        <v>49</v>
      </c>
      <c r="B58" s="141">
        <f>C61</f>
        <v>17.93</v>
      </c>
      <c r="C58" s="141">
        <f>C61</f>
        <v>17.93</v>
      </c>
      <c r="D58" s="141">
        <f>D61</f>
        <v>18.79</v>
      </c>
      <c r="E58" s="141">
        <f aca="true" t="shared" si="1" ref="E58:K58">E61</f>
        <v>11.76</v>
      </c>
      <c r="F58" s="141">
        <f t="shared" si="1"/>
        <v>17.71</v>
      </c>
      <c r="G58" s="141">
        <f t="shared" si="1"/>
        <v>17.37</v>
      </c>
      <c r="H58" s="141">
        <f t="shared" si="1"/>
        <v>14.14</v>
      </c>
      <c r="I58" s="141">
        <f t="shared" si="1"/>
        <v>13.14</v>
      </c>
      <c r="J58" s="141">
        <f t="shared" si="1"/>
        <v>11.42</v>
      </c>
      <c r="K58" s="141">
        <f t="shared" si="1"/>
        <v>8.82</v>
      </c>
      <c r="L58" s="141">
        <f>K61</f>
        <v>8.82</v>
      </c>
      <c r="M58" s="141">
        <f>L61</f>
        <v>7.25</v>
      </c>
      <c r="N58" s="141">
        <f>M61</f>
        <v>8.8</v>
      </c>
      <c r="O58" s="141">
        <f>N61</f>
        <v>14.69</v>
      </c>
    </row>
    <row r="59" spans="1:15" ht="12.75">
      <c r="A59" s="131"/>
      <c r="B59" s="131"/>
      <c r="C59" s="131"/>
      <c r="D59" s="131"/>
      <c r="E59" s="131"/>
      <c r="F59" s="131"/>
      <c r="G59" s="131"/>
      <c r="H59" s="131"/>
      <c r="I59" s="131"/>
      <c r="J59" s="131"/>
      <c r="K59" s="131"/>
      <c r="L59" s="131"/>
      <c r="M59" s="131"/>
      <c r="N59" s="131"/>
      <c r="O59" s="131"/>
    </row>
    <row r="60" spans="1:15" ht="12.75">
      <c r="A60" s="131"/>
      <c r="B60" s="131"/>
      <c r="C60" s="133" t="s">
        <v>97</v>
      </c>
      <c r="D60" s="133" t="s">
        <v>24</v>
      </c>
      <c r="E60" s="133" t="s">
        <v>25</v>
      </c>
      <c r="F60" s="133" t="s">
        <v>26</v>
      </c>
      <c r="G60" s="133" t="s">
        <v>27</v>
      </c>
      <c r="H60" s="133" t="s">
        <v>28</v>
      </c>
      <c r="I60" s="133" t="s">
        <v>29</v>
      </c>
      <c r="J60" s="133" t="s">
        <v>30</v>
      </c>
      <c r="K60" s="133" t="s">
        <v>96</v>
      </c>
      <c r="L60" s="133" t="s">
        <v>33</v>
      </c>
      <c r="M60" s="133" t="s">
        <v>34</v>
      </c>
      <c r="N60" s="133" t="s">
        <v>35</v>
      </c>
      <c r="O60" s="131"/>
    </row>
    <row r="61" spans="1:15" ht="12.75">
      <c r="A61" s="142" t="s">
        <v>114</v>
      </c>
      <c r="B61" s="131"/>
      <c r="C61" s="141">
        <v>17.93</v>
      </c>
      <c r="D61" s="141">
        <v>18.79</v>
      </c>
      <c r="E61" s="141">
        <v>11.76</v>
      </c>
      <c r="F61" s="141">
        <v>17.71</v>
      </c>
      <c r="G61" s="141">
        <v>17.37</v>
      </c>
      <c r="H61" s="141">
        <v>14.14</v>
      </c>
      <c r="I61" s="141">
        <v>13.14</v>
      </c>
      <c r="J61" s="141">
        <v>11.42</v>
      </c>
      <c r="K61" s="141">
        <v>8.82</v>
      </c>
      <c r="L61" s="141">
        <v>7.25</v>
      </c>
      <c r="M61" s="141">
        <v>8.8</v>
      </c>
      <c r="N61" s="141">
        <v>14.69</v>
      </c>
      <c r="O61" s="131"/>
    </row>
    <row r="62" spans="1:13" ht="12.75">
      <c r="A62" s="73"/>
      <c r="B62" s="29"/>
      <c r="C62" s="29"/>
      <c r="D62" s="29"/>
      <c r="E62" s="29"/>
      <c r="F62" s="29"/>
      <c r="G62" s="29"/>
      <c r="H62" s="29"/>
      <c r="I62" s="29"/>
      <c r="J62" s="29"/>
      <c r="K62" s="29"/>
      <c r="L62" s="29"/>
      <c r="M62" s="29"/>
    </row>
    <row r="63" spans="1:13" ht="12.75">
      <c r="A63" s="73"/>
      <c r="B63" s="29"/>
      <c r="C63" s="29"/>
      <c r="D63" s="29"/>
      <c r="E63" s="29"/>
      <c r="F63" s="29"/>
      <c r="G63" s="29"/>
      <c r="H63" s="29"/>
      <c r="I63" s="29"/>
      <c r="J63" s="29"/>
      <c r="K63" s="29"/>
      <c r="L63" s="29"/>
      <c r="M63" s="29"/>
    </row>
    <row r="64" spans="1:13" ht="12.75">
      <c r="A64" s="74"/>
      <c r="B64" s="72"/>
      <c r="C64" s="72"/>
      <c r="D64" s="72"/>
      <c r="E64" s="72"/>
      <c r="F64" s="72"/>
      <c r="G64" s="72"/>
      <c r="H64" s="72"/>
      <c r="I64" s="72"/>
      <c r="J64" s="72"/>
      <c r="K64" s="72"/>
      <c r="L64" s="72"/>
      <c r="M64" s="72"/>
    </row>
    <row r="65" spans="1:13" ht="12.75">
      <c r="A65" s="74"/>
      <c r="B65" s="72"/>
      <c r="C65" s="72"/>
      <c r="D65" s="72"/>
      <c r="E65" s="72"/>
      <c r="F65" s="72"/>
      <c r="G65" s="72"/>
      <c r="H65" s="72"/>
      <c r="I65" s="72"/>
      <c r="J65" s="72"/>
      <c r="K65" s="72"/>
      <c r="L65" s="72"/>
      <c r="M65" s="72"/>
    </row>
    <row r="66" spans="1:13" ht="12.75">
      <c r="A66" s="74"/>
      <c r="B66" s="72"/>
      <c r="C66" s="72"/>
      <c r="D66" s="72"/>
      <c r="E66" s="72"/>
      <c r="F66" s="72"/>
      <c r="G66" s="72"/>
      <c r="H66" s="72"/>
      <c r="I66" s="72"/>
      <c r="J66" s="72"/>
      <c r="K66" s="72"/>
      <c r="L66" s="72"/>
      <c r="M66" s="72"/>
    </row>
  </sheetData>
  <mergeCells count="3">
    <mergeCell ref="A1:O1"/>
    <mergeCell ref="A2:O2"/>
    <mergeCell ref="A56:O56"/>
  </mergeCells>
  <printOptions/>
  <pageMargins left="0.5" right="0.5" top="0.75" bottom="0.75" header="0.5" footer="0.5"/>
  <pageSetup fitToHeight="1" fitToWidth="1" horizontalDpi="300" verticalDpi="300" orientation="portrait" scale="74" r:id="rId1"/>
  <headerFooter alignWithMargins="0">
    <oddFooter>&amp;LSlice Cost Shift Study&amp;CPage &amp;P&amp;R'02 Rate Case</oddFooter>
  </headerFooter>
</worksheet>
</file>

<file path=xl/worksheets/sheet21.xml><?xml version="1.0" encoding="utf-8"?>
<worksheet xmlns="http://schemas.openxmlformats.org/spreadsheetml/2006/main" xmlns:r="http://schemas.openxmlformats.org/officeDocument/2006/relationships">
  <sheetPr codeName="Sheet9"/>
  <dimension ref="A1:P162"/>
  <sheetViews>
    <sheetView workbookViewId="0" topLeftCell="A145">
      <selection activeCell="A112" sqref="A112:A162"/>
    </sheetView>
  </sheetViews>
  <sheetFormatPr defaultColWidth="9.33203125" defaultRowHeight="12.75"/>
  <sheetData>
    <row r="1" spans="2:15" ht="12.75">
      <c r="B1" s="229" t="s">
        <v>125</v>
      </c>
      <c r="C1" s="229"/>
      <c r="D1" s="229"/>
      <c r="E1" s="229"/>
      <c r="F1" s="229"/>
      <c r="G1" s="229"/>
      <c r="H1" s="229"/>
      <c r="I1" s="229"/>
      <c r="J1" s="229"/>
      <c r="K1" s="229"/>
      <c r="L1" s="229"/>
      <c r="M1" s="229"/>
      <c r="N1" s="229"/>
      <c r="O1" s="229"/>
    </row>
    <row r="2" spans="1:16" ht="12.75">
      <c r="A2" s="132" t="str">
        <f>'HLH Slice Load'!A2</f>
        <v>HLH</v>
      </c>
      <c r="B2" s="134" t="str">
        <f>'HLH Slice Load'!B2</f>
        <v>Aug I</v>
      </c>
      <c r="C2" s="134" t="str">
        <f>'HLH Slice Load'!C2</f>
        <v>Aug II</v>
      </c>
      <c r="D2" s="134" t="str">
        <f>'HLH Slice Load'!D2</f>
        <v>Sep</v>
      </c>
      <c r="E2" s="134" t="str">
        <f>'HLH Slice Load'!E2</f>
        <v>Oct</v>
      </c>
      <c r="F2" s="134" t="str">
        <f>'HLH Slice Load'!F2</f>
        <v>Nov</v>
      </c>
      <c r="G2" s="134" t="str">
        <f>'HLH Slice Load'!G2</f>
        <v>Dec</v>
      </c>
      <c r="H2" s="134" t="str">
        <f>'HLH Slice Load'!H2</f>
        <v>Jan</v>
      </c>
      <c r="I2" s="134" t="str">
        <f>'HLH Slice Load'!I2</f>
        <v>Feb</v>
      </c>
      <c r="J2" s="134" t="str">
        <f>'HLH Slice Load'!J2</f>
        <v>Mar</v>
      </c>
      <c r="K2" s="134" t="str">
        <f>'HLH Slice Load'!K2</f>
        <v>Apr I</v>
      </c>
      <c r="L2" s="134" t="str">
        <f>'HLH Slice Load'!L2</f>
        <v>Apr II</v>
      </c>
      <c r="M2" s="134" t="str">
        <f>'HLH Slice Load'!M2</f>
        <v>May</v>
      </c>
      <c r="N2" s="134" t="str">
        <f>'HLH Slice Load'!N2</f>
        <v>Jun</v>
      </c>
      <c r="O2" s="134" t="str">
        <f>'HLH Slice Load'!O2</f>
        <v>Jul</v>
      </c>
      <c r="P2" s="135" t="s">
        <v>17</v>
      </c>
    </row>
    <row r="3" spans="1:16" ht="12.75">
      <c r="A3" s="131">
        <f>'HLH Slice Load'!A3</f>
        <v>1929</v>
      </c>
      <c r="B3" s="1">
        <f>('HLH Slice Load'!B3-'HLH-LLH Loads'!N$7)*'HLH-LLH Loads'!N$4</f>
        <v>173593.10087732138</v>
      </c>
      <c r="C3" s="1">
        <f>('HLH Slice Load'!C3-'HLH-LLH Loads'!O$7)*'HLH-LLH Loads'!O$4</f>
        <v>70567.94703676173</v>
      </c>
      <c r="D3" s="1">
        <f>('HLH Slice Load'!D3-'HLH-LLH Loads'!P$7)*'HLH-LLH Loads'!P$4</f>
        <v>-5952.1707478419485</v>
      </c>
      <c r="E3" s="1">
        <f>('HLH Slice Load'!E3-'HLH-LLH Loads'!Q$7)*'HLH-LLH Loads'!Q$4</f>
        <v>127473.71328722309</v>
      </c>
      <c r="F3" s="1">
        <f>('HLH Slice Load'!F3-'HLH-LLH Loads'!R$7)*'HLH-LLH Loads'!R$4</f>
        <v>-40148.51234160759</v>
      </c>
      <c r="G3" s="1">
        <f>('HLH Slice Load'!G3-'HLH-LLH Loads'!S$7)*'HLH-LLH Loads'!S$4</f>
        <v>-49525.573200704144</v>
      </c>
      <c r="H3" s="1">
        <f>('HLH Slice Load'!H3-'HLH-LLH Loads'!T$7)*'HLH-LLH Loads'!T$4</f>
        <v>-203933.5816028053</v>
      </c>
      <c r="I3" s="1">
        <f>('HLH Slice Load'!I3-'HLH-LLH Loads'!U$7)*'HLH-LLH Loads'!U$4</f>
        <v>-143574.72617362178</v>
      </c>
      <c r="J3" s="1">
        <f>('HLH Slice Load'!J3-'HLH-LLH Loads'!V$7)*'HLH-LLH Loads'!V$4</f>
        <v>-139982.64493076628</v>
      </c>
      <c r="K3" s="1">
        <f>('HLH Slice Load'!K3-'HLH-LLH Loads'!W$7)*'HLH-LLH Loads'!W$4</f>
        <v>-73166.37203536229</v>
      </c>
      <c r="L3" s="1">
        <f>('HLH Slice Load'!L3-'HLH-LLH Loads'!X$7)*'HLH-LLH Loads'!X$4</f>
        <v>-8377.469143926632</v>
      </c>
      <c r="M3" s="1">
        <f>('HLH Slice Load'!M3-'HLH-LLH Loads'!Y$7)*'HLH-LLH Loads'!Y$4</f>
        <v>163249.77603204406</v>
      </c>
      <c r="N3" s="1">
        <f>('HLH Slice Load'!N3-'HLH-LLH Loads'!Z$7)*'HLH-LLH Loads'!Z$4</f>
        <v>357581.77010682644</v>
      </c>
      <c r="O3" s="1">
        <f>('HLH Slice Load'!O3-'HLH-LLH Loads'!AA$7)*'HLH-LLH Loads'!AA$4</f>
        <v>257005.43282052822</v>
      </c>
      <c r="P3" s="130">
        <f>SUM(B3:O3)</f>
        <v>484810.689984069</v>
      </c>
    </row>
    <row r="4" spans="1:16" ht="12.75">
      <c r="A4" s="131">
        <f>'HLH Slice Load'!A4</f>
        <v>1930</v>
      </c>
      <c r="B4" s="1">
        <f>('HLH Slice Load'!B4-'HLH-LLH Loads'!N$7)*'HLH-LLH Loads'!N$4</f>
        <v>62853.56248451663</v>
      </c>
      <c r="C4" s="1">
        <f>('HLH Slice Load'!C4-'HLH-LLH Loads'!O$7)*'HLH-LLH Loads'!O$4</f>
        <v>53643.8038787135</v>
      </c>
      <c r="D4" s="1">
        <f>('HLH Slice Load'!D4-'HLH-LLH Loads'!P$7)*'HLH-LLH Loads'!P$4</f>
        <v>-2351.526647663937</v>
      </c>
      <c r="E4" s="1">
        <f>('HLH Slice Load'!E4-'HLH-LLH Loads'!Q$7)*'HLH-LLH Loads'!Q$4</f>
        <v>77615.46015071793</v>
      </c>
      <c r="F4" s="1">
        <f>('HLH Slice Load'!F4-'HLH-LLH Loads'!R$7)*'HLH-LLH Loads'!R$4</f>
        <v>18866.80448651439</v>
      </c>
      <c r="G4" s="1">
        <f>('HLH Slice Load'!G4-'HLH-LLH Loads'!S$7)*'HLH-LLH Loads'!S$4</f>
        <v>-32809.99349911457</v>
      </c>
      <c r="H4" s="1">
        <f>('HLH Slice Load'!H4-'HLH-LLH Loads'!T$7)*'HLH-LLH Loads'!T$4</f>
        <v>-198820.97244780848</v>
      </c>
      <c r="I4" s="1">
        <f>('HLH Slice Load'!I4-'HLH-LLH Loads'!U$7)*'HLH-LLH Loads'!U$4</f>
        <v>-182966.74323161787</v>
      </c>
      <c r="J4" s="1">
        <f>('HLH Slice Load'!J4-'HLH-LLH Loads'!V$7)*'HLH-LLH Loads'!V$4</f>
        <v>-159618.89670771692</v>
      </c>
      <c r="K4" s="1">
        <f>('HLH Slice Load'!K4-'HLH-LLH Loads'!W$7)*'HLH-LLH Loads'!W$4</f>
        <v>-27975.2209494486</v>
      </c>
      <c r="L4" s="1">
        <f>('HLH Slice Load'!L4-'HLH-LLH Loads'!X$7)*'HLH-LLH Loads'!X$4</f>
        <v>99374.1594883661</v>
      </c>
      <c r="M4" s="1">
        <f>('HLH Slice Load'!M4-'HLH-LLH Loads'!Y$7)*'HLH-LLH Loads'!Y$4</f>
        <v>119965.1477685104</v>
      </c>
      <c r="N4" s="1">
        <f>('HLH Slice Load'!N4-'HLH-LLH Loads'!Z$7)*'HLH-LLH Loads'!Z$4</f>
        <v>180145.59792844858</v>
      </c>
      <c r="O4" s="1">
        <f>('HLH Slice Load'!O4-'HLH-LLH Loads'!AA$7)*'HLH-LLH Loads'!AA$4</f>
        <v>284564.2022311993</v>
      </c>
      <c r="P4" s="130">
        <f aca="true" t="shared" si="0" ref="P4:P52">SUM(B4:O4)</f>
        <v>292485.3849336165</v>
      </c>
    </row>
    <row r="5" spans="1:16" ht="12.75">
      <c r="A5" s="131">
        <f>'HLH Slice Load'!A5</f>
        <v>1931</v>
      </c>
      <c r="B5" s="1">
        <f>('HLH Slice Load'!B5-'HLH-LLH Loads'!N$7)*'HLH-LLH Loads'!N$4</f>
        <v>92124.41222654429</v>
      </c>
      <c r="C5" s="1">
        <f>('HLH Slice Load'!C5-'HLH-LLH Loads'!O$7)*'HLH-LLH Loads'!O$4</f>
        <v>72062.58433801064</v>
      </c>
      <c r="D5" s="1">
        <f>('HLH Slice Load'!D5-'HLH-LLH Loads'!P$7)*'HLH-LLH Loads'!P$4</f>
        <v>-42846.12494145127</v>
      </c>
      <c r="E5" s="1">
        <f>('HLH Slice Load'!E5-'HLH-LLH Loads'!Q$7)*'HLH-LLH Loads'!Q$4</f>
        <v>66582.60282789657</v>
      </c>
      <c r="F5" s="1">
        <f>('HLH Slice Load'!F5-'HLH-LLH Loads'!R$7)*'HLH-LLH Loads'!R$4</f>
        <v>24781.56252800508</v>
      </c>
      <c r="G5" s="1">
        <f>('HLH Slice Load'!G5-'HLH-LLH Loads'!S$7)*'HLH-LLH Loads'!S$4</f>
        <v>-8925.68555417336</v>
      </c>
      <c r="H5" s="1">
        <f>('HLH Slice Load'!H5-'HLH-LLH Loads'!T$7)*'HLH-LLH Loads'!T$4</f>
        <v>-263498.5877200988</v>
      </c>
      <c r="I5" s="1">
        <f>('HLH Slice Load'!I5-'HLH-LLH Loads'!U$7)*'HLH-LLH Loads'!U$4</f>
        <v>-271811.20730151574</v>
      </c>
      <c r="J5" s="1">
        <f>('HLH Slice Load'!J5-'HLH-LLH Loads'!V$7)*'HLH-LLH Loads'!V$4</f>
        <v>-162058.50821024305</v>
      </c>
      <c r="K5" s="1">
        <f>('HLH Slice Load'!K5-'HLH-LLH Loads'!W$7)*'HLH-LLH Loads'!W$4</f>
        <v>12777.512558188188</v>
      </c>
      <c r="L5" s="1">
        <f>('HLH Slice Load'!L5-'HLH-LLH Loads'!X$7)*'HLH-LLH Loads'!X$4</f>
        <v>-36151.45656752929</v>
      </c>
      <c r="M5" s="1">
        <f>('HLH Slice Load'!M5-'HLH-LLH Loads'!Y$7)*'HLH-LLH Loads'!Y$4</f>
        <v>353463.3991035414</v>
      </c>
      <c r="N5" s="1">
        <f>('HLH Slice Load'!N5-'HLH-LLH Loads'!Z$7)*'HLH-LLH Loads'!Z$4</f>
        <v>226458.28365265377</v>
      </c>
      <c r="O5" s="1">
        <f>('HLH Slice Load'!O5-'HLH-LLH Loads'!AA$7)*'HLH-LLH Loads'!AA$4</f>
        <v>304432.4310404783</v>
      </c>
      <c r="P5" s="130">
        <f t="shared" si="0"/>
        <v>367391.2179803066</v>
      </c>
    </row>
    <row r="6" spans="1:16" ht="12.75">
      <c r="A6" s="131">
        <f>'HLH Slice Load'!A6</f>
        <v>1932</v>
      </c>
      <c r="B6" s="1">
        <f>('HLH Slice Load'!B6-'HLH-LLH Loads'!N$7)*'HLH-LLH Loads'!N$4</f>
        <v>71998.34153545818</v>
      </c>
      <c r="C6" s="1">
        <f>('HLH Slice Load'!C6-'HLH-LLH Loads'!O$7)*'HLH-LLH Loads'!O$4</f>
        <v>41699.943091993744</v>
      </c>
      <c r="D6" s="1">
        <f>('HLH Slice Load'!D6-'HLH-LLH Loads'!P$7)*'HLH-LLH Loads'!P$4</f>
        <v>-50342.01783306646</v>
      </c>
      <c r="E6" s="1">
        <f>('HLH Slice Load'!E6-'HLH-LLH Loads'!Q$7)*'HLH-LLH Loads'!Q$4</f>
        <v>75433.25414213733</v>
      </c>
      <c r="F6" s="1">
        <f>('HLH Slice Load'!F6-'HLH-LLH Loads'!R$7)*'HLH-LLH Loads'!R$4</f>
        <v>17851.934954361357</v>
      </c>
      <c r="G6" s="1">
        <f>('HLH Slice Load'!G6-'HLH-LLH Loads'!S$7)*'HLH-LLH Loads'!S$4</f>
        <v>-78927.30366061139</v>
      </c>
      <c r="H6" s="1">
        <f>('HLH Slice Load'!H6-'HLH-LLH Loads'!T$7)*'HLH-LLH Loads'!T$4</f>
        <v>-256025.6933518828</v>
      </c>
      <c r="I6" s="1">
        <f>('HLH Slice Load'!I6-'HLH-LLH Loads'!U$7)*'HLH-LLH Loads'!U$4</f>
        <v>-169853.89960106055</v>
      </c>
      <c r="J6" s="1">
        <f>('HLH Slice Load'!J6-'HLH-LLH Loads'!V$7)*'HLH-LLH Loads'!V$4</f>
        <v>107115.56949516498</v>
      </c>
      <c r="K6" s="1">
        <f>('HLH Slice Load'!K6-'HLH-LLH Loads'!W$7)*'HLH-LLH Loads'!W$4</f>
        <v>143510.6741610746</v>
      </c>
      <c r="L6" s="1">
        <f>('HLH Slice Load'!L6-'HLH-LLH Loads'!X$7)*'HLH-LLH Loads'!X$4</f>
        <v>116698.49724238497</v>
      </c>
      <c r="M6" s="1">
        <f>('HLH Slice Load'!M6-'HLH-LLH Loads'!Y$7)*'HLH-LLH Loads'!Y$4</f>
        <v>531359.8253320745</v>
      </c>
      <c r="N6" s="1">
        <f>('HLH Slice Load'!N6-'HLH-LLH Loads'!Z$7)*'HLH-LLH Loads'!Z$4</f>
        <v>545127.8287884956</v>
      </c>
      <c r="O6" s="1">
        <f>('HLH Slice Load'!O6-'HLH-LLH Loads'!AA$7)*'HLH-LLH Loads'!AA$4</f>
        <v>394622.57406872883</v>
      </c>
      <c r="P6" s="130">
        <f t="shared" si="0"/>
        <v>1490269.528365253</v>
      </c>
    </row>
    <row r="7" spans="1:16" ht="12.75">
      <c r="A7" s="131">
        <f>'HLH Slice Load'!A7</f>
        <v>1933</v>
      </c>
      <c r="B7" s="1">
        <f>('HLH Slice Load'!B7-'HLH-LLH Loads'!N$7)*'HLH-LLH Loads'!N$4</f>
        <v>106875.41419869076</v>
      </c>
      <c r="C7" s="1">
        <f>('HLH Slice Load'!C7-'HLH-LLH Loads'!O$7)*'HLH-LLH Loads'!O$4</f>
        <v>90651.40342325153</v>
      </c>
      <c r="D7" s="1">
        <f>('HLH Slice Load'!D7-'HLH-LLH Loads'!P$7)*'HLH-LLH Loads'!P$4</f>
        <v>21735.19291794193</v>
      </c>
      <c r="E7" s="1">
        <f>('HLH Slice Load'!E7-'HLH-LLH Loads'!Q$7)*'HLH-LLH Loads'!Q$4</f>
        <v>133870.996807235</v>
      </c>
      <c r="F7" s="1">
        <f>('HLH Slice Load'!F7-'HLH-LLH Loads'!R$7)*'HLH-LLH Loads'!R$4</f>
        <v>1605.9830324971408</v>
      </c>
      <c r="G7" s="1">
        <f>('HLH Slice Load'!G7-'HLH-LLH Loads'!S$7)*'HLH-LLH Loads'!S$4</f>
        <v>-27782.457093226425</v>
      </c>
      <c r="H7" s="1">
        <f>('HLH Slice Load'!H7-'HLH-LLH Loads'!T$7)*'HLH-LLH Loads'!T$4</f>
        <v>268111.65190035064</v>
      </c>
      <c r="I7" s="1">
        <f>('HLH Slice Load'!I7-'HLH-LLH Loads'!U$7)*'HLH-LLH Loads'!U$4</f>
        <v>41009.17568439149</v>
      </c>
      <c r="J7" s="1">
        <f>('HLH Slice Load'!J7-'HLH-LLH Loads'!V$7)*'HLH-LLH Loads'!V$4</f>
        <v>-62876.88166246235</v>
      </c>
      <c r="K7" s="1">
        <f>('HLH Slice Load'!K7-'HLH-LLH Loads'!W$7)*'HLH-LLH Loads'!W$4</f>
        <v>71174.9006567052</v>
      </c>
      <c r="L7" s="1">
        <f>('HLH Slice Load'!L7-'HLH-LLH Loads'!X$7)*'HLH-LLH Loads'!X$4</f>
        <v>-5676.846894393606</v>
      </c>
      <c r="M7" s="1">
        <f>('HLH Slice Load'!M7-'HLH-LLH Loads'!Y$7)*'HLH-LLH Loads'!Y$4</f>
        <v>397109.13638150145</v>
      </c>
      <c r="N7" s="1">
        <f>('HLH Slice Load'!N7-'HLH-LLH Loads'!Z$7)*'HLH-LLH Loads'!Z$4</f>
        <v>676279.5801014398</v>
      </c>
      <c r="O7" s="1">
        <f>('HLH Slice Load'!O7-'HLH-LLH Loads'!AA$7)*'HLH-LLH Loads'!AA$4</f>
        <v>520324.72327809513</v>
      </c>
      <c r="P7" s="130">
        <f t="shared" si="0"/>
        <v>2232411.9727320177</v>
      </c>
    </row>
    <row r="8" spans="1:16" ht="12.75">
      <c r="A8" s="131">
        <f>'HLH Slice Load'!A8</f>
        <v>1934</v>
      </c>
      <c r="B8" s="1">
        <f>('HLH Slice Load'!B8-'HLH-LLH Loads'!N$7)*'HLH-LLH Loads'!N$4</f>
        <v>170213.9740781388</v>
      </c>
      <c r="C8" s="1">
        <f>('HLH Slice Load'!C8-'HLH-LLH Loads'!O$7)*'HLH-LLH Loads'!O$4</f>
        <v>187141.09143889765</v>
      </c>
      <c r="D8" s="1">
        <f>('HLH Slice Load'!D8-'HLH-LLH Loads'!P$7)*'HLH-LLH Loads'!P$4</f>
        <v>65114.397822048166</v>
      </c>
      <c r="E8" s="1">
        <f>('HLH Slice Load'!E8-'HLH-LLH Loads'!Q$7)*'HLH-LLH Loads'!Q$4</f>
        <v>232579.14816703537</v>
      </c>
      <c r="F8" s="1">
        <f>('HLH Slice Load'!F8-'HLH-LLH Loads'!R$7)*'HLH-LLH Loads'!R$4</f>
        <v>174731.25658471242</v>
      </c>
      <c r="G8" s="1">
        <f>('HLH Slice Load'!G8-'HLH-LLH Loads'!S$7)*'HLH-LLH Loads'!S$4</f>
        <v>337636.03974673233</v>
      </c>
      <c r="H8" s="1">
        <f>('HLH Slice Load'!H8-'HLH-LLH Loads'!T$7)*'HLH-LLH Loads'!T$4</f>
        <v>420014.746552354</v>
      </c>
      <c r="I8" s="1">
        <f>('HLH Slice Load'!I8-'HLH-LLH Loads'!U$7)*'HLH-LLH Loads'!U$4</f>
        <v>229592.26411661317</v>
      </c>
      <c r="J8" s="1">
        <f>('HLH Slice Load'!J8-'HLH-LLH Loads'!V$7)*'HLH-LLH Loads'!V$4</f>
        <v>245442.7743521352</v>
      </c>
      <c r="K8" s="1">
        <f>('HLH Slice Load'!K8-'HLH-LLH Loads'!W$7)*'HLH-LLH Loads'!W$4</f>
        <v>160914.73044027775</v>
      </c>
      <c r="L8" s="1">
        <f>('HLH Slice Load'!L8-'HLH-LLH Loads'!X$7)*'HLH-LLH Loads'!X$4</f>
        <v>157645.4024769112</v>
      </c>
      <c r="M8" s="1">
        <f>('HLH Slice Load'!M8-'HLH-LLH Loads'!Y$7)*'HLH-LLH Loads'!Y$4</f>
        <v>477947.3600789341</v>
      </c>
      <c r="N8" s="1">
        <f>('HLH Slice Load'!N8-'HLH-LLH Loads'!Z$7)*'HLH-LLH Loads'!Z$4</f>
        <v>304349.2975902469</v>
      </c>
      <c r="O8" s="1">
        <f>('HLH Slice Load'!O8-'HLH-LLH Loads'!AA$7)*'HLH-LLH Loads'!AA$4</f>
        <v>199533.2996937309</v>
      </c>
      <c r="P8" s="130">
        <f t="shared" si="0"/>
        <v>3362855.783138768</v>
      </c>
    </row>
    <row r="9" spans="1:16" ht="12.75">
      <c r="A9" s="131">
        <f>'HLH Slice Load'!A9</f>
        <v>1935</v>
      </c>
      <c r="B9" s="1">
        <f>('HLH Slice Load'!B9-'HLH-LLH Loads'!N$7)*'HLH-LLH Loads'!N$4</f>
        <v>33509.215543292514</v>
      </c>
      <c r="C9" s="1">
        <f>('HLH Slice Load'!C9-'HLH-LLH Loads'!O$7)*'HLH-LLH Loads'!O$4</f>
        <v>17377.546824918583</v>
      </c>
      <c r="D9" s="1">
        <f>('HLH Slice Load'!D9-'HLH-LLH Loads'!P$7)*'HLH-LLH Loads'!P$4</f>
        <v>-32101.99132236717</v>
      </c>
      <c r="E9" s="1">
        <f>('HLH Slice Load'!E9-'HLH-LLH Loads'!Q$7)*'HLH-LLH Loads'!Q$4</f>
        <v>51726.49953796761</v>
      </c>
      <c r="F9" s="1">
        <f>('HLH Slice Load'!F9-'HLH-LLH Loads'!R$7)*'HLH-LLH Loads'!R$4</f>
        <v>-29726.89843279159</v>
      </c>
      <c r="G9" s="1">
        <f>('HLH Slice Load'!G9-'HLH-LLH Loads'!S$7)*'HLH-LLH Loads'!S$4</f>
        <v>-66373.10018018159</v>
      </c>
      <c r="H9" s="1">
        <f>('HLH Slice Load'!H9-'HLH-LLH Loads'!T$7)*'HLH-LLH Loads'!T$4</f>
        <v>232154.10546011382</v>
      </c>
      <c r="I9" s="1">
        <f>('HLH Slice Load'!I9-'HLH-LLH Loads'!U$7)*'HLH-LLH Loads'!U$4</f>
        <v>-13536.749543470913</v>
      </c>
      <c r="J9" s="1">
        <f>('HLH Slice Load'!J9-'HLH-LLH Loads'!V$7)*'HLH-LLH Loads'!V$4</f>
        <v>50912.931399624504</v>
      </c>
      <c r="K9" s="1">
        <f>('HLH Slice Load'!K9-'HLH-LLH Loads'!W$7)*'HLH-LLH Loads'!W$4</f>
        <v>86330.20843568147</v>
      </c>
      <c r="L9" s="1">
        <f>('HLH Slice Load'!L9-'HLH-LLH Loads'!X$7)*'HLH-LLH Loads'!X$4</f>
        <v>33361.80124330774</v>
      </c>
      <c r="M9" s="1">
        <f>('HLH Slice Load'!M9-'HLH-LLH Loads'!Y$7)*'HLH-LLH Loads'!Y$4</f>
        <v>334584.6411324851</v>
      </c>
      <c r="N9" s="1">
        <f>('HLH Slice Load'!N9-'HLH-LLH Loads'!Z$7)*'HLH-LLH Loads'!Z$4</f>
        <v>464046.2434034426</v>
      </c>
      <c r="O9" s="1">
        <f>('HLH Slice Load'!O9-'HLH-LLH Loads'!AA$7)*'HLH-LLH Loads'!AA$4</f>
        <v>393862.2399719064</v>
      </c>
      <c r="P9" s="130">
        <f t="shared" si="0"/>
        <v>1556126.693473929</v>
      </c>
    </row>
    <row r="10" spans="1:16" ht="12.75">
      <c r="A10" s="131">
        <f>'HLH Slice Load'!A10</f>
        <v>1936</v>
      </c>
      <c r="B10" s="1">
        <f>('HLH Slice Load'!B10-'HLH-LLH Loads'!N$7)*'HLH-LLH Loads'!N$4</f>
        <v>119791.34615598514</v>
      </c>
      <c r="C10" s="1">
        <f>('HLH Slice Load'!C10-'HLH-LLH Loads'!O$7)*'HLH-LLH Loads'!O$4</f>
        <v>23840.000834163286</v>
      </c>
      <c r="D10" s="1">
        <f>('HLH Slice Load'!D10-'HLH-LLH Loads'!P$7)*'HLH-LLH Loads'!P$4</f>
        <v>-23245.95033850646</v>
      </c>
      <c r="E10" s="1">
        <f>('HLH Slice Load'!E10-'HLH-LLH Loads'!Q$7)*'HLH-LLH Loads'!Q$4</f>
        <v>102891.97562144103</v>
      </c>
      <c r="F10" s="1">
        <f>('HLH Slice Load'!F10-'HLH-LLH Loads'!R$7)*'HLH-LLH Loads'!R$4</f>
        <v>-12858.371531708428</v>
      </c>
      <c r="G10" s="1">
        <f>('HLH Slice Load'!G10-'HLH-LLH Loads'!S$7)*'HLH-LLH Loads'!S$4</f>
        <v>-36171.61403907923</v>
      </c>
      <c r="H10" s="1">
        <f>('HLH Slice Load'!H10-'HLH-LLH Loads'!T$7)*'HLH-LLH Loads'!T$4</f>
        <v>-160823.55859910187</v>
      </c>
      <c r="I10" s="1">
        <f>('HLH Slice Load'!I10-'HLH-LLH Loads'!U$7)*'HLH-LLH Loads'!U$4</f>
        <v>-132521.7914016076</v>
      </c>
      <c r="J10" s="1">
        <f>('HLH Slice Load'!J10-'HLH-LLH Loads'!V$7)*'HLH-LLH Loads'!V$4</f>
        <v>-97521.90105261348</v>
      </c>
      <c r="K10" s="1">
        <f>('HLH Slice Load'!K10-'HLH-LLH Loads'!W$7)*'HLH-LLH Loads'!W$4</f>
        <v>-37307.01925507448</v>
      </c>
      <c r="L10" s="1">
        <f>('HLH Slice Load'!L10-'HLH-LLH Loads'!X$7)*'HLH-LLH Loads'!X$4</f>
        <v>150184.1220792245</v>
      </c>
      <c r="M10" s="1">
        <f>('HLH Slice Load'!M10-'HLH-LLH Loads'!Y$7)*'HLH-LLH Loads'!Y$4</f>
        <v>599595.7469513459</v>
      </c>
      <c r="N10" s="1">
        <f>('HLH Slice Load'!N10-'HLH-LLH Loads'!Z$7)*'HLH-LLH Loads'!Z$4</f>
        <v>358992.76097061863</v>
      </c>
      <c r="O10" s="1">
        <f>('HLH Slice Load'!O10-'HLH-LLH Loads'!AA$7)*'HLH-LLH Loads'!AA$4</f>
        <v>370381.05062810716</v>
      </c>
      <c r="P10" s="130">
        <f t="shared" si="0"/>
        <v>1225226.7970231941</v>
      </c>
    </row>
    <row r="11" spans="1:16" ht="12.75">
      <c r="A11" s="131">
        <f>'HLH Slice Load'!A11</f>
        <v>1937</v>
      </c>
      <c r="B11" s="1">
        <f>('HLH Slice Load'!B11-'HLH-LLH Loads'!N$7)*'HLH-LLH Loads'!N$4</f>
        <v>79896.05730843799</v>
      </c>
      <c r="C11" s="1">
        <f>('HLH Slice Load'!C11-'HLH-LLH Loads'!O$7)*'HLH-LLH Loads'!O$4</f>
        <v>55015.25690271318</v>
      </c>
      <c r="D11" s="1">
        <f>('HLH Slice Load'!D11-'HLH-LLH Loads'!P$7)*'HLH-LLH Loads'!P$4</f>
        <v>-1553.5565170954287</v>
      </c>
      <c r="E11" s="1">
        <f>('HLH Slice Load'!E11-'HLH-LLH Loads'!Q$7)*'HLH-LLH Loads'!Q$4</f>
        <v>79046.50016655105</v>
      </c>
      <c r="F11" s="1">
        <f>('HLH Slice Load'!F11-'HLH-LLH Loads'!R$7)*'HLH-LLH Loads'!R$4</f>
        <v>-5105.628521640814</v>
      </c>
      <c r="G11" s="1">
        <f>('HLH Slice Load'!G11-'HLH-LLH Loads'!S$7)*'HLH-LLH Loads'!S$4</f>
        <v>-43056.04799528622</v>
      </c>
      <c r="H11" s="1">
        <f>('HLH Slice Load'!H11-'HLH-LLH Loads'!T$7)*'HLH-LLH Loads'!T$4</f>
        <v>-204410.2109421068</v>
      </c>
      <c r="I11" s="1">
        <f>('HLH Slice Load'!I11-'HLH-LLH Loads'!U$7)*'HLH-LLH Loads'!U$4</f>
        <v>-192902.87674981216</v>
      </c>
      <c r="J11" s="1">
        <f>('HLH Slice Load'!J11-'HLH-LLH Loads'!V$7)*'HLH-LLH Loads'!V$4</f>
        <v>-189135.4229409748</v>
      </c>
      <c r="K11" s="1">
        <f>('HLH Slice Load'!K11-'HLH-LLH Loads'!W$7)*'HLH-LLH Loads'!W$4</f>
        <v>-80881.07523431467</v>
      </c>
      <c r="L11" s="1">
        <f>('HLH Slice Load'!L11-'HLH-LLH Loads'!X$7)*'HLH-LLH Loads'!X$4</f>
        <v>-89028.31791278001</v>
      </c>
      <c r="M11" s="1">
        <f>('HLH Slice Load'!M11-'HLH-LLH Loads'!Y$7)*'HLH-LLH Loads'!Y$4</f>
        <v>282421.0271070205</v>
      </c>
      <c r="N11" s="1">
        <f>('HLH Slice Load'!N11-'HLH-LLH Loads'!Z$7)*'HLH-LLH Loads'!Z$4</f>
        <v>217887.1556134796</v>
      </c>
      <c r="O11" s="1">
        <f>('HLH Slice Load'!O11-'HLH-LLH Loads'!AA$7)*'HLH-LLH Loads'!AA$4</f>
        <v>256027.8285392241</v>
      </c>
      <c r="P11" s="130">
        <f t="shared" si="0"/>
        <v>164220.6888234156</v>
      </c>
    </row>
    <row r="12" spans="1:16" ht="12.75">
      <c r="A12" s="131">
        <f>'HLH Slice Load'!A12</f>
        <v>1938</v>
      </c>
      <c r="B12" s="1">
        <f>('HLH Slice Load'!B12-'HLH-LLH Loads'!N$7)*'HLH-LLH Loads'!N$4</f>
        <v>85719.38602531998</v>
      </c>
      <c r="C12" s="1">
        <f>('HLH Slice Load'!C12-'HLH-LLH Loads'!O$7)*'HLH-LLH Loads'!O$4</f>
        <v>60132.9772530915</v>
      </c>
      <c r="D12" s="1">
        <f>('HLH Slice Load'!D12-'HLH-LLH Loads'!P$7)*'HLH-LLH Loads'!P$4</f>
        <v>15729.16472183021</v>
      </c>
      <c r="E12" s="1">
        <f>('HLH Slice Load'!E12-'HLH-LLH Loads'!Q$7)*'HLH-LLH Loads'!Q$4</f>
        <v>87980.00517319256</v>
      </c>
      <c r="F12" s="1">
        <f>('HLH Slice Load'!F12-'HLH-LLH Loads'!R$7)*'HLH-LLH Loads'!R$4</f>
        <v>31238.342839516117</v>
      </c>
      <c r="G12" s="1">
        <f>('HLH Slice Load'!G12-'HLH-LLH Loads'!S$7)*'HLH-LLH Loads'!S$4</f>
        <v>3308.9938177211952</v>
      </c>
      <c r="H12" s="1">
        <f>('HLH Slice Load'!H12-'HLH-LLH Loads'!T$7)*'HLH-LLH Loads'!T$4</f>
        <v>203744.6405301514</v>
      </c>
      <c r="I12" s="1">
        <f>('HLH Slice Load'!I12-'HLH-LLH Loads'!U$7)*'HLH-LLH Loads'!U$4</f>
        <v>-78205.91739844982</v>
      </c>
      <c r="J12" s="1">
        <f>('HLH Slice Load'!J12-'HLH-LLH Loads'!V$7)*'HLH-LLH Loads'!V$4</f>
        <v>218181.6961056978</v>
      </c>
      <c r="K12" s="1">
        <f>('HLH Slice Load'!K12-'HLH-LLH Loads'!W$7)*'HLH-LLH Loads'!W$4</f>
        <v>86521.88215765335</v>
      </c>
      <c r="L12" s="1">
        <f>('HLH Slice Load'!L12-'HLH-LLH Loads'!X$7)*'HLH-LLH Loads'!X$4</f>
        <v>93513.1788836745</v>
      </c>
      <c r="M12" s="1">
        <f>('HLH Slice Load'!M12-'HLH-LLH Loads'!Y$7)*'HLH-LLH Loads'!Y$4</f>
        <v>548428.1525093392</v>
      </c>
      <c r="N12" s="1">
        <f>('HLH Slice Load'!N12-'HLH-LLH Loads'!Z$7)*'HLH-LLH Loads'!Z$4</f>
        <v>537087.9756254274</v>
      </c>
      <c r="O12" s="1">
        <f>('HLH Slice Load'!O12-'HLH-LLH Loads'!AA$7)*'HLH-LLH Loads'!AA$4</f>
        <v>324481.40144243947</v>
      </c>
      <c r="P12" s="130">
        <f t="shared" si="0"/>
        <v>2217861.8796866047</v>
      </c>
    </row>
    <row r="13" spans="1:16" ht="12.75">
      <c r="A13" s="131">
        <f>'HLH Slice Load'!A13</f>
        <v>1939</v>
      </c>
      <c r="B13" s="1">
        <f>('HLH Slice Load'!B13-'HLH-LLH Loads'!N$7)*'HLH-LLH Loads'!N$4</f>
        <v>67371.25750928893</v>
      </c>
      <c r="C13" s="1">
        <f>('HLH Slice Load'!C13-'HLH-LLH Loads'!O$7)*'HLH-LLH Loads'!O$4</f>
        <v>26305.466678462406</v>
      </c>
      <c r="D13" s="1">
        <f>('HLH Slice Load'!D13-'HLH-LLH Loads'!P$7)*'HLH-LLH Loads'!P$4</f>
        <v>-12666.981615036333</v>
      </c>
      <c r="E13" s="1">
        <f>('HLH Slice Load'!E13-'HLH-LLH Loads'!Q$7)*'HLH-LLH Loads'!Q$4</f>
        <v>134149.00126956147</v>
      </c>
      <c r="F13" s="1">
        <f>('HLH Slice Load'!F13-'HLH-LLH Loads'!R$7)*'HLH-LLH Loads'!R$4</f>
        <v>-33070.147742021734</v>
      </c>
      <c r="G13" s="1">
        <f>('HLH Slice Load'!G13-'HLH-LLH Loads'!S$7)*'HLH-LLH Loads'!S$4</f>
        <v>-62240.67764853732</v>
      </c>
      <c r="H13" s="1">
        <f>('HLH Slice Load'!H13-'HLH-LLH Loads'!T$7)*'HLH-LLH Loads'!T$4</f>
        <v>-197238.34501996604</v>
      </c>
      <c r="I13" s="1">
        <f>('HLH Slice Load'!I13-'HLH-LLH Loads'!U$7)*'HLH-LLH Loads'!U$4</f>
        <v>22816.77700117792</v>
      </c>
      <c r="J13" s="1">
        <f>('HLH Slice Load'!J13-'HLH-LLH Loads'!V$7)*'HLH-LLH Loads'!V$4</f>
        <v>74089.53838549928</v>
      </c>
      <c r="K13" s="1">
        <f>('HLH Slice Load'!K13-'HLH-LLH Loads'!W$7)*'HLH-LLH Loads'!W$4</f>
        <v>68655.86192524065</v>
      </c>
      <c r="L13" s="1">
        <f>('HLH Slice Load'!L13-'HLH-LLH Loads'!X$7)*'HLH-LLH Loads'!X$4</f>
        <v>82162.38968986369</v>
      </c>
      <c r="M13" s="1">
        <f>('HLH Slice Load'!M13-'HLH-LLH Loads'!Y$7)*'HLH-LLH Loads'!Y$4</f>
        <v>400858.83143748774</v>
      </c>
      <c r="N13" s="1">
        <f>('HLH Slice Load'!N13-'HLH-LLH Loads'!Z$7)*'HLH-LLH Loads'!Z$4</f>
        <v>168716.14465428606</v>
      </c>
      <c r="O13" s="1">
        <f>('HLH Slice Load'!O13-'HLH-LLH Loads'!AA$7)*'HLH-LLH Loads'!AA$4</f>
        <v>410754.9375794457</v>
      </c>
      <c r="P13" s="130">
        <f t="shared" si="0"/>
        <v>1150664.0541047524</v>
      </c>
    </row>
    <row r="14" spans="1:16" ht="12.75">
      <c r="A14" s="131">
        <f>'HLH Slice Load'!A14</f>
        <v>1940</v>
      </c>
      <c r="B14" s="1">
        <f>('HLH Slice Load'!B14-'HLH-LLH Loads'!N$7)*'HLH-LLH Loads'!N$4</f>
        <v>111523.69684789015</v>
      </c>
      <c r="C14" s="1">
        <f>('HLH Slice Load'!C14-'HLH-LLH Loads'!O$7)*'HLH-LLH Loads'!O$4</f>
        <v>48389.191428630846</v>
      </c>
      <c r="D14" s="1">
        <f>('HLH Slice Load'!D14-'HLH-LLH Loads'!P$7)*'HLH-LLH Loads'!P$4</f>
        <v>-2963.424353458875</v>
      </c>
      <c r="E14" s="1">
        <f>('HLH Slice Load'!E14-'HLH-LLH Loads'!Q$7)*'HLH-LLH Loads'!Q$4</f>
        <v>131375.55114439153</v>
      </c>
      <c r="F14" s="1">
        <f>('HLH Slice Load'!F14-'HLH-LLH Loads'!R$7)*'HLH-LLH Loads'!R$4</f>
        <v>2111.6473781679233</v>
      </c>
      <c r="G14" s="1">
        <f>('HLH Slice Load'!G14-'HLH-LLH Loads'!S$7)*'HLH-LLH Loads'!S$4</f>
        <v>-50061.116274094966</v>
      </c>
      <c r="H14" s="1">
        <f>('HLH Slice Load'!H14-'HLH-LLH Loads'!T$7)*'HLH-LLH Loads'!T$4</f>
        <v>-113547.38387626491</v>
      </c>
      <c r="I14" s="1">
        <f>('HLH Slice Load'!I14-'HLH-LLH Loads'!U$7)*'HLH-LLH Loads'!U$4</f>
        <v>-58430.71779180545</v>
      </c>
      <c r="J14" s="1">
        <f>('HLH Slice Load'!J14-'HLH-LLH Loads'!V$7)*'HLH-LLH Loads'!V$4</f>
        <v>217787.81769225534</v>
      </c>
      <c r="K14" s="1">
        <f>('HLH Slice Load'!K14-'HLH-LLH Loads'!W$7)*'HLH-LLH Loads'!W$4</f>
        <v>68354.76113755068</v>
      </c>
      <c r="L14" s="1">
        <f>('HLH Slice Load'!L14-'HLH-LLH Loads'!X$7)*'HLH-LLH Loads'!X$4</f>
        <v>74226.1351951639</v>
      </c>
      <c r="M14" s="1">
        <f>('HLH Slice Load'!M14-'HLH-LLH Loads'!Y$7)*'HLH-LLH Loads'!Y$4</f>
        <v>279829.74655698217</v>
      </c>
      <c r="N14" s="1">
        <f>('HLH Slice Load'!N14-'HLH-LLH Loads'!Z$7)*'HLH-LLH Loads'!Z$4</f>
        <v>111563.59375511811</v>
      </c>
      <c r="O14" s="1">
        <f>('HLH Slice Load'!O14-'HLH-LLH Loads'!AA$7)*'HLH-LLH Loads'!AA$4</f>
        <v>279428.53415600973</v>
      </c>
      <c r="P14" s="130">
        <f t="shared" si="0"/>
        <v>1099588.0329965362</v>
      </c>
    </row>
    <row r="15" spans="1:16" ht="12.75">
      <c r="A15" s="131">
        <f>'HLH Slice Load'!A15</f>
        <v>1941</v>
      </c>
      <c r="B15" s="1">
        <f>('HLH Slice Load'!B15-'HLH-LLH Loads'!N$7)*'HLH-LLH Loads'!N$4</f>
        <v>81638.89098556405</v>
      </c>
      <c r="C15" s="1">
        <f>('HLH Slice Load'!C15-'HLH-LLH Loads'!O$7)*'HLH-LLH Loads'!O$4</f>
        <v>40518.39460252829</v>
      </c>
      <c r="D15" s="1">
        <f>('HLH Slice Load'!D15-'HLH-LLH Loads'!P$7)*'HLH-LLH Loads'!P$4</f>
        <v>26202.359837986784</v>
      </c>
      <c r="E15" s="1">
        <f>('HLH Slice Load'!E15-'HLH-LLH Loads'!Q$7)*'HLH-LLH Loads'!Q$4</f>
        <v>144411.96192512792</v>
      </c>
      <c r="F15" s="1">
        <f>('HLH Slice Load'!F15-'HLH-LLH Loads'!R$7)*'HLH-LLH Loads'!R$4</f>
        <v>-9654.253259500918</v>
      </c>
      <c r="G15" s="1">
        <f>('HLH Slice Load'!G15-'HLH-LLH Loads'!S$7)*'HLH-LLH Loads'!S$4</f>
        <v>-48547.03791417977</v>
      </c>
      <c r="H15" s="1">
        <f>('HLH Slice Load'!H15-'HLH-LLH Loads'!T$7)*'HLH-LLH Loads'!T$4</f>
        <v>-132986.19782679487</v>
      </c>
      <c r="I15" s="1">
        <f>('HLH Slice Load'!I15-'HLH-LLH Loads'!U$7)*'HLH-LLH Loads'!U$4</f>
        <v>-174114.49741157555</v>
      </c>
      <c r="J15" s="1">
        <f>('HLH Slice Load'!J15-'HLH-LLH Loads'!V$7)*'HLH-LLH Loads'!V$4</f>
        <v>-28733.224323299266</v>
      </c>
      <c r="K15" s="1">
        <f>('HLH Slice Load'!K15-'HLH-LLH Loads'!W$7)*'HLH-LLH Loads'!W$4</f>
        <v>-51643.923035219676</v>
      </c>
      <c r="L15" s="1">
        <f>('HLH Slice Load'!L15-'HLH-LLH Loads'!X$7)*'HLH-LLH Loads'!X$4</f>
        <v>17172.776721245624</v>
      </c>
      <c r="M15" s="1">
        <f>('HLH Slice Load'!M15-'HLH-LLH Loads'!Y$7)*'HLH-LLH Loads'!Y$4</f>
        <v>242952.26398285056</v>
      </c>
      <c r="N15" s="1">
        <f>('HLH Slice Load'!N15-'HLH-LLH Loads'!Z$7)*'HLH-LLH Loads'!Z$4</f>
        <v>329675.41660836624</v>
      </c>
      <c r="O15" s="1">
        <f>('HLH Slice Load'!O15-'HLH-LLH Loads'!AA$7)*'HLH-LLH Loads'!AA$4</f>
        <v>196155.52228802626</v>
      </c>
      <c r="P15" s="130">
        <f t="shared" si="0"/>
        <v>633048.4531811258</v>
      </c>
    </row>
    <row r="16" spans="1:16" ht="12.75">
      <c r="A16" s="131">
        <f>'HLH Slice Load'!A16</f>
        <v>1942</v>
      </c>
      <c r="B16" s="1">
        <f>('HLH Slice Load'!B16-'HLH-LLH Loads'!N$7)*'HLH-LLH Loads'!N$4</f>
        <v>64595.48372721238</v>
      </c>
      <c r="C16" s="1">
        <f>('HLH Slice Load'!C16-'HLH-LLH Loads'!O$7)*'HLH-LLH Loads'!O$4</f>
        <v>44760.23047386867</v>
      </c>
      <c r="D16" s="1">
        <f>('HLH Slice Load'!D16-'HLH-LLH Loads'!P$7)*'HLH-LLH Loads'!P$4</f>
        <v>-15310.899237894402</v>
      </c>
      <c r="E16" s="1">
        <f>('HLH Slice Load'!E16-'HLH-LLH Loads'!Q$7)*'HLH-LLH Loads'!Q$4</f>
        <v>131072.50514305968</v>
      </c>
      <c r="F16" s="1">
        <f>('HLH Slice Load'!F16-'HLH-LLH Loads'!R$7)*'HLH-LLH Loads'!R$4</f>
        <v>28923.824375102195</v>
      </c>
      <c r="G16" s="1">
        <f>('HLH Slice Load'!G16-'HLH-LLH Loads'!S$7)*'HLH-LLH Loads'!S$4</f>
        <v>182522.8524710032</v>
      </c>
      <c r="H16" s="1">
        <f>('HLH Slice Load'!H16-'HLH-LLH Loads'!T$7)*'HLH-LLH Loads'!T$4</f>
        <v>200275.3854154571</v>
      </c>
      <c r="I16" s="1">
        <f>('HLH Slice Load'!I16-'HLH-LLH Loads'!U$7)*'HLH-LLH Loads'!U$4</f>
        <v>-6089.270111287362</v>
      </c>
      <c r="J16" s="1">
        <f>('HLH Slice Load'!J16-'HLH-LLH Loads'!V$7)*'HLH-LLH Loads'!V$4</f>
        <v>-149660.67540844838</v>
      </c>
      <c r="K16" s="1">
        <f>('HLH Slice Load'!K16-'HLH-LLH Loads'!W$7)*'HLH-LLH Loads'!W$4</f>
        <v>17481.979784014533</v>
      </c>
      <c r="L16" s="1">
        <f>('HLH Slice Load'!L16-'HLH-LLH Loads'!X$7)*'HLH-LLH Loads'!X$4</f>
        <v>36299.912561294186</v>
      </c>
      <c r="M16" s="1">
        <f>('HLH Slice Load'!M16-'HLH-LLH Loads'!Y$7)*'HLH-LLH Loads'!Y$4</f>
        <v>391733.24142505444</v>
      </c>
      <c r="N16" s="1">
        <f>('HLH Slice Load'!N16-'HLH-LLH Loads'!Z$7)*'HLH-LLH Loads'!Z$4</f>
        <v>428006.4920573394</v>
      </c>
      <c r="O16" s="1">
        <f>('HLH Slice Load'!O16-'HLH-LLH Loads'!AA$7)*'HLH-LLH Loads'!AA$4</f>
        <v>450247.1292794529</v>
      </c>
      <c r="P16" s="130">
        <f t="shared" si="0"/>
        <v>1804858.1919552283</v>
      </c>
    </row>
    <row r="17" spans="1:16" ht="12.75">
      <c r="A17" s="131">
        <f>'HLH Slice Load'!A17</f>
        <v>1943</v>
      </c>
      <c r="B17" s="1">
        <f>('HLH Slice Load'!B17-'HLH-LLH Loads'!N$7)*'HLH-LLH Loads'!N$4</f>
        <v>181481.1734527145</v>
      </c>
      <c r="C17" s="1">
        <f>('HLH Slice Load'!C17-'HLH-LLH Loads'!O$7)*'HLH-LLH Loads'!O$4</f>
        <v>111864.63736423517</v>
      </c>
      <c r="D17" s="1">
        <f>('HLH Slice Load'!D17-'HLH-LLH Loads'!P$7)*'HLH-LLH Loads'!P$4</f>
        <v>38565.066070480076</v>
      </c>
      <c r="E17" s="1">
        <f>('HLH Slice Load'!E17-'HLH-LLH Loads'!Q$7)*'HLH-LLH Loads'!Q$4</f>
        <v>120316.54478862304</v>
      </c>
      <c r="F17" s="1">
        <f>('HLH Slice Load'!F17-'HLH-LLH Loads'!R$7)*'HLH-LLH Loads'!R$4</f>
        <v>-28940.08466130434</v>
      </c>
      <c r="G17" s="1">
        <f>('HLH Slice Load'!G17-'HLH-LLH Loads'!S$7)*'HLH-LLH Loads'!S$4</f>
        <v>-55893.284685616374</v>
      </c>
      <c r="H17" s="1">
        <f>('HLH Slice Load'!H17-'HLH-LLH Loads'!T$7)*'HLH-LLH Loads'!T$4</f>
        <v>218214.61557793646</v>
      </c>
      <c r="I17" s="1">
        <f>('HLH Slice Load'!I17-'HLH-LLH Loads'!U$7)*'HLH-LLH Loads'!U$4</f>
        <v>157971.19146097024</v>
      </c>
      <c r="J17" s="1">
        <f>('HLH Slice Load'!J17-'HLH-LLH Loads'!V$7)*'HLH-LLH Loads'!V$4</f>
        <v>225222.45345238724</v>
      </c>
      <c r="K17" s="1">
        <f>('HLH Slice Load'!K17-'HLH-LLH Loads'!W$7)*'HLH-LLH Loads'!W$4</f>
        <v>187093.52236005996</v>
      </c>
      <c r="L17" s="1">
        <f>('HLH Slice Load'!L17-'HLH-LLH Loads'!X$7)*'HLH-LLH Loads'!X$4</f>
        <v>181525.95720158034</v>
      </c>
      <c r="M17" s="1">
        <f>('HLH Slice Load'!M17-'HLH-LLH Loads'!Y$7)*'HLH-LLH Loads'!Y$4</f>
        <v>530486.4060794443</v>
      </c>
      <c r="N17" s="1">
        <f>('HLH Slice Load'!N17-'HLH-LLH Loads'!Z$7)*'HLH-LLH Loads'!Z$4</f>
        <v>571829.0360848096</v>
      </c>
      <c r="O17" s="1">
        <f>('HLH Slice Load'!O17-'HLH-LLH Loads'!AA$7)*'HLH-LLH Loads'!AA$4</f>
        <v>483516.28125965054</v>
      </c>
      <c r="P17" s="130">
        <f t="shared" si="0"/>
        <v>2923253.5158059704</v>
      </c>
    </row>
    <row r="18" spans="1:16" ht="12.75">
      <c r="A18" s="131">
        <f>'HLH Slice Load'!A18</f>
        <v>1944</v>
      </c>
      <c r="B18" s="1">
        <f>('HLH Slice Load'!B18-'HLH-LLH Loads'!N$7)*'HLH-LLH Loads'!N$4</f>
        <v>170702.27615201543</v>
      </c>
      <c r="C18" s="1">
        <f>('HLH Slice Load'!C18-'HLH-LLH Loads'!O$7)*'HLH-LLH Loads'!O$4</f>
        <v>126429.94723316892</v>
      </c>
      <c r="D18" s="1">
        <f>('HLH Slice Load'!D18-'HLH-LLH Loads'!P$7)*'HLH-LLH Loads'!P$4</f>
        <v>-8387.952520011495</v>
      </c>
      <c r="E18" s="1">
        <f>('HLH Slice Load'!E18-'HLH-LLH Loads'!Q$7)*'HLH-LLH Loads'!Q$4</f>
        <v>137365.46821398532</v>
      </c>
      <c r="F18" s="1">
        <f>('HLH Slice Load'!F18-'HLH-LLH Loads'!R$7)*'HLH-LLH Loads'!R$4</f>
        <v>-35189.053580864194</v>
      </c>
      <c r="G18" s="1">
        <f>('HLH Slice Load'!G18-'HLH-LLH Loads'!S$7)*'HLH-LLH Loads'!S$4</f>
        <v>-52749.327417727836</v>
      </c>
      <c r="H18" s="1">
        <f>('HLH Slice Load'!H18-'HLH-LLH Loads'!T$7)*'HLH-LLH Loads'!T$4</f>
        <v>-198070.56603363767</v>
      </c>
      <c r="I18" s="1">
        <f>('HLH Slice Load'!I18-'HLH-LLH Loads'!U$7)*'HLH-LLH Loads'!U$4</f>
        <v>-120572.15373942128</v>
      </c>
      <c r="J18" s="1">
        <f>('HLH Slice Load'!J18-'HLH-LLH Loads'!V$7)*'HLH-LLH Loads'!V$4</f>
        <v>-189802.33131485706</v>
      </c>
      <c r="K18" s="1">
        <f>('HLH Slice Load'!K18-'HLH-LLH Loads'!W$7)*'HLH-LLH Loads'!W$4</f>
        <v>-72329.16515455185</v>
      </c>
      <c r="L18" s="1">
        <f>('HLH Slice Load'!L18-'HLH-LLH Loads'!X$7)*'HLH-LLH Loads'!X$4</f>
        <v>-26103.620562267784</v>
      </c>
      <c r="M18" s="1">
        <f>('HLH Slice Load'!M18-'HLH-LLH Loads'!Y$7)*'HLH-LLH Loads'!Y$4</f>
        <v>212370.56279999716</v>
      </c>
      <c r="N18" s="1">
        <f>('HLH Slice Load'!N18-'HLH-LLH Loads'!Z$7)*'HLH-LLH Loads'!Z$4</f>
        <v>263525.7052287229</v>
      </c>
      <c r="O18" s="1">
        <f>('HLH Slice Load'!O18-'HLH-LLH Loads'!AA$7)*'HLH-LLH Loads'!AA$4</f>
        <v>189809.19830252585</v>
      </c>
      <c r="P18" s="130">
        <f t="shared" si="0"/>
        <v>396998.98760707636</v>
      </c>
    </row>
    <row r="19" spans="1:16" ht="12.75">
      <c r="A19" s="131">
        <f>'HLH Slice Load'!A19</f>
        <v>1945</v>
      </c>
      <c r="B19" s="1">
        <f>('HLH Slice Load'!B19-'HLH-LLH Loads'!N$7)*'HLH-LLH Loads'!N$4</f>
        <v>71678.37855172019</v>
      </c>
      <c r="C19" s="1">
        <f>('HLH Slice Load'!C19-'HLH-LLH Loads'!O$7)*'HLH-LLH Loads'!O$4</f>
        <v>40357.29567922939</v>
      </c>
      <c r="D19" s="1">
        <f>('HLH Slice Load'!D19-'HLH-LLH Loads'!P$7)*'HLH-LLH Loads'!P$4</f>
        <v>-50820.4926466435</v>
      </c>
      <c r="E19" s="1">
        <f>('HLH Slice Load'!E19-'HLH-LLH Loads'!Q$7)*'HLH-LLH Loads'!Q$4</f>
        <v>84552.43960195112</v>
      </c>
      <c r="F19" s="1">
        <f>('HLH Slice Load'!F19-'HLH-LLH Loads'!R$7)*'HLH-LLH Loads'!R$4</f>
        <v>22610.693428554143</v>
      </c>
      <c r="G19" s="1">
        <f>('HLH Slice Load'!G19-'HLH-LLH Loads'!S$7)*'HLH-LLH Loads'!S$4</f>
        <v>-80284.23483010646</v>
      </c>
      <c r="H19" s="1">
        <f>('HLH Slice Load'!H19-'HLH-LLH Loads'!T$7)*'HLH-LLH Loads'!T$4</f>
        <v>-249488.81218651554</v>
      </c>
      <c r="I19" s="1">
        <f>('HLH Slice Load'!I19-'HLH-LLH Loads'!U$7)*'HLH-LLH Loads'!U$4</f>
        <v>-230919.16515321436</v>
      </c>
      <c r="J19" s="1">
        <f>('HLH Slice Load'!J19-'HLH-LLH Loads'!V$7)*'HLH-LLH Loads'!V$4</f>
        <v>-158436.75269484887</v>
      </c>
      <c r="K19" s="1">
        <f>('HLH Slice Load'!K19-'HLH-LLH Loads'!W$7)*'HLH-LLH Loads'!W$4</f>
        <v>-48077.5278947552</v>
      </c>
      <c r="L19" s="1">
        <f>('HLH Slice Load'!L19-'HLH-LLH Loads'!X$7)*'HLH-LLH Loads'!X$4</f>
        <v>-945.1573536983451</v>
      </c>
      <c r="M19" s="1">
        <f>('HLH Slice Load'!M19-'HLH-LLH Loads'!Y$7)*'HLH-LLH Loads'!Y$4</f>
        <v>442509.9561016856</v>
      </c>
      <c r="N19" s="1">
        <f>('HLH Slice Load'!N19-'HLH-LLH Loads'!Z$7)*'HLH-LLH Loads'!Z$4</f>
        <v>393045.13129568665</v>
      </c>
      <c r="O19" s="1">
        <f>('HLH Slice Load'!O19-'HLH-LLH Loads'!AA$7)*'HLH-LLH Loads'!AA$4</f>
        <v>382548.37072585576</v>
      </c>
      <c r="P19" s="130">
        <f t="shared" si="0"/>
        <v>618330.1226249004</v>
      </c>
    </row>
    <row r="20" spans="1:16" ht="12.75">
      <c r="A20" s="131">
        <f>'HLH Slice Load'!A20</f>
        <v>1946</v>
      </c>
      <c r="B20" s="1">
        <f>('HLH Slice Load'!B20-'HLH-LLH Loads'!N$7)*'HLH-LLH Loads'!N$4</f>
        <v>97077.16016266886</v>
      </c>
      <c r="C20" s="1">
        <f>('HLH Slice Load'!C20-'HLH-LLH Loads'!O$7)*'HLH-LLH Loads'!O$4</f>
        <v>74860.97584608338</v>
      </c>
      <c r="D20" s="1">
        <f>('HLH Slice Load'!D20-'HLH-LLH Loads'!P$7)*'HLH-LLH Loads'!P$4</f>
        <v>8111.028381650787</v>
      </c>
      <c r="E20" s="1">
        <f>('HLH Slice Load'!E20-'HLH-LLH Loads'!Q$7)*'HLH-LLH Loads'!Q$4</f>
        <v>72208.42872328735</v>
      </c>
      <c r="F20" s="1">
        <f>('HLH Slice Load'!F20-'HLH-LLH Loads'!R$7)*'HLH-LLH Loads'!R$4</f>
        <v>-20861.08811357757</v>
      </c>
      <c r="G20" s="1">
        <f>('HLH Slice Load'!G20-'HLH-LLH Loads'!S$7)*'HLH-LLH Loads'!S$4</f>
        <v>39368.1796160794</v>
      </c>
      <c r="H20" s="1">
        <f>('HLH Slice Load'!H20-'HLH-LLH Loads'!T$7)*'HLH-LLH Loads'!T$4</f>
        <v>286304.6863464211</v>
      </c>
      <c r="I20" s="1">
        <f>('HLH Slice Load'!I20-'HLH-LLH Loads'!U$7)*'HLH-LLH Loads'!U$4</f>
        <v>-46937.33021257547</v>
      </c>
      <c r="J20" s="1">
        <f>('HLH Slice Load'!J20-'HLH-LLH Loads'!V$7)*'HLH-LLH Loads'!V$4</f>
        <v>147452.4306071441</v>
      </c>
      <c r="K20" s="1">
        <f>('HLH Slice Load'!K20-'HLH-LLH Loads'!W$7)*'HLH-LLH Loads'!W$4</f>
        <v>93761.1002007419</v>
      </c>
      <c r="L20" s="1">
        <f>('HLH Slice Load'!L20-'HLH-LLH Loads'!X$7)*'HLH-LLH Loads'!X$4</f>
        <v>132615.42873695516</v>
      </c>
      <c r="M20" s="1">
        <f>('HLH Slice Load'!M20-'HLH-LLH Loads'!Y$7)*'HLH-LLH Loads'!Y$4</f>
        <v>559632.6199140295</v>
      </c>
      <c r="N20" s="1">
        <f>('HLH Slice Load'!N20-'HLH-LLH Loads'!Z$7)*'HLH-LLH Loads'!Z$4</f>
        <v>553157.2631504445</v>
      </c>
      <c r="O20" s="1">
        <f>('HLH Slice Load'!O20-'HLH-LLH Loads'!AA$7)*'HLH-LLH Loads'!AA$4</f>
        <v>419920.4912531072</v>
      </c>
      <c r="P20" s="130">
        <f t="shared" si="0"/>
        <v>2416671.37461246</v>
      </c>
    </row>
    <row r="21" spans="1:16" ht="12.75">
      <c r="A21" s="131">
        <f>'HLH Slice Load'!A21</f>
        <v>1947</v>
      </c>
      <c r="B21" s="1">
        <f>('HLH Slice Load'!B21-'HLH-LLH Loads'!N$7)*'HLH-LLH Loads'!N$4</f>
        <v>151256.3805462361</v>
      </c>
      <c r="C21" s="1">
        <f>('HLH Slice Load'!C21-'HLH-LLH Loads'!O$7)*'HLH-LLH Loads'!O$4</f>
        <v>44598.32202480333</v>
      </c>
      <c r="D21" s="1">
        <f>('HLH Slice Load'!D21-'HLH-LLH Loads'!P$7)*'HLH-LLH Loads'!P$4</f>
        <v>38607.71089168529</v>
      </c>
      <c r="E21" s="1">
        <f>('HLH Slice Load'!E21-'HLH-LLH Loads'!Q$7)*'HLH-LLH Loads'!Q$4</f>
        <v>136716.80774921126</v>
      </c>
      <c r="F21" s="1">
        <f>('HLH Slice Load'!F21-'HLH-LLH Loads'!R$7)*'HLH-LLH Loads'!R$4</f>
        <v>-9637.911169686115</v>
      </c>
      <c r="G21" s="1">
        <f>('HLH Slice Load'!G21-'HLH-LLH Loads'!S$7)*'HLH-LLH Loads'!S$4</f>
        <v>172035.2144776798</v>
      </c>
      <c r="H21" s="1">
        <f>('HLH Slice Load'!H21-'HLH-LLH Loads'!T$7)*'HLH-LLH Loads'!T$4</f>
        <v>339215.90538492094</v>
      </c>
      <c r="I21" s="1">
        <f>('HLH Slice Load'!I21-'HLH-LLH Loads'!U$7)*'HLH-LLH Loads'!U$4</f>
        <v>226685.8386472681</v>
      </c>
      <c r="J21" s="1">
        <f>('HLH Slice Load'!J21-'HLH-LLH Loads'!V$7)*'HLH-LLH Loads'!V$4</f>
        <v>127865.0830431006</v>
      </c>
      <c r="K21" s="1">
        <f>('HLH Slice Load'!K21-'HLH-LLH Loads'!W$7)*'HLH-LLH Loads'!W$4</f>
        <v>79510.24654783592</v>
      </c>
      <c r="L21" s="1">
        <f>('HLH Slice Load'!L21-'HLH-LLH Loads'!X$7)*'HLH-LLH Loads'!X$4</f>
        <v>81382.29592318628</v>
      </c>
      <c r="M21" s="1">
        <f>('HLH Slice Load'!M21-'HLH-LLH Loads'!Y$7)*'HLH-LLH Loads'!Y$4</f>
        <v>545596.0148229554</v>
      </c>
      <c r="N21" s="1">
        <f>('HLH Slice Load'!N21-'HLH-LLH Loads'!Z$7)*'HLH-LLH Loads'!Z$4</f>
        <v>522047.56474650535</v>
      </c>
      <c r="O21" s="1">
        <f>('HLH Slice Load'!O21-'HLH-LLH Loads'!AA$7)*'HLH-LLH Loads'!AA$4</f>
        <v>391958.84780172765</v>
      </c>
      <c r="P21" s="130">
        <f t="shared" si="0"/>
        <v>2847838.32143743</v>
      </c>
    </row>
    <row r="22" spans="1:16" ht="12.75">
      <c r="A22" s="131">
        <f>'HLH Slice Load'!A22</f>
        <v>1948</v>
      </c>
      <c r="B22" s="1">
        <f>('HLH Slice Load'!B22-'HLH-LLH Loads'!N$7)*'HLH-LLH Loads'!N$4</f>
        <v>147749.0308513707</v>
      </c>
      <c r="C22" s="1">
        <f>('HLH Slice Load'!C22-'HLH-LLH Loads'!O$7)*'HLH-LLH Loads'!O$4</f>
        <v>59954.37705966664</v>
      </c>
      <c r="D22" s="1">
        <f>('HLH Slice Load'!D22-'HLH-LLH Loads'!P$7)*'HLH-LLH Loads'!P$4</f>
        <v>23444.61171333513</v>
      </c>
      <c r="E22" s="1">
        <f>('HLH Slice Load'!E22-'HLH-LLH Loads'!Q$7)*'HLH-LLH Loads'!Q$4</f>
        <v>345185.7486850037</v>
      </c>
      <c r="F22" s="1">
        <f>('HLH Slice Load'!F22-'HLH-LLH Loads'!R$7)*'HLH-LLH Loads'!R$4</f>
        <v>121154.26126060463</v>
      </c>
      <c r="G22" s="1">
        <f>('HLH Slice Load'!G22-'HLH-LLH Loads'!S$7)*'HLH-LLH Loads'!S$4</f>
        <v>48826.462389579545</v>
      </c>
      <c r="H22" s="1">
        <f>('HLH Slice Load'!H22-'HLH-LLH Loads'!T$7)*'HLH-LLH Loads'!T$4</f>
        <v>353545.54912509857</v>
      </c>
      <c r="I22" s="1">
        <f>('HLH Slice Load'!I22-'HLH-LLH Loads'!U$7)*'HLH-LLH Loads'!U$4</f>
        <v>127296.41876628631</v>
      </c>
      <c r="J22" s="1">
        <f>('HLH Slice Load'!J22-'HLH-LLH Loads'!V$7)*'HLH-LLH Loads'!V$4</f>
        <v>39330.90076938182</v>
      </c>
      <c r="K22" s="1">
        <f>('HLH Slice Load'!K22-'HLH-LLH Loads'!W$7)*'HLH-LLH Loads'!W$4</f>
        <v>31422.83142433691</v>
      </c>
      <c r="L22" s="1">
        <f>('HLH Slice Load'!L22-'HLH-LLH Loads'!X$7)*'HLH-LLH Loads'!X$4</f>
        <v>104954.12505888872</v>
      </c>
      <c r="M22" s="1">
        <f>('HLH Slice Load'!M22-'HLH-LLH Loads'!Y$7)*'HLH-LLH Loads'!Y$4</f>
        <v>681324.450277244</v>
      </c>
      <c r="N22" s="1">
        <f>('HLH Slice Load'!N22-'HLH-LLH Loads'!Z$7)*'HLH-LLH Loads'!Z$4</f>
        <v>765251.2441113808</v>
      </c>
      <c r="O22" s="1">
        <f>('HLH Slice Load'!O22-'HLH-LLH Loads'!AA$7)*'HLH-LLH Loads'!AA$4</f>
        <v>486461.37346108817</v>
      </c>
      <c r="P22" s="130">
        <f t="shared" si="0"/>
        <v>3335901.384953265</v>
      </c>
    </row>
    <row r="23" spans="1:16" ht="12.75">
      <c r="A23" s="131">
        <f>'HLH Slice Load'!A23</f>
        <v>1949</v>
      </c>
      <c r="B23" s="1">
        <f>('HLH Slice Load'!B23-'HLH-LLH Loads'!N$7)*'HLH-LLH Loads'!N$4</f>
        <v>176098.94332746923</v>
      </c>
      <c r="C23" s="1">
        <f>('HLH Slice Load'!C23-'HLH-LLH Loads'!O$7)*'HLH-LLH Loads'!O$4</f>
        <v>196860.71313814967</v>
      </c>
      <c r="D23" s="1">
        <f>('HLH Slice Load'!D23-'HLH-LLH Loads'!P$7)*'HLH-LLH Loads'!P$4</f>
        <v>79169.29614568528</v>
      </c>
      <c r="E23" s="1">
        <f>('HLH Slice Load'!E23-'HLH-LLH Loads'!Q$7)*'HLH-LLH Loads'!Q$4</f>
        <v>168216.76636288204</v>
      </c>
      <c r="F23" s="1">
        <f>('HLH Slice Load'!F23-'HLH-LLH Loads'!R$7)*'HLH-LLH Loads'!R$4</f>
        <v>-23430.109911075167</v>
      </c>
      <c r="G23" s="1">
        <f>('HLH Slice Load'!G23-'HLH-LLH Loads'!S$7)*'HLH-LLH Loads'!S$4</f>
        <v>-61547.75369957086</v>
      </c>
      <c r="H23" s="1">
        <f>('HLH Slice Load'!H23-'HLH-LLH Loads'!T$7)*'HLH-LLH Loads'!T$4</f>
        <v>101449.36203380102</v>
      </c>
      <c r="I23" s="1">
        <f>('HLH Slice Load'!I23-'HLH-LLH Loads'!U$7)*'HLH-LLH Loads'!U$4</f>
        <v>-70925.09672467428</v>
      </c>
      <c r="J23" s="1">
        <f>('HLH Slice Load'!J23-'HLH-LLH Loads'!V$7)*'HLH-LLH Loads'!V$4</f>
        <v>349288.84387091134</v>
      </c>
      <c r="K23" s="1">
        <f>('HLH Slice Load'!K23-'HLH-LLH Loads'!W$7)*'HLH-LLH Loads'!W$4</f>
        <v>110163.51145180111</v>
      </c>
      <c r="L23" s="1">
        <f>('HLH Slice Load'!L23-'HLH-LLH Loads'!X$7)*'HLH-LLH Loads'!X$4</f>
        <v>144117.3288704406</v>
      </c>
      <c r="M23" s="1">
        <f>('HLH Slice Load'!M23-'HLH-LLH Loads'!Y$7)*'HLH-LLH Loads'!Y$4</f>
        <v>586665.3431364326</v>
      </c>
      <c r="N23" s="1">
        <f>('HLH Slice Load'!N23-'HLH-LLH Loads'!Z$7)*'HLH-LLH Loads'!Z$4</f>
        <v>507668.59659512073</v>
      </c>
      <c r="O23" s="1">
        <f>('HLH Slice Load'!O23-'HLH-LLH Loads'!AA$7)*'HLH-LLH Loads'!AA$4</f>
        <v>170138.88758663263</v>
      </c>
      <c r="P23" s="130">
        <f t="shared" si="0"/>
        <v>2433934.632184006</v>
      </c>
    </row>
    <row r="24" spans="1:16" ht="12.75">
      <c r="A24" s="131">
        <f>'HLH Slice Load'!A24</f>
        <v>1950</v>
      </c>
      <c r="B24" s="1">
        <f>('HLH Slice Load'!B24-'HLH-LLH Loads'!N$7)*'HLH-LLH Loads'!N$4</f>
        <v>25654.973769609616</v>
      </c>
      <c r="C24" s="1">
        <f>('HLH Slice Load'!C24-'HLH-LLH Loads'!O$7)*'HLH-LLH Loads'!O$4</f>
        <v>3780.3938174370996</v>
      </c>
      <c r="D24" s="1">
        <f>('HLH Slice Load'!D24-'HLH-LLH Loads'!P$7)*'HLH-LLH Loads'!P$4</f>
        <v>-13557.741086400092</v>
      </c>
      <c r="E24" s="1">
        <f>('HLH Slice Load'!E24-'HLH-LLH Loads'!Q$7)*'HLH-LLH Loads'!Q$4</f>
        <v>89544.17265308299</v>
      </c>
      <c r="F24" s="1">
        <f>('HLH Slice Load'!F24-'HLH-LLH Loads'!R$7)*'HLH-LLH Loads'!R$4</f>
        <v>-48565.95828913797</v>
      </c>
      <c r="G24" s="1">
        <f>('HLH Slice Load'!G24-'HLH-LLH Loads'!S$7)*'HLH-LLH Loads'!S$4</f>
        <v>26989.222274515065</v>
      </c>
      <c r="H24" s="1">
        <f>('HLH Slice Load'!H24-'HLH-LLH Loads'!T$7)*'HLH-LLH Loads'!T$4</f>
        <v>271541.0172979802</v>
      </c>
      <c r="I24" s="1">
        <f>('HLH Slice Load'!I24-'HLH-LLH Loads'!U$7)*'HLH-LLH Loads'!U$4</f>
        <v>125683.17841301649</v>
      </c>
      <c r="J24" s="1">
        <f>('HLH Slice Load'!J24-'HLH-LLH Loads'!V$7)*'HLH-LLH Loads'!V$4</f>
        <v>303574.5028345953</v>
      </c>
      <c r="K24" s="1">
        <f>('HLH Slice Load'!K24-'HLH-LLH Loads'!W$7)*'HLH-LLH Loads'!W$4</f>
        <v>157314.90670530222</v>
      </c>
      <c r="L24" s="1">
        <f>('HLH Slice Load'!L24-'HLH-LLH Loads'!X$7)*'HLH-LLH Loads'!X$4</f>
        <v>124531.2574967818</v>
      </c>
      <c r="M24" s="1">
        <f>('HLH Slice Load'!M24-'HLH-LLH Loads'!Y$7)*'HLH-LLH Loads'!Y$4</f>
        <v>516480.50928791106</v>
      </c>
      <c r="N24" s="1">
        <f>('HLH Slice Load'!N24-'HLH-LLH Loads'!Z$7)*'HLH-LLH Loads'!Z$4</f>
        <v>680600.7315135663</v>
      </c>
      <c r="O24" s="1">
        <f>('HLH Slice Load'!O24-'HLH-LLH Loads'!AA$7)*'HLH-LLH Loads'!AA$4</f>
        <v>497637.404518169</v>
      </c>
      <c r="P24" s="130">
        <f t="shared" si="0"/>
        <v>2761208.571206429</v>
      </c>
    </row>
    <row r="25" spans="1:16" ht="12.75">
      <c r="A25" s="131">
        <f>'HLH Slice Load'!A25</f>
        <v>1951</v>
      </c>
      <c r="B25" s="1">
        <f>('HLH Slice Load'!B25-'HLH-LLH Loads'!N$7)*'HLH-LLH Loads'!N$4</f>
        <v>157768.50836095738</v>
      </c>
      <c r="C25" s="1">
        <f>('HLH Slice Load'!C25-'HLH-LLH Loads'!O$7)*'HLH-LLH Loads'!O$4</f>
        <v>143818.87780929773</v>
      </c>
      <c r="D25" s="1">
        <f>('HLH Slice Load'!D25-'HLH-LLH Loads'!P$7)*'HLH-LLH Loads'!P$4</f>
        <v>37683.03525803238</v>
      </c>
      <c r="E25" s="1">
        <f>('HLH Slice Load'!E25-'HLH-LLH Loads'!Q$7)*'HLH-LLH Loads'!Q$4</f>
        <v>237390.0460927817</v>
      </c>
      <c r="F25" s="1">
        <f>('HLH Slice Load'!F25-'HLH-LLH Loads'!R$7)*'HLH-LLH Loads'!R$4</f>
        <v>163096.10549542838</v>
      </c>
      <c r="G25" s="1">
        <f>('HLH Slice Load'!G25-'HLH-LLH Loads'!S$7)*'HLH-LLH Loads'!S$4</f>
        <v>244379.83295216353</v>
      </c>
      <c r="H25" s="1">
        <f>('HLH Slice Load'!H25-'HLH-LLH Loads'!T$7)*'HLH-LLH Loads'!T$4</f>
        <v>393337.917642888</v>
      </c>
      <c r="I25" s="1">
        <f>('HLH Slice Load'!I25-'HLH-LLH Loads'!U$7)*'HLH-LLH Loads'!U$4</f>
        <v>303752.15477762744</v>
      </c>
      <c r="J25" s="1">
        <f>('HLH Slice Load'!J25-'HLH-LLH Loads'!V$7)*'HLH-LLH Loads'!V$4</f>
        <v>258064.06568156648</v>
      </c>
      <c r="K25" s="1">
        <f>('HLH Slice Load'!K25-'HLH-LLH Loads'!W$7)*'HLH-LLH Loads'!W$4</f>
        <v>147828.73576072275</v>
      </c>
      <c r="L25" s="1">
        <f>('HLH Slice Load'!L25-'HLH-LLH Loads'!X$7)*'HLH-LLH Loads'!X$4</f>
        <v>142686.1144924572</v>
      </c>
      <c r="M25" s="1">
        <f>('HLH Slice Load'!M25-'HLH-LLH Loads'!Y$7)*'HLH-LLH Loads'!Y$4</f>
        <v>559448.3575734857</v>
      </c>
      <c r="N25" s="1">
        <f>('HLH Slice Load'!N25-'HLH-LLH Loads'!Z$7)*'HLH-LLH Loads'!Z$4</f>
        <v>445584.1686696983</v>
      </c>
      <c r="O25" s="1">
        <f>('HLH Slice Load'!O25-'HLH-LLH Loads'!AA$7)*'HLH-LLH Loads'!AA$4</f>
        <v>465747.81096386415</v>
      </c>
      <c r="P25" s="130">
        <f t="shared" si="0"/>
        <v>3700585.731530971</v>
      </c>
    </row>
    <row r="26" spans="1:16" ht="12.75">
      <c r="A26" s="131">
        <f>'HLH Slice Load'!A26</f>
        <v>1952</v>
      </c>
      <c r="B26" s="1">
        <f>('HLH Slice Load'!B26-'HLH-LLH Loads'!N$7)*'HLH-LLH Loads'!N$4</f>
        <v>175778.2393614669</v>
      </c>
      <c r="C26" s="1">
        <f>('HLH Slice Load'!C26-'HLH-LLH Loads'!O$7)*'HLH-LLH Loads'!O$4</f>
        <v>152370.6106404747</v>
      </c>
      <c r="D26" s="1">
        <f>('HLH Slice Load'!D26-'HLH-LLH Loads'!P$7)*'HLH-LLH Loads'!P$4</f>
        <v>34813.70186411838</v>
      </c>
      <c r="E26" s="1">
        <f>('HLH Slice Load'!E26-'HLH-LLH Loads'!Q$7)*'HLH-LLH Loads'!Q$4</f>
        <v>296698.6378641956</v>
      </c>
      <c r="F26" s="1">
        <f>('HLH Slice Load'!F26-'HLH-LLH Loads'!R$7)*'HLH-LLH Loads'!R$4</f>
        <v>36163.037619584815</v>
      </c>
      <c r="G26" s="1">
        <f>('HLH Slice Load'!G26-'HLH-LLH Loads'!S$7)*'HLH-LLH Loads'!S$4</f>
        <v>97079.75980862862</v>
      </c>
      <c r="H26" s="1">
        <f>('HLH Slice Load'!H26-'HLH-LLH Loads'!T$7)*'HLH-LLH Loads'!T$4</f>
        <v>314314.9904284613</v>
      </c>
      <c r="I26" s="1">
        <f>('HLH Slice Load'!I26-'HLH-LLH Loads'!U$7)*'HLH-LLH Loads'!U$4</f>
        <v>87964.653515321</v>
      </c>
      <c r="J26" s="1">
        <f>('HLH Slice Load'!J26-'HLH-LLH Loads'!V$7)*'HLH-LLH Loads'!V$4</f>
        <v>98277.31249326107</v>
      </c>
      <c r="K26" s="1">
        <f>('HLH Slice Load'!K26-'HLH-LLH Loads'!W$7)*'HLH-LLH Loads'!W$4</f>
        <v>157686.44150685603</v>
      </c>
      <c r="L26" s="1">
        <f>('HLH Slice Load'!L26-'HLH-LLH Loads'!X$7)*'HLH-LLH Loads'!X$4</f>
        <v>165770.43860580752</v>
      </c>
      <c r="M26" s="1">
        <f>('HLH Slice Load'!M26-'HLH-LLH Loads'!Y$7)*'HLH-LLH Loads'!Y$4</f>
        <v>631131.3701986935</v>
      </c>
      <c r="N26" s="1">
        <f>('HLH Slice Load'!N26-'HLH-LLH Loads'!Z$7)*'HLH-LLH Loads'!Z$4</f>
        <v>557215.1451259655</v>
      </c>
      <c r="O26" s="1">
        <f>('HLH Slice Load'!O26-'HLH-LLH Loads'!AA$7)*'HLH-LLH Loads'!AA$4</f>
        <v>348210.07378637313</v>
      </c>
      <c r="P26" s="130">
        <f t="shared" si="0"/>
        <v>3153474.412819208</v>
      </c>
    </row>
    <row r="27" spans="1:16" ht="12.75">
      <c r="A27" s="131">
        <f>'HLH Slice Load'!A27</f>
        <v>1953</v>
      </c>
      <c r="B27" s="1">
        <f>('HLH Slice Load'!B27-'HLH-LLH Loads'!N$7)*'HLH-LLH Loads'!N$4</f>
        <v>151106.16509595027</v>
      </c>
      <c r="C27" s="1">
        <f>('HLH Slice Load'!C27-'HLH-LLH Loads'!O$7)*'HLH-LLH Loads'!O$4</f>
        <v>48704.370743049025</v>
      </c>
      <c r="D27" s="1">
        <f>('HLH Slice Load'!D27-'HLH-LLH Loads'!P$7)*'HLH-LLH Loads'!P$4</f>
        <v>-10508.284380697303</v>
      </c>
      <c r="E27" s="1">
        <f>('HLH Slice Load'!E27-'HLH-LLH Loads'!Q$7)*'HLH-LLH Loads'!Q$4</f>
        <v>100144.97491372663</v>
      </c>
      <c r="F27" s="1">
        <f>('HLH Slice Load'!F27-'HLH-LLH Loads'!R$7)*'HLH-LLH Loads'!R$4</f>
        <v>-27577.875580126674</v>
      </c>
      <c r="G27" s="1">
        <f>('HLH Slice Load'!G27-'HLH-LLH Loads'!S$7)*'HLH-LLH Loads'!S$4</f>
        <v>-32238.84519292185</v>
      </c>
      <c r="H27" s="1">
        <f>('HLH Slice Load'!H27-'HLH-LLH Loads'!T$7)*'HLH-LLH Loads'!T$4</f>
        <v>-116139.78140649624</v>
      </c>
      <c r="I27" s="1">
        <f>('HLH Slice Load'!I27-'HLH-LLH Loads'!U$7)*'HLH-LLH Loads'!U$4</f>
        <v>254538.9332845833</v>
      </c>
      <c r="J27" s="1">
        <f>('HLH Slice Load'!J27-'HLH-LLH Loads'!V$7)*'HLH-LLH Loads'!V$4</f>
        <v>182395.8633641777</v>
      </c>
      <c r="K27" s="1">
        <f>('HLH Slice Load'!K27-'HLH-LLH Loads'!W$7)*'HLH-LLH Loads'!W$4</f>
        <v>4258.180530683065</v>
      </c>
      <c r="L27" s="1">
        <f>('HLH Slice Load'!L27-'HLH-LLH Loads'!X$7)*'HLH-LLH Loads'!X$4</f>
        <v>25943.47132951933</v>
      </c>
      <c r="M27" s="1">
        <f>('HLH Slice Load'!M27-'HLH-LLH Loads'!Y$7)*'HLH-LLH Loads'!Y$4</f>
        <v>428141.34330239246</v>
      </c>
      <c r="N27" s="1">
        <f>('HLH Slice Load'!N27-'HLH-LLH Loads'!Z$7)*'HLH-LLH Loads'!Z$4</f>
        <v>608406.7500536947</v>
      </c>
      <c r="O27" s="1">
        <f>('HLH Slice Load'!O27-'HLH-LLH Loads'!AA$7)*'HLH-LLH Loads'!AA$4</f>
        <v>484596.02607983415</v>
      </c>
      <c r="P27" s="130">
        <f t="shared" si="0"/>
        <v>2101771.2921373686</v>
      </c>
    </row>
    <row r="28" spans="1:16" ht="12.75">
      <c r="A28" s="131">
        <f>'HLH Slice Load'!A28</f>
        <v>1954</v>
      </c>
      <c r="B28" s="1">
        <f>('HLH Slice Load'!B28-'HLH-LLH Loads'!N$7)*'HLH-LLH Loads'!N$4</f>
        <v>178042.3953675956</v>
      </c>
      <c r="C28" s="1">
        <f>('HLH Slice Load'!C28-'HLH-LLH Loads'!O$7)*'HLH-LLH Loads'!O$4</f>
        <v>146169.24589787514</v>
      </c>
      <c r="D28" s="1">
        <f>('HLH Slice Load'!D28-'HLH-LLH Loads'!P$7)*'HLH-LLH Loads'!P$4</f>
        <v>42742.45241481528</v>
      </c>
      <c r="E28" s="1">
        <f>('HLH Slice Load'!E28-'HLH-LLH Loads'!Q$7)*'HLH-LLH Loads'!Q$4</f>
        <v>167166.82812965114</v>
      </c>
      <c r="F28" s="1">
        <f>('HLH Slice Load'!F28-'HLH-LLH Loads'!R$7)*'HLH-LLH Loads'!R$4</f>
        <v>6588.887317549816</v>
      </c>
      <c r="G28" s="1">
        <f>('HLH Slice Load'!G28-'HLH-LLH Loads'!S$7)*'HLH-LLH Loads'!S$4</f>
        <v>-24367.04580682164</v>
      </c>
      <c r="H28" s="1">
        <f>('HLH Slice Load'!H28-'HLH-LLH Loads'!T$7)*'HLH-LLH Loads'!T$4</f>
        <v>160030.99967577835</v>
      </c>
      <c r="I28" s="1">
        <f>('HLH Slice Load'!I28-'HLH-LLH Loads'!U$7)*'HLH-LLH Loads'!U$4</f>
        <v>282390.0096175269</v>
      </c>
      <c r="J28" s="1">
        <f>('HLH Slice Load'!J28-'HLH-LLH Loads'!V$7)*'HLH-LLH Loads'!V$4</f>
        <v>116511.1781552448</v>
      </c>
      <c r="K28" s="1">
        <f>('HLH Slice Load'!K28-'HLH-LLH Loads'!W$7)*'HLH-LLH Loads'!W$4</f>
        <v>84122.83686293986</v>
      </c>
      <c r="L28" s="1">
        <f>('HLH Slice Load'!L28-'HLH-LLH Loads'!X$7)*'HLH-LLH Loads'!X$4</f>
        <v>74416.50422847703</v>
      </c>
      <c r="M28" s="1">
        <f>('HLH Slice Load'!M28-'HLH-LLH Loads'!Y$7)*'HLH-LLH Loads'!Y$4</f>
        <v>528110.4321919864</v>
      </c>
      <c r="N28" s="1">
        <f>('HLH Slice Load'!N28-'HLH-LLH Loads'!Z$7)*'HLH-LLH Loads'!Z$4</f>
        <v>595317.838114327</v>
      </c>
      <c r="O28" s="1">
        <f>('HLH Slice Load'!O28-'HLH-LLH Loads'!AA$7)*'HLH-LLH Loads'!AA$4</f>
        <v>506165.8044906161</v>
      </c>
      <c r="P28" s="130">
        <f t="shared" si="0"/>
        <v>2863408.366657562</v>
      </c>
    </row>
    <row r="29" spans="1:16" ht="12.75">
      <c r="A29" s="131">
        <f>'HLH Slice Load'!A29</f>
        <v>1955</v>
      </c>
      <c r="B29" s="1">
        <f>('HLH Slice Load'!B29-'HLH-LLH Loads'!N$7)*'HLH-LLH Loads'!N$4</f>
        <v>187668.93833572103</v>
      </c>
      <c r="C29" s="1">
        <f>('HLH Slice Load'!C29-'HLH-LLH Loads'!O$7)*'HLH-LLH Loads'!O$4</f>
        <v>173312.36440718724</v>
      </c>
      <c r="D29" s="1">
        <f>('HLH Slice Load'!D29-'HLH-LLH Loads'!P$7)*'HLH-LLH Loads'!P$4</f>
        <v>268931.3238496656</v>
      </c>
      <c r="E29" s="1">
        <f>('HLH Slice Load'!E29-'HLH-LLH Loads'!Q$7)*'HLH-LLH Loads'!Q$4</f>
        <v>228879.72012131166</v>
      </c>
      <c r="F29" s="1">
        <f>('HLH Slice Load'!F29-'HLH-LLH Loads'!R$7)*'HLH-LLH Loads'!R$4</f>
        <v>71824.60005060534</v>
      </c>
      <c r="G29" s="1">
        <f>('HLH Slice Load'!G29-'HLH-LLH Loads'!S$7)*'HLH-LLH Loads'!S$4</f>
        <v>-4266.409549448836</v>
      </c>
      <c r="H29" s="1">
        <f>('HLH Slice Load'!H29-'HLH-LLH Loads'!T$7)*'HLH-LLH Loads'!T$4</f>
        <v>90422.0697552663</v>
      </c>
      <c r="I29" s="1">
        <f>('HLH Slice Load'!I29-'HLH-LLH Loads'!U$7)*'HLH-LLH Loads'!U$4</f>
        <v>-7285.49996056594</v>
      </c>
      <c r="J29" s="1">
        <f>('HLH Slice Load'!J29-'HLH-LLH Loads'!V$7)*'HLH-LLH Loads'!V$4</f>
        <v>-157995.38193074465</v>
      </c>
      <c r="K29" s="1">
        <f>('HLH Slice Load'!K29-'HLH-LLH Loads'!W$7)*'HLH-LLH Loads'!W$4</f>
        <v>30971.114408742564</v>
      </c>
      <c r="L29" s="1">
        <f>('HLH Slice Load'!L29-'HLH-LLH Loads'!X$7)*'HLH-LLH Loads'!X$4</f>
        <v>43728.93616208251</v>
      </c>
      <c r="M29" s="1">
        <f>('HLH Slice Load'!M29-'HLH-LLH Loads'!Y$7)*'HLH-LLH Loads'!Y$4</f>
        <v>295850.145319102</v>
      </c>
      <c r="N29" s="1">
        <f>('HLH Slice Load'!N29-'HLH-LLH Loads'!Z$7)*'HLH-LLH Loads'!Z$4</f>
        <v>653741.9999510379</v>
      </c>
      <c r="O29" s="1">
        <f>('HLH Slice Load'!O29-'HLH-LLH Loads'!AA$7)*'HLH-LLH Loads'!AA$4</f>
        <v>526839.1843486724</v>
      </c>
      <c r="P29" s="130">
        <f t="shared" si="0"/>
        <v>2402623.105268635</v>
      </c>
    </row>
    <row r="30" spans="1:16" ht="12.75">
      <c r="A30" s="131">
        <f>'HLH Slice Load'!A30</f>
        <v>1956</v>
      </c>
      <c r="B30" s="1">
        <f>('HLH Slice Load'!B30-'HLH-LLH Loads'!N$7)*'HLH-LLH Loads'!N$4</f>
        <v>170256.10597749677</v>
      </c>
      <c r="C30" s="1">
        <f>('HLH Slice Load'!C30-'HLH-LLH Loads'!O$7)*'HLH-LLH Loads'!O$4</f>
        <v>169828.7878323202</v>
      </c>
      <c r="D30" s="1">
        <f>('HLH Slice Load'!D30-'HLH-LLH Loads'!P$7)*'HLH-LLH Loads'!P$4</f>
        <v>51905.60413120781</v>
      </c>
      <c r="E30" s="1">
        <f>('HLH Slice Load'!E30-'HLH-LLH Loads'!Q$7)*'HLH-LLH Loads'!Q$4</f>
        <v>209931.1459846559</v>
      </c>
      <c r="F30" s="1">
        <f>('HLH Slice Load'!F30-'HLH-LLH Loads'!R$7)*'HLH-LLH Loads'!R$4</f>
        <v>105491.86563100698</v>
      </c>
      <c r="G30" s="1">
        <f>('HLH Slice Load'!G30-'HLH-LLH Loads'!S$7)*'HLH-LLH Loads'!S$4</f>
        <v>224020.30010018137</v>
      </c>
      <c r="H30" s="1">
        <f>('HLH Slice Load'!H30-'HLH-LLH Loads'!T$7)*'HLH-LLH Loads'!T$4</f>
        <v>409588.32388539176</v>
      </c>
      <c r="I30" s="1">
        <f>('HLH Slice Load'!I30-'HLH-LLH Loads'!U$7)*'HLH-LLH Loads'!U$4</f>
        <v>230477.76229128373</v>
      </c>
      <c r="J30" s="1">
        <f>('HLH Slice Load'!J30-'HLH-LLH Loads'!V$7)*'HLH-LLH Loads'!V$4</f>
        <v>266290.71655196935</v>
      </c>
      <c r="K30" s="1">
        <f>('HLH Slice Load'!K30-'HLH-LLH Loads'!W$7)*'HLH-LLH Loads'!W$4</f>
        <v>134011.4936403642</v>
      </c>
      <c r="L30" s="1">
        <f>('HLH Slice Load'!L30-'HLH-LLH Loads'!X$7)*'HLH-LLH Loads'!X$4</f>
        <v>193141.34440418734</v>
      </c>
      <c r="M30" s="1">
        <f>('HLH Slice Load'!M30-'HLH-LLH Loads'!Y$7)*'HLH-LLH Loads'!Y$4</f>
        <v>659526.7966732124</v>
      </c>
      <c r="N30" s="1">
        <f>('HLH Slice Load'!N30-'HLH-LLH Loads'!Z$7)*'HLH-LLH Loads'!Z$4</f>
        <v>710206.678263827</v>
      </c>
      <c r="O30" s="1">
        <f>('HLH Slice Load'!O30-'HLH-LLH Loads'!AA$7)*'HLH-LLH Loads'!AA$4</f>
        <v>483270.5457021883</v>
      </c>
      <c r="P30" s="130">
        <f t="shared" si="0"/>
        <v>4017947.471069293</v>
      </c>
    </row>
    <row r="31" spans="1:16" ht="12.75">
      <c r="A31" s="131">
        <f>'HLH Slice Load'!A31</f>
        <v>1957</v>
      </c>
      <c r="B31" s="1">
        <f>('HLH Slice Load'!B31-'HLH-LLH Loads'!N$7)*'HLH-LLH Loads'!N$4</f>
        <v>183983.76306252574</v>
      </c>
      <c r="C31" s="1">
        <f>('HLH Slice Load'!C31-'HLH-LLH Loads'!O$7)*'HLH-LLH Loads'!O$4</f>
        <v>152467.42890175854</v>
      </c>
      <c r="D31" s="1">
        <f>('HLH Slice Load'!D31-'HLH-LLH Loads'!P$7)*'HLH-LLH Loads'!P$4</f>
        <v>28726.973219766995</v>
      </c>
      <c r="E31" s="1">
        <f>('HLH Slice Load'!E31-'HLH-LLH Loads'!Q$7)*'HLH-LLH Loads'!Q$4</f>
        <v>178215.47220703596</v>
      </c>
      <c r="F31" s="1">
        <f>('HLH Slice Load'!F31-'HLH-LLH Loads'!R$7)*'HLH-LLH Loads'!R$4</f>
        <v>-33854.302268369116</v>
      </c>
      <c r="G31" s="1">
        <f>('HLH Slice Load'!G31-'HLH-LLH Loads'!S$7)*'HLH-LLH Loads'!S$4</f>
        <v>13408.209023189484</v>
      </c>
      <c r="H31" s="1">
        <f>('HLH Slice Load'!H31-'HLH-LLH Loads'!T$7)*'HLH-LLH Loads'!T$4</f>
        <v>69424.62933233782</v>
      </c>
      <c r="I31" s="1">
        <f>('HLH Slice Load'!I31-'HLH-LLH Loads'!U$7)*'HLH-LLH Loads'!U$4</f>
        <v>170431.7209410974</v>
      </c>
      <c r="J31" s="1">
        <f>('HLH Slice Load'!J31-'HLH-LLH Loads'!V$7)*'HLH-LLH Loads'!V$4</f>
        <v>106625.08331217911</v>
      </c>
      <c r="K31" s="1">
        <f>('HLH Slice Load'!K31-'HLH-LLH Loads'!W$7)*'HLH-LLH Loads'!W$4</f>
        <v>145680.57812411434</v>
      </c>
      <c r="L31" s="1">
        <f>('HLH Slice Load'!L31-'HLH-LLH Loads'!X$7)*'HLH-LLH Loads'!X$4</f>
        <v>50166.55820202068</v>
      </c>
      <c r="M31" s="1">
        <f>('HLH Slice Load'!M31-'HLH-LLH Loads'!Y$7)*'HLH-LLH Loads'!Y$4</f>
        <v>692697.2192993531</v>
      </c>
      <c r="N31" s="1">
        <f>('HLH Slice Load'!N31-'HLH-LLH Loads'!Z$7)*'HLH-LLH Loads'!Z$4</f>
        <v>621989.963169799</v>
      </c>
      <c r="O31" s="1">
        <f>('HLH Slice Load'!O31-'HLH-LLH Loads'!AA$7)*'HLH-LLH Loads'!AA$4</f>
        <v>331220.883237581</v>
      </c>
      <c r="P31" s="130">
        <f t="shared" si="0"/>
        <v>2711184.17976439</v>
      </c>
    </row>
    <row r="32" spans="1:16" ht="12.75">
      <c r="A32" s="131">
        <f>'HLH Slice Load'!A32</f>
        <v>1958</v>
      </c>
      <c r="B32" s="1">
        <f>('HLH Slice Load'!B32-'HLH-LLH Loads'!N$7)*'HLH-LLH Loads'!N$4</f>
        <v>106634.35352263582</v>
      </c>
      <c r="C32" s="1">
        <f>('HLH Slice Load'!C32-'HLH-LLH Loads'!O$7)*'HLH-LLH Loads'!O$4</f>
        <v>54053.29385982095</v>
      </c>
      <c r="D32" s="1">
        <f>('HLH Slice Load'!D32-'HLH-LLH Loads'!P$7)*'HLH-LLH Loads'!P$4</f>
        <v>-59.91095137559023</v>
      </c>
      <c r="E32" s="1">
        <f>('HLH Slice Load'!E32-'HLH-LLH Loads'!Q$7)*'HLH-LLH Loads'!Q$4</f>
        <v>119035.3115668016</v>
      </c>
      <c r="F32" s="1">
        <f>('HLH Slice Load'!F32-'HLH-LLH Loads'!R$7)*'HLH-LLH Loads'!R$4</f>
        <v>-37150.95661295342</v>
      </c>
      <c r="G32" s="1">
        <f>('HLH Slice Load'!G32-'HLH-LLH Loads'!S$7)*'HLH-LLH Loads'!S$4</f>
        <v>-54786.546004036194</v>
      </c>
      <c r="H32" s="1">
        <f>('HLH Slice Load'!H32-'HLH-LLH Loads'!T$7)*'HLH-LLH Loads'!T$4</f>
        <v>75470.0839355084</v>
      </c>
      <c r="I32" s="1">
        <f>('HLH Slice Load'!I32-'HLH-LLH Loads'!U$7)*'HLH-LLH Loads'!U$4</f>
        <v>240312.78709985627</v>
      </c>
      <c r="J32" s="1">
        <f>('HLH Slice Load'!J32-'HLH-LLH Loads'!V$7)*'HLH-LLH Loads'!V$4</f>
        <v>35299.49437915199</v>
      </c>
      <c r="K32" s="1">
        <f>('HLH Slice Load'!K32-'HLH-LLH Loads'!W$7)*'HLH-LLH Loads'!W$4</f>
        <v>36875.32242743534</v>
      </c>
      <c r="L32" s="1">
        <f>('HLH Slice Load'!L32-'HLH-LLH Loads'!X$7)*'HLH-LLH Loads'!X$4</f>
        <v>118563.45826008545</v>
      </c>
      <c r="M32" s="1">
        <f>('HLH Slice Load'!M32-'HLH-LLH Loads'!Y$7)*'HLH-LLH Loads'!Y$4</f>
        <v>652763.0855767806</v>
      </c>
      <c r="N32" s="1">
        <f>('HLH Slice Load'!N32-'HLH-LLH Loads'!Z$7)*'HLH-LLH Loads'!Z$4</f>
        <v>576444.7912576518</v>
      </c>
      <c r="O32" s="1">
        <f>('HLH Slice Load'!O32-'HLH-LLH Loads'!AA$7)*'HLH-LLH Loads'!AA$4</f>
        <v>294132.72962697817</v>
      </c>
      <c r="P32" s="130">
        <f t="shared" si="0"/>
        <v>2217587.297944341</v>
      </c>
    </row>
    <row r="33" spans="1:16" ht="12.75">
      <c r="A33" s="131">
        <f>'HLH Slice Load'!A33</f>
        <v>1959</v>
      </c>
      <c r="B33" s="1">
        <f>('HLH Slice Load'!B33-'HLH-LLH Loads'!N$7)*'HLH-LLH Loads'!N$4</f>
        <v>101712.05073836287</v>
      </c>
      <c r="C33" s="1">
        <f>('HLH Slice Load'!C33-'HLH-LLH Loads'!O$7)*'HLH-LLH Loads'!O$4</f>
        <v>60675.295396497924</v>
      </c>
      <c r="D33" s="1">
        <f>('HLH Slice Load'!D33-'HLH-LLH Loads'!P$7)*'HLH-LLH Loads'!P$4</f>
        <v>-1593.2347165868923</v>
      </c>
      <c r="E33" s="1">
        <f>('HLH Slice Load'!E33-'HLH-LLH Loads'!Q$7)*'HLH-LLH Loads'!Q$4</f>
        <v>157457.86457482638</v>
      </c>
      <c r="F33" s="1">
        <f>('HLH Slice Load'!F33-'HLH-LLH Loads'!R$7)*'HLH-LLH Loads'!R$4</f>
        <v>52059.536736422975</v>
      </c>
      <c r="G33" s="1">
        <f>('HLH Slice Load'!G33-'HLH-LLH Loads'!S$7)*'HLH-LLH Loads'!S$4</f>
        <v>95357.44965547213</v>
      </c>
      <c r="H33" s="1">
        <f>('HLH Slice Load'!H33-'HLH-LLH Loads'!T$7)*'HLH-LLH Loads'!T$4</f>
        <v>394809.69654468057</v>
      </c>
      <c r="I33" s="1">
        <f>('HLH Slice Load'!I33-'HLH-LLH Loads'!U$7)*'HLH-LLH Loads'!U$4</f>
        <v>238201.40676684064</v>
      </c>
      <c r="J33" s="1">
        <f>('HLH Slice Load'!J33-'HLH-LLH Loads'!V$7)*'HLH-LLH Loads'!V$4</f>
        <v>184708.94159287706</v>
      </c>
      <c r="K33" s="1">
        <f>('HLH Slice Load'!K33-'HLH-LLH Loads'!W$7)*'HLH-LLH Loads'!W$4</f>
        <v>82828.14755994499</v>
      </c>
      <c r="L33" s="1">
        <f>('HLH Slice Load'!L33-'HLH-LLH Loads'!X$7)*'HLH-LLH Loads'!X$4</f>
        <v>24170.832589560338</v>
      </c>
      <c r="M33" s="1">
        <f>('HLH Slice Load'!M33-'HLH-LLH Loads'!Y$7)*'HLH-LLH Loads'!Y$4</f>
        <v>502175.8596101691</v>
      </c>
      <c r="N33" s="1">
        <f>('HLH Slice Load'!N33-'HLH-LLH Loads'!Z$7)*'HLH-LLH Loads'!Z$4</f>
        <v>593825.2099159602</v>
      </c>
      <c r="O33" s="1">
        <f>('HLH Slice Load'!O33-'HLH-LLH Loads'!AA$7)*'HLH-LLH Loads'!AA$4</f>
        <v>488447.4511423209</v>
      </c>
      <c r="P33" s="130">
        <f t="shared" si="0"/>
        <v>2974836.5081073493</v>
      </c>
    </row>
    <row r="34" spans="1:16" ht="12.75">
      <c r="A34" s="131">
        <f>'HLH Slice Load'!A34</f>
        <v>1960</v>
      </c>
      <c r="B34" s="1">
        <f>('HLH Slice Load'!B34-'HLH-LLH Loads'!N$7)*'HLH-LLH Loads'!N$4</f>
        <v>176172.3655652291</v>
      </c>
      <c r="C34" s="1">
        <f>('HLH Slice Load'!C34-'HLH-LLH Loads'!O$7)*'HLH-LLH Loads'!O$4</f>
        <v>136703.10174514307</v>
      </c>
      <c r="D34" s="1">
        <f>('HLH Slice Load'!D34-'HLH-LLH Loads'!P$7)*'HLH-LLH Loads'!P$4</f>
        <v>257655.7009121196</v>
      </c>
      <c r="E34" s="1">
        <f>('HLH Slice Load'!E34-'HLH-LLH Loads'!Q$7)*'HLH-LLH Loads'!Q$4</f>
        <v>401093.76725560066</v>
      </c>
      <c r="F34" s="1">
        <f>('HLH Slice Load'!F34-'HLH-LLH Loads'!R$7)*'HLH-LLH Loads'!R$4</f>
        <v>202019.49704210245</v>
      </c>
      <c r="G34" s="1">
        <f>('HLH Slice Load'!G34-'HLH-LLH Loads'!S$7)*'HLH-LLH Loads'!S$4</f>
        <v>131284.75342678474</v>
      </c>
      <c r="H34" s="1">
        <f>('HLH Slice Load'!H34-'HLH-LLH Loads'!T$7)*'HLH-LLH Loads'!T$4</f>
        <v>297179.6549690135</v>
      </c>
      <c r="I34" s="1">
        <f>('HLH Slice Load'!I34-'HLH-LLH Loads'!U$7)*'HLH-LLH Loads'!U$4</f>
        <v>15516.70185934013</v>
      </c>
      <c r="J34" s="1">
        <f>('HLH Slice Load'!J34-'HLH-LLH Loads'!V$7)*'HLH-LLH Loads'!V$4</f>
        <v>153256.41860602825</v>
      </c>
      <c r="K34" s="1">
        <f>('HLH Slice Load'!K34-'HLH-LLH Loads'!W$7)*'HLH-LLH Loads'!W$4</f>
        <v>197115.47368585455</v>
      </c>
      <c r="L34" s="1">
        <f>('HLH Slice Load'!L34-'HLH-LLH Loads'!X$7)*'HLH-LLH Loads'!X$4</f>
        <v>115308.30679034659</v>
      </c>
      <c r="M34" s="1">
        <f>('HLH Slice Load'!M34-'HLH-LLH Loads'!Y$7)*'HLH-LLH Loads'!Y$4</f>
        <v>391767.48430047155</v>
      </c>
      <c r="N34" s="1">
        <f>('HLH Slice Load'!N34-'HLH-LLH Loads'!Z$7)*'HLH-LLH Loads'!Z$4</f>
        <v>470604.96084356593</v>
      </c>
      <c r="O34" s="1">
        <f>('HLH Slice Load'!O34-'HLH-LLH Loads'!AA$7)*'HLH-LLH Loads'!AA$4</f>
        <v>412818.19147089496</v>
      </c>
      <c r="P34" s="130">
        <f t="shared" si="0"/>
        <v>3358496.378472495</v>
      </c>
    </row>
    <row r="35" spans="1:16" ht="12.75">
      <c r="A35" s="131">
        <f>'HLH Slice Load'!A35</f>
        <v>1961</v>
      </c>
      <c r="B35" s="1">
        <f>('HLH Slice Load'!B35-'HLH-LLH Loads'!N$7)*'HLH-LLH Loads'!N$4</f>
        <v>160155.72341096227</v>
      </c>
      <c r="C35" s="1">
        <f>('HLH Slice Load'!C35-'HLH-LLH Loads'!O$7)*'HLH-LLH Loads'!O$4</f>
        <v>49665.98092097914</v>
      </c>
      <c r="D35" s="1">
        <f>('HLH Slice Load'!D35-'HLH-LLH Loads'!P$7)*'HLH-LLH Loads'!P$4</f>
        <v>18168.955201501376</v>
      </c>
      <c r="E35" s="1">
        <f>('HLH Slice Load'!E35-'HLH-LLH Loads'!Q$7)*'HLH-LLH Loads'!Q$4</f>
        <v>163004.09804249156</v>
      </c>
      <c r="F35" s="1">
        <f>('HLH Slice Load'!F35-'HLH-LLH Loads'!R$7)*'HLH-LLH Loads'!R$4</f>
        <v>17046.53700311036</v>
      </c>
      <c r="G35" s="1">
        <f>('HLH Slice Load'!G35-'HLH-LLH Loads'!S$7)*'HLH-LLH Loads'!S$4</f>
        <v>-92084.0193635682</v>
      </c>
      <c r="H35" s="1">
        <f>('HLH Slice Load'!H35-'HLH-LLH Loads'!T$7)*'HLH-LLH Loads'!T$4</f>
        <v>228079.00376212323</v>
      </c>
      <c r="I35" s="1">
        <f>('HLH Slice Load'!I35-'HLH-LLH Loads'!U$7)*'HLH-LLH Loads'!U$4</f>
        <v>243897.39801606254</v>
      </c>
      <c r="J35" s="1">
        <f>('HLH Slice Load'!J35-'HLH-LLH Loads'!V$7)*'HLH-LLH Loads'!V$4</f>
        <v>177836.54665168826</v>
      </c>
      <c r="K35" s="1">
        <f>('HLH Slice Load'!K35-'HLH-LLH Loads'!W$7)*'HLH-LLH Loads'!W$4</f>
        <v>74085.38514482263</v>
      </c>
      <c r="L35" s="1">
        <f>('HLH Slice Load'!L35-'HLH-LLH Loads'!X$7)*'HLH-LLH Loads'!X$4</f>
        <v>-5269.174419498202</v>
      </c>
      <c r="M35" s="1">
        <f>('HLH Slice Load'!M35-'HLH-LLH Loads'!Y$7)*'HLH-LLH Loads'!Y$4</f>
        <v>526586.7189621818</v>
      </c>
      <c r="N35" s="1">
        <f>('HLH Slice Load'!N35-'HLH-LLH Loads'!Z$7)*'HLH-LLH Loads'!Z$4</f>
        <v>592479.3356227184</v>
      </c>
      <c r="O35" s="1">
        <f>('HLH Slice Load'!O35-'HLH-LLH Loads'!AA$7)*'HLH-LLH Loads'!AA$4</f>
        <v>370495.37745292485</v>
      </c>
      <c r="P35" s="130">
        <f t="shared" si="0"/>
        <v>2524147.8664085004</v>
      </c>
    </row>
    <row r="36" spans="1:16" ht="12.75">
      <c r="A36" s="131">
        <f>'HLH Slice Load'!A36</f>
        <v>1962</v>
      </c>
      <c r="B36" s="1">
        <f>('HLH Slice Load'!B36-'HLH-LLH Loads'!N$7)*'HLH-LLH Loads'!N$4</f>
        <v>139970.75723800558</v>
      </c>
      <c r="C36" s="1">
        <f>('HLH Slice Load'!C36-'HLH-LLH Loads'!O$7)*'HLH-LLH Loads'!O$4</f>
        <v>64486.34348944671</v>
      </c>
      <c r="D36" s="1">
        <f>('HLH Slice Load'!D36-'HLH-LLH Loads'!P$7)*'HLH-LLH Loads'!P$4</f>
        <v>-16511.77731631056</v>
      </c>
      <c r="E36" s="1">
        <f>('HLH Slice Load'!E36-'HLH-LLH Loads'!Q$7)*'HLH-LLH Loads'!Q$4</f>
        <v>140419.19031874093</v>
      </c>
      <c r="F36" s="1">
        <f>('HLH Slice Load'!F36-'HLH-LLH Loads'!R$7)*'HLH-LLH Loads'!R$4</f>
        <v>-47593.66210055158</v>
      </c>
      <c r="G36" s="1">
        <f>('HLH Slice Load'!G36-'HLH-LLH Loads'!S$7)*'HLH-LLH Loads'!S$4</f>
        <v>-74497.28007808313</v>
      </c>
      <c r="H36" s="1">
        <f>('HLH Slice Load'!H36-'HLH-LLH Loads'!T$7)*'HLH-LLH Loads'!T$4</f>
        <v>234688.96346610514</v>
      </c>
      <c r="I36" s="1">
        <f>('HLH Slice Load'!I36-'HLH-LLH Loads'!U$7)*'HLH-LLH Loads'!U$4</f>
        <v>-108558.5482695736</v>
      </c>
      <c r="J36" s="1">
        <f>('HLH Slice Load'!J36-'HLH-LLH Loads'!V$7)*'HLH-LLH Loads'!V$4</f>
        <v>-30966.09007726546</v>
      </c>
      <c r="K36" s="1">
        <f>('HLH Slice Load'!K36-'HLH-LLH Loads'!W$7)*'HLH-LLH Loads'!W$4</f>
        <v>115235.59889409663</v>
      </c>
      <c r="L36" s="1">
        <f>('HLH Slice Load'!L36-'HLH-LLH Loads'!X$7)*'HLH-LLH Loads'!X$4</f>
        <v>129530.00524988007</v>
      </c>
      <c r="M36" s="1">
        <f>('HLH Slice Load'!M36-'HLH-LLH Loads'!Y$7)*'HLH-LLH Loads'!Y$4</f>
        <v>417674.19384488655</v>
      </c>
      <c r="N36" s="1">
        <f>('HLH Slice Load'!N36-'HLH-LLH Loads'!Z$7)*'HLH-LLH Loads'!Z$4</f>
        <v>351825.62257200637</v>
      </c>
      <c r="O36" s="1">
        <f>('HLH Slice Load'!O36-'HLH-LLH Loads'!AA$7)*'HLH-LLH Loads'!AA$4</f>
        <v>441816.4632799067</v>
      </c>
      <c r="P36" s="130">
        <f t="shared" si="0"/>
        <v>1757519.7805112903</v>
      </c>
    </row>
    <row r="37" spans="1:16" ht="12.75">
      <c r="A37" s="131">
        <f>'HLH Slice Load'!A37</f>
        <v>1963</v>
      </c>
      <c r="B37" s="1">
        <f>('HLH Slice Load'!B37-'HLH-LLH Loads'!N$7)*'HLH-LLH Loads'!N$4</f>
        <v>174091.90181252913</v>
      </c>
      <c r="C37" s="1">
        <f>('HLH Slice Load'!C37-'HLH-LLH Loads'!O$7)*'HLH-LLH Loads'!O$4</f>
        <v>111441.46967173798</v>
      </c>
      <c r="D37" s="1">
        <f>('HLH Slice Load'!D37-'HLH-LLH Loads'!P$7)*'HLH-LLH Loads'!P$4</f>
        <v>-3777.348298131008</v>
      </c>
      <c r="E37" s="1">
        <f>('HLH Slice Load'!E37-'HLH-LLH Loads'!Q$7)*'HLH-LLH Loads'!Q$4</f>
        <v>203668.59270216306</v>
      </c>
      <c r="F37" s="1">
        <f>('HLH Slice Load'!F37-'HLH-LLH Loads'!R$7)*'HLH-LLH Loads'!R$4</f>
        <v>68001.07653443015</v>
      </c>
      <c r="G37" s="1">
        <f>('HLH Slice Load'!G37-'HLH-LLH Loads'!S$7)*'HLH-LLH Loads'!S$4</f>
        <v>95453.60050437224</v>
      </c>
      <c r="H37" s="1">
        <f>('HLH Slice Load'!H37-'HLH-LLH Loads'!T$7)*'HLH-LLH Loads'!T$4</f>
        <v>280352.7393756435</v>
      </c>
      <c r="I37" s="1">
        <f>('HLH Slice Load'!I37-'HLH-LLH Loads'!U$7)*'HLH-LLH Loads'!U$4</f>
        <v>71643.40960186586</v>
      </c>
      <c r="J37" s="1">
        <f>('HLH Slice Load'!J37-'HLH-LLH Loads'!V$7)*'HLH-LLH Loads'!V$4</f>
        <v>-8492.728509213059</v>
      </c>
      <c r="K37" s="1">
        <f>('HLH Slice Load'!K37-'HLH-LLH Loads'!W$7)*'HLH-LLH Loads'!W$4</f>
        <v>57829.29043593172</v>
      </c>
      <c r="L37" s="1">
        <f>('HLH Slice Load'!L37-'HLH-LLH Loads'!X$7)*'HLH-LLH Loads'!X$4</f>
        <v>59212.3810943586</v>
      </c>
      <c r="M37" s="1">
        <f>('HLH Slice Load'!M37-'HLH-LLH Loads'!Y$7)*'HLH-LLH Loads'!Y$4</f>
        <v>363223.69200170494</v>
      </c>
      <c r="N37" s="1">
        <f>('HLH Slice Load'!N37-'HLH-LLH Loads'!Z$7)*'HLH-LLH Loads'!Z$4</f>
        <v>483684.12312103773</v>
      </c>
      <c r="O37" s="1">
        <f>('HLH Slice Load'!O37-'HLH-LLH Loads'!AA$7)*'HLH-LLH Loads'!AA$4</f>
        <v>421542.4318346038</v>
      </c>
      <c r="P37" s="130">
        <f t="shared" si="0"/>
        <v>2377874.6318830345</v>
      </c>
    </row>
    <row r="38" spans="1:16" ht="12.75">
      <c r="A38" s="131">
        <f>'HLH Slice Load'!A38</f>
        <v>1964</v>
      </c>
      <c r="B38" s="1">
        <f>('HLH Slice Load'!B38-'HLH-LLH Loads'!N$7)*'HLH-LLH Loads'!N$4</f>
        <v>166414.525975576</v>
      </c>
      <c r="C38" s="1">
        <f>('HLH Slice Load'!C38-'HLH-LLH Loads'!O$7)*'HLH-LLH Loads'!O$4</f>
        <v>100714.69601594913</v>
      </c>
      <c r="D38" s="1">
        <f>('HLH Slice Load'!D38-'HLH-LLH Loads'!P$7)*'HLH-LLH Loads'!P$4</f>
        <v>72590.40586799405</v>
      </c>
      <c r="E38" s="1">
        <f>('HLH Slice Load'!E38-'HLH-LLH Loads'!Q$7)*'HLH-LLH Loads'!Q$4</f>
        <v>131321.25763819055</v>
      </c>
      <c r="F38" s="1">
        <f>('HLH Slice Load'!F38-'HLH-LLH Loads'!R$7)*'HLH-LLH Loads'!R$4</f>
        <v>-34074.319783474195</v>
      </c>
      <c r="G38" s="1">
        <f>('HLH Slice Load'!G38-'HLH-LLH Loads'!S$7)*'HLH-LLH Loads'!S$4</f>
        <v>-81865.21488085874</v>
      </c>
      <c r="H38" s="1">
        <f>('HLH Slice Load'!H38-'HLH-LLH Loads'!T$7)*'HLH-LLH Loads'!T$4</f>
        <v>55355.44828694315</v>
      </c>
      <c r="I38" s="1">
        <f>('HLH Slice Load'!I38-'HLH-LLH Loads'!U$7)*'HLH-LLH Loads'!U$4</f>
        <v>169775.34978983153</v>
      </c>
      <c r="J38" s="1">
        <f>('HLH Slice Load'!J38-'HLH-LLH Loads'!V$7)*'HLH-LLH Loads'!V$4</f>
        <v>-92531.86284184476</v>
      </c>
      <c r="K38" s="1">
        <f>('HLH Slice Load'!K38-'HLH-LLH Loads'!W$7)*'HLH-LLH Loads'!W$4</f>
        <v>71798.0057821294</v>
      </c>
      <c r="L38" s="1">
        <f>('HLH Slice Load'!L38-'HLH-LLH Loads'!X$7)*'HLH-LLH Loads'!X$4</f>
        <v>12258.792495084523</v>
      </c>
      <c r="M38" s="1">
        <f>('HLH Slice Load'!M38-'HLH-LLH Loads'!Y$7)*'HLH-LLH Loads'!Y$4</f>
        <v>396091.2401509638</v>
      </c>
      <c r="N38" s="1">
        <f>('HLH Slice Load'!N38-'HLH-LLH Loads'!Z$7)*'HLH-LLH Loads'!Z$4</f>
        <v>657760.135254138</v>
      </c>
      <c r="O38" s="1">
        <f>('HLH Slice Load'!O38-'HLH-LLH Loads'!AA$7)*'HLH-LLH Loads'!AA$4</f>
        <v>508870.42922073125</v>
      </c>
      <c r="P38" s="130">
        <f t="shared" si="0"/>
        <v>2134478.888971354</v>
      </c>
    </row>
    <row r="39" spans="1:16" ht="12.75">
      <c r="A39" s="131">
        <f>'HLH Slice Load'!A39</f>
        <v>1965</v>
      </c>
      <c r="B39" s="1">
        <f>('HLH Slice Load'!B39-'HLH-LLH Loads'!N$7)*'HLH-LLH Loads'!N$4</f>
        <v>178216.8044544173</v>
      </c>
      <c r="C39" s="1">
        <f>('HLH Slice Load'!C39-'HLH-LLH Loads'!O$7)*'HLH-LLH Loads'!O$4</f>
        <v>167723.79819127815</v>
      </c>
      <c r="D39" s="1">
        <f>('HLH Slice Load'!D39-'HLH-LLH Loads'!P$7)*'HLH-LLH Loads'!P$4</f>
        <v>103461.43702891443</v>
      </c>
      <c r="E39" s="1">
        <f>('HLH Slice Load'!E39-'HLH-LLH Loads'!Q$7)*'HLH-LLH Loads'!Q$4</f>
        <v>233980.92756597718</v>
      </c>
      <c r="F39" s="1">
        <f>('HLH Slice Load'!F39-'HLH-LLH Loads'!R$7)*'HLH-LLH Loads'!R$4</f>
        <v>24996.82051728027</v>
      </c>
      <c r="G39" s="1">
        <f>('HLH Slice Load'!G39-'HLH-LLH Loads'!S$7)*'HLH-LLH Loads'!S$4</f>
        <v>254951.7879523721</v>
      </c>
      <c r="H39" s="1">
        <f>('HLH Slice Load'!H39-'HLH-LLH Loads'!T$7)*'HLH-LLH Loads'!T$4</f>
        <v>460184.74931996147</v>
      </c>
      <c r="I39" s="1">
        <f>('HLH Slice Load'!I39-'HLH-LLH Loads'!U$7)*'HLH-LLH Loads'!U$4</f>
        <v>262461.42529583187</v>
      </c>
      <c r="J39" s="1">
        <f>('HLH Slice Load'!J39-'HLH-LLH Loads'!V$7)*'HLH-LLH Loads'!V$4</f>
        <v>268879.261592793</v>
      </c>
      <c r="K39" s="1">
        <f>('HLH Slice Load'!K39-'HLH-LLH Loads'!W$7)*'HLH-LLH Loads'!W$4</f>
        <v>77476.99526545354</v>
      </c>
      <c r="L39" s="1">
        <f>('HLH Slice Load'!L39-'HLH-LLH Loads'!X$7)*'HLH-LLH Loads'!X$4</f>
        <v>165212.03232806624</v>
      </c>
      <c r="M39" s="1">
        <f>('HLH Slice Load'!M39-'HLH-LLH Loads'!Y$7)*'HLH-LLH Loads'!Y$4</f>
        <v>574262.6475509172</v>
      </c>
      <c r="N39" s="1">
        <f>('HLH Slice Load'!N39-'HLH-LLH Loads'!Z$7)*'HLH-LLH Loads'!Z$4</f>
        <v>613757.8567912068</v>
      </c>
      <c r="O39" s="1">
        <f>('HLH Slice Load'!O39-'HLH-LLH Loads'!AA$7)*'HLH-LLH Loads'!AA$4</f>
        <v>414834.2660088404</v>
      </c>
      <c r="P39" s="130">
        <f t="shared" si="0"/>
        <v>3800400.80986331</v>
      </c>
    </row>
    <row r="40" spans="1:16" ht="12.75">
      <c r="A40" s="131">
        <f>'HLH Slice Load'!A40</f>
        <v>1966</v>
      </c>
      <c r="B40" s="1">
        <f>('HLH Slice Load'!B40-'HLH-LLH Loads'!N$7)*'HLH-LLH Loads'!N$4</f>
        <v>175805.89237705697</v>
      </c>
      <c r="C40" s="1">
        <f>('HLH Slice Load'!C40-'HLH-LLH Loads'!O$7)*'HLH-LLH Loads'!O$4</f>
        <v>157384.02512613454</v>
      </c>
      <c r="D40" s="1">
        <f>('HLH Slice Load'!D40-'HLH-LLH Loads'!P$7)*'HLH-LLH Loads'!P$4</f>
        <v>39560.62471081439</v>
      </c>
      <c r="E40" s="1">
        <f>('HLH Slice Load'!E40-'HLH-LLH Loads'!Q$7)*'HLH-LLH Loads'!Q$4</f>
        <v>191952.31356173812</v>
      </c>
      <c r="F40" s="1">
        <f>('HLH Slice Load'!F40-'HLH-LLH Loads'!R$7)*'HLH-LLH Loads'!R$4</f>
        <v>30307.97094971303</v>
      </c>
      <c r="G40" s="1">
        <f>('HLH Slice Load'!G40-'HLH-LLH Loads'!S$7)*'HLH-LLH Loads'!S$4</f>
        <v>6462.290669259521</v>
      </c>
      <c r="H40" s="1">
        <f>('HLH Slice Load'!H40-'HLH-LLH Loads'!T$7)*'HLH-LLH Loads'!T$4</f>
        <v>212955.52435752944</v>
      </c>
      <c r="I40" s="1">
        <f>('HLH Slice Load'!I40-'HLH-LLH Loads'!U$7)*'HLH-LLH Loads'!U$4</f>
        <v>127211.72072675102</v>
      </c>
      <c r="J40" s="1">
        <f>('HLH Slice Load'!J40-'HLH-LLH Loads'!V$7)*'HLH-LLH Loads'!V$4</f>
        <v>-15051.987329932428</v>
      </c>
      <c r="K40" s="1">
        <f>('HLH Slice Load'!K40-'HLH-LLH Loads'!W$7)*'HLH-LLH Loads'!W$4</f>
        <v>133114.092153365</v>
      </c>
      <c r="L40" s="1">
        <f>('HLH Slice Load'!L40-'HLH-LLH Loads'!X$7)*'HLH-LLH Loads'!X$4</f>
        <v>42918.27226431933</v>
      </c>
      <c r="M40" s="1">
        <f>('HLH Slice Load'!M40-'HLH-LLH Loads'!Y$7)*'HLH-LLH Loads'!Y$4</f>
        <v>345369.659495914</v>
      </c>
      <c r="N40" s="1">
        <f>('HLH Slice Load'!N40-'HLH-LLH Loads'!Z$7)*'HLH-LLH Loads'!Z$4</f>
        <v>296250.0311502888</v>
      </c>
      <c r="O40" s="1">
        <f>('HLH Slice Load'!O40-'HLH-LLH Loads'!AA$7)*'HLH-LLH Loads'!AA$4</f>
        <v>442470.36784097104</v>
      </c>
      <c r="P40" s="130">
        <f t="shared" si="0"/>
        <v>2186710.7980539226</v>
      </c>
    </row>
    <row r="41" spans="1:16" ht="12.75">
      <c r="A41" s="131">
        <f>'HLH Slice Load'!A41</f>
        <v>1967</v>
      </c>
      <c r="B41" s="1">
        <f>('HLH Slice Load'!B41-'HLH-LLH Loads'!N$7)*'HLH-LLH Loads'!N$4</f>
        <v>169792.3035554017</v>
      </c>
      <c r="C41" s="1">
        <f>('HLH Slice Load'!C41-'HLH-LLH Loads'!O$7)*'HLH-LLH Loads'!O$4</f>
        <v>56790.92888162973</v>
      </c>
      <c r="D41" s="1">
        <f>('HLH Slice Load'!D41-'HLH-LLH Loads'!P$7)*'HLH-LLH Loads'!P$4</f>
        <v>3484.4680898734005</v>
      </c>
      <c r="E41" s="1">
        <f>('HLH Slice Load'!E41-'HLH-LLH Loads'!Q$7)*'HLH-LLH Loads'!Q$4</f>
        <v>126514.84994152171</v>
      </c>
      <c r="F41" s="1">
        <f>('HLH Slice Load'!F41-'HLH-LLH Loads'!R$7)*'HLH-LLH Loads'!R$4</f>
        <v>-34712.605673849655</v>
      </c>
      <c r="G41" s="1">
        <f>('HLH Slice Load'!G41-'HLH-LLH Loads'!S$7)*'HLH-LLH Loads'!S$4</f>
        <v>-40191.38465234984</v>
      </c>
      <c r="H41" s="1">
        <f>('HLH Slice Load'!H41-'HLH-LLH Loads'!T$7)*'HLH-LLH Loads'!T$4</f>
        <v>293824.7262668146</v>
      </c>
      <c r="I41" s="1">
        <f>('HLH Slice Load'!I41-'HLH-LLH Loads'!U$7)*'HLH-LLH Loads'!U$4</f>
        <v>227552.67527422277</v>
      </c>
      <c r="J41" s="1">
        <f>('HLH Slice Load'!J41-'HLH-LLH Loads'!V$7)*'HLH-LLH Loads'!V$4</f>
        <v>126015.96489051516</v>
      </c>
      <c r="K41" s="1">
        <f>('HLH Slice Load'!K41-'HLH-LLH Loads'!W$7)*'HLH-LLH Loads'!W$4</f>
        <v>47671.45442555788</v>
      </c>
      <c r="L41" s="1">
        <f>('HLH Slice Load'!L41-'HLH-LLH Loads'!X$7)*'HLH-LLH Loads'!X$4</f>
        <v>-53133.17596938055</v>
      </c>
      <c r="M41" s="1">
        <f>('HLH Slice Load'!M41-'HLH-LLH Loads'!Y$7)*'HLH-LLH Loads'!Y$4</f>
        <v>375075.3785642806</v>
      </c>
      <c r="N41" s="1">
        <f>('HLH Slice Load'!N41-'HLH-LLH Loads'!Z$7)*'HLH-LLH Loads'!Z$4</f>
        <v>622848.4730432571</v>
      </c>
      <c r="O41" s="1">
        <f>('HLH Slice Load'!O41-'HLH-LLH Loads'!AA$7)*'HLH-LLH Loads'!AA$4</f>
        <v>489007.9942629964</v>
      </c>
      <c r="P41" s="130">
        <f t="shared" si="0"/>
        <v>2410542.050900491</v>
      </c>
    </row>
    <row r="42" spans="1:16" ht="12.75">
      <c r="A42" s="131">
        <f>'HLH Slice Load'!A42</f>
        <v>1968</v>
      </c>
      <c r="B42" s="1">
        <f>('HLH Slice Load'!B42-'HLH-LLH Loads'!N$7)*'HLH-LLH Loads'!N$4</f>
        <v>166534.20114788882</v>
      </c>
      <c r="C42" s="1">
        <f>('HLH Slice Load'!C42-'HLH-LLH Loads'!O$7)*'HLH-LLH Loads'!O$4</f>
        <v>156566.66253918703</v>
      </c>
      <c r="D42" s="1">
        <f>('HLH Slice Load'!D42-'HLH-LLH Loads'!P$7)*'HLH-LLH Loads'!P$4</f>
        <v>56195.58025143797</v>
      </c>
      <c r="E42" s="1">
        <f>('HLH Slice Load'!E42-'HLH-LLH Loads'!Q$7)*'HLH-LLH Loads'!Q$4</f>
        <v>173428.79427588618</v>
      </c>
      <c r="F42" s="1">
        <f>('HLH Slice Load'!F42-'HLH-LLH Loads'!R$7)*'HLH-LLH Loads'!R$4</f>
        <v>8571.472170895177</v>
      </c>
      <c r="G42" s="1">
        <f>('HLH Slice Load'!G42-'HLH-LLH Loads'!S$7)*'HLH-LLH Loads'!S$4</f>
        <v>-1210.6638299526312</v>
      </c>
      <c r="H42" s="1">
        <f>('HLH Slice Load'!H42-'HLH-LLH Loads'!T$7)*'HLH-LLH Loads'!T$4</f>
        <v>268698.26054088917</v>
      </c>
      <c r="I42" s="1">
        <f>('HLH Slice Load'!I42-'HLH-LLH Loads'!U$7)*'HLH-LLH Loads'!U$4</f>
        <v>216007.92238022838</v>
      </c>
      <c r="J42" s="1">
        <f>('HLH Slice Load'!J42-'HLH-LLH Loads'!V$7)*'HLH-LLH Loads'!V$4</f>
        <v>178670.6825067614</v>
      </c>
      <c r="K42" s="1">
        <f>('HLH Slice Load'!K42-'HLH-LLH Loads'!W$7)*'HLH-LLH Loads'!W$4</f>
        <v>-25582.926415482405</v>
      </c>
      <c r="L42" s="1">
        <f>('HLH Slice Load'!L42-'HLH-LLH Loads'!X$7)*'HLH-LLH Loads'!X$4</f>
        <v>-8099.324475003024</v>
      </c>
      <c r="M42" s="1">
        <f>('HLH Slice Load'!M42-'HLH-LLH Loads'!Y$7)*'HLH-LLH Loads'!Y$4</f>
        <v>201527.22148466262</v>
      </c>
      <c r="N42" s="1">
        <f>('HLH Slice Load'!N42-'HLH-LLH Loads'!Z$7)*'HLH-LLH Loads'!Z$4</f>
        <v>489520.60232487356</v>
      </c>
      <c r="O42" s="1">
        <f>('HLH Slice Load'!O42-'HLH-LLH Loads'!AA$7)*'HLH-LLH Loads'!AA$4</f>
        <v>425585.676682803</v>
      </c>
      <c r="P42" s="130">
        <f t="shared" si="0"/>
        <v>2306414.1615850753</v>
      </c>
    </row>
    <row r="43" spans="1:16" ht="12.75">
      <c r="A43" s="131">
        <f>'HLH Slice Load'!A43</f>
        <v>1969</v>
      </c>
      <c r="B43" s="1">
        <f>('HLH Slice Load'!B43-'HLH-LLH Loads'!N$7)*'HLH-LLH Loads'!N$4</f>
        <v>175138.50651425918</v>
      </c>
      <c r="C43" s="1">
        <f>('HLH Slice Load'!C43-'HLH-LLH Loads'!O$7)*'HLH-LLH Loads'!O$4</f>
        <v>159468.3997853573</v>
      </c>
      <c r="D43" s="1">
        <f>('HLH Slice Load'!D43-'HLH-LLH Loads'!P$7)*'HLH-LLH Loads'!P$4</f>
        <v>165925.5366284586</v>
      </c>
      <c r="E43" s="1">
        <f>('HLH Slice Load'!E43-'HLH-LLH Loads'!Q$7)*'HLH-LLH Loads'!Q$4</f>
        <v>244393.33252617545</v>
      </c>
      <c r="F43" s="1">
        <f>('HLH Slice Load'!F43-'HLH-LLH Loads'!R$7)*'HLH-LLH Loads'!R$4</f>
        <v>118863.61063313324</v>
      </c>
      <c r="G43" s="1">
        <f>('HLH Slice Load'!G43-'HLH-LLH Loads'!S$7)*'HLH-LLH Loads'!S$4</f>
        <v>74408.15811452673</v>
      </c>
      <c r="H43" s="1">
        <f>('HLH Slice Load'!H43-'HLH-LLH Loads'!T$7)*'HLH-LLH Loads'!T$4</f>
        <v>413271.4411854961</v>
      </c>
      <c r="I43" s="1">
        <f>('HLH Slice Load'!I43-'HLH-LLH Loads'!U$7)*'HLH-LLH Loads'!U$4</f>
        <v>254056.6665805511</v>
      </c>
      <c r="J43" s="1">
        <f>('HLH Slice Load'!J43-'HLH-LLH Loads'!V$7)*'HLH-LLH Loads'!V$4</f>
        <v>215928.16205619005</v>
      </c>
      <c r="K43" s="1">
        <f>('HLH Slice Load'!K43-'HLH-LLH Loads'!W$7)*'HLH-LLH Loads'!W$4</f>
        <v>139387.265057185</v>
      </c>
      <c r="L43" s="1">
        <f>('HLH Slice Load'!L43-'HLH-LLH Loads'!X$7)*'HLH-LLH Loads'!X$4</f>
        <v>183405.57901679416</v>
      </c>
      <c r="M43" s="1">
        <f>('HLH Slice Load'!M43-'HLH-LLH Loads'!Y$7)*'HLH-LLH Loads'!Y$4</f>
        <v>650470.9387766992</v>
      </c>
      <c r="N43" s="1">
        <f>('HLH Slice Load'!N43-'HLH-LLH Loads'!Z$7)*'HLH-LLH Loads'!Z$4</f>
        <v>596109.2117411382</v>
      </c>
      <c r="O43" s="1">
        <f>('HLH Slice Load'!O43-'HLH-LLH Loads'!AA$7)*'HLH-LLH Loads'!AA$4</f>
        <v>419466.9441084524</v>
      </c>
      <c r="P43" s="130">
        <f t="shared" si="0"/>
        <v>3810293.7527244166</v>
      </c>
    </row>
    <row r="44" spans="1:16" ht="12.75">
      <c r="A44" s="131">
        <f>'HLH Slice Load'!A44</f>
        <v>1970</v>
      </c>
      <c r="B44" s="1">
        <f>('HLH Slice Load'!B44-'HLH-LLH Loads'!N$7)*'HLH-LLH Loads'!N$4</f>
        <v>126194.1023219055</v>
      </c>
      <c r="C44" s="1">
        <f>('HLH Slice Load'!C44-'HLH-LLH Loads'!O$7)*'HLH-LLH Loads'!O$4</f>
        <v>31920.58173657403</v>
      </c>
      <c r="D44" s="1">
        <f>('HLH Slice Load'!D44-'HLH-LLH Loads'!P$7)*'HLH-LLH Loads'!P$4</f>
        <v>-900.7523507508376</v>
      </c>
      <c r="E44" s="1">
        <f>('HLH Slice Load'!E44-'HLH-LLH Loads'!Q$7)*'HLH-LLH Loads'!Q$4</f>
        <v>171546.72017864135</v>
      </c>
      <c r="F44" s="1">
        <f>('HLH Slice Load'!F44-'HLH-LLH Loads'!R$7)*'HLH-LLH Loads'!R$4</f>
        <v>-35633.03492335942</v>
      </c>
      <c r="G44" s="1">
        <f>('HLH Slice Load'!G44-'HLH-LLH Loads'!S$7)*'HLH-LLH Loads'!S$4</f>
        <v>-72801.38459706868</v>
      </c>
      <c r="H44" s="1">
        <f>('HLH Slice Load'!H44-'HLH-LLH Loads'!T$7)*'HLH-LLH Loads'!T$4</f>
        <v>25410.6566784233</v>
      </c>
      <c r="I44" s="1">
        <f>('HLH Slice Load'!I44-'HLH-LLH Loads'!U$7)*'HLH-LLH Loads'!U$4</f>
        <v>197690.58265622237</v>
      </c>
      <c r="J44" s="1">
        <f>('HLH Slice Load'!J44-'HLH-LLH Loads'!V$7)*'HLH-LLH Loads'!V$4</f>
        <v>72326.68808014327</v>
      </c>
      <c r="K44" s="1">
        <f>('HLH Slice Load'!K44-'HLH-LLH Loads'!W$7)*'HLH-LLH Loads'!W$4</f>
        <v>2295.4157759234804</v>
      </c>
      <c r="L44" s="1">
        <f>('HLH Slice Load'!L44-'HLH-LLH Loads'!X$7)*'HLH-LLH Loads'!X$4</f>
        <v>35096.406850444444</v>
      </c>
      <c r="M44" s="1">
        <f>('HLH Slice Load'!M44-'HLH-LLH Loads'!Y$7)*'HLH-LLH Loads'!Y$4</f>
        <v>409579.71861274505</v>
      </c>
      <c r="N44" s="1">
        <f>('HLH Slice Load'!N44-'HLH-LLH Loads'!Z$7)*'HLH-LLH Loads'!Z$4</f>
        <v>528112.5759137499</v>
      </c>
      <c r="O44" s="1">
        <f>('HLH Slice Load'!O44-'HLH-LLH Loads'!AA$7)*'HLH-LLH Loads'!AA$4</f>
        <v>340846.2097120946</v>
      </c>
      <c r="P44" s="130">
        <f t="shared" si="0"/>
        <v>1831684.4866456883</v>
      </c>
    </row>
    <row r="45" spans="1:16" ht="12.75">
      <c r="A45" s="131">
        <f>'HLH Slice Load'!A45</f>
        <v>1971</v>
      </c>
      <c r="B45" s="1">
        <f>('HLH Slice Load'!B45-'HLH-LLH Loads'!N$7)*'HLH-LLH Loads'!N$4</f>
        <v>129036.85821371932</v>
      </c>
      <c r="C45" s="1">
        <f>('HLH Slice Load'!C45-'HLH-LLH Loads'!O$7)*'HLH-LLH Loads'!O$4</f>
        <v>56772.381796475034</v>
      </c>
      <c r="D45" s="1">
        <f>('HLH Slice Load'!D45-'HLH-LLH Loads'!P$7)*'HLH-LLH Loads'!P$4</f>
        <v>-18329.56654189826</v>
      </c>
      <c r="E45" s="1">
        <f>('HLH Slice Load'!E45-'HLH-LLH Loads'!Q$7)*'HLH-LLH Loads'!Q$4</f>
        <v>114248.73252070596</v>
      </c>
      <c r="F45" s="1">
        <f>('HLH Slice Load'!F45-'HLH-LLH Loads'!R$7)*'HLH-LLH Loads'!R$4</f>
        <v>-49107.88896895763</v>
      </c>
      <c r="G45" s="1">
        <f>('HLH Slice Load'!G45-'HLH-LLH Loads'!S$7)*'HLH-LLH Loads'!S$4</f>
        <v>30665.937857837613</v>
      </c>
      <c r="H45" s="1">
        <f>('HLH Slice Load'!H45-'HLH-LLH Loads'!T$7)*'HLH-LLH Loads'!T$4</f>
        <v>427482.41269051295</v>
      </c>
      <c r="I45" s="1">
        <f>('HLH Slice Load'!I45-'HLH-LLH Loads'!U$7)*'HLH-LLH Loads'!U$4</f>
        <v>313485.4829544078</v>
      </c>
      <c r="J45" s="1">
        <f>('HLH Slice Load'!J45-'HLH-LLH Loads'!V$7)*'HLH-LLH Loads'!V$4</f>
        <v>279161.56168885663</v>
      </c>
      <c r="K45" s="1">
        <f>('HLH Slice Load'!K45-'HLH-LLH Loads'!W$7)*'HLH-LLH Loads'!W$4</f>
        <v>134992.07034488674</v>
      </c>
      <c r="L45" s="1">
        <f>('HLH Slice Load'!L45-'HLH-LLH Loads'!X$7)*'HLH-LLH Loads'!X$4</f>
        <v>116894.98087783229</v>
      </c>
      <c r="M45" s="1">
        <f>('HLH Slice Load'!M45-'HLH-LLH Loads'!Y$7)*'HLH-LLH Loads'!Y$4</f>
        <v>643737.4403025378</v>
      </c>
      <c r="N45" s="1">
        <f>('HLH Slice Load'!N45-'HLH-LLH Loads'!Z$7)*'HLH-LLH Loads'!Z$4</f>
        <v>695416.1135288948</v>
      </c>
      <c r="O45" s="1">
        <f>('HLH Slice Load'!O45-'HLH-LLH Loads'!AA$7)*'HLH-LLH Loads'!AA$4</f>
        <v>515435.75579080475</v>
      </c>
      <c r="P45" s="130">
        <f t="shared" si="0"/>
        <v>3389892.273056616</v>
      </c>
    </row>
    <row r="46" spans="1:16" ht="12.75">
      <c r="A46" s="131">
        <f>'HLH Slice Load'!A46</f>
        <v>1972</v>
      </c>
      <c r="B46" s="1">
        <f>('HLH Slice Load'!B46-'HLH-LLH Loads'!N$7)*'HLH-LLH Loads'!N$4</f>
        <v>178507.70561596873</v>
      </c>
      <c r="C46" s="1">
        <f>('HLH Slice Load'!C46-'HLH-LLH Loads'!O$7)*'HLH-LLH Loads'!O$4</f>
        <v>186100.4411523572</v>
      </c>
      <c r="D46" s="1">
        <f>('HLH Slice Load'!D46-'HLH-LLH Loads'!P$7)*'HLH-LLH Loads'!P$4</f>
        <v>82509.30908424871</v>
      </c>
      <c r="E46" s="1">
        <f>('HLH Slice Load'!E46-'HLH-LLH Loads'!Q$7)*'HLH-LLH Loads'!Q$4</f>
        <v>161478.74508268674</v>
      </c>
      <c r="F46" s="1">
        <f>('HLH Slice Load'!F46-'HLH-LLH Loads'!R$7)*'HLH-LLH Loads'!R$4</f>
        <v>6079.868924812297</v>
      </c>
      <c r="G46" s="1">
        <f>('HLH Slice Load'!G46-'HLH-LLH Loads'!S$7)*'HLH-LLH Loads'!S$4</f>
        <v>-5438.541456552855</v>
      </c>
      <c r="H46" s="1">
        <f>('HLH Slice Load'!H46-'HLH-LLH Loads'!T$7)*'HLH-LLH Loads'!T$4</f>
        <v>402724.8626864068</v>
      </c>
      <c r="I46" s="1">
        <f>('HLH Slice Load'!I46-'HLH-LLH Loads'!U$7)*'HLH-LLH Loads'!U$4</f>
        <v>317144.8439524744</v>
      </c>
      <c r="J46" s="1">
        <f>('HLH Slice Load'!J46-'HLH-LLH Loads'!V$7)*'HLH-LLH Loads'!V$4</f>
        <v>444618.35407950805</v>
      </c>
      <c r="K46" s="1">
        <f>('HLH Slice Load'!K46-'HLH-LLH Loads'!W$7)*'HLH-LLH Loads'!W$4</f>
        <v>170032.26409366995</v>
      </c>
      <c r="L46" s="1">
        <f>('HLH Slice Load'!L46-'HLH-LLH Loads'!X$7)*'HLH-LLH Loads'!X$4</f>
        <v>79111.47045538046</v>
      </c>
      <c r="M46" s="1">
        <f>('HLH Slice Load'!M46-'HLH-LLH Loads'!Y$7)*'HLH-LLH Loads'!Y$4</f>
        <v>627984.281698516</v>
      </c>
      <c r="N46" s="1">
        <f>('HLH Slice Load'!N46-'HLH-LLH Loads'!Z$7)*'HLH-LLH Loads'!Z$4</f>
        <v>711478.4714145834</v>
      </c>
      <c r="O46" s="1">
        <f>('HLH Slice Load'!O46-'HLH-LLH Loads'!AA$7)*'HLH-LLH Loads'!AA$4</f>
        <v>501842.73405498086</v>
      </c>
      <c r="P46" s="130">
        <f t="shared" si="0"/>
        <v>3864174.81083904</v>
      </c>
    </row>
    <row r="47" spans="1:16" ht="12.75">
      <c r="A47" s="131">
        <f>'HLH Slice Load'!A47</f>
        <v>1973</v>
      </c>
      <c r="B47" s="1">
        <f>('HLH Slice Load'!B47-'HLH-LLH Loads'!N$7)*'HLH-LLH Loads'!N$4</f>
        <v>183655.4010899015</v>
      </c>
      <c r="C47" s="1">
        <f>('HLH Slice Load'!C47-'HLH-LLH Loads'!O$7)*'HLH-LLH Loads'!O$4</f>
        <v>187542.73490623335</v>
      </c>
      <c r="D47" s="1">
        <f>('HLH Slice Load'!D47-'HLH-LLH Loads'!P$7)*'HLH-LLH Loads'!P$4</f>
        <v>97674.11385685159</v>
      </c>
      <c r="E47" s="1">
        <f>('HLH Slice Load'!E47-'HLH-LLH Loads'!Q$7)*'HLH-LLH Loads'!Q$4</f>
        <v>173356.8411962811</v>
      </c>
      <c r="F47" s="1">
        <f>('HLH Slice Load'!F47-'HLH-LLH Loads'!R$7)*'HLH-LLH Loads'!R$4</f>
        <v>-25293.31023419879</v>
      </c>
      <c r="G47" s="1">
        <f>('HLH Slice Load'!G47-'HLH-LLH Loads'!S$7)*'HLH-LLH Loads'!S$4</f>
        <v>53482.265759865775</v>
      </c>
      <c r="H47" s="1">
        <f>('HLH Slice Load'!H47-'HLH-LLH Loads'!T$7)*'HLH-LLH Loads'!T$4</f>
        <v>34609.355822888196</v>
      </c>
      <c r="I47" s="1">
        <f>('HLH Slice Load'!I47-'HLH-LLH Loads'!U$7)*'HLH-LLH Loads'!U$4</f>
        <v>-42894.44804445334</v>
      </c>
      <c r="J47" s="1">
        <f>('HLH Slice Load'!J47-'HLH-LLH Loads'!V$7)*'HLH-LLH Loads'!V$4</f>
        <v>-13041.811363198289</v>
      </c>
      <c r="K47" s="1">
        <f>('HLH Slice Load'!K47-'HLH-LLH Loads'!W$7)*'HLH-LLH Loads'!W$4</f>
        <v>-63661.37853918805</v>
      </c>
      <c r="L47" s="1">
        <f>('HLH Slice Load'!L47-'HLH-LLH Loads'!X$7)*'HLH-LLH Loads'!X$4</f>
        <v>-43259.64645471757</v>
      </c>
      <c r="M47" s="1">
        <f>('HLH Slice Load'!M47-'HLH-LLH Loads'!Y$7)*'HLH-LLH Loads'!Y$4</f>
        <v>189748.0233202189</v>
      </c>
      <c r="N47" s="1">
        <f>('HLH Slice Load'!N47-'HLH-LLH Loads'!Z$7)*'HLH-LLH Loads'!Z$4</f>
        <v>249512.2693960907</v>
      </c>
      <c r="O47" s="1">
        <f>('HLH Slice Load'!O47-'HLH-LLH Loads'!AA$7)*'HLH-LLH Loads'!AA$4</f>
        <v>321620.1607036739</v>
      </c>
      <c r="P47" s="130">
        <f t="shared" si="0"/>
        <v>1303050.5714162488</v>
      </c>
    </row>
    <row r="48" spans="1:16" ht="12.75">
      <c r="A48" s="131">
        <f>'HLH Slice Load'!A48</f>
        <v>1974</v>
      </c>
      <c r="B48" s="1">
        <f>('HLH Slice Load'!B48-'HLH-LLH Loads'!N$7)*'HLH-LLH Loads'!N$4</f>
        <v>108997.67723033353</v>
      </c>
      <c r="C48" s="1">
        <f>('HLH Slice Load'!C48-'HLH-LLH Loads'!O$7)*'HLH-LLH Loads'!O$4</f>
        <v>29732.806683036193</v>
      </c>
      <c r="D48" s="1">
        <f>('HLH Slice Load'!D48-'HLH-LLH Loads'!P$7)*'HLH-LLH Loads'!P$4</f>
        <v>-40387.43889696212</v>
      </c>
      <c r="E48" s="1">
        <f>('HLH Slice Load'!E48-'HLH-LLH Loads'!Q$7)*'HLH-LLH Loads'!Q$4</f>
        <v>96946.02036156913</v>
      </c>
      <c r="F48" s="1">
        <f>('HLH Slice Load'!F48-'HLH-LLH Loads'!R$7)*'HLH-LLH Loads'!R$4</f>
        <v>20644.86910827054</v>
      </c>
      <c r="G48" s="1">
        <f>('HLH Slice Load'!G48-'HLH-LLH Loads'!S$7)*'HLH-LLH Loads'!S$4</f>
        <v>216057.3155088651</v>
      </c>
      <c r="H48" s="1">
        <f>('HLH Slice Load'!H48-'HLH-LLH Loads'!T$7)*'HLH-LLH Loads'!T$4</f>
        <v>465801.0342997561</v>
      </c>
      <c r="I48" s="1">
        <f>('HLH Slice Load'!I48-'HLH-LLH Loads'!U$7)*'HLH-LLH Loads'!U$4</f>
        <v>315203.3219688771</v>
      </c>
      <c r="J48" s="1">
        <f>('HLH Slice Load'!J48-'HLH-LLH Loads'!V$7)*'HLH-LLH Loads'!V$4</f>
        <v>334856.3400112809</v>
      </c>
      <c r="K48" s="1">
        <f>('HLH Slice Load'!K48-'HLH-LLH Loads'!W$7)*'HLH-LLH Loads'!W$4</f>
        <v>156713.2394701395</v>
      </c>
      <c r="L48" s="1">
        <f>('HLH Slice Load'!L48-'HLH-LLH Loads'!X$7)*'HLH-LLH Loads'!X$4</f>
        <v>176015.14404527526</v>
      </c>
      <c r="M48" s="1">
        <f>('HLH Slice Load'!M48-'HLH-LLH Loads'!Y$7)*'HLH-LLH Loads'!Y$4</f>
        <v>602057.2621289511</v>
      </c>
      <c r="N48" s="1">
        <f>('HLH Slice Load'!N48-'HLH-LLH Loads'!Z$7)*'HLH-LLH Loads'!Z$4</f>
        <v>729985.4089928952</v>
      </c>
      <c r="O48" s="1">
        <f>('HLH Slice Load'!O48-'HLH-LLH Loads'!AA$7)*'HLH-LLH Loads'!AA$4</f>
        <v>556411.9852143432</v>
      </c>
      <c r="P48" s="130">
        <f t="shared" si="0"/>
        <v>3769034.9861266306</v>
      </c>
    </row>
    <row r="49" spans="1:16" ht="12.75">
      <c r="A49" s="131">
        <f>'HLH Slice Load'!A49</f>
        <v>1975</v>
      </c>
      <c r="B49" s="1">
        <f>('HLH Slice Load'!B49-'HLH-LLH Loads'!N$7)*'HLH-LLH Loads'!N$4</f>
        <v>174526.02982448088</v>
      </c>
      <c r="C49" s="1">
        <f>('HLH Slice Load'!C49-'HLH-LLH Loads'!O$7)*'HLH-LLH Loads'!O$4</f>
        <v>167689.8447890055</v>
      </c>
      <c r="D49" s="1">
        <f>('HLH Slice Load'!D49-'HLH-LLH Loads'!P$7)*'HLH-LLH Loads'!P$4</f>
        <v>57492.36507197865</v>
      </c>
      <c r="E49" s="1">
        <f>('HLH Slice Load'!E49-'HLH-LLH Loads'!Q$7)*'HLH-LLH Loads'!Q$4</f>
        <v>117880.09620184072</v>
      </c>
      <c r="F49" s="1">
        <f>('HLH Slice Load'!F49-'HLH-LLH Loads'!R$7)*'HLH-LLH Loads'!R$4</f>
        <v>-37405.84770473366</v>
      </c>
      <c r="G49" s="1">
        <f>('HLH Slice Load'!G49-'HLH-LLH Loads'!S$7)*'HLH-LLH Loads'!S$4</f>
        <v>-52930.55692028548</v>
      </c>
      <c r="H49" s="1">
        <f>('HLH Slice Load'!H49-'HLH-LLH Loads'!T$7)*'HLH-LLH Loads'!T$4</f>
        <v>201165.68396587425</v>
      </c>
      <c r="I49" s="1">
        <f>('HLH Slice Load'!I49-'HLH-LLH Loads'!U$7)*'HLH-LLH Loads'!U$4</f>
        <v>141665.16171544677</v>
      </c>
      <c r="J49" s="1">
        <f>('HLH Slice Load'!J49-'HLH-LLH Loads'!V$7)*'HLH-LLH Loads'!V$4</f>
        <v>266699.3154687744</v>
      </c>
      <c r="K49" s="1">
        <f>('HLH Slice Load'!K49-'HLH-LLH Loads'!W$7)*'HLH-LLH Loads'!W$4</f>
        <v>73669.72607257831</v>
      </c>
      <c r="L49" s="1">
        <f>('HLH Slice Load'!L49-'HLH-LLH Loads'!X$7)*'HLH-LLH Loads'!X$4</f>
        <v>41242.93344642781</v>
      </c>
      <c r="M49" s="1">
        <f>('HLH Slice Load'!M49-'HLH-LLH Loads'!Y$7)*'HLH-LLH Loads'!Y$4</f>
        <v>442825.60320940724</v>
      </c>
      <c r="N49" s="1">
        <f>('HLH Slice Load'!N49-'HLH-LLH Loads'!Z$7)*'HLH-LLH Loads'!Z$4</f>
        <v>623905.1215795318</v>
      </c>
      <c r="O49" s="1">
        <f>('HLH Slice Load'!O49-'HLH-LLH Loads'!AA$7)*'HLH-LLH Loads'!AA$4</f>
        <v>535988.5083710481</v>
      </c>
      <c r="P49" s="130">
        <f t="shared" si="0"/>
        <v>2754413.9850913757</v>
      </c>
    </row>
    <row r="50" spans="1:16" ht="12.75">
      <c r="A50" s="131">
        <f>'HLH Slice Load'!A50</f>
        <v>1976</v>
      </c>
      <c r="B50" s="1">
        <f>('HLH Slice Load'!B50-'HLH-LLH Loads'!N$7)*'HLH-LLH Loads'!N$4</f>
        <v>128731.75684961025</v>
      </c>
      <c r="C50" s="1">
        <f>('HLH Slice Load'!C50-'HLH-LLH Loads'!O$7)*'HLH-LLH Loads'!O$4</f>
        <v>106045.94235286296</v>
      </c>
      <c r="D50" s="1">
        <f>('HLH Slice Load'!D50-'HLH-LLH Loads'!P$7)*'HLH-LLH Loads'!P$4</f>
        <v>20539.99833221944</v>
      </c>
      <c r="E50" s="1">
        <f>('HLH Slice Load'!E50-'HLH-LLH Loads'!Q$7)*'HLH-LLH Loads'!Q$4</f>
        <v>218837.35058289077</v>
      </c>
      <c r="F50" s="1">
        <f>('HLH Slice Load'!F50-'HLH-LLH Loads'!R$7)*'HLH-LLH Loads'!R$4</f>
        <v>142170.50118911127</v>
      </c>
      <c r="G50" s="1">
        <f>('HLH Slice Load'!G50-'HLH-LLH Loads'!S$7)*'HLH-LLH Loads'!S$4</f>
        <v>328470.03821941157</v>
      </c>
      <c r="H50" s="1">
        <f>('HLH Slice Load'!H50-'HLH-LLH Loads'!T$7)*'HLH-LLH Loads'!T$4</f>
        <v>421777.63049966714</v>
      </c>
      <c r="I50" s="1">
        <f>('HLH Slice Load'!I50-'HLH-LLH Loads'!U$7)*'HLH-LLH Loads'!U$4</f>
        <v>257685.0341453297</v>
      </c>
      <c r="J50" s="1">
        <f>('HLH Slice Load'!J50-'HLH-LLH Loads'!V$7)*'HLH-LLH Loads'!V$4</f>
        <v>153864.42918918168</v>
      </c>
      <c r="K50" s="1">
        <f>('HLH Slice Load'!K50-'HLH-LLH Loads'!W$7)*'HLH-LLH Loads'!W$4</f>
        <v>162723.63272478906</v>
      </c>
      <c r="L50" s="1">
        <f>('HLH Slice Load'!L50-'HLH-LLH Loads'!X$7)*'HLH-LLH Loads'!X$4</f>
        <v>112640.5434556652</v>
      </c>
      <c r="M50" s="1">
        <f>('HLH Slice Load'!M50-'HLH-LLH Loads'!Y$7)*'HLH-LLH Loads'!Y$4</f>
        <v>605726.6677445687</v>
      </c>
      <c r="N50" s="1">
        <f>('HLH Slice Load'!N50-'HLH-LLH Loads'!Z$7)*'HLH-LLH Loads'!Z$4</f>
        <v>482618.9784018965</v>
      </c>
      <c r="O50" s="1">
        <f>('HLH Slice Load'!O50-'HLH-LLH Loads'!AA$7)*'HLH-LLH Loads'!AA$4</f>
        <v>476349.90923101694</v>
      </c>
      <c r="P50" s="130">
        <f t="shared" si="0"/>
        <v>3618182.4129182207</v>
      </c>
    </row>
    <row r="51" spans="1:16" ht="12.75">
      <c r="A51" s="131">
        <f>'HLH Slice Load'!A51</f>
        <v>1977</v>
      </c>
      <c r="B51" s="1">
        <f>('HLH Slice Load'!B51-'HLH-LLH Loads'!N$7)*'HLH-LLH Loads'!N$4</f>
        <v>201928.80642932103</v>
      </c>
      <c r="C51" s="1">
        <f>('HLH Slice Load'!C51-'HLH-LLH Loads'!O$7)*'HLH-LLH Loads'!O$4</f>
        <v>179601.88250349188</v>
      </c>
      <c r="D51" s="1">
        <f>('HLH Slice Load'!D51-'HLH-LLH Loads'!P$7)*'HLH-LLH Loads'!P$4</f>
        <v>320299.9490327552</v>
      </c>
      <c r="E51" s="1">
        <f>('HLH Slice Load'!E51-'HLH-LLH Loads'!Q$7)*'HLH-LLH Loads'!Q$4</f>
        <v>164379.76212645657</v>
      </c>
      <c r="F51" s="1">
        <f>('HLH Slice Load'!F51-'HLH-LLH Loads'!R$7)*'HLH-LLH Loads'!R$4</f>
        <v>-36520.61588252318</v>
      </c>
      <c r="G51" s="1">
        <f>('HLH Slice Load'!G51-'HLH-LLH Loads'!S$7)*'HLH-LLH Loads'!S$4</f>
        <v>-43714.762049909245</v>
      </c>
      <c r="H51" s="1">
        <f>('HLH Slice Load'!H51-'HLH-LLH Loads'!T$7)*'HLH-LLH Loads'!T$4</f>
        <v>-168366.13769473752</v>
      </c>
      <c r="I51" s="1">
        <f>('HLH Slice Load'!I51-'HLH-LLH Loads'!U$7)*'HLH-LLH Loads'!U$4</f>
        <v>-92647.1995212049</v>
      </c>
      <c r="J51" s="1">
        <f>('HLH Slice Load'!J51-'HLH-LLH Loads'!V$7)*'HLH-LLH Loads'!V$4</f>
        <v>-230602.64184650336</v>
      </c>
      <c r="K51" s="1">
        <f>('HLH Slice Load'!K51-'HLH-LLH Loads'!W$7)*'HLH-LLH Loads'!W$4</f>
        <v>-81308.09787725189</v>
      </c>
      <c r="L51" s="1">
        <f>('HLH Slice Load'!L51-'HLH-LLH Loads'!X$7)*'HLH-LLH Loads'!X$4</f>
        <v>-9638.712331048064</v>
      </c>
      <c r="M51" s="1">
        <f>('HLH Slice Load'!M51-'HLH-LLH Loads'!Y$7)*'HLH-LLH Loads'!Y$4</f>
        <v>197530.86070885346</v>
      </c>
      <c r="N51" s="1">
        <f>('HLH Slice Load'!N51-'HLH-LLH Loads'!Z$7)*'HLH-LLH Loads'!Z$4</f>
        <v>234322.57829327046</v>
      </c>
      <c r="O51" s="1">
        <f>('HLH Slice Load'!O51-'HLH-LLH Loads'!AA$7)*'HLH-LLH Loads'!AA$4</f>
        <v>195447.64527997398</v>
      </c>
      <c r="P51" s="130">
        <f t="shared" si="0"/>
        <v>830713.3171709444</v>
      </c>
    </row>
    <row r="52" spans="1:16" ht="12.75">
      <c r="A52" s="131">
        <f>'HLH Slice Load'!A52</f>
        <v>1978</v>
      </c>
      <c r="B52" s="1">
        <f>('HLH Slice Load'!B52-'HLH-LLH Loads'!N$7)*'HLH-LLH Loads'!N$4</f>
        <v>68467.85290802945</v>
      </c>
      <c r="C52" s="1">
        <f>('HLH Slice Load'!C52-'HLH-LLH Loads'!O$7)*'HLH-LLH Loads'!O$4</f>
        <v>44536.1269876793</v>
      </c>
      <c r="D52" s="1">
        <f>('HLH Slice Load'!D52-'HLH-LLH Loads'!P$7)*'HLH-LLH Loads'!P$4</f>
        <v>-79136.51145614925</v>
      </c>
      <c r="E52" s="1">
        <f>('HLH Slice Load'!E52-'HLH-LLH Loads'!Q$7)*'HLH-LLH Loads'!Q$4</f>
        <v>63571.49961469787</v>
      </c>
      <c r="F52" s="1">
        <f>('HLH Slice Load'!F52-'HLH-LLH Loads'!R$7)*'HLH-LLH Loads'!R$4</f>
        <v>11563.111749425057</v>
      </c>
      <c r="G52" s="1">
        <f>('HLH Slice Load'!G52-'HLH-LLH Loads'!S$7)*'HLH-LLH Loads'!S$4</f>
        <v>-29858.491929730124</v>
      </c>
      <c r="H52" s="1">
        <f>('HLH Slice Load'!H52-'HLH-LLH Loads'!T$7)*'HLH-LLH Loads'!T$4</f>
        <v>143726.3191959066</v>
      </c>
      <c r="I52" s="1">
        <f>('HLH Slice Load'!I52-'HLH-LLH Loads'!U$7)*'HLH-LLH Loads'!U$4</f>
        <v>-81305.06694799932</v>
      </c>
      <c r="J52" s="1">
        <f>('HLH Slice Load'!J52-'HLH-LLH Loads'!V$7)*'HLH-LLH Loads'!V$4</f>
        <v>224326.44358243415</v>
      </c>
      <c r="K52" s="1">
        <f>('HLH Slice Load'!K52-'HLH-LLH Loads'!W$7)*'HLH-LLH Loads'!W$4</f>
        <v>104141.15992825013</v>
      </c>
      <c r="L52" s="1">
        <f>('HLH Slice Load'!L52-'HLH-LLH Loads'!X$7)*'HLH-LLH Loads'!X$4</f>
        <v>70872.12718152173</v>
      </c>
      <c r="M52" s="1">
        <f>('HLH Slice Load'!M52-'HLH-LLH Loads'!Y$7)*'HLH-LLH Loads'!Y$4</f>
        <v>419929.7147157409</v>
      </c>
      <c r="N52" s="1">
        <f>('HLH Slice Load'!N52-'HLH-LLH Loads'!Z$7)*'HLH-LLH Loads'!Z$4</f>
        <v>358254.4627195752</v>
      </c>
      <c r="O52" s="1">
        <f>('HLH Slice Load'!O52-'HLH-LLH Loads'!AA$7)*'HLH-LLH Loads'!AA$4</f>
        <v>408636.2876192577</v>
      </c>
      <c r="P52" s="130">
        <f t="shared" si="0"/>
        <v>1727725.0358686396</v>
      </c>
    </row>
    <row r="53" spans="1:16" ht="12.75">
      <c r="A53" s="133" t="s">
        <v>46</v>
      </c>
      <c r="B53" s="1">
        <f aca="true" t="shared" si="1" ref="B53:P53">AVERAGE(B3:B52)</f>
        <v>134773.84297349546</v>
      </c>
      <c r="C53" s="1">
        <f t="shared" si="1"/>
        <v>94862.01850263236</v>
      </c>
      <c r="D53" s="1">
        <f t="shared" si="1"/>
        <v>32874.69417186236</v>
      </c>
      <c r="E53" s="1">
        <f t="shared" si="1"/>
        <v>154345.16890581616</v>
      </c>
      <c r="F53" s="1">
        <f t="shared" si="1"/>
        <v>16665.06484505808</v>
      </c>
      <c r="G53" s="1">
        <f t="shared" si="1"/>
        <v>26220.446206848865</v>
      </c>
      <c r="H53" s="1">
        <f t="shared" si="1"/>
        <v>144118.1803097327</v>
      </c>
      <c r="I53" s="1">
        <f t="shared" si="1"/>
        <v>72881.38128023593</v>
      </c>
      <c r="J53" s="1">
        <f t="shared" si="1"/>
        <v>87287.35245595095</v>
      </c>
      <c r="K53" s="1">
        <f t="shared" si="1"/>
        <v>67111.99687264505</v>
      </c>
      <c r="L53" s="1">
        <f t="shared" si="1"/>
        <v>70447.77001221241</v>
      </c>
      <c r="M53" s="1">
        <f t="shared" si="1"/>
        <v>450591.5503107653</v>
      </c>
      <c r="N53" s="1">
        <f t="shared" si="1"/>
        <v>486284.44581618207</v>
      </c>
      <c r="O53" s="1">
        <f t="shared" si="1"/>
        <v>395838.60018889763</v>
      </c>
      <c r="P53" s="130">
        <f t="shared" si="1"/>
        <v>2234302.5128523353</v>
      </c>
    </row>
    <row r="54" spans="1:16" ht="12.75">
      <c r="A54" s="8"/>
      <c r="B54" s="1"/>
      <c r="C54" s="1"/>
      <c r="D54" s="1"/>
      <c r="E54" s="1"/>
      <c r="F54" s="1"/>
      <c r="G54" s="1"/>
      <c r="H54" s="1"/>
      <c r="I54" s="1"/>
      <c r="J54" s="1"/>
      <c r="K54" s="1"/>
      <c r="L54" s="1"/>
      <c r="M54" s="1"/>
      <c r="N54" s="1"/>
      <c r="O54" s="1"/>
      <c r="P54" s="1"/>
    </row>
    <row r="55" spans="2:15" ht="12.75">
      <c r="B55" s="229" t="s">
        <v>126</v>
      </c>
      <c r="C55" s="229"/>
      <c r="D55" s="229"/>
      <c r="E55" s="229"/>
      <c r="F55" s="229"/>
      <c r="G55" s="229"/>
      <c r="H55" s="229"/>
      <c r="I55" s="229"/>
      <c r="J55" s="229"/>
      <c r="K55" s="229"/>
      <c r="L55" s="229"/>
      <c r="M55" s="229"/>
      <c r="N55" s="229"/>
      <c r="O55" s="229"/>
    </row>
    <row r="56" spans="1:16" ht="12.75">
      <c r="A56" s="132" t="str">
        <f>'LLH Slice Load'!A2</f>
        <v>LLH</v>
      </c>
      <c r="B56" s="134" t="str">
        <f>'LLH Slice Load'!B2</f>
        <v>Aug I</v>
      </c>
      <c r="C56" s="134" t="str">
        <f>'LLH Slice Load'!C2</f>
        <v>Aug II</v>
      </c>
      <c r="D56" s="134" t="str">
        <f>'LLH Slice Load'!D2</f>
        <v>Sep</v>
      </c>
      <c r="E56" s="134" t="str">
        <f>'LLH Slice Load'!E2</f>
        <v>Oct</v>
      </c>
      <c r="F56" s="134" t="str">
        <f>'LLH Slice Load'!F2</f>
        <v>Nov</v>
      </c>
      <c r="G56" s="134" t="str">
        <f>'LLH Slice Load'!G2</f>
        <v>Dec</v>
      </c>
      <c r="H56" s="134" t="str">
        <f>'LLH Slice Load'!H2</f>
        <v>Jan</v>
      </c>
      <c r="I56" s="134" t="str">
        <f>'LLH Slice Load'!I2</f>
        <v>Feb</v>
      </c>
      <c r="J56" s="134" t="str">
        <f>'LLH Slice Load'!J2</f>
        <v>Mar</v>
      </c>
      <c r="K56" s="134" t="str">
        <f>'LLH Slice Load'!K2</f>
        <v>Apr I</v>
      </c>
      <c r="L56" s="134" t="str">
        <f>'LLH Slice Load'!L2</f>
        <v>Apr II</v>
      </c>
      <c r="M56" s="134" t="str">
        <f>'LLH Slice Load'!M2</f>
        <v>May</v>
      </c>
      <c r="N56" s="134" t="str">
        <f>'LLH Slice Load'!N2</f>
        <v>Jun</v>
      </c>
      <c r="O56" s="134" t="str">
        <f>'LLH Slice Load'!O2</f>
        <v>Jul</v>
      </c>
      <c r="P56" s="135" t="s">
        <v>17</v>
      </c>
    </row>
    <row r="57" spans="1:16" ht="12.75">
      <c r="A57" s="133">
        <f>'LLH Slice Load'!A3</f>
        <v>1929</v>
      </c>
      <c r="B57" s="1">
        <f>('LLH Slice Load'!B3-'HLH-LLH Loads'!N$8)*'HLH-LLH Loads'!N$5</f>
        <v>84733.09759743491</v>
      </c>
      <c r="C57" s="1">
        <f>('LLH Slice Load'!C3-'HLH-LLH Loads'!O$8)*'HLH-LLH Loads'!O$5</f>
        <v>49190.467903025165</v>
      </c>
      <c r="D57" s="1">
        <f>('LLH Slice Load'!D3-'HLH-LLH Loads'!P$8)*'HLH-LLH Loads'!P$5</f>
        <v>-33657.17909551041</v>
      </c>
      <c r="E57" s="1">
        <f>('LLH Slice Load'!E3-'HLH-LLH Loads'!Q$8)*'HLH-LLH Loads'!Q$5</f>
        <v>29864.14699882437</v>
      </c>
      <c r="F57" s="1">
        <f>('LLH Slice Load'!F3-'HLH-LLH Loads'!R$8)*'HLH-LLH Loads'!R$5</f>
        <v>-41331.41872716653</v>
      </c>
      <c r="G57" s="1">
        <f>('LLH Slice Load'!G3-'HLH-LLH Loads'!S$8)*'HLH-LLH Loads'!S$5</f>
        <v>-57168.55687099758</v>
      </c>
      <c r="H57" s="1">
        <f>('LLH Slice Load'!H3-'HLH-LLH Loads'!T$8)*'HLH-LLH Loads'!T$5</f>
        <v>-197818.81981106484</v>
      </c>
      <c r="I57" s="1">
        <f>('LLH Slice Load'!I3-'HLH-LLH Loads'!U$8)*'HLH-LLH Loads'!U$5</f>
        <v>-138965.6570204543</v>
      </c>
      <c r="J57" s="1">
        <f>('LLH Slice Load'!J3-'HLH-LLH Loads'!V$8)*'HLH-LLH Loads'!V$5</f>
        <v>-108478.91925174299</v>
      </c>
      <c r="K57" s="1">
        <f>('LLH Slice Load'!K3-'HLH-LLH Loads'!W$8)*'HLH-LLH Loads'!W$5</f>
        <v>-19729.44206183577</v>
      </c>
      <c r="L57" s="1">
        <f>('LLH Slice Load'!L3-'HLH-LLH Loads'!X$8)*'HLH-LLH Loads'!X$5</f>
        <v>-12567.81863904178</v>
      </c>
      <c r="M57" s="1">
        <f>('LLH Slice Load'!M3-'HLH-LLH Loads'!Y$8)*'HLH-LLH Loads'!Y$5</f>
        <v>60315.245223526785</v>
      </c>
      <c r="N57" s="1">
        <f>('LLH Slice Load'!N3-'HLH-LLH Loads'!Z$8)*'HLH-LLH Loads'!Z$5</f>
        <v>172716.46914119125</v>
      </c>
      <c r="O57" s="1">
        <f>('LLH Slice Load'!O3-'HLH-LLH Loads'!AA$8)*'HLH-LLH Loads'!AA$5</f>
        <v>150399.62068919497</v>
      </c>
      <c r="P57" s="1">
        <f>SUM(B57:O57)</f>
        <v>-62498.7639246168</v>
      </c>
    </row>
    <row r="58" spans="1:16" ht="12.75">
      <c r="A58" s="133">
        <f>'LLH Slice Load'!A4</f>
        <v>1930</v>
      </c>
      <c r="B58" s="1">
        <f>('LLH Slice Load'!B4-'HLH-LLH Loads'!N$8)*'HLH-LLH Loads'!N$5</f>
        <v>37919.784281590866</v>
      </c>
      <c r="C58" s="1">
        <f>('LLH Slice Load'!C4-'HLH-LLH Loads'!O$8)*'HLH-LLH Loads'!O$5</f>
        <v>35173.50726590386</v>
      </c>
      <c r="D58" s="1">
        <f>('LLH Slice Load'!D4-'HLH-LLH Loads'!P$8)*'HLH-LLH Loads'!P$5</f>
        <v>-34080.15076482641</v>
      </c>
      <c r="E58" s="1">
        <f>('LLH Slice Load'!E4-'HLH-LLH Loads'!Q$8)*'HLH-LLH Loads'!Q$5</f>
        <v>6281.725924622778</v>
      </c>
      <c r="F58" s="1">
        <f>('LLH Slice Load'!F4-'HLH-LLH Loads'!R$8)*'HLH-LLH Loads'!R$5</f>
        <v>-24688.122850995336</v>
      </c>
      <c r="G58" s="1">
        <f>('LLH Slice Load'!G4-'HLH-LLH Loads'!S$8)*'HLH-LLH Loads'!S$5</f>
        <v>-52190.6399382962</v>
      </c>
      <c r="H58" s="1">
        <f>('LLH Slice Load'!H4-'HLH-LLH Loads'!T$8)*'HLH-LLH Loads'!T$5</f>
        <v>-196298.82362166347</v>
      </c>
      <c r="I58" s="1">
        <f>('LLH Slice Load'!I4-'HLH-LLH Loads'!U$8)*'HLH-LLH Loads'!U$5</f>
        <v>-147655.24642858747</v>
      </c>
      <c r="J58" s="1">
        <f>('LLH Slice Load'!J4-'HLH-LLH Loads'!V$8)*'HLH-LLH Loads'!V$5</f>
        <v>-114528.53516483317</v>
      </c>
      <c r="K58" s="1">
        <f>('LLH Slice Load'!K4-'HLH-LLH Loads'!W$8)*'HLH-LLH Loads'!W$5</f>
        <v>-12847.83959926468</v>
      </c>
      <c r="L58" s="1">
        <f>('LLH Slice Load'!L4-'HLH-LLH Loads'!X$8)*'HLH-LLH Loads'!X$5</f>
        <v>49287.809506142155</v>
      </c>
      <c r="M58" s="1">
        <f>('LLH Slice Load'!M4-'HLH-LLH Loads'!Y$8)*'HLH-LLH Loads'!Y$5</f>
        <v>37315.191634277115</v>
      </c>
      <c r="N58" s="1">
        <f>('LLH Slice Load'!N4-'HLH-LLH Loads'!Z$8)*'HLH-LLH Loads'!Z$5</f>
        <v>84057.54559901598</v>
      </c>
      <c r="O58" s="1">
        <f>('LLH Slice Load'!O4-'HLH-LLH Loads'!AA$8)*'HLH-LLH Loads'!AA$5</f>
        <v>151850.08158943552</v>
      </c>
      <c r="P58" s="1">
        <f aca="true" t="shared" si="2" ref="P58:P106">SUM(B58:O58)</f>
        <v>-180403.71256747848</v>
      </c>
    </row>
    <row r="59" spans="1:16" ht="12.75">
      <c r="A59" s="133">
        <f>'LLH Slice Load'!A5</f>
        <v>1931</v>
      </c>
      <c r="B59" s="1">
        <f>('LLH Slice Load'!B5-'HLH-LLH Loads'!N$8)*'HLH-LLH Loads'!N$5</f>
        <v>47514.260943922956</v>
      </c>
      <c r="C59" s="1">
        <f>('LLH Slice Load'!C5-'HLH-LLH Loads'!O$8)*'HLH-LLH Loads'!O$5</f>
        <v>47968.09910681637</v>
      </c>
      <c r="D59" s="1">
        <f>('LLH Slice Load'!D5-'HLH-LLH Loads'!P$8)*'HLH-LLH Loads'!P$5</f>
        <v>-42810.38172808649</v>
      </c>
      <c r="E59" s="1">
        <f>('LLH Slice Load'!E5-'HLH-LLH Loads'!Q$8)*'HLH-LLH Loads'!Q$5</f>
        <v>4583.287447819071</v>
      </c>
      <c r="F59" s="1">
        <f>('LLH Slice Load'!F5-'HLH-LLH Loads'!R$8)*'HLH-LLH Loads'!R$5</f>
        <v>-22043.966671277813</v>
      </c>
      <c r="G59" s="1">
        <f>('LLH Slice Load'!G5-'HLH-LLH Loads'!S$8)*'HLH-LLH Loads'!S$5</f>
        <v>-53947.13598389665</v>
      </c>
      <c r="H59" s="1">
        <f>('LLH Slice Load'!H5-'HLH-LLH Loads'!T$8)*'HLH-LLH Loads'!T$5</f>
        <v>-208727.1526852081</v>
      </c>
      <c r="I59" s="1">
        <f>('LLH Slice Load'!I5-'HLH-LLH Loads'!U$8)*'HLH-LLH Loads'!U$5</f>
        <v>-186668.29856880233</v>
      </c>
      <c r="J59" s="1">
        <f>('LLH Slice Load'!J5-'HLH-LLH Loads'!V$8)*'HLH-LLH Loads'!V$5</f>
        <v>-113833.20127709284</v>
      </c>
      <c r="K59" s="1">
        <f>('LLH Slice Load'!K5-'HLH-LLH Loads'!W$8)*'HLH-LLH Loads'!W$5</f>
        <v>15818.37035616297</v>
      </c>
      <c r="L59" s="1">
        <f>('LLH Slice Load'!L5-'HLH-LLH Loads'!X$8)*'HLH-LLH Loads'!X$5</f>
        <v>-21892.40962304763</v>
      </c>
      <c r="M59" s="1">
        <f>('LLH Slice Load'!M5-'HLH-LLH Loads'!Y$8)*'HLH-LLH Loads'!Y$5</f>
        <v>116777.72151370099</v>
      </c>
      <c r="N59" s="1">
        <f>('LLH Slice Load'!N5-'HLH-LLH Loads'!Z$8)*'HLH-LLH Loads'!Z$5</f>
        <v>99213.73038081739</v>
      </c>
      <c r="O59" s="1">
        <f>('LLH Slice Load'!O5-'HLH-LLH Loads'!AA$8)*'HLH-LLH Loads'!AA$5</f>
        <v>151920.54673014412</v>
      </c>
      <c r="P59" s="1">
        <f t="shared" si="2"/>
        <v>-166126.53005802794</v>
      </c>
    </row>
    <row r="60" spans="1:16" ht="12.75">
      <c r="A60" s="133">
        <f>'LLH Slice Load'!A6</f>
        <v>1932</v>
      </c>
      <c r="B60" s="1">
        <f>('LLH Slice Load'!B6-'HLH-LLH Loads'!N$8)*'HLH-LLH Loads'!N$5</f>
        <v>41815.84586855401</v>
      </c>
      <c r="C60" s="1">
        <f>('LLH Slice Load'!C6-'HLH-LLH Loads'!O$8)*'HLH-LLH Loads'!O$5</f>
        <v>27292.73782682152</v>
      </c>
      <c r="D60" s="1">
        <f>('LLH Slice Load'!D6-'HLH-LLH Loads'!P$8)*'HLH-LLH Loads'!P$5</f>
        <v>-47909.827835380274</v>
      </c>
      <c r="E60" s="1">
        <f>('LLH Slice Load'!E6-'HLH-LLH Loads'!Q$8)*'HLH-LLH Loads'!Q$5</f>
        <v>5658.184542703165</v>
      </c>
      <c r="F60" s="1">
        <f>('LLH Slice Load'!F6-'HLH-LLH Loads'!R$8)*'HLH-LLH Loads'!R$5</f>
        <v>-24566.03466100053</v>
      </c>
      <c r="G60" s="1">
        <f>('LLH Slice Load'!G6-'HLH-LLH Loads'!S$8)*'HLH-LLH Loads'!S$5</f>
        <v>-67253.63224990547</v>
      </c>
      <c r="H60" s="1">
        <f>('LLH Slice Load'!H6-'HLH-LLH Loads'!T$8)*'HLH-LLH Loads'!T$5</f>
        <v>-211243.1359941418</v>
      </c>
      <c r="I60" s="1">
        <f>('LLH Slice Load'!I6-'HLH-LLH Loads'!U$8)*'HLH-LLH Loads'!U$5</f>
        <v>-143458.884646751</v>
      </c>
      <c r="J60" s="1">
        <f>('LLH Slice Load'!J6-'HLH-LLH Loads'!V$8)*'HLH-LLH Loads'!V$5</f>
        <v>-21614.97839352399</v>
      </c>
      <c r="K60" s="1">
        <f>('LLH Slice Load'!K6-'HLH-LLH Loads'!W$8)*'HLH-LLH Loads'!W$5</f>
        <v>113948.5716379445</v>
      </c>
      <c r="L60" s="1">
        <f>('LLH Slice Load'!L6-'HLH-LLH Loads'!X$8)*'HLH-LLH Loads'!X$5</f>
        <v>106230.88733001892</v>
      </c>
      <c r="M60" s="1">
        <f>('LLH Slice Load'!M6-'HLH-LLH Loads'!Y$8)*'HLH-LLH Loads'!Y$5</f>
        <v>235890.11258343942</v>
      </c>
      <c r="N60" s="1">
        <f>('LLH Slice Load'!N6-'HLH-LLH Loads'!Z$8)*'HLH-LLH Loads'!Z$5</f>
        <v>240494.2568048515</v>
      </c>
      <c r="O60" s="1">
        <f>('LLH Slice Load'!O6-'HLH-LLH Loads'!AA$8)*'HLH-LLH Loads'!AA$5</f>
        <v>187812.21003457266</v>
      </c>
      <c r="P60" s="1">
        <f t="shared" si="2"/>
        <v>443096.31284820265</v>
      </c>
    </row>
    <row r="61" spans="1:16" ht="12.75">
      <c r="A61" s="133">
        <f>'LLH Slice Load'!A7</f>
        <v>1933</v>
      </c>
      <c r="B61" s="1">
        <f>('LLH Slice Load'!B7-'HLH-LLH Loads'!N$8)*'HLH-LLH Loads'!N$5</f>
        <v>49147.01122470088</v>
      </c>
      <c r="C61" s="1">
        <f>('LLH Slice Load'!C7-'HLH-LLH Loads'!O$8)*'HLH-LLH Loads'!O$5</f>
        <v>56927.981158595736</v>
      </c>
      <c r="D61" s="1">
        <f>('LLH Slice Load'!D7-'HLH-LLH Loads'!P$8)*'HLH-LLH Loads'!P$5</f>
        <v>-24093.67277267812</v>
      </c>
      <c r="E61" s="1">
        <f>('LLH Slice Load'!E7-'HLH-LLH Loads'!Q$8)*'HLH-LLH Loads'!Q$5</f>
        <v>34731.04187797568</v>
      </c>
      <c r="F61" s="1">
        <f>('LLH Slice Load'!F7-'HLH-LLH Loads'!R$8)*'HLH-LLH Loads'!R$5</f>
        <v>-26016.824697932454</v>
      </c>
      <c r="G61" s="1">
        <f>('LLH Slice Load'!G7-'HLH-LLH Loads'!S$8)*'HLH-LLH Loads'!S$5</f>
        <v>-52309.812919592485</v>
      </c>
      <c r="H61" s="1">
        <f>('LLH Slice Load'!H7-'HLH-LLH Loads'!T$8)*'HLH-LLH Loads'!T$5</f>
        <v>76042.12304401689</v>
      </c>
      <c r="I61" s="1">
        <f>('LLH Slice Load'!I7-'HLH-LLH Loads'!U$8)*'HLH-LLH Loads'!U$5</f>
        <v>-51922.05749991952</v>
      </c>
      <c r="J61" s="1">
        <f>('LLH Slice Load'!J7-'HLH-LLH Loads'!V$8)*'HLH-LLH Loads'!V$5</f>
        <v>-94790.3602210579</v>
      </c>
      <c r="K61" s="1">
        <f>('LLH Slice Load'!K7-'HLH-LLH Loads'!W$8)*'HLH-LLH Loads'!W$5</f>
        <v>77614.68096314356</v>
      </c>
      <c r="L61" s="1">
        <f>('LLH Slice Load'!L7-'HLH-LLH Loads'!X$8)*'HLH-LLH Loads'!X$5</f>
        <v>6019.24823813647</v>
      </c>
      <c r="M61" s="1">
        <f>('LLH Slice Load'!M7-'HLH-LLH Loads'!Y$8)*'HLH-LLH Loads'!Y$5</f>
        <v>163463.66585299038</v>
      </c>
      <c r="N61" s="1">
        <f>('LLH Slice Load'!N7-'HLH-LLH Loads'!Z$8)*'HLH-LLH Loads'!Z$5</f>
        <v>425971.0331068882</v>
      </c>
      <c r="O61" s="1">
        <f>('LLH Slice Load'!O7-'HLH-LLH Loads'!AA$8)*'HLH-LLH Loads'!AA$5</f>
        <v>460855.30342208885</v>
      </c>
      <c r="P61" s="1">
        <f t="shared" si="2"/>
        <v>1101639.3607773562</v>
      </c>
    </row>
    <row r="62" spans="1:16" ht="12.75">
      <c r="A62" s="133">
        <f>'LLH Slice Load'!A8</f>
        <v>1934</v>
      </c>
      <c r="B62" s="1">
        <f>('LLH Slice Load'!B8-'HLH-LLH Loads'!N$8)*'HLH-LLH Loads'!N$5</f>
        <v>90435.03814622218</v>
      </c>
      <c r="C62" s="1">
        <f>('LLH Slice Load'!C8-'HLH-LLH Loads'!O$8)*'HLH-LLH Loads'!O$5</f>
        <v>110920.03115858017</v>
      </c>
      <c r="D62" s="1">
        <f>('LLH Slice Load'!D8-'HLH-LLH Loads'!P$8)*'HLH-LLH Loads'!P$5</f>
        <v>4942.514631143522</v>
      </c>
      <c r="E62" s="1">
        <f>('LLH Slice Load'!E8-'HLH-LLH Loads'!Q$8)*'HLH-LLH Loads'!Q$5</f>
        <v>76999.03492509731</v>
      </c>
      <c r="F62" s="1">
        <f>('LLH Slice Load'!F8-'HLH-LLH Loads'!R$8)*'HLH-LLH Loads'!R$5</f>
        <v>39711.124357545326</v>
      </c>
      <c r="G62" s="1">
        <f>('LLH Slice Load'!G8-'HLH-LLH Loads'!S$8)*'HLH-LLH Loads'!S$5</f>
        <v>137423.39043574396</v>
      </c>
      <c r="H62" s="1">
        <f>('LLH Slice Load'!H8-'HLH-LLH Loads'!T$8)*'HLH-LLH Loads'!T$5</f>
        <v>290744.62627265166</v>
      </c>
      <c r="I62" s="1">
        <f>('LLH Slice Load'!I8-'HLH-LLH Loads'!U$8)*'HLH-LLH Loads'!U$5</f>
        <v>115765.04084420827</v>
      </c>
      <c r="J62" s="1">
        <f>('LLH Slice Load'!J8-'HLH-LLH Loads'!V$8)*'HLH-LLH Loads'!V$5</f>
        <v>80271.7384805138</v>
      </c>
      <c r="K62" s="1">
        <f>('LLH Slice Load'!K8-'HLH-LLH Loads'!W$8)*'HLH-LLH Loads'!W$5</f>
        <v>197794.88947296186</v>
      </c>
      <c r="L62" s="1">
        <f>('LLH Slice Load'!L8-'HLH-LLH Loads'!X$8)*'HLH-LLH Loads'!X$5</f>
        <v>150527.04810790415</v>
      </c>
      <c r="M62" s="1">
        <f>('LLH Slice Load'!M8-'HLH-LLH Loads'!Y$8)*'HLH-LLH Loads'!Y$5</f>
        <v>372401.50860172545</v>
      </c>
      <c r="N62" s="1">
        <f>('LLH Slice Load'!N8-'HLH-LLH Loads'!Z$8)*'HLH-LLH Loads'!Z$5</f>
        <v>147429.9623004587</v>
      </c>
      <c r="O62" s="1">
        <f>('LLH Slice Load'!O8-'HLH-LLH Loads'!AA$8)*'HLH-LLH Loads'!AA$5</f>
        <v>119373.64002824918</v>
      </c>
      <c r="P62" s="1">
        <f t="shared" si="2"/>
        <v>1934739.5877630054</v>
      </c>
    </row>
    <row r="63" spans="1:16" ht="12.75">
      <c r="A63" s="133">
        <f>'LLH Slice Load'!A9</f>
        <v>1935</v>
      </c>
      <c r="B63" s="1">
        <f>('LLH Slice Load'!B9-'HLH-LLH Loads'!N$8)*'HLH-LLH Loads'!N$5</f>
        <v>21237.252690984846</v>
      </c>
      <c r="C63" s="1">
        <f>('LLH Slice Load'!C9-'HLH-LLH Loads'!O$8)*'HLH-LLH Loads'!O$5</f>
        <v>13766.029297496589</v>
      </c>
      <c r="D63" s="1">
        <f>('LLH Slice Load'!D9-'HLH-LLH Loads'!P$8)*'HLH-LLH Loads'!P$5</f>
        <v>-44342.96087557202</v>
      </c>
      <c r="E63" s="1">
        <f>('LLH Slice Load'!E9-'HLH-LLH Loads'!Q$8)*'HLH-LLH Loads'!Q$5</f>
        <v>-4605.527717906668</v>
      </c>
      <c r="F63" s="1">
        <f>('LLH Slice Load'!F9-'HLH-LLH Loads'!R$8)*'HLH-LLH Loads'!R$5</f>
        <v>-34053.64514551521</v>
      </c>
      <c r="G63" s="1">
        <f>('LLH Slice Load'!G9-'HLH-LLH Loads'!S$8)*'HLH-LLH Loads'!S$5</f>
        <v>-61164.79925273818</v>
      </c>
      <c r="H63" s="1">
        <f>('LLH Slice Load'!H9-'HLH-LLH Loads'!T$8)*'HLH-LLH Loads'!T$5</f>
        <v>43182.75747079157</v>
      </c>
      <c r="I63" s="1">
        <f>('LLH Slice Load'!I9-'HLH-LLH Loads'!U$8)*'HLH-LLH Loads'!U$5</f>
        <v>-90155.60876032413</v>
      </c>
      <c r="J63" s="1">
        <f>('LLH Slice Load'!J9-'HLH-LLH Loads'!V$8)*'HLH-LLH Loads'!V$5</f>
        <v>-66740.97939177611</v>
      </c>
      <c r="K63" s="1">
        <f>('LLH Slice Load'!K9-'HLH-LLH Loads'!W$8)*'HLH-LLH Loads'!W$5</f>
        <v>106668.08990587712</v>
      </c>
      <c r="L63" s="1">
        <f>('LLH Slice Load'!L9-'HLH-LLH Loads'!X$8)*'HLH-LLH Loads'!X$5</f>
        <v>18028.36122375077</v>
      </c>
      <c r="M63" s="1">
        <f>('LLH Slice Load'!M9-'HLH-LLH Loads'!Y$8)*'HLH-LLH Loads'!Y$5</f>
        <v>131086.82566104154</v>
      </c>
      <c r="N63" s="1">
        <f>('LLH Slice Load'!N9-'HLH-LLH Loads'!Z$8)*'HLH-LLH Loads'!Z$5</f>
        <v>207091.09437482347</v>
      </c>
      <c r="O63" s="1">
        <f>('LLH Slice Load'!O9-'HLH-LLH Loads'!AA$8)*'HLH-LLH Loads'!AA$5</f>
        <v>210132.1432864243</v>
      </c>
      <c r="P63" s="1">
        <f t="shared" si="2"/>
        <v>450129.0327673579</v>
      </c>
    </row>
    <row r="64" spans="1:16" ht="12.75">
      <c r="A64" s="133">
        <f>'LLH Slice Load'!A10</f>
        <v>1936</v>
      </c>
      <c r="B64" s="1">
        <f>('LLH Slice Load'!B10-'HLH-LLH Loads'!N$8)*'HLH-LLH Loads'!N$5</f>
        <v>50577.23748901194</v>
      </c>
      <c r="C64" s="1">
        <f>('LLH Slice Load'!C10-'HLH-LLH Loads'!O$8)*'HLH-LLH Loads'!O$5</f>
        <v>18373.776503154022</v>
      </c>
      <c r="D64" s="1">
        <f>('LLH Slice Load'!D10-'HLH-LLH Loads'!P$8)*'HLH-LLH Loads'!P$5</f>
        <v>-41541.08072197749</v>
      </c>
      <c r="E64" s="1">
        <f>('LLH Slice Load'!E10-'HLH-LLH Loads'!Q$8)*'HLH-LLH Loads'!Q$5</f>
        <v>17582.83907064354</v>
      </c>
      <c r="F64" s="1">
        <f>('LLH Slice Load'!F10-'HLH-LLH Loads'!R$8)*'HLH-LLH Loads'!R$5</f>
        <v>-33192.22059393852</v>
      </c>
      <c r="G64" s="1">
        <f>('LLH Slice Load'!G10-'HLH-LLH Loads'!S$8)*'HLH-LLH Loads'!S$5</f>
        <v>-58755.5769994084</v>
      </c>
      <c r="H64" s="1">
        <f>('LLH Slice Load'!H10-'HLH-LLH Loads'!T$8)*'HLH-LLH Loads'!T$5</f>
        <v>-173282.98599589002</v>
      </c>
      <c r="I64" s="1">
        <f>('LLH Slice Load'!I10-'HLH-LLH Loads'!U$8)*'HLH-LLH Loads'!U$5</f>
        <v>-129368.94322519975</v>
      </c>
      <c r="J64" s="1">
        <f>('LLH Slice Load'!J10-'HLH-LLH Loads'!V$8)*'HLH-LLH Loads'!V$5</f>
        <v>-94188.44381608506</v>
      </c>
      <c r="K64" s="1">
        <f>('LLH Slice Load'!K10-'HLH-LLH Loads'!W$8)*'HLH-LLH Loads'!W$5</f>
        <v>-14497.27641842192</v>
      </c>
      <c r="L64" s="1">
        <f>('LLH Slice Load'!L10-'HLH-LLH Loads'!X$8)*'HLH-LLH Loads'!X$5</f>
        <v>102910.89750257874</v>
      </c>
      <c r="M64" s="1">
        <f>('LLH Slice Load'!M10-'HLH-LLH Loads'!Y$8)*'HLH-LLH Loads'!Y$5</f>
        <v>250164.22781398904</v>
      </c>
      <c r="N64" s="1">
        <f>('LLH Slice Load'!N10-'HLH-LLH Loads'!Z$8)*'HLH-LLH Loads'!Z$5</f>
        <v>174489.4444538026</v>
      </c>
      <c r="O64" s="1">
        <f>('LLH Slice Load'!O10-'HLH-LLH Loads'!AA$8)*'HLH-LLH Loads'!AA$5</f>
        <v>171296.55823461903</v>
      </c>
      <c r="P64" s="1">
        <f t="shared" si="2"/>
        <v>240568.45329687773</v>
      </c>
    </row>
    <row r="65" spans="1:16" ht="12.75">
      <c r="A65" s="133">
        <f>'LLH Slice Load'!A11</f>
        <v>1937</v>
      </c>
      <c r="B65" s="1">
        <f>('LLH Slice Load'!B11-'HLH-LLH Loads'!N$8)*'HLH-LLH Loads'!N$5</f>
        <v>45459.89210616822</v>
      </c>
      <c r="C65" s="1">
        <f>('LLH Slice Load'!C11-'HLH-LLH Loads'!O$8)*'HLH-LLH Loads'!O$5</f>
        <v>37634.25949524177</v>
      </c>
      <c r="D65" s="1">
        <f>('LLH Slice Load'!D11-'HLH-LLH Loads'!P$8)*'HLH-LLH Loads'!P$5</f>
        <v>-30739.616977163336</v>
      </c>
      <c r="E65" s="1">
        <f>('LLH Slice Load'!E11-'HLH-LLH Loads'!Q$8)*'HLH-LLH Loads'!Q$5</f>
        <v>8444.392756504058</v>
      </c>
      <c r="F65" s="1">
        <f>('LLH Slice Load'!F11-'HLH-LLH Loads'!R$8)*'HLH-LLH Loads'!R$5</f>
        <v>-30635.027336499486</v>
      </c>
      <c r="G65" s="1">
        <f>('LLH Slice Load'!G11-'HLH-LLH Loads'!S$8)*'HLH-LLH Loads'!S$5</f>
        <v>-58878.909389386754</v>
      </c>
      <c r="H65" s="1">
        <f>('LLH Slice Load'!H11-'HLH-LLH Loads'!T$8)*'HLH-LLH Loads'!T$5</f>
        <v>-195175.27187338064</v>
      </c>
      <c r="I65" s="1">
        <f>('LLH Slice Load'!I11-'HLH-LLH Loads'!U$8)*'HLH-LLH Loads'!U$5</f>
        <v>-147309.35191972423</v>
      </c>
      <c r="J65" s="1">
        <f>('LLH Slice Load'!J11-'HLH-LLH Loads'!V$8)*'HLH-LLH Loads'!V$5</f>
        <v>-114779.5693293804</v>
      </c>
      <c r="K65" s="1">
        <f>('LLH Slice Load'!K11-'HLH-LLH Loads'!W$8)*'HLH-LLH Loads'!W$5</f>
        <v>-20664.79623366331</v>
      </c>
      <c r="L65" s="1">
        <f>('LLH Slice Load'!L11-'HLH-LLH Loads'!X$8)*'HLH-LLH Loads'!X$5</f>
        <v>-25710.40989020528</v>
      </c>
      <c r="M65" s="1">
        <f>('LLH Slice Load'!M11-'HLH-LLH Loads'!Y$8)*'HLH-LLH Loads'!Y$5</f>
        <v>112241.8724484315</v>
      </c>
      <c r="N65" s="1">
        <f>('LLH Slice Load'!N11-'HLH-LLH Loads'!Z$8)*'HLH-LLH Loads'!Z$5</f>
        <v>109695.38329872797</v>
      </c>
      <c r="O65" s="1">
        <f>('LLH Slice Load'!O11-'HLH-LLH Loads'!AA$8)*'HLH-LLH Loads'!AA$5</f>
        <v>146196.46402091367</v>
      </c>
      <c r="P65" s="1">
        <f t="shared" si="2"/>
        <v>-164220.68882341628</v>
      </c>
    </row>
    <row r="66" spans="1:16" ht="12.75">
      <c r="A66" s="133">
        <f>'LLH Slice Load'!A12</f>
        <v>1938</v>
      </c>
      <c r="B66" s="1">
        <f>('LLH Slice Load'!B12-'HLH-LLH Loads'!N$8)*'HLH-LLH Loads'!N$5</f>
        <v>46397.79721466483</v>
      </c>
      <c r="C66" s="1">
        <f>('LLH Slice Load'!C12-'HLH-LLH Loads'!O$8)*'HLH-LLH Loads'!O$5</f>
        <v>40473.20707385619</v>
      </c>
      <c r="D66" s="1">
        <f>('LLH Slice Load'!D12-'HLH-LLH Loads'!P$8)*'HLH-LLH Loads'!P$5</f>
        <v>-25295.034108141423</v>
      </c>
      <c r="E66" s="1">
        <f>('LLH Slice Load'!E12-'HLH-LLH Loads'!Q$8)*'HLH-LLH Loads'!Q$5</f>
        <v>12536.917586553725</v>
      </c>
      <c r="F66" s="1">
        <f>('LLH Slice Load'!F12-'HLH-LLH Loads'!R$8)*'HLH-LLH Loads'!R$5</f>
        <v>-18881.403831313022</v>
      </c>
      <c r="G66" s="1">
        <f>('LLH Slice Load'!G12-'HLH-LLH Loads'!S$8)*'HLH-LLH Loads'!S$5</f>
        <v>-38726.3438664721</v>
      </c>
      <c r="H66" s="1">
        <f>('LLH Slice Load'!H12-'HLH-LLH Loads'!T$8)*'HLH-LLH Loads'!T$5</f>
        <v>-17739.894234930718</v>
      </c>
      <c r="I66" s="1">
        <f>('LLH Slice Load'!I12-'HLH-LLH Loads'!U$8)*'HLH-LLH Loads'!U$5</f>
        <v>-110432.00646955753</v>
      </c>
      <c r="J66" s="1">
        <f>('LLH Slice Load'!J12-'HLH-LLH Loads'!V$8)*'HLH-LLH Loads'!V$5</f>
        <v>34655.60707299579</v>
      </c>
      <c r="K66" s="1">
        <f>('LLH Slice Load'!K12-'HLH-LLH Loads'!W$8)*'HLH-LLH Loads'!W$5</f>
        <v>62007.10972851833</v>
      </c>
      <c r="L66" s="1">
        <f>('LLH Slice Load'!L12-'HLH-LLH Loads'!X$8)*'HLH-LLH Loads'!X$5</f>
        <v>41970.79321488981</v>
      </c>
      <c r="M66" s="1">
        <f>('LLH Slice Load'!M12-'HLH-LLH Loads'!Y$8)*'HLH-LLH Loads'!Y$5</f>
        <v>325907.8780194119</v>
      </c>
      <c r="N66" s="1">
        <f>('LLH Slice Load'!N12-'HLH-LLH Loads'!Z$8)*'HLH-LLH Loads'!Z$5</f>
        <v>231240.61965203876</v>
      </c>
      <c r="O66" s="1">
        <f>('LLH Slice Load'!O12-'HLH-LLH Loads'!AA$8)*'HLH-LLH Loads'!AA$5</f>
        <v>164070.22679423526</v>
      </c>
      <c r="P66" s="1">
        <f t="shared" si="2"/>
        <v>748185.4738467498</v>
      </c>
    </row>
    <row r="67" spans="1:16" ht="12.75">
      <c r="A67" s="133">
        <f>'LLH Slice Load'!A13</f>
        <v>1939</v>
      </c>
      <c r="B67" s="1">
        <f>('LLH Slice Load'!B13-'HLH-LLH Loads'!N$8)*'HLH-LLH Loads'!N$5</f>
        <v>41194.1516279007</v>
      </c>
      <c r="C67" s="1">
        <f>('LLH Slice Load'!C13-'HLH-LLH Loads'!O$8)*'HLH-LLH Loads'!O$5</f>
        <v>24464.801744974266</v>
      </c>
      <c r="D67" s="1">
        <f>('LLH Slice Load'!D13-'HLH-LLH Loads'!P$8)*'HLH-LLH Loads'!P$5</f>
        <v>-36280.49982185056</v>
      </c>
      <c r="E67" s="1">
        <f>('LLH Slice Load'!E13-'HLH-LLH Loads'!Q$8)*'HLH-LLH Loads'!Q$5</f>
        <v>36754.13033766511</v>
      </c>
      <c r="F67" s="1">
        <f>('LLH Slice Load'!F13-'HLH-LLH Loads'!R$8)*'HLH-LLH Loads'!R$5</f>
        <v>-38181.43981147388</v>
      </c>
      <c r="G67" s="1">
        <f>('LLH Slice Load'!G13-'HLH-LLH Loads'!S$8)*'HLH-LLH Loads'!S$5</f>
        <v>-58166.21250666175</v>
      </c>
      <c r="H67" s="1">
        <f>('LLH Slice Load'!H13-'HLH-LLH Loads'!T$8)*'HLH-LLH Loads'!T$5</f>
        <v>-196699.05188714407</v>
      </c>
      <c r="I67" s="1">
        <f>('LLH Slice Load'!I13-'HLH-LLH Loads'!U$8)*'HLH-LLH Loads'!U$5</f>
        <v>-43565.07204035638</v>
      </c>
      <c r="J67" s="1">
        <f>('LLH Slice Load'!J13-'HLH-LLH Loads'!V$8)*'HLH-LLH Loads'!V$5</f>
        <v>-53052.995870153405</v>
      </c>
      <c r="K67" s="1">
        <f>('LLH Slice Load'!K13-'HLH-LLH Loads'!W$8)*'HLH-LLH Loads'!W$5</f>
        <v>35157.26375106066</v>
      </c>
      <c r="L67" s="1">
        <f>('LLH Slice Load'!L13-'HLH-LLH Loads'!X$8)*'HLH-LLH Loads'!X$5</f>
        <v>38165.470264502255</v>
      </c>
      <c r="M67" s="1">
        <f>('LLH Slice Load'!M13-'HLH-LLH Loads'!Y$8)*'HLH-LLH Loads'!Y$5</f>
        <v>136640.4250924393</v>
      </c>
      <c r="N67" s="1">
        <f>('LLH Slice Load'!N13-'HLH-LLH Loads'!Z$8)*'HLH-LLH Loads'!Z$5</f>
        <v>81633.94844339741</v>
      </c>
      <c r="O67" s="1">
        <f>('LLH Slice Load'!O13-'HLH-LLH Loads'!AA$8)*'HLH-LLH Loads'!AA$5</f>
        <v>200585.962231906</v>
      </c>
      <c r="P67" s="1">
        <f t="shared" si="2"/>
        <v>168650.88155620563</v>
      </c>
    </row>
    <row r="68" spans="1:16" ht="12.75">
      <c r="A68" s="133">
        <f>'LLH Slice Load'!A14</f>
        <v>1940</v>
      </c>
      <c r="B68" s="1">
        <f>('LLH Slice Load'!B14-'HLH-LLH Loads'!N$8)*'HLH-LLH Loads'!N$5</f>
        <v>51108.31591689695</v>
      </c>
      <c r="C68" s="1">
        <f>('LLH Slice Load'!C14-'HLH-LLH Loads'!O$8)*'HLH-LLH Loads'!O$5</f>
        <v>33321.08781540137</v>
      </c>
      <c r="D68" s="1">
        <f>('LLH Slice Load'!D14-'HLH-LLH Loads'!P$8)*'HLH-LLH Loads'!P$5</f>
        <v>-32314.442236946248</v>
      </c>
      <c r="E68" s="1">
        <f>('LLH Slice Load'!E14-'HLH-LLH Loads'!Q$8)*'HLH-LLH Loads'!Q$5</f>
        <v>31502.37302416974</v>
      </c>
      <c r="F68" s="1">
        <f>('LLH Slice Load'!F14-'HLH-LLH Loads'!R$8)*'HLH-LLH Loads'!R$5</f>
        <v>-29930.68542254293</v>
      </c>
      <c r="G68" s="1">
        <f>('LLH Slice Load'!G14-'HLH-LLH Loads'!S$8)*'HLH-LLH Loads'!S$5</f>
        <v>-57520.938559953735</v>
      </c>
      <c r="H68" s="1">
        <f>('LLH Slice Load'!H14-'HLH-LLH Loads'!T$8)*'HLH-LLH Loads'!T$5</f>
        <v>-165392.47347219795</v>
      </c>
      <c r="I68" s="1">
        <f>('LLH Slice Load'!I14-'HLH-LLH Loads'!U$8)*'HLH-LLH Loads'!U$5</f>
        <v>-89642.45480572135</v>
      </c>
      <c r="J68" s="1">
        <f>('LLH Slice Load'!J14-'HLH-LLH Loads'!V$8)*'HLH-LLH Loads'!V$5</f>
        <v>6205.163574623448</v>
      </c>
      <c r="K68" s="1">
        <f>('LLH Slice Load'!K14-'HLH-LLH Loads'!W$8)*'HLH-LLH Loads'!W$5</f>
        <v>35423.76364149314</v>
      </c>
      <c r="L68" s="1">
        <f>('LLH Slice Load'!L14-'HLH-LLH Loads'!X$8)*'HLH-LLH Loads'!X$5</f>
        <v>42389.43949158563</v>
      </c>
      <c r="M68" s="1">
        <f>('LLH Slice Load'!M14-'HLH-LLH Loads'!Y$8)*'HLH-LLH Loads'!Y$5</f>
        <v>103723.67673314939</v>
      </c>
      <c r="N68" s="1">
        <f>('LLH Slice Load'!N14-'HLH-LLH Loads'!Z$8)*'HLH-LLH Loads'!Z$5</f>
        <v>62754.268995369035</v>
      </c>
      <c r="O68" s="1">
        <f>('LLH Slice Load'!O14-'HLH-LLH Loads'!AA$8)*'HLH-LLH Loads'!AA$5</f>
        <v>151082.31688823612</v>
      </c>
      <c r="P68" s="1">
        <f t="shared" si="2"/>
        <v>142709.41158356259</v>
      </c>
    </row>
    <row r="69" spans="1:16" ht="12.75">
      <c r="A69" s="133">
        <f>'LLH Slice Load'!A15</f>
        <v>1941</v>
      </c>
      <c r="B69" s="1">
        <f>('LLH Slice Load'!B15-'HLH-LLH Loads'!N$8)*'HLH-LLH Loads'!N$5</f>
        <v>45638.83887127827</v>
      </c>
      <c r="C69" s="1">
        <f>('LLH Slice Load'!C15-'HLH-LLH Loads'!O$8)*'HLH-LLH Loads'!O$5</f>
        <v>27697.632212713233</v>
      </c>
      <c r="D69" s="1">
        <f>('LLH Slice Load'!D15-'HLH-LLH Loads'!P$8)*'HLH-LLH Loads'!P$5</f>
        <v>-20769.88993721789</v>
      </c>
      <c r="E69" s="1">
        <f>('LLH Slice Load'!E15-'HLH-LLH Loads'!Q$8)*'HLH-LLH Loads'!Q$5</f>
        <v>39514.16119799738</v>
      </c>
      <c r="F69" s="1">
        <f>('LLH Slice Load'!F15-'HLH-LLH Loads'!R$8)*'HLH-LLH Loads'!R$5</f>
        <v>-30611.522907996594</v>
      </c>
      <c r="G69" s="1">
        <f>('LLH Slice Load'!G15-'HLH-LLH Loads'!S$8)*'HLH-LLH Loads'!S$5</f>
        <v>-55684.52611193416</v>
      </c>
      <c r="H69" s="1">
        <f>('LLH Slice Load'!H15-'HLH-LLH Loads'!T$8)*'HLH-LLH Loads'!T$5</f>
        <v>-168388.59779506127</v>
      </c>
      <c r="I69" s="1">
        <f>('LLH Slice Load'!I15-'HLH-LLH Loads'!U$8)*'HLH-LLH Loads'!U$5</f>
        <v>-151438.60846444825</v>
      </c>
      <c r="J69" s="1">
        <f>('LLH Slice Load'!J15-'HLH-LLH Loads'!V$8)*'HLH-LLH Loads'!V$5</f>
        <v>-94377.30270937155</v>
      </c>
      <c r="K69" s="1">
        <f>('LLH Slice Load'!K15-'HLH-LLH Loads'!W$8)*'HLH-LLH Loads'!W$5</f>
        <v>-24085.083326337466</v>
      </c>
      <c r="L69" s="1">
        <f>('LLH Slice Load'!L15-'HLH-LLH Loads'!X$8)*'HLH-LLH Loads'!X$5</f>
        <v>-5899.3292270641705</v>
      </c>
      <c r="M69" s="1">
        <f>('LLH Slice Load'!M15-'HLH-LLH Loads'!Y$8)*'HLH-LLH Loads'!Y$5</f>
        <v>93886.43199431754</v>
      </c>
      <c r="N69" s="1">
        <f>('LLH Slice Load'!N15-'HLH-LLH Loads'!Z$8)*'HLH-LLH Loads'!Z$5</f>
        <v>160190.99669033248</v>
      </c>
      <c r="O69" s="1">
        <f>('LLH Slice Load'!O15-'HLH-LLH Loads'!AA$8)*'HLH-LLH Loads'!AA$5</f>
        <v>123891.68162964507</v>
      </c>
      <c r="P69" s="1">
        <f t="shared" si="2"/>
        <v>-60435.117883147366</v>
      </c>
    </row>
    <row r="70" spans="1:16" ht="12.75">
      <c r="A70" s="133">
        <f>'LLH Slice Load'!A16</f>
        <v>1942</v>
      </c>
      <c r="B70" s="1">
        <f>('LLH Slice Load'!B16-'HLH-LLH Loads'!N$8)*'HLH-LLH Loads'!N$5</f>
        <v>40129.111782202</v>
      </c>
      <c r="C70" s="1">
        <f>('LLH Slice Load'!C16-'HLH-LLH Loads'!O$8)*'HLH-LLH Loads'!O$5</f>
        <v>32082.82259989648</v>
      </c>
      <c r="D70" s="1">
        <f>('LLH Slice Load'!D16-'HLH-LLH Loads'!P$8)*'HLH-LLH Loads'!P$5</f>
        <v>-33978.88579251554</v>
      </c>
      <c r="E70" s="1">
        <f>('LLH Slice Load'!E16-'HLH-LLH Loads'!Q$8)*'HLH-LLH Loads'!Q$5</f>
        <v>39516.462874791105</v>
      </c>
      <c r="F70" s="1">
        <f>('LLH Slice Load'!F16-'HLH-LLH Loads'!R$8)*'HLH-LLH Loads'!R$5</f>
        <v>-14438.124137137225</v>
      </c>
      <c r="G70" s="1">
        <f>('LLH Slice Load'!G16-'HLH-LLH Loads'!S$8)*'HLH-LLH Loads'!S$5</f>
        <v>33448.96816929536</v>
      </c>
      <c r="H70" s="1">
        <f>('LLH Slice Load'!H16-'HLH-LLH Loads'!T$8)*'HLH-LLH Loads'!T$5</f>
        <v>-23647.47384547822</v>
      </c>
      <c r="I70" s="1">
        <f>('LLH Slice Load'!I16-'HLH-LLH Loads'!U$8)*'HLH-LLH Loads'!U$5</f>
        <v>-83966.23455141525</v>
      </c>
      <c r="J70" s="1">
        <f>('LLH Slice Load'!J16-'HLH-LLH Loads'!V$8)*'HLH-LLH Loads'!V$5</f>
        <v>-104166.0283457072</v>
      </c>
      <c r="K70" s="1">
        <f>('LLH Slice Load'!K16-'HLH-LLH Loads'!W$8)*'HLH-LLH Loads'!W$5</f>
        <v>9439.726185405316</v>
      </c>
      <c r="L70" s="1">
        <f>('LLH Slice Load'!L16-'HLH-LLH Loads'!X$8)*'HLH-LLH Loads'!X$5</f>
        <v>8569.126719199452</v>
      </c>
      <c r="M70" s="1">
        <f>('LLH Slice Load'!M16-'HLH-LLH Loads'!Y$8)*'HLH-LLH Loads'!Y$5</f>
        <v>134713.93096235406</v>
      </c>
      <c r="N70" s="1">
        <f>('LLH Slice Load'!N16-'HLH-LLH Loads'!Z$8)*'HLH-LLH Loads'!Z$5</f>
        <v>193034.26433890886</v>
      </c>
      <c r="O70" s="1">
        <f>('LLH Slice Load'!O16-'HLH-LLH Loads'!AA$8)*'HLH-LLH Loads'!AA$5</f>
        <v>242565.2686655398</v>
      </c>
      <c r="P70" s="1">
        <f t="shared" si="2"/>
        <v>473302.93562533904</v>
      </c>
    </row>
    <row r="71" spans="1:16" ht="12.75">
      <c r="A71" s="133">
        <f>'LLH Slice Load'!A17</f>
        <v>1943</v>
      </c>
      <c r="B71" s="1">
        <f>('LLH Slice Load'!B17-'HLH-LLH Loads'!N$8)*'HLH-LLH Loads'!N$5</f>
        <v>96959.36521636519</v>
      </c>
      <c r="C71" s="1">
        <f>('LLH Slice Load'!C17-'HLH-LLH Loads'!O$8)*'HLH-LLH Loads'!O$5</f>
        <v>61740.186850399004</v>
      </c>
      <c r="D71" s="1">
        <f>('LLH Slice Load'!D17-'HLH-LLH Loads'!P$8)*'HLH-LLH Loads'!P$5</f>
        <v>-11657.61560818558</v>
      </c>
      <c r="E71" s="1">
        <f>('LLH Slice Load'!E17-'HLH-LLH Loads'!Q$8)*'HLH-LLH Loads'!Q$5</f>
        <v>29318.498675802883</v>
      </c>
      <c r="F71" s="1">
        <f>('LLH Slice Load'!F17-'HLH-LLH Loads'!R$8)*'HLH-LLH Loads'!R$5</f>
        <v>-34150.57451521992</v>
      </c>
      <c r="G71" s="1">
        <f>('LLH Slice Load'!G17-'HLH-LLH Loads'!S$8)*'HLH-LLH Loads'!S$5</f>
        <v>-53386.81047572757</v>
      </c>
      <c r="H71" s="1">
        <f>('LLH Slice Load'!H17-'HLH-LLH Loads'!T$8)*'HLH-LLH Loads'!T$5</f>
        <v>-13951.112123546522</v>
      </c>
      <c r="I71" s="1">
        <f>('LLH Slice Load'!I17-'HLH-LLH Loads'!U$8)*'HLH-LLH Loads'!U$5</f>
        <v>244.4861640264644</v>
      </c>
      <c r="J71" s="1">
        <f>('LLH Slice Load'!J17-'HLH-LLH Loads'!V$8)*'HLH-LLH Loads'!V$5</f>
        <v>31323.09111353963</v>
      </c>
      <c r="K71" s="1">
        <f>('LLH Slice Load'!K17-'HLH-LLH Loads'!W$8)*'HLH-LLH Loads'!W$5</f>
        <v>170749.60977998763</v>
      </c>
      <c r="L71" s="1">
        <f>('LLH Slice Load'!L17-'HLH-LLH Loads'!X$8)*'HLH-LLH Loads'!X$5</f>
        <v>115387.36074740387</v>
      </c>
      <c r="M71" s="1">
        <f>('LLH Slice Load'!M17-'HLH-LLH Loads'!Y$8)*'HLH-LLH Loads'!Y$5</f>
        <v>305354.8695547543</v>
      </c>
      <c r="N71" s="1">
        <f>('LLH Slice Load'!N17-'HLH-LLH Loads'!Z$8)*'HLH-LLH Loads'!Z$5</f>
        <v>251802.12531047547</v>
      </c>
      <c r="O71" s="1">
        <f>('LLH Slice Load'!O17-'HLH-LLH Loads'!AA$8)*'HLH-LLH Loads'!AA$5</f>
        <v>243125.70913348373</v>
      </c>
      <c r="P71" s="1">
        <f t="shared" si="2"/>
        <v>1192859.1898235586</v>
      </c>
    </row>
    <row r="72" spans="1:16" ht="12.75">
      <c r="A72" s="133">
        <f>'LLH Slice Load'!A18</f>
        <v>1944</v>
      </c>
      <c r="B72" s="1">
        <f>('LLH Slice Load'!B18-'HLH-LLH Loads'!N$8)*'HLH-LLH Loads'!N$5</f>
        <v>81926.28071640481</v>
      </c>
      <c r="C72" s="1">
        <f>('LLH Slice Load'!C18-'HLH-LLH Loads'!O$8)*'HLH-LLH Loads'!O$5</f>
        <v>63876.948610228974</v>
      </c>
      <c r="D72" s="1">
        <f>('LLH Slice Load'!D18-'HLH-LLH Loads'!P$8)*'HLH-LLH Loads'!P$5</f>
        <v>-30083.35893012092</v>
      </c>
      <c r="E72" s="1">
        <f>('LLH Slice Load'!E18-'HLH-LLH Loads'!Q$8)*'HLH-LLH Loads'!Q$5</f>
        <v>35993.888737371366</v>
      </c>
      <c r="F72" s="1">
        <f>('LLH Slice Load'!F18-'HLH-LLH Loads'!R$8)*'HLH-LLH Loads'!R$5</f>
        <v>-38836.03778654858</v>
      </c>
      <c r="G72" s="1">
        <f>('LLH Slice Load'!G18-'HLH-LLH Loads'!S$8)*'HLH-LLH Loads'!S$5</f>
        <v>-52400.04896311295</v>
      </c>
      <c r="H72" s="1">
        <f>('LLH Slice Load'!H18-'HLH-LLH Loads'!T$8)*'HLH-LLH Loads'!T$5</f>
        <v>-193479.89702729127</v>
      </c>
      <c r="I72" s="1">
        <f>('LLH Slice Load'!I18-'HLH-LLH Loads'!U$8)*'HLH-LLH Loads'!U$5</f>
        <v>-132448.30652308738</v>
      </c>
      <c r="J72" s="1">
        <f>('LLH Slice Load'!J18-'HLH-LLH Loads'!V$8)*'HLH-LLH Loads'!V$5</f>
        <v>-123013.6868901719</v>
      </c>
      <c r="K72" s="1">
        <f>('LLH Slice Load'!K18-'HLH-LLH Loads'!W$8)*'HLH-LLH Loads'!W$5</f>
        <v>-17816.03801524841</v>
      </c>
      <c r="L72" s="1">
        <f>('LLH Slice Load'!L18-'HLH-LLH Loads'!X$8)*'HLH-LLH Loads'!X$5</f>
        <v>-17555.795899990335</v>
      </c>
      <c r="M72" s="1">
        <f>('LLH Slice Load'!M18-'HLH-LLH Loads'!Y$8)*'HLH-LLH Loads'!Y$5</f>
        <v>75799.91496388159</v>
      </c>
      <c r="N72" s="1">
        <f>('LLH Slice Load'!N18-'HLH-LLH Loads'!Z$8)*'HLH-LLH Loads'!Z$5</f>
        <v>127149.48641330027</v>
      </c>
      <c r="O72" s="1">
        <f>('LLH Slice Load'!O18-'HLH-LLH Loads'!AA$8)*'HLH-LLH Loads'!AA$5</f>
        <v>123924.45395657151</v>
      </c>
      <c r="P72" s="1">
        <f t="shared" si="2"/>
        <v>-96962.19663781325</v>
      </c>
    </row>
    <row r="73" spans="1:16" ht="12.75">
      <c r="A73" s="133">
        <f>'LLH Slice Load'!A19</f>
        <v>1945</v>
      </c>
      <c r="B73" s="1">
        <f>('LLH Slice Load'!B19-'HLH-LLH Loads'!N$8)*'HLH-LLH Loads'!N$5</f>
        <v>42780.984589884654</v>
      </c>
      <c r="C73" s="1">
        <f>('LLH Slice Load'!C19-'HLH-LLH Loads'!O$8)*'HLH-LLH Loads'!O$5</f>
        <v>25467.09407063223</v>
      </c>
      <c r="D73" s="1">
        <f>('LLH Slice Load'!D19-'HLH-LLH Loads'!P$8)*'HLH-LLH Loads'!P$5</f>
        <v>-43932.9145777081</v>
      </c>
      <c r="E73" s="1">
        <f>('LLH Slice Load'!E19-'HLH-LLH Loads'!Q$8)*'HLH-LLH Loads'!Q$5</f>
        <v>11289.33942652242</v>
      </c>
      <c r="F73" s="1">
        <f>('LLH Slice Load'!F19-'HLH-LLH Loads'!R$8)*'HLH-LLH Loads'!R$5</f>
        <v>-21740.163465184705</v>
      </c>
      <c r="G73" s="1">
        <f>('LLH Slice Load'!G19-'HLH-LLH Loads'!S$8)*'HLH-LLH Loads'!S$5</f>
        <v>-68324.72998305582</v>
      </c>
      <c r="H73" s="1">
        <f>('LLH Slice Load'!H19-'HLH-LLH Loads'!T$8)*'HLH-LLH Loads'!T$5</f>
        <v>-209798.2481907579</v>
      </c>
      <c r="I73" s="1">
        <f>('LLH Slice Load'!I19-'HLH-LLH Loads'!U$8)*'HLH-LLH Loads'!U$5</f>
        <v>-165899.4713692015</v>
      </c>
      <c r="J73" s="1">
        <f>('LLH Slice Load'!J19-'HLH-LLH Loads'!V$8)*'HLH-LLH Loads'!V$5</f>
        <v>-111767.80066535824</v>
      </c>
      <c r="K73" s="1">
        <f>('LLH Slice Load'!K19-'HLH-LLH Loads'!W$8)*'HLH-LLH Loads'!W$5</f>
        <v>-19200.975863199696</v>
      </c>
      <c r="L73" s="1">
        <f>('LLH Slice Load'!L19-'HLH-LLH Loads'!X$8)*'HLH-LLH Loads'!X$5</f>
        <v>-9518.434918357787</v>
      </c>
      <c r="M73" s="1">
        <f>('LLH Slice Load'!M19-'HLH-LLH Loads'!Y$8)*'HLH-LLH Loads'!Y$5</f>
        <v>160697.17160882422</v>
      </c>
      <c r="N73" s="1">
        <f>('LLH Slice Load'!N19-'HLH-LLH Loads'!Z$8)*'HLH-LLH Loads'!Z$5</f>
        <v>190192.53735339118</v>
      </c>
      <c r="O73" s="1">
        <f>('LLH Slice Load'!O19-'HLH-LLH Loads'!AA$8)*'HLH-LLH Loads'!AA$5</f>
        <v>180548.75935922068</v>
      </c>
      <c r="P73" s="1">
        <f t="shared" si="2"/>
        <v>-39206.85262434825</v>
      </c>
    </row>
    <row r="74" spans="1:16" ht="12.75">
      <c r="A74" s="133">
        <f>'LLH Slice Load'!A20</f>
        <v>1946</v>
      </c>
      <c r="B74" s="1">
        <f>('LLH Slice Load'!B20-'HLH-LLH Loads'!N$8)*'HLH-LLH Loads'!N$5</f>
        <v>48380.953791208485</v>
      </c>
      <c r="C74" s="1">
        <f>('LLH Slice Load'!C20-'HLH-LLH Loads'!O$8)*'HLH-LLH Loads'!O$5</f>
        <v>51974.27440155414</v>
      </c>
      <c r="D74" s="1">
        <f>('LLH Slice Load'!D20-'HLH-LLH Loads'!P$8)*'HLH-LLH Loads'!P$5</f>
        <v>-27173.79971987375</v>
      </c>
      <c r="E74" s="1">
        <f>('LLH Slice Load'!E20-'HLH-LLH Loads'!Q$8)*'HLH-LLH Loads'!Q$5</f>
        <v>7831.848724874936</v>
      </c>
      <c r="F74" s="1">
        <f>('LLH Slice Load'!F20-'HLH-LLH Loads'!R$8)*'HLH-LLH Loads'!R$5</f>
        <v>-30848.93585775958</v>
      </c>
      <c r="G74" s="1">
        <f>('LLH Slice Load'!G20-'HLH-LLH Loads'!S$8)*'HLH-LLH Loads'!S$5</f>
        <v>-26341.366218431478</v>
      </c>
      <c r="H74" s="1">
        <f>('LLH Slice Load'!H20-'HLH-LLH Loads'!T$8)*'HLH-LLH Loads'!T$5</f>
        <v>28699.664436027804</v>
      </c>
      <c r="I74" s="1">
        <f>('LLH Slice Load'!I20-'HLH-LLH Loads'!U$8)*'HLH-LLH Loads'!U$5</f>
        <v>-97881.28069640153</v>
      </c>
      <c r="J74" s="1">
        <f>('LLH Slice Load'!J20-'HLH-LLH Loads'!V$8)*'HLH-LLH Loads'!V$5</f>
        <v>-2065.506348206747</v>
      </c>
      <c r="K74" s="1">
        <f>('LLH Slice Load'!K20-'HLH-LLH Loads'!W$8)*'HLH-LLH Loads'!W$5</f>
        <v>59943.78578174014</v>
      </c>
      <c r="L74" s="1">
        <f>('LLH Slice Load'!L20-'HLH-LLH Loads'!X$8)*'HLH-LLH Loads'!X$5</f>
        <v>87630.46297833214</v>
      </c>
      <c r="M74" s="1">
        <f>('LLH Slice Load'!M20-'HLH-LLH Loads'!Y$8)*'HLH-LLH Loads'!Y$5</f>
        <v>381915.3917817677</v>
      </c>
      <c r="N74" s="1">
        <f>('LLH Slice Load'!N20-'HLH-LLH Loads'!Z$8)*'HLH-LLH Loads'!Z$5</f>
        <v>250619.7440970595</v>
      </c>
      <c r="O74" s="1">
        <f>('LLH Slice Load'!O20-'HLH-LLH Loads'!AA$8)*'HLH-LLH Loads'!AA$5</f>
        <v>206485.27816078663</v>
      </c>
      <c r="P74" s="1">
        <f t="shared" si="2"/>
        <v>939170.5153126783</v>
      </c>
    </row>
    <row r="75" spans="1:16" ht="12.75">
      <c r="A75" s="133">
        <f>'LLH Slice Load'!A21</f>
        <v>1947</v>
      </c>
      <c r="B75" s="1">
        <f>('LLH Slice Load'!B21-'HLH-LLH Loads'!N$8)*'HLH-LLH Loads'!N$5</f>
        <v>67813.4896103937</v>
      </c>
      <c r="C75" s="1">
        <f>('LLH Slice Load'!C21-'HLH-LLH Loads'!O$8)*'HLH-LLH Loads'!O$5</f>
        <v>28668.503437784675</v>
      </c>
      <c r="D75" s="1">
        <f>('LLH Slice Load'!D21-'HLH-LLH Loads'!P$8)*'HLH-LLH Loads'!P$5</f>
        <v>-10820.647711947804</v>
      </c>
      <c r="E75" s="1">
        <f>('LLH Slice Load'!E21-'HLH-LLH Loads'!Q$8)*'HLH-LLH Loads'!Q$5</f>
        <v>44467.30956205957</v>
      </c>
      <c r="F75" s="1">
        <f>('LLH Slice Load'!F21-'HLH-LLH Loads'!R$8)*'HLH-LLH Loads'!R$5</f>
        <v>-25475.50136333595</v>
      </c>
      <c r="G75" s="1">
        <f>('LLH Slice Load'!G21-'HLH-LLH Loads'!S$8)*'HLH-LLH Loads'!S$5</f>
        <v>44634.28891315033</v>
      </c>
      <c r="H75" s="1">
        <f>('LLH Slice Load'!H21-'HLH-LLH Loads'!T$8)*'HLH-LLH Loads'!T$5</f>
        <v>124323.35350064105</v>
      </c>
      <c r="I75" s="1">
        <f>('LLH Slice Load'!I21-'HLH-LLH Loads'!U$8)*'HLH-LLH Loads'!U$5</f>
        <v>49477.90811784231</v>
      </c>
      <c r="J75" s="1">
        <f>('LLH Slice Load'!J21-'HLH-LLH Loads'!V$8)*'HLH-LLH Loads'!V$5</f>
        <v>-19145.51134658567</v>
      </c>
      <c r="K75" s="1">
        <f>('LLH Slice Load'!K21-'HLH-LLH Loads'!W$8)*'HLH-LLH Loads'!W$5</f>
        <v>46966.67770847461</v>
      </c>
      <c r="L75" s="1">
        <f>('LLH Slice Load'!L21-'HLH-LLH Loads'!X$8)*'HLH-LLH Loads'!X$5</f>
        <v>48599.76773353733</v>
      </c>
      <c r="M75" s="1">
        <f>('LLH Slice Load'!M21-'HLH-LLH Loads'!Y$8)*'HLH-LLH Loads'!Y$5</f>
        <v>248721.03148091753</v>
      </c>
      <c r="N75" s="1">
        <f>('LLH Slice Load'!N21-'HLH-LLH Loads'!Z$8)*'HLH-LLH Loads'!Z$5</f>
        <v>225131.79543024936</v>
      </c>
      <c r="O75" s="1">
        <f>('LLH Slice Load'!O21-'HLH-LLH Loads'!AA$8)*'HLH-LLH Loads'!AA$5</f>
        <v>186218.50751286428</v>
      </c>
      <c r="P75" s="1">
        <f t="shared" si="2"/>
        <v>1059580.972586045</v>
      </c>
    </row>
    <row r="76" spans="1:16" ht="12.75">
      <c r="A76" s="133">
        <f>'LLH Slice Load'!A22</f>
        <v>1948</v>
      </c>
      <c r="B76" s="1">
        <f>('LLH Slice Load'!B22-'HLH-LLH Loads'!N$8)*'HLH-LLH Loads'!N$5</f>
        <v>61321.13809390085</v>
      </c>
      <c r="C76" s="1">
        <f>('LLH Slice Load'!C22-'HLH-LLH Loads'!O$8)*'HLH-LLH Loads'!O$5</f>
        <v>43282.719804713764</v>
      </c>
      <c r="D76" s="1">
        <f>('LLH Slice Load'!D22-'HLH-LLH Loads'!P$8)*'HLH-LLH Loads'!P$5</f>
        <v>-20941.090327536764</v>
      </c>
      <c r="E76" s="1">
        <f>('LLH Slice Load'!E22-'HLH-LLH Loads'!Q$8)*'HLH-LLH Loads'!Q$5</f>
        <v>136351.5464535485</v>
      </c>
      <c r="F76" s="1">
        <f>('LLH Slice Load'!F22-'HLH-LLH Loads'!R$8)*'HLH-LLH Loads'!R$5</f>
        <v>15730.61129168422</v>
      </c>
      <c r="G76" s="1">
        <f>('LLH Slice Load'!G22-'HLH-LLH Loads'!S$8)*'HLH-LLH Loads'!S$5</f>
        <v>-21721.148121392667</v>
      </c>
      <c r="H76" s="1">
        <f>('LLH Slice Load'!H22-'HLH-LLH Loads'!T$8)*'HLH-LLH Loads'!T$5</f>
        <v>124377.2869820181</v>
      </c>
      <c r="I76" s="1">
        <f>('LLH Slice Load'!I22-'HLH-LLH Loads'!U$8)*'HLH-LLH Loads'!U$5</f>
        <v>-11460.713805464904</v>
      </c>
      <c r="J76" s="1">
        <f>('LLH Slice Load'!J22-'HLH-LLH Loads'!V$8)*'HLH-LLH Loads'!V$5</f>
        <v>-55353.418541526735</v>
      </c>
      <c r="K76" s="1">
        <f>('LLH Slice Load'!K22-'HLH-LLH Loads'!W$8)*'HLH-LLH Loads'!W$5</f>
        <v>38206.05687621042</v>
      </c>
      <c r="L76" s="1">
        <f>('LLH Slice Load'!L22-'HLH-LLH Loads'!X$8)*'HLH-LLH Loads'!X$5</f>
        <v>75328.84104652843</v>
      </c>
      <c r="M76" s="1">
        <f>('LLH Slice Load'!M22-'HLH-LLH Loads'!Y$8)*'HLH-LLH Loads'!Y$5</f>
        <v>466045.11364125984</v>
      </c>
      <c r="N76" s="1">
        <f>('LLH Slice Load'!N22-'HLH-LLH Loads'!Z$8)*'HLH-LLH Loads'!Z$5</f>
        <v>631868.4309991921</v>
      </c>
      <c r="O76" s="1">
        <f>('LLH Slice Load'!O22-'HLH-LLH Loads'!AA$8)*'HLH-LLH Loads'!AA$5</f>
        <v>362151.77581703675</v>
      </c>
      <c r="P76" s="1">
        <f t="shared" si="2"/>
        <v>1845187.150210172</v>
      </c>
    </row>
    <row r="77" spans="1:16" ht="12.75">
      <c r="A77" s="133">
        <f>'LLH Slice Load'!A23</f>
        <v>1949</v>
      </c>
      <c r="B77" s="1">
        <f>('LLH Slice Load'!B23-'HLH-LLH Loads'!N$8)*'HLH-LLH Loads'!N$5</f>
        <v>90302.26763305337</v>
      </c>
      <c r="C77" s="1">
        <f>('LLH Slice Load'!C23-'HLH-LLH Loads'!O$8)*'HLH-LLH Loads'!O$5</f>
        <v>110926.80625343928</v>
      </c>
      <c r="D77" s="1">
        <f>('LLH Slice Load'!D23-'HLH-LLH Loads'!P$8)*'HLH-LLH Loads'!P$5</f>
        <v>12055.355090814528</v>
      </c>
      <c r="E77" s="1">
        <f>('LLH Slice Load'!E23-'HLH-LLH Loads'!Q$8)*'HLH-LLH Loads'!Q$5</f>
        <v>55274.48543460532</v>
      </c>
      <c r="F77" s="1">
        <f>('LLH Slice Load'!F23-'HLH-LLH Loads'!R$8)*'HLH-LLH Loads'!R$5</f>
        <v>-34228.156483200124</v>
      </c>
      <c r="G77" s="1">
        <f>('LLH Slice Load'!G23-'HLH-LLH Loads'!S$8)*'HLH-LLH Loads'!S$5</f>
        <v>-58484.924015140285</v>
      </c>
      <c r="H77" s="1">
        <f>('LLH Slice Load'!H23-'HLH-LLH Loads'!T$8)*'HLH-LLH Loads'!T$5</f>
        <v>-65010.424534713355</v>
      </c>
      <c r="I77" s="1">
        <f>('LLH Slice Load'!I23-'HLH-LLH Loads'!U$8)*'HLH-LLH Loads'!U$5</f>
        <v>-107560.72863708492</v>
      </c>
      <c r="J77" s="1">
        <f>('LLH Slice Load'!J23-'HLH-LLH Loads'!V$8)*'HLH-LLH Loads'!V$5</f>
        <v>136474.53277078003</v>
      </c>
      <c r="K77" s="1">
        <f>('LLH Slice Load'!K23-'HLH-LLH Loads'!W$8)*'HLH-LLH Loads'!W$5</f>
        <v>75128.61974564423</v>
      </c>
      <c r="L77" s="1">
        <f>('LLH Slice Load'!L23-'HLH-LLH Loads'!X$8)*'HLH-LLH Loads'!X$5</f>
        <v>113199.5862290797</v>
      </c>
      <c r="M77" s="1">
        <f>('LLH Slice Load'!M23-'HLH-LLH Loads'!Y$8)*'HLH-LLH Loads'!Y$5</f>
        <v>241463.39664674527</v>
      </c>
      <c r="N77" s="1">
        <f>('LLH Slice Load'!N23-'HLH-LLH Loads'!Z$8)*'HLH-LLH Loads'!Z$5</f>
        <v>222634.72321923974</v>
      </c>
      <c r="O77" s="1">
        <f>('LLH Slice Load'!O23-'HLH-LLH Loads'!AA$8)*'HLH-LLH Loads'!AA$5</f>
        <v>112654.07494146057</v>
      </c>
      <c r="P77" s="1">
        <f t="shared" si="2"/>
        <v>904829.6142947234</v>
      </c>
    </row>
    <row r="78" spans="1:16" ht="12.75">
      <c r="A78" s="133">
        <f>'LLH Slice Load'!A24</f>
        <v>1950</v>
      </c>
      <c r="B78" s="1">
        <f>('LLH Slice Load'!B24-'HLH-LLH Loads'!N$8)*'HLH-LLH Loads'!N$5</f>
        <v>16314.164180223457</v>
      </c>
      <c r="C78" s="1">
        <f>('LLH Slice Load'!C24-'HLH-LLH Loads'!O$8)*'HLH-LLH Loads'!O$5</f>
        <v>11758.264722320218</v>
      </c>
      <c r="D78" s="1">
        <f>('LLH Slice Load'!D24-'HLH-LLH Loads'!P$8)*'HLH-LLH Loads'!P$5</f>
        <v>-34774.30071202874</v>
      </c>
      <c r="E78" s="1">
        <f>('LLH Slice Load'!E24-'HLH-LLH Loads'!Q$8)*'HLH-LLH Loads'!Q$5</f>
        <v>15737.926898537939</v>
      </c>
      <c r="F78" s="1">
        <f>('LLH Slice Load'!F24-'HLH-LLH Loads'!R$8)*'HLH-LLH Loads'!R$5</f>
        <v>-37978.80020977516</v>
      </c>
      <c r="G78" s="1">
        <f>('LLH Slice Load'!G24-'HLH-LLH Loads'!S$8)*'HLH-LLH Loads'!S$5</f>
        <v>-36680.27140682881</v>
      </c>
      <c r="H78" s="1">
        <f>('LLH Slice Load'!H24-'HLH-LLH Loads'!T$8)*'HLH-LLH Loads'!T$5</f>
        <v>32214.455245364356</v>
      </c>
      <c r="I78" s="1">
        <f>('LLH Slice Load'!I24-'HLH-LLH Loads'!U$8)*'HLH-LLH Loads'!U$5</f>
        <v>-15723.129917112936</v>
      </c>
      <c r="J78" s="1">
        <f>('LLH Slice Load'!J24-'HLH-LLH Loads'!V$8)*'HLH-LLH Loads'!V$5</f>
        <v>78147.27146491817</v>
      </c>
      <c r="K78" s="1">
        <f>('LLH Slice Load'!K24-'HLH-LLH Loads'!W$8)*'HLH-LLH Loads'!W$5</f>
        <v>126293.94788556814</v>
      </c>
      <c r="L78" s="1">
        <f>('LLH Slice Load'!L24-'HLH-LLH Loads'!X$8)*'HLH-LLH Loads'!X$5</f>
        <v>94184.30291809764</v>
      </c>
      <c r="M78" s="1">
        <f>('LLH Slice Load'!M24-'HLH-LLH Loads'!Y$8)*'HLH-LLH Loads'!Y$5</f>
        <v>253744.31809710714</v>
      </c>
      <c r="N78" s="1">
        <f>('LLH Slice Load'!N24-'HLH-LLH Loads'!Z$8)*'HLH-LLH Loads'!Z$5</f>
        <v>527568.306308413</v>
      </c>
      <c r="O78" s="1">
        <f>('LLH Slice Load'!O24-'HLH-LLH Loads'!AA$8)*'HLH-LLH Loads'!AA$5</f>
        <v>332753.24729643296</v>
      </c>
      <c r="P78" s="1">
        <f t="shared" si="2"/>
        <v>1363559.7027712376</v>
      </c>
    </row>
    <row r="79" spans="1:16" ht="12.75">
      <c r="A79" s="133">
        <f>'LLH Slice Load'!A25</f>
        <v>1951</v>
      </c>
      <c r="B79" s="1">
        <f>('LLH Slice Load'!B25-'HLH-LLH Loads'!N$8)*'HLH-LLH Loads'!N$5</f>
        <v>66187.24240812314</v>
      </c>
      <c r="C79" s="1">
        <f>('LLH Slice Load'!C25-'HLH-LLH Loads'!O$8)*'HLH-LLH Loads'!O$5</f>
        <v>67028.80346236008</v>
      </c>
      <c r="D79" s="1">
        <f>('LLH Slice Load'!D25-'HLH-LLH Loads'!P$8)*'HLH-LLH Loads'!P$5</f>
        <v>-12122.58360053385</v>
      </c>
      <c r="E79" s="1">
        <f>('LLH Slice Load'!E25-'HLH-LLH Loads'!Q$8)*'HLH-LLH Loads'!Q$5</f>
        <v>82192.80058447257</v>
      </c>
      <c r="F79" s="1">
        <f>('LLH Slice Load'!F25-'HLH-LLH Loads'!R$8)*'HLH-LLH Loads'!R$5</f>
        <v>42914.39289937438</v>
      </c>
      <c r="G79" s="1">
        <f>('LLH Slice Load'!G25-'HLH-LLH Loads'!S$8)*'HLH-LLH Loads'!S$5</f>
        <v>76262.17436852906</v>
      </c>
      <c r="H79" s="1">
        <f>('LLH Slice Load'!H25-'HLH-LLH Loads'!T$8)*'HLH-LLH Loads'!T$5</f>
        <v>194662.85255346977</v>
      </c>
      <c r="I79" s="1">
        <f>('LLH Slice Load'!I25-'HLH-LLH Loads'!U$8)*'HLH-LLH Loads'!U$5</f>
        <v>94010.7753328039</v>
      </c>
      <c r="J79" s="1">
        <f>('LLH Slice Load'!J25-'HLH-LLH Loads'!V$8)*'HLH-LLH Loads'!V$5</f>
        <v>69849.68339563852</v>
      </c>
      <c r="K79" s="1">
        <f>('LLH Slice Load'!K25-'HLH-LLH Loads'!W$8)*'HLH-LLH Loads'!W$5</f>
        <v>143444.8404889041</v>
      </c>
      <c r="L79" s="1">
        <f>('LLH Slice Load'!L25-'HLH-LLH Loads'!X$8)*'HLH-LLH Loads'!X$5</f>
        <v>125864.38872446891</v>
      </c>
      <c r="M79" s="1">
        <f>('LLH Slice Load'!M25-'HLH-LLH Loads'!Y$8)*'HLH-LLH Loads'!Y$5</f>
        <v>403183.76575137844</v>
      </c>
      <c r="N79" s="1">
        <f>('LLH Slice Load'!N25-'HLH-LLH Loads'!Z$8)*'HLH-LLH Loads'!Z$5</f>
        <v>202128.18404246503</v>
      </c>
      <c r="O79" s="1">
        <f>('LLH Slice Load'!O25-'HLH-LLH Loads'!AA$8)*'HLH-LLH Loads'!AA$5</f>
        <v>276816.1754158309</v>
      </c>
      <c r="P79" s="1">
        <f t="shared" si="2"/>
        <v>1832423.4958272846</v>
      </c>
    </row>
    <row r="80" spans="1:16" ht="12.75">
      <c r="A80" s="133">
        <f>'LLH Slice Load'!A26</f>
        <v>1952</v>
      </c>
      <c r="B80" s="1">
        <f>('LLH Slice Load'!B26-'HLH-LLH Loads'!N$8)*'HLH-LLH Loads'!N$5</f>
        <v>90151.25138777724</v>
      </c>
      <c r="C80" s="1">
        <f>('LLH Slice Load'!C26-'HLH-LLH Loads'!O$8)*'HLH-LLH Loads'!O$5</f>
        <v>71316.90574908404</v>
      </c>
      <c r="D80" s="1">
        <f>('LLH Slice Load'!D26-'HLH-LLH Loads'!P$8)*'HLH-LLH Loads'!P$5</f>
        <v>-13977.058225973908</v>
      </c>
      <c r="E80" s="1">
        <f>('LLH Slice Load'!E26-'HLH-LLH Loads'!Q$8)*'HLH-LLH Loads'!Q$5</f>
        <v>108322.35773356489</v>
      </c>
      <c r="F80" s="1">
        <f>('LLH Slice Load'!F26-'HLH-LLH Loads'!R$8)*'HLH-LLH Loads'!R$5</f>
        <v>-18571.501491622657</v>
      </c>
      <c r="G80" s="1">
        <f>('LLH Slice Load'!G26-'HLH-LLH Loads'!S$8)*'HLH-LLH Loads'!S$5</f>
        <v>3039.612251165043</v>
      </c>
      <c r="H80" s="1">
        <f>('LLH Slice Load'!H26-'HLH-LLH Loads'!T$8)*'HLH-LLH Loads'!T$5</f>
        <v>103701.44095495033</v>
      </c>
      <c r="I80" s="1">
        <f>('LLH Slice Load'!I26-'HLH-LLH Loads'!U$8)*'HLH-LLH Loads'!U$5</f>
        <v>-49528.7304374815</v>
      </c>
      <c r="J80" s="1">
        <f>('LLH Slice Load'!J26-'HLH-LLH Loads'!V$8)*'HLH-LLH Loads'!V$5</f>
        <v>-39839.790926479305</v>
      </c>
      <c r="K80" s="1">
        <f>('LLH Slice Load'!K26-'HLH-LLH Loads'!W$8)*'HLH-LLH Loads'!W$5</f>
        <v>140401.35421280732</v>
      </c>
      <c r="L80" s="1">
        <f>('LLH Slice Load'!L26-'HLH-LLH Loads'!X$8)*'HLH-LLH Loads'!X$5</f>
        <v>98933.91681729275</v>
      </c>
      <c r="M80" s="1">
        <f>('LLH Slice Load'!M26-'HLH-LLH Loads'!Y$8)*'HLH-LLH Loads'!Y$5</f>
        <v>433108.0693721038</v>
      </c>
      <c r="N80" s="1">
        <f>('LLH Slice Load'!N26-'HLH-LLH Loads'!Z$8)*'HLH-LLH Loads'!Z$5</f>
        <v>239672.17029216164</v>
      </c>
      <c r="O80" s="1">
        <f>('LLH Slice Load'!O26-'HLH-LLH Loads'!AA$8)*'HLH-LLH Loads'!AA$5</f>
        <v>174531.96994816102</v>
      </c>
      <c r="P80" s="1">
        <f t="shared" si="2"/>
        <v>1341261.9676375105</v>
      </c>
    </row>
    <row r="81" spans="1:16" ht="12.75">
      <c r="A81" s="133">
        <f>'LLH Slice Load'!A27</f>
        <v>1953</v>
      </c>
      <c r="B81" s="1">
        <f>('LLH Slice Load'!B27-'HLH-LLH Loads'!N$8)*'HLH-LLH Loads'!N$5</f>
        <v>61881.83920830216</v>
      </c>
      <c r="C81" s="1">
        <f>('LLH Slice Load'!C27-'HLH-LLH Loads'!O$8)*'HLH-LLH Loads'!O$5</f>
        <v>35095.32738466433</v>
      </c>
      <c r="D81" s="1">
        <f>('LLH Slice Load'!D27-'HLH-LLH Loads'!P$8)*'HLH-LLH Loads'!P$5</f>
        <v>-32513.964318819588</v>
      </c>
      <c r="E81" s="1">
        <f>('LLH Slice Load'!E27-'HLH-LLH Loads'!Q$8)*'HLH-LLH Loads'!Q$5</f>
        <v>19159.64641953113</v>
      </c>
      <c r="F81" s="1">
        <f>('LLH Slice Load'!F27-'HLH-LLH Loads'!R$8)*'HLH-LLH Loads'!R$5</f>
        <v>-35223.62578019524</v>
      </c>
      <c r="G81" s="1">
        <f>('LLH Slice Load'!G27-'HLH-LLH Loads'!S$8)*'HLH-LLH Loads'!S$5</f>
        <v>-55206.08097966096</v>
      </c>
      <c r="H81" s="1">
        <f>('LLH Slice Load'!H27-'HLH-LLH Loads'!T$8)*'HLH-LLH Loads'!T$5</f>
        <v>-147255.81621755162</v>
      </c>
      <c r="I81" s="1">
        <f>('LLH Slice Load'!I27-'HLH-LLH Loads'!U$8)*'HLH-LLH Loads'!U$5</f>
        <v>122679.32295606134</v>
      </c>
      <c r="J81" s="1">
        <f>('LLH Slice Load'!J27-'HLH-LLH Loads'!V$8)*'HLH-LLH Loads'!V$5</f>
        <v>10800.498438303035</v>
      </c>
      <c r="K81" s="1">
        <f>('LLH Slice Load'!K27-'HLH-LLH Loads'!W$8)*'HLH-LLH Loads'!W$5</f>
        <v>7889.724352296884</v>
      </c>
      <c r="L81" s="1">
        <f>('LLH Slice Load'!L27-'HLH-LLH Loads'!X$8)*'HLH-LLH Loads'!X$5</f>
        <v>8242.257443597802</v>
      </c>
      <c r="M81" s="1">
        <f>('LLH Slice Load'!M27-'HLH-LLH Loads'!Y$8)*'HLH-LLH Loads'!Y$5</f>
        <v>178312.79180591393</v>
      </c>
      <c r="N81" s="1">
        <f>('LLH Slice Load'!N27-'HLH-LLH Loads'!Z$8)*'HLH-LLH Loads'!Z$5</f>
        <v>282316.48928252485</v>
      </c>
      <c r="O81" s="1">
        <f>('LLH Slice Load'!O27-'HLH-LLH Loads'!AA$8)*'HLH-LLH Loads'!AA$5</f>
        <v>263267.03529194463</v>
      </c>
      <c r="P81" s="1">
        <f t="shared" si="2"/>
        <v>719445.4452869126</v>
      </c>
    </row>
    <row r="82" spans="1:16" ht="12.75">
      <c r="A82" s="133">
        <f>'LLH Slice Load'!A28</f>
        <v>1954</v>
      </c>
      <c r="B82" s="1">
        <f>('LLH Slice Load'!B28-'HLH-LLH Loads'!N$8)*'HLH-LLH Loads'!N$5</f>
        <v>94389.2751669935</v>
      </c>
      <c r="C82" s="1">
        <f>('LLH Slice Load'!C28-'HLH-LLH Loads'!O$8)*'HLH-LLH Loads'!O$5</f>
        <v>67750.4916140563</v>
      </c>
      <c r="D82" s="1">
        <f>('LLH Slice Load'!D28-'HLH-LLH Loads'!P$8)*'HLH-LLH Loads'!P$5</f>
        <v>-10834.951582574462</v>
      </c>
      <c r="E82" s="1">
        <f>('LLH Slice Load'!E28-'HLH-LLH Loads'!Q$8)*'HLH-LLH Loads'!Q$5</f>
        <v>52653.58934545434</v>
      </c>
      <c r="F82" s="1">
        <f>('LLH Slice Load'!F28-'HLH-LLH Loads'!R$8)*'HLH-LLH Loads'!R$5</f>
        <v>-25022.9671237652</v>
      </c>
      <c r="G82" s="1">
        <f>('LLH Slice Load'!G28-'HLH-LLH Loads'!S$8)*'HLH-LLH Loads'!S$5</f>
        <v>-44650.0102635422</v>
      </c>
      <c r="H82" s="1">
        <f>('LLH Slice Load'!H28-'HLH-LLH Loads'!T$8)*'HLH-LLH Loads'!T$5</f>
        <v>-52394.54360186475</v>
      </c>
      <c r="I82" s="1">
        <f>('LLH Slice Load'!I28-'HLH-LLH Loads'!U$8)*'HLH-LLH Loads'!U$5</f>
        <v>168146.1286551088</v>
      </c>
      <c r="J82" s="1">
        <f>('LLH Slice Load'!J28-'HLH-LLH Loads'!V$8)*'HLH-LLH Loads'!V$5</f>
        <v>-35107.3179117377</v>
      </c>
      <c r="K82" s="1">
        <f>('LLH Slice Load'!K28-'HLH-LLH Loads'!W$8)*'HLH-LLH Loads'!W$5</f>
        <v>60269.53229105491</v>
      </c>
      <c r="L82" s="1">
        <f>('LLH Slice Load'!L28-'HLH-LLH Loads'!X$8)*'HLH-LLH Loads'!X$5</f>
        <v>42999.19067214129</v>
      </c>
      <c r="M82" s="1">
        <f>('LLH Slice Load'!M28-'HLH-LLH Loads'!Y$8)*'HLH-LLH Loads'!Y$5</f>
        <v>320404.54508163367</v>
      </c>
      <c r="N82" s="1">
        <f>('LLH Slice Load'!N28-'HLH-LLH Loads'!Z$8)*'HLH-LLH Loads'!Z$5</f>
        <v>477250.7267854273</v>
      </c>
      <c r="O82" s="1">
        <f>('LLH Slice Load'!O28-'HLH-LLH Loads'!AA$8)*'HLH-LLH Loads'!AA$5</f>
        <v>351308.56383971556</v>
      </c>
      <c r="P82" s="1">
        <f t="shared" si="2"/>
        <v>1467162.2529681013</v>
      </c>
    </row>
    <row r="83" spans="1:16" ht="12.75">
      <c r="A83" s="133">
        <f>'LLH Slice Load'!A29</f>
        <v>1955</v>
      </c>
      <c r="B83" s="1">
        <f>('LLH Slice Load'!B29-'HLH-LLH Loads'!N$8)*'HLH-LLH Loads'!N$5</f>
        <v>125554.81168472698</v>
      </c>
      <c r="C83" s="1">
        <f>('LLH Slice Load'!C29-'HLH-LLH Loads'!O$8)*'HLH-LLH Loads'!O$5</f>
        <v>104090.87466470322</v>
      </c>
      <c r="D83" s="1">
        <f>('LLH Slice Load'!D29-'HLH-LLH Loads'!P$8)*'HLH-LLH Loads'!P$5</f>
        <v>67304.02166531395</v>
      </c>
      <c r="E83" s="1">
        <f>('LLH Slice Load'!E29-'HLH-LLH Loads'!Q$8)*'HLH-LLH Loads'!Q$5</f>
        <v>75418.22440336838</v>
      </c>
      <c r="F83" s="1">
        <f>('LLH Slice Load'!F29-'HLH-LLH Loads'!R$8)*'HLH-LLH Loads'!R$5</f>
        <v>-2751.5373837546485</v>
      </c>
      <c r="G83" s="1">
        <f>('LLH Slice Load'!G29-'HLH-LLH Loads'!S$8)*'HLH-LLH Loads'!S$5</f>
        <v>-47235.817789028646</v>
      </c>
      <c r="H83" s="1">
        <f>('LLH Slice Load'!H29-'HLH-LLH Loads'!T$8)*'HLH-LLH Loads'!T$5</f>
        <v>-91661.15309305993</v>
      </c>
      <c r="I83" s="1">
        <f>('LLH Slice Load'!I29-'HLH-LLH Loads'!U$8)*'HLH-LLH Loads'!U$5</f>
        <v>-93051.3945578383</v>
      </c>
      <c r="J83" s="1">
        <f>('LLH Slice Load'!J29-'HLH-LLH Loads'!V$8)*'HLH-LLH Loads'!V$5</f>
        <v>-122985.84849687401</v>
      </c>
      <c r="K83" s="1">
        <f>('LLH Slice Load'!K29-'HLH-LLH Loads'!W$8)*'HLH-LLH Loads'!W$5</f>
        <v>20225.09692621234</v>
      </c>
      <c r="L83" s="1">
        <f>('LLH Slice Load'!L29-'HLH-LLH Loads'!X$8)*'HLH-LLH Loads'!X$5</f>
        <v>9083.157226628044</v>
      </c>
      <c r="M83" s="1">
        <f>('LLH Slice Load'!M29-'HLH-LLH Loads'!Y$8)*'HLH-LLH Loads'!Y$5</f>
        <v>112741.09691755191</v>
      </c>
      <c r="N83" s="1">
        <f>('LLH Slice Load'!N29-'HLH-LLH Loads'!Z$8)*'HLH-LLH Loads'!Z$5</f>
        <v>334190.9509430333</v>
      </c>
      <c r="O83" s="1">
        <f>('LLH Slice Load'!O29-'HLH-LLH Loads'!AA$8)*'HLH-LLH Loads'!AA$5</f>
        <v>488497.87793634576</v>
      </c>
      <c r="P83" s="1">
        <f t="shared" si="2"/>
        <v>979420.3610473284</v>
      </c>
    </row>
    <row r="84" spans="1:16" ht="12.75">
      <c r="A84" s="133">
        <f>'LLH Slice Load'!A30</f>
        <v>1956</v>
      </c>
      <c r="B84" s="1">
        <f>('LLH Slice Load'!B30-'HLH-LLH Loads'!N$8)*'HLH-LLH Loads'!N$5</f>
        <v>88591.79045872722</v>
      </c>
      <c r="C84" s="1">
        <f>('LLH Slice Load'!C30-'HLH-LLH Loads'!O$8)*'HLH-LLH Loads'!O$5</f>
        <v>88888.88165890967</v>
      </c>
      <c r="D84" s="1">
        <f>('LLH Slice Load'!D30-'HLH-LLH Loads'!P$8)*'HLH-LLH Loads'!P$5</f>
        <v>-6553.157652764394</v>
      </c>
      <c r="E84" s="1">
        <f>('LLH Slice Load'!E30-'HLH-LLH Loads'!Q$8)*'HLH-LLH Loads'!Q$5</f>
        <v>69769.87786478066</v>
      </c>
      <c r="F84" s="1">
        <f>('LLH Slice Load'!F30-'HLH-LLH Loads'!R$8)*'HLH-LLH Loads'!R$5</f>
        <v>11476.073023371015</v>
      </c>
      <c r="G84" s="1">
        <f>('LLH Slice Load'!G30-'HLH-LLH Loads'!S$8)*'HLH-LLH Loads'!S$5</f>
        <v>81611.14019051139</v>
      </c>
      <c r="H84" s="1">
        <f>('LLH Slice Load'!H30-'HLH-LLH Loads'!T$8)*'HLH-LLH Loads'!T$5</f>
        <v>206908.3268548113</v>
      </c>
      <c r="I84" s="1">
        <f>('LLH Slice Load'!I30-'HLH-LLH Loads'!U$8)*'HLH-LLH Loads'!U$5</f>
        <v>44177.86436772893</v>
      </c>
      <c r="J84" s="1">
        <f>('LLH Slice Load'!J30-'HLH-LLH Loads'!V$8)*'HLH-LLH Loads'!V$5</f>
        <v>79446.79715528674</v>
      </c>
      <c r="K84" s="1">
        <f>('LLH Slice Load'!K30-'HLH-LLH Loads'!W$8)*'HLH-LLH Loads'!W$5</f>
        <v>113691.8642950349</v>
      </c>
      <c r="L84" s="1">
        <f>('LLH Slice Load'!L30-'HLH-LLH Loads'!X$8)*'HLH-LLH Loads'!X$5</f>
        <v>160535.51505018544</v>
      </c>
      <c r="M84" s="1">
        <f>('LLH Slice Load'!M30-'HLH-LLH Loads'!Y$8)*'HLH-LLH Loads'!Y$5</f>
        <v>517533.82148097124</v>
      </c>
      <c r="N84" s="1">
        <f>('LLH Slice Load'!N30-'HLH-LLH Loads'!Z$8)*'HLH-LLH Loads'!Z$5</f>
        <v>476697.95030474034</v>
      </c>
      <c r="O84" s="1">
        <f>('LLH Slice Load'!O30-'HLH-LLH Loads'!AA$8)*'HLH-LLH Loads'!AA$5</f>
        <v>285125.06662904355</v>
      </c>
      <c r="P84" s="1">
        <f t="shared" si="2"/>
        <v>2217901.811681338</v>
      </c>
    </row>
    <row r="85" spans="1:16" ht="12.75">
      <c r="A85" s="133">
        <f>'LLH Slice Load'!A31</f>
        <v>1957</v>
      </c>
      <c r="B85" s="1">
        <f>('LLH Slice Load'!B31-'HLH-LLH Loads'!N$8)*'HLH-LLH Loads'!N$5</f>
        <v>99742.0256181829</v>
      </c>
      <c r="C85" s="1">
        <f>('LLH Slice Load'!C31-'HLH-LLH Loads'!O$8)*'HLH-LLH Loads'!O$5</f>
        <v>69623.99999813465</v>
      </c>
      <c r="D85" s="1">
        <f>('LLH Slice Load'!D31-'HLH-LLH Loads'!P$8)*'HLH-LLH Loads'!P$5</f>
        <v>-18047.921154317697</v>
      </c>
      <c r="E85" s="1">
        <f>('LLH Slice Load'!E31-'HLH-LLH Loads'!Q$8)*'HLH-LLH Loads'!Q$5</f>
        <v>59439.11232333315</v>
      </c>
      <c r="F85" s="1">
        <f>('LLH Slice Load'!F31-'HLH-LLH Loads'!R$8)*'HLH-LLH Loads'!R$5</f>
        <v>-36277.582301964874</v>
      </c>
      <c r="G85" s="1">
        <f>('LLH Slice Load'!G31-'HLH-LLH Loads'!S$8)*'HLH-LLH Loads'!S$5</f>
        <v>-27585.443858099068</v>
      </c>
      <c r="H85" s="1">
        <f>('LLH Slice Load'!H31-'HLH-LLH Loads'!T$8)*'HLH-LLH Loads'!T$5</f>
        <v>-100565.54157134055</v>
      </c>
      <c r="I85" s="1">
        <f>('LLH Slice Load'!I31-'HLH-LLH Loads'!U$8)*'HLH-LLH Loads'!U$5</f>
        <v>57751.39153800947</v>
      </c>
      <c r="J85" s="1">
        <f>('LLH Slice Load'!J31-'HLH-LLH Loads'!V$8)*'HLH-LLH Loads'!V$5</f>
        <v>-12639.216391878825</v>
      </c>
      <c r="K85" s="1">
        <f>('LLH Slice Load'!K31-'HLH-LLH Loads'!W$8)*'HLH-LLH Loads'!W$5</f>
        <v>149553.39330576328</v>
      </c>
      <c r="L85" s="1">
        <f>('LLH Slice Load'!L31-'HLH-LLH Loads'!X$8)*'HLH-LLH Loads'!X$5</f>
        <v>44669.570181320785</v>
      </c>
      <c r="M85" s="1">
        <f>('LLH Slice Load'!M31-'HLH-LLH Loads'!Y$8)*'HLH-LLH Loads'!Y$5</f>
        <v>446265.04838782514</v>
      </c>
      <c r="N85" s="1">
        <f>('LLH Slice Load'!N31-'HLH-LLH Loads'!Z$8)*'HLH-LLH Loads'!Z$5</f>
        <v>315971.83204687916</v>
      </c>
      <c r="O85" s="1">
        <f>('LLH Slice Load'!O31-'HLH-LLH Loads'!AA$8)*'HLH-LLH Loads'!AA$5</f>
        <v>163413.87890139408</v>
      </c>
      <c r="P85" s="1">
        <f t="shared" si="2"/>
        <v>1211314.5470232416</v>
      </c>
    </row>
    <row r="86" spans="1:16" ht="12.75">
      <c r="A86" s="133">
        <f>'LLH Slice Load'!A32</f>
        <v>1958</v>
      </c>
      <c r="B86" s="1">
        <f>('LLH Slice Load'!B32-'HLH-LLH Loads'!N$8)*'HLH-LLH Loads'!N$5</f>
        <v>49336.228215199386</v>
      </c>
      <c r="C86" s="1">
        <f>('LLH Slice Load'!C32-'HLH-LLH Loads'!O$8)*'HLH-LLH Loads'!O$5</f>
        <v>37894.23661966431</v>
      </c>
      <c r="D86" s="1">
        <f>('LLH Slice Load'!D32-'HLH-LLH Loads'!P$8)*'HLH-LLH Loads'!P$5</f>
        <v>-30156.43500439511</v>
      </c>
      <c r="E86" s="1">
        <f>('LLH Slice Load'!E32-'HLH-LLH Loads'!Q$8)*'HLH-LLH Loads'!Q$5</f>
        <v>29453.28330167866</v>
      </c>
      <c r="F86" s="1">
        <f>('LLH Slice Load'!F32-'HLH-LLH Loads'!R$8)*'HLH-LLH Loads'!R$5</f>
        <v>-37701.84466698618</v>
      </c>
      <c r="G86" s="1">
        <f>('LLH Slice Load'!G32-'HLH-LLH Loads'!S$8)*'HLH-LLH Loads'!S$5</f>
        <v>-54457.23310841289</v>
      </c>
      <c r="H86" s="1">
        <f>('LLH Slice Load'!H32-'HLH-LLH Loads'!T$8)*'HLH-LLH Loads'!T$5</f>
        <v>-90802.29165974562</v>
      </c>
      <c r="I86" s="1">
        <f>('LLH Slice Load'!I32-'HLH-LLH Loads'!U$8)*'HLH-LLH Loads'!U$5</f>
        <v>122595.52209611543</v>
      </c>
      <c r="J86" s="1">
        <f>('LLH Slice Load'!J32-'HLH-LLH Loads'!V$8)*'HLH-LLH Loads'!V$5</f>
        <v>-61657.770312684035</v>
      </c>
      <c r="K86" s="1">
        <f>('LLH Slice Load'!K32-'HLH-LLH Loads'!W$8)*'HLH-LLH Loads'!W$5</f>
        <v>18839.41483692953</v>
      </c>
      <c r="L86" s="1">
        <f>('LLH Slice Load'!L32-'HLH-LLH Loads'!X$8)*'HLH-LLH Loads'!X$5</f>
        <v>62129.23543937009</v>
      </c>
      <c r="M86" s="1">
        <f>('LLH Slice Load'!M32-'HLH-LLH Loads'!Y$8)*'HLH-LLH Loads'!Y$5</f>
        <v>333817.52355613356</v>
      </c>
      <c r="N86" s="1">
        <f>('LLH Slice Load'!N32-'HLH-LLH Loads'!Z$8)*'HLH-LLH Loads'!Z$5</f>
        <v>259286.2228884656</v>
      </c>
      <c r="O86" s="1">
        <f>('LLH Slice Load'!O32-'HLH-LLH Loads'!AA$8)*'HLH-LLH Loads'!AA$5</f>
        <v>158501.87884676934</v>
      </c>
      <c r="P86" s="1">
        <f t="shared" si="2"/>
        <v>797077.971048102</v>
      </c>
    </row>
    <row r="87" spans="1:16" ht="12.75">
      <c r="A87" s="133">
        <f>'LLH Slice Load'!A33</f>
        <v>1959</v>
      </c>
      <c r="B87" s="1">
        <f>('LLH Slice Load'!B33-'HLH-LLH Loads'!N$8)*'HLH-LLH Loads'!N$5</f>
        <v>49306.463018412804</v>
      </c>
      <c r="C87" s="1">
        <f>('LLH Slice Load'!C33-'HLH-LLH Loads'!O$8)*'HLH-LLH Loads'!O$5</f>
        <v>42331.70631791827</v>
      </c>
      <c r="D87" s="1">
        <f>('LLH Slice Load'!D33-'HLH-LLH Loads'!P$8)*'HLH-LLH Loads'!P$5</f>
        <v>-29620.489913110952</v>
      </c>
      <c r="E87" s="1">
        <f>('LLH Slice Load'!E33-'HLH-LLH Loads'!Q$8)*'HLH-LLH Loads'!Q$5</f>
        <v>46394.216889059586</v>
      </c>
      <c r="F87" s="1">
        <f>('LLH Slice Load'!F33-'HLH-LLH Loads'!R$8)*'HLH-LLH Loads'!R$5</f>
        <v>-8466.781699409748</v>
      </c>
      <c r="G87" s="1">
        <f>('LLH Slice Load'!G33-'HLH-LLH Loads'!S$8)*'HLH-LLH Loads'!S$5</f>
        <v>5625.5394603315</v>
      </c>
      <c r="H87" s="1">
        <f>('LLH Slice Load'!H33-'HLH-LLH Loads'!T$8)*'HLH-LLH Loads'!T$5</f>
        <v>183854.3037414768</v>
      </c>
      <c r="I87" s="1">
        <f>('LLH Slice Load'!I33-'HLH-LLH Loads'!U$8)*'HLH-LLH Loads'!U$5</f>
        <v>50058.65163723992</v>
      </c>
      <c r="J87" s="1">
        <f>('LLH Slice Load'!J33-'HLH-LLH Loads'!V$8)*'HLH-LLH Loads'!V$5</f>
        <v>6485.126732586186</v>
      </c>
      <c r="K87" s="1">
        <f>('LLH Slice Load'!K33-'HLH-LLH Loads'!W$8)*'HLH-LLH Loads'!W$5</f>
        <v>84910.01172966156</v>
      </c>
      <c r="L87" s="1">
        <f>('LLH Slice Load'!L33-'HLH-LLH Loads'!X$8)*'HLH-LLH Loads'!X$5</f>
        <v>26512.198442321715</v>
      </c>
      <c r="M87" s="1">
        <f>('LLH Slice Load'!M33-'HLH-LLH Loads'!Y$8)*'HLH-LLH Loads'!Y$5</f>
        <v>242044.3689476764</v>
      </c>
      <c r="N87" s="1">
        <f>('LLH Slice Load'!N33-'HLH-LLH Loads'!Z$8)*'HLH-LLH Loads'!Z$5</f>
        <v>394362.79372334137</v>
      </c>
      <c r="O87" s="1">
        <f>('LLH Slice Load'!O33-'HLH-LLH Loads'!AA$8)*'HLH-LLH Loads'!AA$5</f>
        <v>274401.00306550856</v>
      </c>
      <c r="P87" s="1">
        <f t="shared" si="2"/>
        <v>1368199.112093014</v>
      </c>
    </row>
    <row r="88" spans="1:16" ht="12.75">
      <c r="A88" s="133">
        <f>'LLH Slice Load'!A34</f>
        <v>1960</v>
      </c>
      <c r="B88" s="1">
        <f>('LLH Slice Load'!B34-'HLH-LLH Loads'!N$8)*'HLH-LLH Loads'!N$5</f>
        <v>92662.53852647074</v>
      </c>
      <c r="C88" s="1">
        <f>('LLH Slice Load'!C34-'HLH-LLH Loads'!O$8)*'HLH-LLH Loads'!O$5</f>
        <v>65926.41144416724</v>
      </c>
      <c r="D88" s="1">
        <f>('LLH Slice Load'!D34-'HLH-LLH Loads'!P$8)*'HLH-LLH Loads'!P$5</f>
        <v>62511.66547505326</v>
      </c>
      <c r="E88" s="1">
        <f>('LLH Slice Load'!E34-'HLH-LLH Loads'!Q$8)*'HLH-LLH Loads'!Q$5</f>
        <v>175336.36078921054</v>
      </c>
      <c r="F88" s="1">
        <f>('LLH Slice Load'!F34-'HLH-LLH Loads'!R$8)*'HLH-LLH Loads'!R$5</f>
        <v>57475.37903200091</v>
      </c>
      <c r="G88" s="1">
        <f>('LLH Slice Load'!G34-'HLH-LLH Loads'!S$8)*'HLH-LLH Loads'!S$5</f>
        <v>12770.440857073712</v>
      </c>
      <c r="H88" s="1">
        <f>('LLH Slice Load'!H34-'HLH-LLH Loads'!T$8)*'HLH-LLH Loads'!T$5</f>
        <v>107424.36663650247</v>
      </c>
      <c r="I88" s="1">
        <f>('LLH Slice Load'!I34-'HLH-LLH Loads'!U$8)*'HLH-LLH Loads'!U$5</f>
        <v>-81524.1968985186</v>
      </c>
      <c r="J88" s="1">
        <f>('LLH Slice Load'!J34-'HLH-LLH Loads'!V$8)*'HLH-LLH Loads'!V$5</f>
        <v>-20993.423336385757</v>
      </c>
      <c r="K88" s="1">
        <f>('LLH Slice Load'!K34-'HLH-LLH Loads'!W$8)*'HLH-LLH Loads'!W$5</f>
        <v>191389.14903649146</v>
      </c>
      <c r="L88" s="1">
        <f>('LLH Slice Load'!L34-'HLH-LLH Loads'!X$8)*'HLH-LLH Loads'!X$5</f>
        <v>81487.33147448875</v>
      </c>
      <c r="M88" s="1">
        <f>('LLH Slice Load'!M34-'HLH-LLH Loads'!Y$8)*'HLH-LLH Loads'!Y$5</f>
        <v>141884.9999673315</v>
      </c>
      <c r="N88" s="1">
        <f>('LLH Slice Load'!N34-'HLH-LLH Loads'!Z$8)*'HLH-LLH Loads'!Z$5</f>
        <v>209638.02415581915</v>
      </c>
      <c r="O88" s="1">
        <f>('LLH Slice Load'!O34-'HLH-LLH Loads'!AA$8)*'HLH-LLH Loads'!AA$5</f>
        <v>212112.08957716622</v>
      </c>
      <c r="P88" s="1">
        <f t="shared" si="2"/>
        <v>1308101.1367368714</v>
      </c>
    </row>
    <row r="89" spans="1:16" ht="12.75">
      <c r="A89" s="133">
        <f>'LLH Slice Load'!A35</f>
        <v>1961</v>
      </c>
      <c r="B89" s="1">
        <f>('LLH Slice Load'!B35-'HLH-LLH Loads'!N$8)*'HLH-LLH Loads'!N$5</f>
        <v>79426.2511407671</v>
      </c>
      <c r="C89" s="1">
        <f>('LLH Slice Load'!C35-'HLH-LLH Loads'!O$8)*'HLH-LLH Loads'!O$5</f>
        <v>35257.50879350162</v>
      </c>
      <c r="D89" s="1">
        <f>('LLH Slice Load'!D35-'HLH-LLH Loads'!P$8)*'HLH-LLH Loads'!P$5</f>
        <v>-22365.845047095878</v>
      </c>
      <c r="E89" s="1">
        <f>('LLH Slice Load'!E35-'HLH-LLH Loads'!Q$8)*'HLH-LLH Loads'!Q$5</f>
        <v>45585.054480283885</v>
      </c>
      <c r="F89" s="1">
        <f>('LLH Slice Load'!F35-'HLH-LLH Loads'!R$8)*'HLH-LLH Loads'!R$5</f>
        <v>-19402.433642174732</v>
      </c>
      <c r="G89" s="1">
        <f>('LLH Slice Load'!G35-'HLH-LLH Loads'!S$8)*'HLH-LLH Loads'!S$5</f>
        <v>-70382.16762137694</v>
      </c>
      <c r="H89" s="1">
        <f>('LLH Slice Load'!H35-'HLH-LLH Loads'!T$8)*'HLH-LLH Loads'!T$5</f>
        <v>8484.085534389089</v>
      </c>
      <c r="I89" s="1">
        <f>('LLH Slice Load'!I35-'HLH-LLH Loads'!U$8)*'HLH-LLH Loads'!U$5</f>
        <v>111353.05158461224</v>
      </c>
      <c r="J89" s="1">
        <f>('LLH Slice Load'!J35-'HLH-LLH Loads'!V$8)*'HLH-LLH Loads'!V$5</f>
        <v>-2060.6703081113483</v>
      </c>
      <c r="K89" s="1">
        <f>('LLH Slice Load'!K35-'HLH-LLH Loads'!W$8)*'HLH-LLH Loads'!W$5</f>
        <v>66576.11312152375</v>
      </c>
      <c r="L89" s="1">
        <f>('LLH Slice Load'!L35-'HLH-LLH Loads'!X$8)*'HLH-LLH Loads'!X$5</f>
        <v>-3077.3442511179474</v>
      </c>
      <c r="M89" s="1">
        <f>('LLH Slice Load'!M35-'HLH-LLH Loads'!Y$8)*'HLH-LLH Loads'!Y$5</f>
        <v>313603.1878812154</v>
      </c>
      <c r="N89" s="1">
        <f>('LLH Slice Load'!N35-'HLH-LLH Loads'!Z$8)*'HLH-LLH Loads'!Z$5</f>
        <v>474682.6297334947</v>
      </c>
      <c r="O89" s="1">
        <f>('LLH Slice Load'!O35-'HLH-LLH Loads'!AA$8)*'HLH-LLH Loads'!AA$5</f>
        <v>173226.5728973286</v>
      </c>
      <c r="P89" s="1">
        <f t="shared" si="2"/>
        <v>1190905.9942972395</v>
      </c>
    </row>
    <row r="90" spans="1:16" ht="12.75">
      <c r="A90" s="133">
        <f>'LLH Slice Load'!A36</f>
        <v>1962</v>
      </c>
      <c r="B90" s="1">
        <f>('LLH Slice Load'!B36-'HLH-LLH Loads'!N$8)*'HLH-LLH Loads'!N$5</f>
        <v>54847.86404587804</v>
      </c>
      <c r="C90" s="1">
        <f>('LLH Slice Load'!C36-'HLH-LLH Loads'!O$8)*'HLH-LLH Loads'!O$5</f>
        <v>43764.69313804709</v>
      </c>
      <c r="D90" s="1">
        <f>('LLH Slice Load'!D36-'HLH-LLH Loads'!P$8)*'HLH-LLH Loads'!P$5</f>
        <v>-36271.63834925619</v>
      </c>
      <c r="E90" s="1">
        <f>('LLH Slice Load'!E36-'HLH-LLH Loads'!Q$8)*'HLH-LLH Loads'!Q$5</f>
        <v>37630.20839866278</v>
      </c>
      <c r="F90" s="1">
        <f>('LLH Slice Load'!F36-'HLH-LLH Loads'!R$8)*'HLH-LLH Loads'!R$5</f>
        <v>-37285.3457270095</v>
      </c>
      <c r="G90" s="1">
        <f>('LLH Slice Load'!G36-'HLH-LLH Loads'!S$8)*'HLH-LLH Loads'!S$5</f>
        <v>-62185.235373208336</v>
      </c>
      <c r="H90" s="1">
        <f>('LLH Slice Load'!H36-'HLH-LLH Loads'!T$8)*'HLH-LLH Loads'!T$5</f>
        <v>2040.255341248263</v>
      </c>
      <c r="I90" s="1">
        <f>('LLH Slice Load'!I36-'HLH-LLH Loads'!U$8)*'HLH-LLH Loads'!U$5</f>
        <v>-119348.16951542551</v>
      </c>
      <c r="J90" s="1">
        <f>('LLH Slice Load'!J36-'HLH-LLH Loads'!V$8)*'HLH-LLH Loads'!V$5</f>
        <v>-91977.00883610756</v>
      </c>
      <c r="K90" s="1">
        <f>('LLH Slice Load'!K36-'HLH-LLH Loads'!W$8)*'HLH-LLH Loads'!W$5</f>
        <v>115048.85020450891</v>
      </c>
      <c r="L90" s="1">
        <f>('LLH Slice Load'!L36-'HLH-LLH Loads'!X$8)*'HLH-LLH Loads'!X$5</f>
        <v>94155.49724072883</v>
      </c>
      <c r="M90" s="1">
        <f>('LLH Slice Load'!M36-'HLH-LLH Loads'!Y$8)*'HLH-LLH Loads'!Y$5</f>
        <v>156591.85885938682</v>
      </c>
      <c r="N90" s="1">
        <f>('LLH Slice Load'!N36-'HLH-LLH Loads'!Z$8)*'HLH-LLH Loads'!Z$5</f>
        <v>181228.1233406</v>
      </c>
      <c r="O90" s="1">
        <f>('LLH Slice Load'!O36-'HLH-LLH Loads'!AA$8)*'HLH-LLH Loads'!AA$5</f>
        <v>227646.50157327412</v>
      </c>
      <c r="P90" s="1">
        <f t="shared" si="2"/>
        <v>565886.4543413278</v>
      </c>
    </row>
    <row r="91" spans="1:16" ht="12.75">
      <c r="A91" s="133">
        <f>'LLH Slice Load'!A37</f>
        <v>1963</v>
      </c>
      <c r="B91" s="1">
        <f>('LLH Slice Load'!B37-'HLH-LLH Loads'!N$8)*'HLH-LLH Loads'!N$5</f>
        <v>84962.2104209952</v>
      </c>
      <c r="C91" s="1">
        <f>('LLH Slice Load'!C37-'HLH-LLH Loads'!O$8)*'HLH-LLH Loads'!O$5</f>
        <v>59976.64827604887</v>
      </c>
      <c r="D91" s="1">
        <f>('LLH Slice Load'!D37-'HLH-LLH Loads'!P$8)*'HLH-LLH Loads'!P$5</f>
        <v>-30745.8793213741</v>
      </c>
      <c r="E91" s="1">
        <f>('LLH Slice Load'!E37-'HLH-LLH Loads'!Q$8)*'HLH-LLH Loads'!Q$5</f>
        <v>68760.876093056</v>
      </c>
      <c r="F91" s="1">
        <f>('LLH Slice Load'!F37-'HLH-LLH Loads'!R$8)*'HLH-LLH Loads'!R$5</f>
        <v>-1835.6312929910018</v>
      </c>
      <c r="G91" s="1">
        <f>('LLH Slice Load'!G37-'HLH-LLH Loads'!S$8)*'HLH-LLH Loads'!S$5</f>
        <v>-5139.86037333803</v>
      </c>
      <c r="H91" s="1">
        <f>('LLH Slice Load'!H37-'HLH-LLH Loads'!T$8)*'HLH-LLH Loads'!T$5</f>
        <v>26239.88266035421</v>
      </c>
      <c r="I91" s="1">
        <f>('LLH Slice Load'!I37-'HLH-LLH Loads'!U$8)*'HLH-LLH Loads'!U$5</f>
        <v>-53842.77957365892</v>
      </c>
      <c r="J91" s="1">
        <f>('LLH Slice Load'!J37-'HLH-LLH Loads'!V$8)*'HLH-LLH Loads'!V$5</f>
        <v>-88487.48169459686</v>
      </c>
      <c r="K91" s="1">
        <f>('LLH Slice Load'!K37-'HLH-LLH Loads'!W$8)*'HLH-LLH Loads'!W$5</f>
        <v>22614.573052893444</v>
      </c>
      <c r="L91" s="1">
        <f>('LLH Slice Load'!L37-'HLH-LLH Loads'!X$8)*'HLH-LLH Loads'!X$5</f>
        <v>14911.778088217054</v>
      </c>
      <c r="M91" s="1">
        <f>('LLH Slice Load'!M37-'HLH-LLH Loads'!Y$8)*'HLH-LLH Loads'!Y$5</f>
        <v>134365.16362823555</v>
      </c>
      <c r="N91" s="1">
        <f>('LLH Slice Load'!N37-'HLH-LLH Loads'!Z$8)*'HLH-LLH Loads'!Z$5</f>
        <v>208733.15389272256</v>
      </c>
      <c r="O91" s="1">
        <f>('LLH Slice Load'!O37-'HLH-LLH Loads'!AA$8)*'HLH-LLH Loads'!AA$5</f>
        <v>219012.81879320194</v>
      </c>
      <c r="P91" s="1">
        <f t="shared" si="2"/>
        <v>659525.4726497659</v>
      </c>
    </row>
    <row r="92" spans="1:16" ht="12.75">
      <c r="A92" s="133">
        <f>'LLH Slice Load'!A38</f>
        <v>1964</v>
      </c>
      <c r="B92" s="1">
        <f>('LLH Slice Load'!B38-'HLH-LLH Loads'!N$8)*'HLH-LLH Loads'!N$5</f>
        <v>75312.47795292277</v>
      </c>
      <c r="C92" s="1">
        <f>('LLH Slice Load'!C38-'HLH-LLH Loads'!O$8)*'HLH-LLH Loads'!O$5</f>
        <v>59432.31656519447</v>
      </c>
      <c r="D92" s="1">
        <f>('LLH Slice Load'!D38-'HLH-LLH Loads'!P$8)*'HLH-LLH Loads'!P$5</f>
        <v>5209.884109730767</v>
      </c>
      <c r="E92" s="1">
        <f>('LLH Slice Load'!E38-'HLH-LLH Loads'!Q$8)*'HLH-LLH Loads'!Q$5</f>
        <v>34147.46892458983</v>
      </c>
      <c r="F92" s="1">
        <f>('LLH Slice Load'!F38-'HLH-LLH Loads'!R$8)*'HLH-LLH Loads'!R$5</f>
        <v>-36033.57444858474</v>
      </c>
      <c r="G92" s="1">
        <f>('LLH Slice Load'!G38-'HLH-LLH Loads'!S$8)*'HLH-LLH Loads'!S$5</f>
        <v>-67704.19691187592</v>
      </c>
      <c r="H92" s="1">
        <f>('LLH Slice Load'!H38-'HLH-LLH Loads'!T$8)*'HLH-LLH Loads'!T$5</f>
        <v>-107565.02759695188</v>
      </c>
      <c r="I92" s="1">
        <f>('LLH Slice Load'!I38-'HLH-LLH Loads'!U$8)*'HLH-LLH Loads'!U$5</f>
        <v>59389.42010694207</v>
      </c>
      <c r="J92" s="1">
        <f>('LLH Slice Load'!J38-'HLH-LLH Loads'!V$8)*'HLH-LLH Loads'!V$5</f>
        <v>-99679.11775969248</v>
      </c>
      <c r="K92" s="1">
        <f>('LLH Slice Load'!K38-'HLH-LLH Loads'!W$8)*'HLH-LLH Loads'!W$5</f>
        <v>57846.911933963966</v>
      </c>
      <c r="L92" s="1">
        <f>('LLH Slice Load'!L38-'HLH-LLH Loads'!X$8)*'HLH-LLH Loads'!X$5</f>
        <v>4057.340616073292</v>
      </c>
      <c r="M92" s="1">
        <f>('LLH Slice Load'!M38-'HLH-LLH Loads'!Y$8)*'HLH-LLH Loads'!Y$5</f>
        <v>156361.97127663935</v>
      </c>
      <c r="N92" s="1">
        <f>('LLH Slice Load'!N38-'HLH-LLH Loads'!Z$8)*'HLH-LLH Loads'!Z$5</f>
        <v>432024.08680215606</v>
      </c>
      <c r="O92" s="1">
        <f>('LLH Slice Load'!O38-'HLH-LLH Loads'!AA$8)*'HLH-LLH Loads'!AA$5</f>
        <v>397700.81802559964</v>
      </c>
      <c r="P92" s="1">
        <f t="shared" si="2"/>
        <v>970500.7795967073</v>
      </c>
    </row>
    <row r="93" spans="1:16" ht="12.75">
      <c r="A93" s="133">
        <f>'LLH Slice Load'!A39</f>
        <v>1965</v>
      </c>
      <c r="B93" s="1">
        <f>('LLH Slice Load'!B39-'HLH-LLH Loads'!N$8)*'HLH-LLH Loads'!N$5</f>
        <v>93019.140675356</v>
      </c>
      <c r="C93" s="1">
        <f>('LLH Slice Load'!C39-'HLH-LLH Loads'!O$8)*'HLH-LLH Loads'!O$5</f>
        <v>81942.11381856442</v>
      </c>
      <c r="D93" s="1">
        <f>('LLH Slice Load'!D39-'HLH-LLH Loads'!P$8)*'HLH-LLH Loads'!P$5</f>
        <v>21385.50294341091</v>
      </c>
      <c r="E93" s="1">
        <f>('LLH Slice Load'!E39-'HLH-LLH Loads'!Q$8)*'HLH-LLH Loads'!Q$5</f>
        <v>78385.03466583317</v>
      </c>
      <c r="F93" s="1">
        <f>('LLH Slice Load'!F39-'HLH-LLH Loads'!R$8)*'HLH-LLH Loads'!R$5</f>
        <v>-20765.138267490456</v>
      </c>
      <c r="G93" s="1">
        <f>('LLH Slice Load'!G39-'HLH-LLH Loads'!S$8)*'HLH-LLH Loads'!S$5</f>
        <v>99555.63431883909</v>
      </c>
      <c r="H93" s="1">
        <f>('LLH Slice Load'!H39-'HLH-LLH Loads'!T$8)*'HLH-LLH Loads'!T$5</f>
        <v>241832.44425685634</v>
      </c>
      <c r="I93" s="1">
        <f>('LLH Slice Load'!I39-'HLH-LLH Loads'!U$8)*'HLH-LLH Loads'!U$5</f>
        <v>100535.87966498962</v>
      </c>
      <c r="J93" s="1">
        <f>('LLH Slice Load'!J39-'HLH-LLH Loads'!V$8)*'HLH-LLH Loads'!V$5</f>
        <v>70605.15367321298</v>
      </c>
      <c r="K93" s="1">
        <f>('LLH Slice Load'!K39-'HLH-LLH Loads'!W$8)*'HLH-LLH Loads'!W$5</f>
        <v>42286.77924186326</v>
      </c>
      <c r="L93" s="1">
        <f>('LLH Slice Load'!L39-'HLH-LLH Loads'!X$8)*'HLH-LLH Loads'!X$5</f>
        <v>119025.81497296067</v>
      </c>
      <c r="M93" s="1">
        <f>('LLH Slice Load'!M39-'HLH-LLH Loads'!Y$8)*'HLH-LLH Loads'!Y$5</f>
        <v>327004.7818364085</v>
      </c>
      <c r="N93" s="1">
        <f>('LLH Slice Load'!N39-'HLH-LLH Loads'!Z$8)*'HLH-LLH Loads'!Z$5</f>
        <v>295649.9522566286</v>
      </c>
      <c r="O93" s="1">
        <f>('LLH Slice Load'!O39-'HLH-LLH Loads'!AA$8)*'HLH-LLH Loads'!AA$5</f>
        <v>206090.64079707858</v>
      </c>
      <c r="P93" s="1">
        <f t="shared" si="2"/>
        <v>1756553.7348545117</v>
      </c>
    </row>
    <row r="94" spans="1:16" ht="12.75">
      <c r="A94" s="133">
        <f>'LLH Slice Load'!A40</f>
        <v>1966</v>
      </c>
      <c r="B94" s="1">
        <f>('LLH Slice Load'!B40-'HLH-LLH Loads'!N$8)*'HLH-LLH Loads'!N$5</f>
        <v>96978.32790604635</v>
      </c>
      <c r="C94" s="1">
        <f>('LLH Slice Load'!C40-'HLH-LLH Loads'!O$8)*'HLH-LLH Loads'!O$5</f>
        <v>72278.02253308156</v>
      </c>
      <c r="D94" s="1">
        <f>('LLH Slice Load'!D40-'HLH-LLH Loads'!P$8)*'HLH-LLH Loads'!P$5</f>
        <v>-9465.901349323301</v>
      </c>
      <c r="E94" s="1">
        <f>('LLH Slice Load'!E40-'HLH-LLH Loads'!Q$8)*'HLH-LLH Loads'!Q$5</f>
        <v>63048.42859589689</v>
      </c>
      <c r="F94" s="1">
        <f>('LLH Slice Load'!F40-'HLH-LLH Loads'!R$8)*'HLH-LLH Loads'!R$5</f>
        <v>-18293.445387924403</v>
      </c>
      <c r="G94" s="1">
        <f>('LLH Slice Load'!G40-'HLH-LLH Loads'!S$8)*'HLH-LLH Loads'!S$5</f>
        <v>-36634.46720371656</v>
      </c>
      <c r="H94" s="1">
        <f>('LLH Slice Load'!H40-'HLH-LLH Loads'!T$8)*'HLH-LLH Loads'!T$5</f>
        <v>-34481.96268213203</v>
      </c>
      <c r="I94" s="1">
        <f>('LLH Slice Load'!I40-'HLH-LLH Loads'!U$8)*'HLH-LLH Loads'!U$5</f>
        <v>-37800.35128661424</v>
      </c>
      <c r="J94" s="1">
        <f>('LLH Slice Load'!J40-'HLH-LLH Loads'!V$8)*'HLH-LLH Loads'!V$5</f>
        <v>-85211.84056037774</v>
      </c>
      <c r="K94" s="1">
        <f>('LLH Slice Load'!K40-'HLH-LLH Loads'!W$8)*'HLH-LLH Loads'!W$5</f>
        <v>105819.60567480238</v>
      </c>
      <c r="L94" s="1">
        <f>('LLH Slice Load'!L40-'HLH-LLH Loads'!X$8)*'HLH-LLH Loads'!X$5</f>
        <v>28709.579337377945</v>
      </c>
      <c r="M94" s="1">
        <f>('LLH Slice Load'!M40-'HLH-LLH Loads'!Y$8)*'HLH-LLH Loads'!Y$5</f>
        <v>114257.86664848466</v>
      </c>
      <c r="N94" s="1">
        <f>('LLH Slice Load'!N40-'HLH-LLH Loads'!Z$8)*'HLH-LLH Loads'!Z$5</f>
        <v>143404.77183852153</v>
      </c>
      <c r="O94" s="1">
        <f>('LLH Slice Load'!O40-'HLH-LLH Loads'!AA$8)*'HLH-LLH Loads'!AA$5</f>
        <v>240899.55056435673</v>
      </c>
      <c r="P94" s="1">
        <f t="shared" si="2"/>
        <v>643508.1846284798</v>
      </c>
    </row>
    <row r="95" spans="1:16" ht="12.75">
      <c r="A95" s="133">
        <f>'LLH Slice Load'!A41</f>
        <v>1967</v>
      </c>
      <c r="B95" s="1">
        <f>('LLH Slice Load'!B41-'HLH-LLH Loads'!N$8)*'HLH-LLH Loads'!N$5</f>
        <v>86787.14908685794</v>
      </c>
      <c r="C95" s="1">
        <f>('LLH Slice Load'!C41-'HLH-LLH Loads'!O$8)*'HLH-LLH Loads'!O$5</f>
        <v>39600.84083707558</v>
      </c>
      <c r="D95" s="1">
        <f>('LLH Slice Load'!D41-'HLH-LLH Loads'!P$8)*'HLH-LLH Loads'!P$5</f>
        <v>-31177.53794782653</v>
      </c>
      <c r="E95" s="1">
        <f>('LLH Slice Load'!E41-'HLH-LLH Loads'!Q$8)*'HLH-LLH Loads'!Q$5</f>
        <v>29249.11681582036</v>
      </c>
      <c r="F95" s="1">
        <f>('LLH Slice Load'!F41-'HLH-LLH Loads'!R$8)*'HLH-LLH Loads'!R$5</f>
        <v>-37783.10402285268</v>
      </c>
      <c r="G95" s="1">
        <f>('LLH Slice Load'!G41-'HLH-LLH Loads'!S$8)*'HLH-LLH Loads'!S$5</f>
        <v>-49971.12883343773</v>
      </c>
      <c r="H95" s="1">
        <f>('LLH Slice Load'!H41-'HLH-LLH Loads'!T$8)*'HLH-LLH Loads'!T$5</f>
        <v>101981.36758085345</v>
      </c>
      <c r="I95" s="1">
        <f>('LLH Slice Load'!I41-'HLH-LLH Loads'!U$8)*'HLH-LLH Loads'!U$5</f>
        <v>41570.10524215423</v>
      </c>
      <c r="J95" s="1">
        <f>('LLH Slice Load'!J41-'HLH-LLH Loads'!V$8)*'HLH-LLH Loads'!V$5</f>
        <v>-26257.727445535114</v>
      </c>
      <c r="K95" s="1">
        <f>('LLH Slice Load'!K41-'HLH-LLH Loads'!W$8)*'HLH-LLH Loads'!W$5</f>
        <v>60559.5420141141</v>
      </c>
      <c r="L95" s="1">
        <f>('LLH Slice Load'!L41-'HLH-LLH Loads'!X$8)*'HLH-LLH Loads'!X$5</f>
        <v>-19915.70800444007</v>
      </c>
      <c r="M95" s="1">
        <f>('LLH Slice Load'!M41-'HLH-LLH Loads'!Y$8)*'HLH-LLH Loads'!Y$5</f>
        <v>175366.62856402004</v>
      </c>
      <c r="N95" s="1">
        <f>('LLH Slice Load'!N41-'HLH-LLH Loads'!Z$8)*'HLH-LLH Loads'!Z$5</f>
        <v>392959.9296259507</v>
      </c>
      <c r="O95" s="1">
        <f>('LLH Slice Load'!O41-'HLH-LLH Loads'!AA$8)*'HLH-LLH Loads'!AA$5</f>
        <v>392981.8468333901</v>
      </c>
      <c r="P95" s="1">
        <f t="shared" si="2"/>
        <v>1155951.3203461445</v>
      </c>
    </row>
    <row r="96" spans="1:16" ht="12.75">
      <c r="A96" s="133">
        <f>'LLH Slice Load'!A42</f>
        <v>1968</v>
      </c>
      <c r="B96" s="1">
        <f>('LLH Slice Load'!B42-'HLH-LLH Loads'!N$8)*'HLH-LLH Loads'!N$5</f>
        <v>108322.64111018003</v>
      </c>
      <c r="C96" s="1">
        <f>('LLH Slice Load'!C42-'HLH-LLH Loads'!O$8)*'HLH-LLH Loads'!O$5</f>
        <v>72240.29581382332</v>
      </c>
      <c r="D96" s="1">
        <f>('LLH Slice Load'!D42-'HLH-LLH Loads'!P$8)*'HLH-LLH Loads'!P$5</f>
        <v>-3635.5544029237935</v>
      </c>
      <c r="E96" s="1">
        <f>('LLH Slice Load'!E42-'HLH-LLH Loads'!Q$8)*'HLH-LLH Loads'!Q$5</f>
        <v>55973.06882860344</v>
      </c>
      <c r="F96" s="1">
        <f>('LLH Slice Load'!F42-'HLH-LLH Loads'!R$8)*'HLH-LLH Loads'!R$5</f>
        <v>-22955.06479886914</v>
      </c>
      <c r="G96" s="1">
        <f>('LLH Slice Load'!G42-'HLH-LLH Loads'!S$8)*'HLH-LLH Loads'!S$5</f>
        <v>-40146.63058645659</v>
      </c>
      <c r="H96" s="1">
        <f>('LLH Slice Load'!H42-'HLH-LLH Loads'!T$8)*'HLH-LLH Loads'!T$5</f>
        <v>16667.85769988752</v>
      </c>
      <c r="I96" s="1">
        <f>('LLH Slice Load'!I42-'HLH-LLH Loads'!U$8)*'HLH-LLH Loads'!U$5</f>
        <v>42530.76368439729</v>
      </c>
      <c r="J96" s="1">
        <f>('LLH Slice Load'!J42-'HLH-LLH Loads'!V$8)*'HLH-LLH Loads'!V$5</f>
        <v>-11721.192057233731</v>
      </c>
      <c r="K96" s="1">
        <f>('LLH Slice Load'!K42-'HLH-LLH Loads'!W$8)*'HLH-LLH Loads'!W$5</f>
        <v>-13421.25666371344</v>
      </c>
      <c r="L96" s="1">
        <f>('LLH Slice Load'!L42-'HLH-LLH Loads'!X$8)*'HLH-LLH Loads'!X$5</f>
        <v>-7667.565598209814</v>
      </c>
      <c r="M96" s="1">
        <f>('LLH Slice Load'!M42-'HLH-LLH Loads'!Y$8)*'HLH-LLH Loads'!Y$5</f>
        <v>74227.03450953918</v>
      </c>
      <c r="N96" s="1">
        <f>('LLH Slice Load'!N42-'HLH-LLH Loads'!Z$8)*'HLH-LLH Loads'!Z$5</f>
        <v>220770.0871126736</v>
      </c>
      <c r="O96" s="1">
        <f>('LLH Slice Load'!O42-'HLH-LLH Loads'!AA$8)*'HLH-LLH Loads'!AA$5</f>
        <v>225227.4414413741</v>
      </c>
      <c r="P96" s="1">
        <f t="shared" si="2"/>
        <v>716411.9260930719</v>
      </c>
    </row>
    <row r="97" spans="1:16" ht="12.75">
      <c r="A97" s="133">
        <f>'LLH Slice Load'!A43</f>
        <v>1969</v>
      </c>
      <c r="B97" s="1">
        <f>('LLH Slice Load'!B43-'HLH-LLH Loads'!N$8)*'HLH-LLH Loads'!N$5</f>
        <v>116362.68452506233</v>
      </c>
      <c r="C97" s="1">
        <f>('LLH Slice Load'!C43-'HLH-LLH Loads'!O$8)*'HLH-LLH Loads'!O$5</f>
        <v>72020.35171658405</v>
      </c>
      <c r="D97" s="1">
        <f>('LLH Slice Load'!D43-'HLH-LLH Loads'!P$8)*'HLH-LLH Loads'!P$5</f>
        <v>33498.93077536653</v>
      </c>
      <c r="E97" s="1">
        <f>('LLH Slice Load'!E43-'HLH-LLH Loads'!Q$8)*'HLH-LLH Loads'!Q$5</f>
        <v>84935.51016460975</v>
      </c>
      <c r="F97" s="1">
        <f>('LLH Slice Load'!F43-'HLH-LLH Loads'!R$8)*'HLH-LLH Loads'!R$5</f>
        <v>13191.456034672934</v>
      </c>
      <c r="G97" s="1">
        <f>('LLH Slice Load'!G43-'HLH-LLH Loads'!S$8)*'HLH-LLH Loads'!S$5</f>
        <v>-14798.416588784337</v>
      </c>
      <c r="H97" s="1">
        <f>('LLH Slice Load'!H43-'HLH-LLH Loads'!T$8)*'HLH-LLH Loads'!T$5</f>
        <v>180928.7971544798</v>
      </c>
      <c r="I97" s="1">
        <f>('LLH Slice Load'!I43-'HLH-LLH Loads'!U$8)*'HLH-LLH Loads'!U$5</f>
        <v>39646.10602302285</v>
      </c>
      <c r="J97" s="1">
        <f>('LLH Slice Load'!J43-'HLH-LLH Loads'!V$8)*'HLH-LLH Loads'!V$5</f>
        <v>25095.84707989853</v>
      </c>
      <c r="K97" s="1">
        <f>('LLH Slice Load'!K43-'HLH-LLH Loads'!W$8)*'HLH-LLH Loads'!W$5</f>
        <v>107457.77716018214</v>
      </c>
      <c r="L97" s="1">
        <f>('LLH Slice Load'!L43-'HLH-LLH Loads'!X$8)*'HLH-LLH Loads'!X$5</f>
        <v>108814.1821735439</v>
      </c>
      <c r="M97" s="1">
        <f>('LLH Slice Load'!M43-'HLH-LLH Loads'!Y$8)*'HLH-LLH Loads'!Y$5</f>
        <v>464650.3400511349</v>
      </c>
      <c r="N97" s="1">
        <f>('LLH Slice Load'!N43-'HLH-LLH Loads'!Z$8)*'HLH-LLH Loads'!Z$5</f>
        <v>299846.6343220528</v>
      </c>
      <c r="O97" s="1">
        <f>('LLH Slice Load'!O43-'HLH-LLH Loads'!AA$8)*'HLH-LLH Loads'!AA$5</f>
        <v>214323.1325923642</v>
      </c>
      <c r="P97" s="1">
        <f t="shared" si="2"/>
        <v>1745973.3331841903</v>
      </c>
    </row>
    <row r="98" spans="1:16" ht="12.75">
      <c r="A98" s="133">
        <f>'LLH Slice Load'!A44</f>
        <v>1970</v>
      </c>
      <c r="B98" s="1">
        <f>('LLH Slice Load'!B44-'HLH-LLH Loads'!N$8)*'HLH-LLH Loads'!N$5</f>
        <v>52277.945651342365</v>
      </c>
      <c r="C98" s="1">
        <f>('LLH Slice Load'!C44-'HLH-LLH Loads'!O$8)*'HLH-LLH Loads'!O$5</f>
        <v>19475.156566446603</v>
      </c>
      <c r="D98" s="1">
        <f>('LLH Slice Load'!D44-'HLH-LLH Loads'!P$8)*'HLH-LLH Loads'!P$5</f>
        <v>-30514.055622764972</v>
      </c>
      <c r="E98" s="1">
        <f>('LLH Slice Load'!E44-'HLH-LLH Loads'!Q$8)*'HLH-LLH Loads'!Q$5</f>
        <v>50419.305891419244</v>
      </c>
      <c r="F98" s="1">
        <f>('LLH Slice Load'!F44-'HLH-LLH Loads'!R$8)*'HLH-LLH Loads'!R$5</f>
        <v>-37906.08594108365</v>
      </c>
      <c r="G98" s="1">
        <f>('LLH Slice Load'!G44-'HLH-LLH Loads'!S$8)*'HLH-LLH Loads'!S$5</f>
        <v>-62506.5055329281</v>
      </c>
      <c r="H98" s="1">
        <f>('LLH Slice Load'!H44-'HLH-LLH Loads'!T$8)*'HLH-LLH Loads'!T$5</f>
        <v>-97903.09414340738</v>
      </c>
      <c r="I98" s="1">
        <f>('LLH Slice Load'!I44-'HLH-LLH Loads'!U$8)*'HLH-LLH Loads'!U$5</f>
        <v>58832.447898266764</v>
      </c>
      <c r="J98" s="1">
        <f>('LLH Slice Load'!J44-'HLH-LLH Loads'!V$8)*'HLH-LLH Loads'!V$5</f>
        <v>-57175.58182081885</v>
      </c>
      <c r="K98" s="1">
        <f>('LLH Slice Load'!K44-'HLH-LLH Loads'!W$8)*'HLH-LLH Loads'!W$5</f>
        <v>6452.351457407696</v>
      </c>
      <c r="L98" s="1">
        <f>('LLH Slice Load'!L44-'HLH-LLH Loads'!X$8)*'HLH-LLH Loads'!X$5</f>
        <v>14074.483442790248</v>
      </c>
      <c r="M98" s="1">
        <f>('LLH Slice Load'!M44-'HLH-LLH Loads'!Y$8)*'HLH-LLH Loads'!Y$5</f>
        <v>148008.48117036867</v>
      </c>
      <c r="N98" s="1">
        <f>('LLH Slice Load'!N44-'HLH-LLH Loads'!Z$8)*'HLH-LLH Loads'!Z$5</f>
        <v>245641.22734761538</v>
      </c>
      <c r="O98" s="1">
        <f>('LLH Slice Load'!O44-'HLH-LLH Loads'!AA$8)*'HLH-LLH Loads'!AA$5</f>
        <v>167693.86902893777</v>
      </c>
      <c r="P98" s="1">
        <f t="shared" si="2"/>
        <v>476869.94539359177</v>
      </c>
    </row>
    <row r="99" spans="1:16" ht="12.75">
      <c r="A99" s="133">
        <f>'LLH Slice Load'!A45</f>
        <v>1971</v>
      </c>
      <c r="B99" s="1">
        <f>('LLH Slice Load'!B45-'HLH-LLH Loads'!N$8)*'HLH-LLH Loads'!N$5</f>
        <v>54077.890407323364</v>
      </c>
      <c r="C99" s="1">
        <f>('LLH Slice Load'!C45-'HLH-LLH Loads'!O$8)*'HLH-LLH Loads'!O$5</f>
        <v>39216.944711761644</v>
      </c>
      <c r="D99" s="1">
        <f>('LLH Slice Load'!D45-'HLH-LLH Loads'!P$8)*'HLH-LLH Loads'!P$5</f>
        <v>-32512.443257751678</v>
      </c>
      <c r="E99" s="1">
        <f>('LLH Slice Load'!E45-'HLH-LLH Loads'!Q$8)*'HLH-LLH Loads'!Q$5</f>
        <v>25154.174618764882</v>
      </c>
      <c r="F99" s="1">
        <f>('LLH Slice Load'!F45-'HLH-LLH Loads'!R$8)*'HLH-LLH Loads'!R$5</f>
        <v>-33971.648606957824</v>
      </c>
      <c r="G99" s="1">
        <f>('LLH Slice Load'!G45-'HLH-LLH Loads'!S$8)*'HLH-LLH Loads'!S$5</f>
        <v>-19274.593442819976</v>
      </c>
      <c r="H99" s="1">
        <f>('LLH Slice Load'!H45-'HLH-LLH Loads'!T$8)*'HLH-LLH Loads'!T$5</f>
        <v>123691.20430993919</v>
      </c>
      <c r="I99" s="1">
        <f>('LLH Slice Load'!I45-'HLH-LLH Loads'!U$8)*'HLH-LLH Loads'!U$5</f>
        <v>145271.8220064136</v>
      </c>
      <c r="J99" s="1">
        <f>('LLH Slice Load'!J45-'HLH-LLH Loads'!V$8)*'HLH-LLH Loads'!V$5</f>
        <v>60703.864472779285</v>
      </c>
      <c r="K99" s="1">
        <f>('LLH Slice Load'!K45-'HLH-LLH Loads'!W$8)*'HLH-LLH Loads'!W$5</f>
        <v>136116.49307952874</v>
      </c>
      <c r="L99" s="1">
        <f>('LLH Slice Load'!L45-'HLH-LLH Loads'!X$8)*'HLH-LLH Loads'!X$5</f>
        <v>106109.15335173185</v>
      </c>
      <c r="M99" s="1">
        <f>('LLH Slice Load'!M45-'HLH-LLH Loads'!Y$8)*'HLH-LLH Loads'!Y$5</f>
        <v>508664.2716592945</v>
      </c>
      <c r="N99" s="1">
        <f>('LLH Slice Load'!N45-'HLH-LLH Loads'!Z$8)*'HLH-LLH Loads'!Z$5</f>
        <v>392282.7588775532</v>
      </c>
      <c r="O99" s="1">
        <f>('LLH Slice Load'!O45-'HLH-LLH Loads'!AA$8)*'HLH-LLH Loads'!AA$5</f>
        <v>303676.0051844243</v>
      </c>
      <c r="P99" s="1">
        <f t="shared" si="2"/>
        <v>1809205.897371985</v>
      </c>
    </row>
    <row r="100" spans="1:16" ht="12.75">
      <c r="A100" s="133">
        <f>'LLH Slice Load'!A46</f>
        <v>1972</v>
      </c>
      <c r="B100" s="1">
        <f>('LLH Slice Load'!B46-'HLH-LLH Loads'!N$8)*'HLH-LLH Loads'!N$5</f>
        <v>112387.8244663186</v>
      </c>
      <c r="C100" s="1">
        <f>('LLH Slice Load'!C46-'HLH-LLH Loads'!O$8)*'HLH-LLH Loads'!O$5</f>
        <v>102287.64374927542</v>
      </c>
      <c r="D100" s="1">
        <f>('LLH Slice Load'!D46-'HLH-LLH Loads'!P$8)*'HLH-LLH Loads'!P$5</f>
        <v>11035.70360651958</v>
      </c>
      <c r="E100" s="1">
        <f>('LLH Slice Load'!E46-'HLH-LLH Loads'!Q$8)*'HLH-LLH Loads'!Q$5</f>
        <v>46792.794865898584</v>
      </c>
      <c r="F100" s="1">
        <f>('LLH Slice Load'!F46-'HLH-LLH Loads'!R$8)*'HLH-LLH Loads'!R$5</f>
        <v>-21243.826137603395</v>
      </c>
      <c r="G100" s="1">
        <f>('LLH Slice Load'!G46-'HLH-LLH Loads'!S$8)*'HLH-LLH Loads'!S$5</f>
        <v>-34471.11287150138</v>
      </c>
      <c r="H100" s="1">
        <f>('LLH Slice Load'!H46-'HLH-LLH Loads'!T$8)*'HLH-LLH Loads'!T$5</f>
        <v>112542.98567453034</v>
      </c>
      <c r="I100" s="1">
        <f>('LLH Slice Load'!I46-'HLH-LLH Loads'!U$8)*'HLH-LLH Loads'!U$5</f>
        <v>105813.46065289664</v>
      </c>
      <c r="J100" s="1">
        <f>('LLH Slice Load'!J46-'HLH-LLH Loads'!V$8)*'HLH-LLH Loads'!V$5</f>
        <v>338042.26915141626</v>
      </c>
      <c r="K100" s="1">
        <f>('LLH Slice Load'!K46-'HLH-LLH Loads'!W$8)*'HLH-LLH Loads'!W$5</f>
        <v>166473.96989536704</v>
      </c>
      <c r="L100" s="1">
        <f>('LLH Slice Load'!L46-'HLH-LLH Loads'!X$8)*'HLH-LLH Loads'!X$5</f>
        <v>48828.45088929862</v>
      </c>
      <c r="M100" s="1">
        <f>('LLH Slice Load'!M46-'HLH-LLH Loads'!Y$8)*'HLH-LLH Loads'!Y$5</f>
        <v>477197.04753162805</v>
      </c>
      <c r="N100" s="1">
        <f>('LLH Slice Load'!N46-'HLH-LLH Loads'!Z$8)*'HLH-LLH Loads'!Z$5</f>
        <v>496034.94441804395</v>
      </c>
      <c r="O100" s="1">
        <f>('LLH Slice Load'!O46-'HLH-LLH Loads'!AA$8)*'HLH-LLH Loads'!AA$5</f>
        <v>446682.0886430517</v>
      </c>
      <c r="P100" s="1">
        <f t="shared" si="2"/>
        <v>2408404.2445351398</v>
      </c>
    </row>
    <row r="101" spans="1:16" ht="12.75">
      <c r="A101" s="133">
        <f>'LLH Slice Load'!A47</f>
        <v>1973</v>
      </c>
      <c r="B101" s="1">
        <f>('LLH Slice Load'!B47-'HLH-LLH Loads'!N$8)*'HLH-LLH Loads'!N$5</f>
        <v>117016.85358828165</v>
      </c>
      <c r="C101" s="1">
        <f>('LLH Slice Load'!C47-'HLH-LLH Loads'!O$8)*'HLH-LLH Loads'!O$5</f>
        <v>113761.04283861004</v>
      </c>
      <c r="D101" s="1">
        <f>('LLH Slice Load'!D47-'HLH-LLH Loads'!P$8)*'HLH-LLH Loads'!P$5</f>
        <v>17509.796705780398</v>
      </c>
      <c r="E101" s="1">
        <f>('LLH Slice Load'!E47-'HLH-LLH Loads'!Q$8)*'HLH-LLH Loads'!Q$5</f>
        <v>55528.75656264735</v>
      </c>
      <c r="F101" s="1">
        <f>('LLH Slice Load'!F47-'HLH-LLH Loads'!R$8)*'HLH-LLH Loads'!R$5</f>
        <v>-30696.18403620315</v>
      </c>
      <c r="G101" s="1">
        <f>('LLH Slice Load'!G47-'HLH-LLH Loads'!S$8)*'HLH-LLH Loads'!S$5</f>
        <v>-7423.586950813684</v>
      </c>
      <c r="H101" s="1">
        <f>('LLH Slice Load'!H47-'HLH-LLH Loads'!T$8)*'HLH-LLH Loads'!T$5</f>
        <v>-95449.27313948171</v>
      </c>
      <c r="I101" s="1">
        <f>('LLH Slice Load'!I47-'HLH-LLH Loads'!U$8)*'HLH-LLH Loads'!U$5</f>
        <v>-114279.69271661786</v>
      </c>
      <c r="J101" s="1">
        <f>('LLH Slice Load'!J47-'HLH-LLH Loads'!V$8)*'HLH-LLH Loads'!V$5</f>
        <v>-91281.70127020142</v>
      </c>
      <c r="K101" s="1">
        <f>('LLH Slice Load'!K47-'HLH-LLH Loads'!W$8)*'HLH-LLH Loads'!W$5</f>
        <v>-22141.578938733743</v>
      </c>
      <c r="L101" s="1">
        <f>('LLH Slice Load'!L47-'HLH-LLH Loads'!X$8)*'HLH-LLH Loads'!X$5</f>
        <v>-24489.83866813412</v>
      </c>
      <c r="M101" s="1">
        <f>('LLH Slice Load'!M47-'HLH-LLH Loads'!Y$8)*'HLH-LLH Loads'!Y$5</f>
        <v>66526.75515038428</v>
      </c>
      <c r="N101" s="1">
        <f>('LLH Slice Load'!N47-'HLH-LLH Loads'!Z$8)*'HLH-LLH Loads'!Z$5</f>
        <v>114617.5702644107</v>
      </c>
      <c r="O101" s="1">
        <f>('LLH Slice Load'!O47-'HLH-LLH Loads'!AA$8)*'HLH-LLH Loads'!AA$5</f>
        <v>162026.12761624495</v>
      </c>
      <c r="P101" s="1">
        <f t="shared" si="2"/>
        <v>261225.0470061736</v>
      </c>
    </row>
    <row r="102" spans="1:16" ht="12.75">
      <c r="A102" s="133">
        <f>'LLH Slice Load'!A48</f>
        <v>1974</v>
      </c>
      <c r="B102" s="1">
        <f>('LLH Slice Load'!B48-'HLH-LLH Loads'!N$8)*'HLH-LLH Loads'!N$5</f>
        <v>48561.28137552108</v>
      </c>
      <c r="C102" s="1">
        <f>('LLH Slice Load'!C48-'HLH-LLH Loads'!O$8)*'HLH-LLH Loads'!O$5</f>
        <v>18962.86366783772</v>
      </c>
      <c r="D102" s="1">
        <f>('LLH Slice Load'!D48-'HLH-LLH Loads'!P$8)*'HLH-LLH Loads'!P$5</f>
        <v>-41479.75642080889</v>
      </c>
      <c r="E102" s="1">
        <f>('LLH Slice Load'!E48-'HLH-LLH Loads'!Q$8)*'HLH-LLH Loads'!Q$5</f>
        <v>17480.706677715916</v>
      </c>
      <c r="F102" s="1">
        <f>('LLH Slice Load'!F48-'HLH-LLH Loads'!R$8)*'HLH-LLH Loads'!R$5</f>
        <v>-16192.482415025579</v>
      </c>
      <c r="G102" s="1">
        <f>('LLH Slice Load'!G48-'HLH-LLH Loads'!S$8)*'HLH-LLH Loads'!S$5</f>
        <v>54967.13868026717</v>
      </c>
      <c r="H102" s="1">
        <f>('LLH Slice Load'!H48-'HLH-LLH Loads'!T$8)*'HLH-LLH Loads'!T$5</f>
        <v>309821.19934618496</v>
      </c>
      <c r="I102" s="1">
        <f>('LLH Slice Load'!I48-'HLH-LLH Loads'!U$8)*'HLH-LLH Loads'!U$5</f>
        <v>165270.2258131029</v>
      </c>
      <c r="J102" s="1">
        <f>('LLH Slice Load'!J48-'HLH-LLH Loads'!V$8)*'HLH-LLH Loads'!V$5</f>
        <v>204393.44285917404</v>
      </c>
      <c r="K102" s="1">
        <f>('LLH Slice Load'!K48-'HLH-LLH Loads'!W$8)*'HLH-LLH Loads'!W$5</f>
        <v>130374.73208471035</v>
      </c>
      <c r="L102" s="1">
        <f>('LLH Slice Load'!L48-'HLH-LLH Loads'!X$8)*'HLH-LLH Loads'!X$5</f>
        <v>144307.88856753847</v>
      </c>
      <c r="M102" s="1">
        <f>('LLH Slice Load'!M48-'HLH-LLH Loads'!Y$8)*'HLH-LLH Loads'!Y$5</f>
        <v>472570.17989392433</v>
      </c>
      <c r="N102" s="1">
        <f>('LLH Slice Load'!N48-'HLH-LLH Loads'!Z$8)*'HLH-LLH Loads'!Z$5</f>
        <v>594099.7171964362</v>
      </c>
      <c r="O102" s="1">
        <f>('LLH Slice Load'!O48-'HLH-LLH Loads'!AA$8)*'HLH-LLH Loads'!AA$5</f>
        <v>489173.73143596033</v>
      </c>
      <c r="P102" s="1">
        <f t="shared" si="2"/>
        <v>2592310.868762539</v>
      </c>
    </row>
    <row r="103" spans="1:16" ht="12.75">
      <c r="A103" s="133">
        <f>'LLH Slice Load'!A49</f>
        <v>1975</v>
      </c>
      <c r="B103" s="1">
        <f>('LLH Slice Load'!B49-'HLH-LLH Loads'!N$8)*'HLH-LLH Loads'!N$5</f>
        <v>91691.8177201095</v>
      </c>
      <c r="C103" s="1">
        <f>('LLH Slice Load'!C49-'HLH-LLH Loads'!O$8)*'HLH-LLH Loads'!O$5</f>
        <v>85934.31533693685</v>
      </c>
      <c r="D103" s="1">
        <f>('LLH Slice Load'!D49-'HLH-LLH Loads'!P$8)*'HLH-LLH Loads'!P$5</f>
        <v>-3529.933249837648</v>
      </c>
      <c r="E103" s="1">
        <f>('LLH Slice Load'!E49-'HLH-LLH Loads'!Q$8)*'HLH-LLH Loads'!Q$5</f>
        <v>26941.182094821568</v>
      </c>
      <c r="F103" s="1">
        <f>('LLH Slice Load'!F49-'HLH-LLH Loads'!R$8)*'HLH-LLH Loads'!R$5</f>
        <v>-37589.25528800306</v>
      </c>
      <c r="G103" s="1">
        <f>('LLH Slice Load'!G49-'HLH-LLH Loads'!S$8)*'HLH-LLH Loads'!S$5</f>
        <v>-52765.402629765886</v>
      </c>
      <c r="H103" s="1">
        <f>('LLH Slice Load'!H49-'HLH-LLH Loads'!T$8)*'HLH-LLH Loads'!T$5</f>
        <v>-37718.84061071048</v>
      </c>
      <c r="I103" s="1">
        <f>('LLH Slice Load'!I49-'HLH-LLH Loads'!U$8)*'HLH-LLH Loads'!U$5</f>
        <v>13826.932295294304</v>
      </c>
      <c r="J103" s="1">
        <f>('LLH Slice Load'!J49-'HLH-LLH Loads'!V$8)*'HLH-LLH Loads'!V$5</f>
        <v>62268.04475887022</v>
      </c>
      <c r="K103" s="1">
        <f>('LLH Slice Load'!K49-'HLH-LLH Loads'!W$8)*'HLH-LLH Loads'!W$5</f>
        <v>51061.32578454139</v>
      </c>
      <c r="L103" s="1">
        <f>('LLH Slice Load'!L49-'HLH-LLH Loads'!X$8)*'HLH-LLH Loads'!X$5</f>
        <v>24957.414366678197</v>
      </c>
      <c r="M103" s="1">
        <f>('LLH Slice Load'!M49-'HLH-LLH Loads'!Y$8)*'HLH-LLH Loads'!Y$5</f>
        <v>235454.31259372376</v>
      </c>
      <c r="N103" s="1">
        <f>('LLH Slice Load'!N49-'HLH-LLH Loads'!Z$8)*'HLH-LLH Loads'!Z$5</f>
        <v>318926.7978470194</v>
      </c>
      <c r="O103" s="1">
        <f>('LLH Slice Load'!O49-'HLH-LLH Loads'!AA$8)*'HLH-LLH Loads'!AA$5</f>
        <v>402614.6600636756</v>
      </c>
      <c r="P103" s="1">
        <f t="shared" si="2"/>
        <v>1182073.3710833536</v>
      </c>
    </row>
    <row r="104" spans="1:16" ht="12.75">
      <c r="A104" s="133">
        <f>'LLH Slice Load'!A50</f>
        <v>1976</v>
      </c>
      <c r="B104" s="1">
        <f>('LLH Slice Load'!B50-'HLH-LLH Loads'!N$8)*'HLH-LLH Loads'!N$5</f>
        <v>58555.12985380158</v>
      </c>
      <c r="C104" s="1">
        <f>('LLH Slice Load'!C50-'HLH-LLH Loads'!O$8)*'HLH-LLH Loads'!O$5</f>
        <v>60186.7901438031</v>
      </c>
      <c r="D104" s="1">
        <f>('LLH Slice Load'!D50-'HLH-LLH Loads'!P$8)*'HLH-LLH Loads'!P$5</f>
        <v>-23507.39191602674</v>
      </c>
      <c r="E104" s="1">
        <f>('LLH Slice Load'!E50-'HLH-LLH Loads'!Q$8)*'HLH-LLH Loads'!Q$5</f>
        <v>71722.88103736792</v>
      </c>
      <c r="F104" s="1">
        <f>('LLH Slice Load'!F50-'HLH-LLH Loads'!R$8)*'HLH-LLH Loads'!R$5</f>
        <v>23996.781971165597</v>
      </c>
      <c r="G104" s="1">
        <f>('LLH Slice Load'!G50-'HLH-LLH Loads'!S$8)*'HLH-LLH Loads'!S$5</f>
        <v>118531.65269380837</v>
      </c>
      <c r="H104" s="1">
        <f>('LLH Slice Load'!H50-'HLH-LLH Loads'!T$8)*'HLH-LLH Loads'!T$5</f>
        <v>194374.4110737124</v>
      </c>
      <c r="I104" s="1">
        <f>('LLH Slice Load'!I50-'HLH-LLH Loads'!U$8)*'HLH-LLH Loads'!U$5</f>
        <v>64749.51980931207</v>
      </c>
      <c r="J104" s="1">
        <f>('LLH Slice Load'!J50-'HLH-LLH Loads'!V$8)*'HLH-LLH Loads'!V$5</f>
        <v>-643.6445562080735</v>
      </c>
      <c r="K104" s="1">
        <f>('LLH Slice Load'!K50-'HLH-LLH Loads'!W$8)*'HLH-LLH Loads'!W$5</f>
        <v>156778.01651400945</v>
      </c>
      <c r="L104" s="1">
        <f>('LLH Slice Load'!L50-'HLH-LLH Loads'!X$8)*'HLH-LLH Loads'!X$5</f>
        <v>94476.29436182207</v>
      </c>
      <c r="M104" s="1">
        <f>('LLH Slice Load'!M50-'HLH-LLH Loads'!Y$8)*'HLH-LLH Loads'!Y$5</f>
        <v>430952.96712451376</v>
      </c>
      <c r="N104" s="1">
        <f>('LLH Slice Load'!N50-'HLH-LLH Loads'!Z$8)*'HLH-LLH Loads'!Z$5</f>
        <v>211976.29937817864</v>
      </c>
      <c r="O104" s="1">
        <f>('LLH Slice Load'!O50-'HLH-LLH Loads'!AA$8)*'HLH-LLH Loads'!AA$5</f>
        <v>347543.02590642753</v>
      </c>
      <c r="P104" s="1">
        <f t="shared" si="2"/>
        <v>1809692.7333956875</v>
      </c>
    </row>
    <row r="105" spans="1:16" ht="12.75">
      <c r="A105" s="133">
        <f>'LLH Slice Load'!A51</f>
        <v>1977</v>
      </c>
      <c r="B105" s="1">
        <f>('LLH Slice Load'!B51-'HLH-LLH Loads'!N$8)*'HLH-LLH Loads'!N$5</f>
        <v>161524.33315341908</v>
      </c>
      <c r="C105" s="1">
        <f>('LLH Slice Load'!C51-'HLH-LLH Loads'!O$8)*'HLH-LLH Loads'!O$5</f>
        <v>146273.66158110852</v>
      </c>
      <c r="D105" s="1">
        <f>('LLH Slice Load'!D51-'HLH-LLH Loads'!P$8)*'HLH-LLH Loads'!P$5</f>
        <v>129504.20751591197</v>
      </c>
      <c r="E105" s="1">
        <f>('LLH Slice Load'!E51-'HLH-LLH Loads'!Q$8)*'HLH-LLH Loads'!Q$5</f>
        <v>43264.508259702256</v>
      </c>
      <c r="F105" s="1">
        <f>('LLH Slice Load'!F51-'HLH-LLH Loads'!R$8)*'HLH-LLH Loads'!R$5</f>
        <v>-37995.01876677769</v>
      </c>
      <c r="G105" s="1">
        <f>('LLH Slice Load'!G51-'HLH-LLH Loads'!S$8)*'HLH-LLH Loads'!S$5</f>
        <v>-53614.200063593715</v>
      </c>
      <c r="H105" s="1">
        <f>('LLH Slice Load'!H51-'HLH-LLH Loads'!T$8)*'HLH-LLH Loads'!T$5</f>
        <v>-180385.78549128445</v>
      </c>
      <c r="I105" s="1">
        <f>('LLH Slice Load'!I51-'HLH-LLH Loads'!U$8)*'HLH-LLH Loads'!U$5</f>
        <v>-118871.98206889357</v>
      </c>
      <c r="J105" s="1">
        <f>('LLH Slice Load'!J51-'HLH-LLH Loads'!V$8)*'HLH-LLH Loads'!V$5</f>
        <v>-135283.09623478173</v>
      </c>
      <c r="K105" s="1">
        <f>('LLH Slice Load'!K51-'HLH-LLH Loads'!W$8)*'HLH-LLH Loads'!W$5</f>
        <v>-24509.40703333199</v>
      </c>
      <c r="L105" s="1">
        <f>('LLH Slice Load'!L51-'HLH-LLH Loads'!X$8)*'HLH-LLH Loads'!X$5</f>
        <v>-12454.029944591162</v>
      </c>
      <c r="M105" s="1">
        <f>('LLH Slice Load'!M51-'HLH-LLH Loads'!Y$8)*'HLH-LLH Loads'!Y$5</f>
        <v>63057.42116841794</v>
      </c>
      <c r="N105" s="1">
        <f>('LLH Slice Load'!N51-'HLH-LLH Loads'!Z$8)*'HLH-LLH Loads'!Z$5</f>
        <v>106887.79752749982</v>
      </c>
      <c r="O105" s="1">
        <f>('LLH Slice Load'!O51-'HLH-LLH Loads'!AA$8)*'HLH-LLH Loads'!AA$5</f>
        <v>121028.93887743738</v>
      </c>
      <c r="P105" s="1">
        <f t="shared" si="2"/>
        <v>208427.34848024262</v>
      </c>
    </row>
    <row r="106" spans="1:16" ht="12.75">
      <c r="A106" s="133">
        <f>'LLH Slice Load'!A52</f>
        <v>1978</v>
      </c>
      <c r="B106" s="1">
        <f>('LLH Slice Load'!B52-'HLH-LLH Loads'!N$8)*'HLH-LLH Loads'!N$5</f>
        <v>41402.48998291662</v>
      </c>
      <c r="C106" s="1">
        <f>('LLH Slice Load'!C52-'HLH-LLH Loads'!O$8)*'HLH-LLH Loads'!O$5</f>
        <v>27312.691572629992</v>
      </c>
      <c r="D106" s="1">
        <f>('LLH Slice Load'!D52-'HLH-LLH Loads'!P$8)*'HLH-LLH Loads'!P$5</f>
        <v>-52015.62282288969</v>
      </c>
      <c r="E106" s="1">
        <f>('LLH Slice Load'!E52-'HLH-LLH Loads'!Q$8)*'HLH-LLH Loads'!Q$5</f>
        <v>2088.6402313317494</v>
      </c>
      <c r="F106" s="1">
        <f>('LLH Slice Load'!F52-'HLH-LLH Loads'!R$8)*'HLH-LLH Loads'!R$5</f>
        <v>-22922.539275298368</v>
      </c>
      <c r="G106" s="1">
        <f>('LLH Slice Load'!G52-'HLH-LLH Loads'!S$8)*'HLH-LLH Loads'!S$5</f>
        <v>-31578.24164550579</v>
      </c>
      <c r="H106" s="1">
        <f>('LLH Slice Load'!H52-'HLH-LLH Loads'!T$8)*'HLH-LLH Loads'!T$5</f>
        <v>-51387.89587293488</v>
      </c>
      <c r="I106" s="1">
        <f>('LLH Slice Load'!I52-'HLH-LLH Loads'!U$8)*'HLH-LLH Loads'!U$5</f>
        <v>-98923.13782569239</v>
      </c>
      <c r="J106" s="1">
        <f>('LLH Slice Load'!J52-'HLH-LLH Loads'!V$8)*'HLH-LLH Loads'!V$5</f>
        <v>33636.687643593374</v>
      </c>
      <c r="K106" s="1">
        <f>('LLH Slice Load'!K52-'HLH-LLH Loads'!W$8)*'HLH-LLH Loads'!W$5</f>
        <v>94492.49718277376</v>
      </c>
      <c r="L106" s="1">
        <f>('LLH Slice Load'!L52-'HLH-LLH Loads'!X$8)*'HLH-LLH Loads'!X$5</f>
        <v>41443.889262888435</v>
      </c>
      <c r="M106" s="1">
        <f>('LLH Slice Load'!M52-'HLH-LLH Loads'!Y$8)*'HLH-LLH Loads'!Y$5</f>
        <v>213089.76270223092</v>
      </c>
      <c r="N106" s="1">
        <f>('LLH Slice Load'!N52-'HLH-LLH Loads'!Z$8)*'HLH-LLH Loads'!Z$5</f>
        <v>183705.49816242076</v>
      </c>
      <c r="O106" s="1">
        <f>('LLH Slice Load'!O52-'HLH-LLH Loads'!AA$8)*'HLH-LLH Loads'!AA$5</f>
        <v>192105.16448960296</v>
      </c>
      <c r="P106" s="1">
        <f t="shared" si="2"/>
        <v>572449.8837880674</v>
      </c>
    </row>
    <row r="107" spans="1:16" ht="12.75">
      <c r="A107" s="133" t="s">
        <v>46</v>
      </c>
      <c r="B107" s="1">
        <f aca="true" t="shared" si="3" ref="B107:P107">AVERAGE(B57:B106)</f>
        <v>71008.48116697968</v>
      </c>
      <c r="C107" s="1">
        <f t="shared" si="3"/>
        <v>55057.055597750834</v>
      </c>
      <c r="D107" s="1">
        <f t="shared" si="3"/>
        <v>-14665.757777931834</v>
      </c>
      <c r="E107" s="1">
        <f t="shared" si="3"/>
        <v>44617.50403244527</v>
      </c>
      <c r="F107" s="1">
        <f t="shared" si="3"/>
        <v>-19684.38812737094</v>
      </c>
      <c r="G107" s="1">
        <f t="shared" si="3"/>
        <v>-23179.334722441694</v>
      </c>
      <c r="H107" s="1">
        <f t="shared" si="3"/>
        <v>-9789.690808955549</v>
      </c>
      <c r="I107" s="1">
        <f t="shared" si="3"/>
        <v>-20779.913274796123</v>
      </c>
      <c r="J107" s="1">
        <f t="shared" si="3"/>
        <v>-18929.896952882962</v>
      </c>
      <c r="K107" s="1">
        <f t="shared" si="3"/>
        <v>64656.42778287576</v>
      </c>
      <c r="L107" s="1">
        <f t="shared" si="3"/>
        <v>48840.18493461907</v>
      </c>
      <c r="M107" s="1">
        <f t="shared" si="3"/>
        <v>241390.31970856249</v>
      </c>
      <c r="N107" s="1">
        <f t="shared" si="3"/>
        <v>266439.3498224156</v>
      </c>
      <c r="O107" s="1">
        <f t="shared" si="3"/>
        <v>239150.44609277337</v>
      </c>
      <c r="P107" s="1">
        <f t="shared" si="3"/>
        <v>924130.7874740427</v>
      </c>
    </row>
    <row r="108" ht="12.75">
      <c r="A108" s="8"/>
    </row>
    <row r="109" spans="1:5" ht="12.75">
      <c r="A109" s="229" t="s">
        <v>162</v>
      </c>
      <c r="B109" s="229"/>
      <c r="C109" s="229"/>
      <c r="D109" s="229"/>
      <c r="E109" s="229"/>
    </row>
    <row r="110" spans="1:5" ht="12.75">
      <c r="A110" s="229" t="s">
        <v>127</v>
      </c>
      <c r="B110" s="229"/>
      <c r="C110" s="229"/>
      <c r="D110" s="229"/>
      <c r="E110" s="2"/>
    </row>
    <row r="111" spans="1:4" ht="12.75">
      <c r="A111" s="131"/>
      <c r="B111" s="136" t="s">
        <v>0</v>
      </c>
      <c r="C111" s="137" t="s">
        <v>15</v>
      </c>
      <c r="D111" s="138" t="s">
        <v>17</v>
      </c>
    </row>
    <row r="112" spans="1:4" ht="12.75">
      <c r="A112" s="131">
        <v>1929</v>
      </c>
      <c r="B112" s="1">
        <f>'HLH Slice Load'!P3-'HLH-LLH Loads'!$AB$7</f>
        <v>484810.6899840683</v>
      </c>
      <c r="C112" s="1">
        <f>'LLH Slice Load'!P3-'HLH-LLH Loads'!$AB$8</f>
        <v>-62498.763924616855</v>
      </c>
      <c r="D112" s="1">
        <f aca="true" t="shared" si="4" ref="D112:D143">B112+C112</f>
        <v>422311.9260594514</v>
      </c>
    </row>
    <row r="113" spans="1:4" ht="12.75">
      <c r="A113" s="131">
        <v>1930</v>
      </c>
      <c r="B113" s="1">
        <f>'HLH Slice Load'!P4-'HLH-LLH Loads'!$AB$7</f>
        <v>292485.3849336142</v>
      </c>
      <c r="C113" s="1">
        <f>'LLH Slice Load'!P4-'HLH-LLH Loads'!$AB$8</f>
        <v>-180403.71256747842</v>
      </c>
      <c r="D113" s="1">
        <f t="shared" si="4"/>
        <v>112081.67236613575</v>
      </c>
    </row>
    <row r="114" spans="1:4" ht="12.75">
      <c r="A114" s="131">
        <v>1931</v>
      </c>
      <c r="B114" s="1">
        <f>'HLH Slice Load'!P5-'HLH-LLH Loads'!$AB$7</f>
        <v>367391.2179803066</v>
      </c>
      <c r="C114" s="1">
        <f>'LLH Slice Load'!P5-'HLH-LLH Loads'!$AB$8</f>
        <v>-166126.53005802818</v>
      </c>
      <c r="D114" s="1">
        <f t="shared" si="4"/>
        <v>201264.68792227842</v>
      </c>
    </row>
    <row r="115" spans="1:4" ht="12.75">
      <c r="A115" s="131">
        <v>1932</v>
      </c>
      <c r="B115" s="1">
        <f>'HLH Slice Load'!P6-'HLH-LLH Loads'!$AB$7</f>
        <v>1490269.5283652507</v>
      </c>
      <c r="C115" s="1">
        <f>'LLH Slice Load'!P6-'HLH-LLH Loads'!$AB$8</f>
        <v>443096.3128482029</v>
      </c>
      <c r="D115" s="1">
        <f t="shared" si="4"/>
        <v>1933365.8412134536</v>
      </c>
    </row>
    <row r="116" spans="1:4" ht="12.75">
      <c r="A116" s="131">
        <v>1933</v>
      </c>
      <c r="B116" s="1">
        <f>'HLH Slice Load'!P7-'HLH-LLH Loads'!$AB$7</f>
        <v>2232411.972732016</v>
      </c>
      <c r="C116" s="1">
        <f>'LLH Slice Load'!P7-'HLH-LLH Loads'!$AB$8</f>
        <v>1101639.3607773567</v>
      </c>
      <c r="D116" s="1">
        <f t="shared" si="4"/>
        <v>3334051.3335093725</v>
      </c>
    </row>
    <row r="117" spans="1:4" ht="12.75">
      <c r="A117" s="131">
        <v>1934</v>
      </c>
      <c r="B117" s="1">
        <f>'HLH Slice Load'!P8-'HLH-LLH Loads'!$AB$7</f>
        <v>3362855.783138766</v>
      </c>
      <c r="C117" s="1">
        <f>'LLH Slice Load'!P8-'HLH-LLH Loads'!$AB$8</f>
        <v>1934739.5877630059</v>
      </c>
      <c r="D117" s="1">
        <f t="shared" si="4"/>
        <v>5297595.370901772</v>
      </c>
    </row>
    <row r="118" spans="1:4" ht="12.75">
      <c r="A118" s="131">
        <v>1935</v>
      </c>
      <c r="B118" s="1">
        <f>'HLH Slice Load'!P9-'HLH-LLH Loads'!$AB$7</f>
        <v>1556126.6934739267</v>
      </c>
      <c r="C118" s="1">
        <f>'LLH Slice Load'!P9-'HLH-LLH Loads'!$AB$8</f>
        <v>450129.03276735777</v>
      </c>
      <c r="D118" s="1">
        <f t="shared" si="4"/>
        <v>2006255.7262412845</v>
      </c>
    </row>
    <row r="119" spans="1:4" ht="12.75">
      <c r="A119" s="131">
        <v>1936</v>
      </c>
      <c r="B119" s="1">
        <f>'HLH Slice Load'!P10-'HLH-LLH Loads'!$AB$7</f>
        <v>1225226.797023192</v>
      </c>
      <c r="C119" s="1">
        <f>'LLH Slice Load'!P10-'HLH-LLH Loads'!$AB$8</f>
        <v>240568.45329687744</v>
      </c>
      <c r="D119" s="1">
        <f t="shared" si="4"/>
        <v>1465795.2503200695</v>
      </c>
    </row>
    <row r="120" spans="1:4" ht="12.75">
      <c r="A120" s="131">
        <v>1937</v>
      </c>
      <c r="B120" s="1">
        <f>'HLH Slice Load'!P11-'HLH-LLH Loads'!$AB$7</f>
        <v>164220.6888234159</v>
      </c>
      <c r="C120" s="1">
        <f>'LLH Slice Load'!P11-'HLH-LLH Loads'!$AB$8</f>
        <v>-164220.6888234159</v>
      </c>
      <c r="D120" s="1">
        <f t="shared" si="4"/>
        <v>0</v>
      </c>
    </row>
    <row r="121" spans="1:4" ht="12.75">
      <c r="A121" s="131">
        <v>1938</v>
      </c>
      <c r="B121" s="1">
        <f>'HLH Slice Load'!P12-'HLH-LLH Loads'!$AB$7</f>
        <v>2217861.8796866024</v>
      </c>
      <c r="C121" s="1">
        <f>'LLH Slice Load'!P12-'HLH-LLH Loads'!$AB$8</f>
        <v>748185.4738467485</v>
      </c>
      <c r="D121" s="1">
        <f t="shared" si="4"/>
        <v>2966047.353533351</v>
      </c>
    </row>
    <row r="122" spans="1:4" ht="12.75">
      <c r="A122" s="131">
        <v>1939</v>
      </c>
      <c r="B122" s="1">
        <f>'HLH Slice Load'!P13-'HLH-LLH Loads'!$AB$7</f>
        <v>1150664.0541047538</v>
      </c>
      <c r="C122" s="1">
        <f>'LLH Slice Load'!P13-'HLH-LLH Loads'!$AB$8</f>
        <v>168650.88155620592</v>
      </c>
      <c r="D122" s="1">
        <f t="shared" si="4"/>
        <v>1319314.9356609597</v>
      </c>
    </row>
    <row r="123" spans="1:4" ht="12.75">
      <c r="A123" s="131">
        <v>1940</v>
      </c>
      <c r="B123" s="1">
        <f>'HLH Slice Load'!P14-'HLH-LLH Loads'!$AB$7</f>
        <v>1099588.0329965362</v>
      </c>
      <c r="C123" s="1">
        <f>'LLH Slice Load'!P14-'HLH-LLH Loads'!$AB$8</f>
        <v>142709.4115835633</v>
      </c>
      <c r="D123" s="1">
        <f t="shared" si="4"/>
        <v>1242297.4445800995</v>
      </c>
    </row>
    <row r="124" spans="1:4" ht="12.75">
      <c r="A124" s="131">
        <v>1941</v>
      </c>
      <c r="B124" s="1">
        <f>'HLH Slice Load'!P15-'HLH-LLH Loads'!$AB$7</f>
        <v>633048.4531811252</v>
      </c>
      <c r="C124" s="1">
        <f>'LLH Slice Load'!P15-'HLH-LLH Loads'!$AB$8</f>
        <v>-60435.117883147206</v>
      </c>
      <c r="D124" s="1">
        <f t="shared" si="4"/>
        <v>572613.335297978</v>
      </c>
    </row>
    <row r="125" spans="1:4" ht="12.75">
      <c r="A125" s="131">
        <v>1942</v>
      </c>
      <c r="B125" s="1">
        <f>'HLH Slice Load'!P16-'HLH-LLH Loads'!$AB$7</f>
        <v>1804858.1919552274</v>
      </c>
      <c r="C125" s="1">
        <f>'LLH Slice Load'!P16-'HLH-LLH Loads'!$AB$8</f>
        <v>473302.9356253394</v>
      </c>
      <c r="D125" s="1">
        <f t="shared" si="4"/>
        <v>2278161.127580567</v>
      </c>
    </row>
    <row r="126" spans="1:4" ht="12.75">
      <c r="A126" s="131">
        <v>1943</v>
      </c>
      <c r="B126" s="1">
        <f>'HLH Slice Load'!P17-'HLH-LLH Loads'!$AB$7</f>
        <v>2923253.51580597</v>
      </c>
      <c r="C126" s="1">
        <f>'LLH Slice Load'!P17-'HLH-LLH Loads'!$AB$8</f>
        <v>1192859.1898235586</v>
      </c>
      <c r="D126" s="1">
        <f t="shared" si="4"/>
        <v>4116112.7056295285</v>
      </c>
    </row>
    <row r="127" spans="1:4" ht="12.75">
      <c r="A127" s="131">
        <v>1944</v>
      </c>
      <c r="B127" s="1">
        <f>'HLH Slice Load'!P18-'HLH-LLH Loads'!$AB$7</f>
        <v>396998.9876070749</v>
      </c>
      <c r="C127" s="1">
        <f>'LLH Slice Load'!P18-'HLH-LLH Loads'!$AB$8</f>
        <v>-96962.19663781393</v>
      </c>
      <c r="D127" s="1">
        <f t="shared" si="4"/>
        <v>300036.79096926097</v>
      </c>
    </row>
    <row r="128" spans="1:4" ht="12.75">
      <c r="A128" s="131">
        <v>1945</v>
      </c>
      <c r="B128" s="1">
        <f>'HLH Slice Load'!P19-'HLH-LLH Loads'!$AB$7</f>
        <v>618330.1226248993</v>
      </c>
      <c r="C128" s="1">
        <f>'LLH Slice Load'!P19-'HLH-LLH Loads'!$AB$8</f>
        <v>-39206.852624348365</v>
      </c>
      <c r="D128" s="1">
        <f t="shared" si="4"/>
        <v>579123.2700005509</v>
      </c>
    </row>
    <row r="129" spans="1:4" ht="12.75">
      <c r="A129" s="131">
        <v>1946</v>
      </c>
      <c r="B129" s="1">
        <f>'HLH Slice Load'!P20-'HLH-LLH Loads'!$AB$7</f>
        <v>2416671.37461246</v>
      </c>
      <c r="C129" s="1">
        <f>'LLH Slice Load'!P20-'HLH-LLH Loads'!$AB$8</f>
        <v>939170.5153126791</v>
      </c>
      <c r="D129" s="1">
        <f t="shared" si="4"/>
        <v>3355841.889925139</v>
      </c>
    </row>
    <row r="130" spans="1:4" ht="12.75">
      <c r="A130" s="131">
        <v>1947</v>
      </c>
      <c r="B130" s="1">
        <f>'HLH Slice Load'!P21-'HLH-LLH Loads'!$AB$7</f>
        <v>2847838.3214374287</v>
      </c>
      <c r="C130" s="1">
        <f>'LLH Slice Load'!P21-'HLH-LLH Loads'!$AB$8</f>
        <v>1059580.972586045</v>
      </c>
      <c r="D130" s="1">
        <f t="shared" si="4"/>
        <v>3907419.2940234737</v>
      </c>
    </row>
    <row r="131" spans="1:4" ht="12.75">
      <c r="A131" s="131">
        <v>1948</v>
      </c>
      <c r="B131" s="1">
        <f>'HLH Slice Load'!P22-'HLH-LLH Loads'!$AB$7</f>
        <v>3335901.384953265</v>
      </c>
      <c r="C131" s="1">
        <f>'LLH Slice Load'!P22-'HLH-LLH Loads'!$AB$8</f>
        <v>1845187.150210171</v>
      </c>
      <c r="D131" s="1">
        <f t="shared" si="4"/>
        <v>5181088.535163436</v>
      </c>
    </row>
    <row r="132" spans="1:4" ht="12.75">
      <c r="A132" s="131">
        <v>1949</v>
      </c>
      <c r="B132" s="1">
        <f>'HLH Slice Load'!P23-'HLH-LLH Loads'!$AB$7</f>
        <v>2433934.6321840044</v>
      </c>
      <c r="C132" s="1">
        <f>'LLH Slice Load'!P23-'HLH-LLH Loads'!$AB$8</f>
        <v>904829.6142947236</v>
      </c>
      <c r="D132" s="1">
        <f t="shared" si="4"/>
        <v>3338764.246478728</v>
      </c>
    </row>
    <row r="133" spans="1:4" ht="12.75">
      <c r="A133" s="131">
        <v>1950</v>
      </c>
      <c r="B133" s="1">
        <f>'HLH Slice Load'!P24-'HLH-LLH Loads'!$AB$7</f>
        <v>2761208.571206429</v>
      </c>
      <c r="C133" s="1">
        <f>'LLH Slice Load'!P24-'HLH-LLH Loads'!$AB$8</f>
        <v>1363559.7027712371</v>
      </c>
      <c r="D133" s="1">
        <f t="shared" si="4"/>
        <v>4124768.273977666</v>
      </c>
    </row>
    <row r="134" spans="1:4" ht="12.75">
      <c r="A134" s="131">
        <v>1951</v>
      </c>
      <c r="B134" s="1">
        <f>'HLH Slice Load'!P25-'HLH-LLH Loads'!$AB$7</f>
        <v>3700585.731530971</v>
      </c>
      <c r="C134" s="1">
        <f>'LLH Slice Load'!P25-'HLH-LLH Loads'!$AB$8</f>
        <v>1832423.4958272846</v>
      </c>
      <c r="D134" s="1">
        <f t="shared" si="4"/>
        <v>5533009.227358256</v>
      </c>
    </row>
    <row r="135" spans="1:4" ht="12.75">
      <c r="A135" s="131">
        <v>1952</v>
      </c>
      <c r="B135" s="1">
        <f>'HLH Slice Load'!P26-'HLH-LLH Loads'!$AB$7</f>
        <v>3153474.4128192076</v>
      </c>
      <c r="C135" s="1">
        <f>'LLH Slice Load'!P26-'HLH-LLH Loads'!$AB$8</f>
        <v>1341261.96763751</v>
      </c>
      <c r="D135" s="1">
        <f t="shared" si="4"/>
        <v>4494736.380456718</v>
      </c>
    </row>
    <row r="136" spans="1:4" ht="12.75">
      <c r="A136" s="131">
        <v>1953</v>
      </c>
      <c r="B136" s="1">
        <f>'HLH Slice Load'!P27-'HLH-LLH Loads'!$AB$7</f>
        <v>2101771.2921373677</v>
      </c>
      <c r="C136" s="1">
        <f>'LLH Slice Load'!P27-'HLH-LLH Loads'!$AB$8</f>
        <v>719445.4452869124</v>
      </c>
      <c r="D136" s="1">
        <f t="shared" si="4"/>
        <v>2821216.73742428</v>
      </c>
    </row>
    <row r="137" spans="1:4" ht="12.75">
      <c r="A137" s="131">
        <v>1954</v>
      </c>
      <c r="B137" s="1">
        <f>'HLH Slice Load'!P28-'HLH-LLH Loads'!$AB$7</f>
        <v>2863408.3666575598</v>
      </c>
      <c r="C137" s="1">
        <f>'LLH Slice Load'!P28-'HLH-LLH Loads'!$AB$8</f>
        <v>1467162.2529681018</v>
      </c>
      <c r="D137" s="1">
        <f t="shared" si="4"/>
        <v>4330570.6196256615</v>
      </c>
    </row>
    <row r="138" spans="1:4" ht="12.75">
      <c r="A138" s="131">
        <v>1955</v>
      </c>
      <c r="B138" s="1">
        <f>'HLH Slice Load'!P29-'HLH-LLH Loads'!$AB$7</f>
        <v>2402623.105268635</v>
      </c>
      <c r="C138" s="1">
        <f>'LLH Slice Load'!P29-'HLH-LLH Loads'!$AB$8</f>
        <v>979420.3610473294</v>
      </c>
      <c r="D138" s="1">
        <f t="shared" si="4"/>
        <v>3382043.4663159642</v>
      </c>
    </row>
    <row r="139" spans="1:4" ht="12.75">
      <c r="A139" s="131">
        <v>1956</v>
      </c>
      <c r="B139" s="1">
        <f>'HLH Slice Load'!P30-'HLH-LLH Loads'!$AB$7</f>
        <v>4017947.471069292</v>
      </c>
      <c r="C139" s="1">
        <f>'LLH Slice Load'!P30-'HLH-LLH Loads'!$AB$8</f>
        <v>2217901.8116813377</v>
      </c>
      <c r="D139" s="1">
        <f t="shared" si="4"/>
        <v>6235849.28275063</v>
      </c>
    </row>
    <row r="140" spans="1:4" ht="12.75">
      <c r="A140" s="131">
        <v>1957</v>
      </c>
      <c r="B140" s="1">
        <f>'HLH Slice Load'!P31-'HLH-LLH Loads'!$AB$7</f>
        <v>2711184.179764391</v>
      </c>
      <c r="C140" s="1">
        <f>'LLH Slice Load'!P31-'HLH-LLH Loads'!$AB$8</f>
        <v>1211314.5470232414</v>
      </c>
      <c r="D140" s="1">
        <f t="shared" si="4"/>
        <v>3922498.7267876323</v>
      </c>
    </row>
    <row r="141" spans="1:4" ht="12.75">
      <c r="A141" s="131">
        <v>1958</v>
      </c>
      <c r="B141" s="1">
        <f>'HLH Slice Load'!P32-'HLH-LLH Loads'!$AB$7</f>
        <v>2217587.297944341</v>
      </c>
      <c r="C141" s="1">
        <f>'LLH Slice Load'!P32-'HLH-LLH Loads'!$AB$8</f>
        <v>797077.9710481018</v>
      </c>
      <c r="D141" s="1">
        <f t="shared" si="4"/>
        <v>3014665.2689924426</v>
      </c>
    </row>
    <row r="142" spans="1:4" ht="12.75">
      <c r="A142" s="131">
        <v>1959</v>
      </c>
      <c r="B142" s="1">
        <f>'HLH Slice Load'!P33-'HLH-LLH Loads'!$AB$7</f>
        <v>2974836.5081073483</v>
      </c>
      <c r="C142" s="1">
        <f>'LLH Slice Load'!P33-'HLH-LLH Loads'!$AB$8</f>
        <v>1368199.1120930146</v>
      </c>
      <c r="D142" s="1">
        <f t="shared" si="4"/>
        <v>4343035.620200363</v>
      </c>
    </row>
    <row r="143" spans="1:4" ht="12.75">
      <c r="A143" s="131">
        <v>1960</v>
      </c>
      <c r="B143" s="1">
        <f>'HLH Slice Load'!P34-'HLH-LLH Loads'!$AB$7</f>
        <v>3358496.378472495</v>
      </c>
      <c r="C143" s="1">
        <f>'LLH Slice Load'!P34-'HLH-LLH Loads'!$AB$8</f>
        <v>1308101.1367368717</v>
      </c>
      <c r="D143" s="1">
        <f t="shared" si="4"/>
        <v>4666597.515209367</v>
      </c>
    </row>
    <row r="144" spans="1:4" ht="12.75">
      <c r="A144" s="131">
        <v>1961</v>
      </c>
      <c r="B144" s="1">
        <f>'HLH Slice Load'!P35-'HLH-LLH Loads'!$AB$7</f>
        <v>2524147.8664085</v>
      </c>
      <c r="C144" s="1">
        <f>'LLH Slice Load'!P35-'HLH-LLH Loads'!$AB$8</f>
        <v>1190905.994297239</v>
      </c>
      <c r="D144" s="1">
        <f aca="true" t="shared" si="5" ref="D144:D162">B144+C144</f>
        <v>3715053.860705739</v>
      </c>
    </row>
    <row r="145" spans="1:4" ht="12.75">
      <c r="A145" s="131">
        <v>1962</v>
      </c>
      <c r="B145" s="1">
        <f>'HLH Slice Load'!P36-'HLH-LLH Loads'!$AB$7</f>
        <v>1757519.780511287</v>
      </c>
      <c r="C145" s="1">
        <f>'LLH Slice Load'!P36-'HLH-LLH Loads'!$AB$8</f>
        <v>565886.4543413278</v>
      </c>
      <c r="D145" s="1">
        <f t="shared" si="5"/>
        <v>2323406.234852615</v>
      </c>
    </row>
    <row r="146" spans="1:4" ht="12.75">
      <c r="A146" s="131">
        <v>1963</v>
      </c>
      <c r="B146" s="1">
        <f>'HLH Slice Load'!P37-'HLH-LLH Loads'!$AB$7</f>
        <v>2377874.6318830326</v>
      </c>
      <c r="C146" s="1">
        <f>'LLH Slice Load'!P37-'HLH-LLH Loads'!$AB$8</f>
        <v>659525.4726497661</v>
      </c>
      <c r="D146" s="1">
        <f t="shared" si="5"/>
        <v>3037400.1045327988</v>
      </c>
    </row>
    <row r="147" spans="1:4" ht="12.75">
      <c r="A147" s="131">
        <v>1964</v>
      </c>
      <c r="B147" s="1">
        <f>'HLH Slice Load'!P38-'HLH-LLH Loads'!$AB$7</f>
        <v>2134478.888971352</v>
      </c>
      <c r="C147" s="1">
        <f>'LLH Slice Load'!P38-'HLH-LLH Loads'!$AB$8</f>
        <v>970500.7795967069</v>
      </c>
      <c r="D147" s="1">
        <f t="shared" si="5"/>
        <v>3104979.668568059</v>
      </c>
    </row>
    <row r="148" spans="1:4" ht="12.75">
      <c r="A148" s="131">
        <v>1965</v>
      </c>
      <c r="B148" s="1">
        <f>'HLH Slice Load'!P39-'HLH-LLH Loads'!$AB$7</f>
        <v>3800400.8098633075</v>
      </c>
      <c r="C148" s="1">
        <f>'LLH Slice Load'!P39-'HLH-LLH Loads'!$AB$8</f>
        <v>1756553.734854511</v>
      </c>
      <c r="D148" s="1">
        <f t="shared" si="5"/>
        <v>5556954.5447178185</v>
      </c>
    </row>
    <row r="149" spans="1:4" ht="12.75">
      <c r="A149" s="131">
        <v>1966</v>
      </c>
      <c r="B149" s="1">
        <f>'HLH Slice Load'!P40-'HLH-LLH Loads'!$AB$7</f>
        <v>2186710.798053923</v>
      </c>
      <c r="C149" s="1">
        <f>'LLH Slice Load'!P40-'HLH-LLH Loads'!$AB$8</f>
        <v>643508.1846284801</v>
      </c>
      <c r="D149" s="1">
        <f t="shared" si="5"/>
        <v>2830218.982682403</v>
      </c>
    </row>
    <row r="150" spans="1:4" ht="12.75">
      <c r="A150" s="131">
        <v>1967</v>
      </c>
      <c r="B150" s="1">
        <f>'HLH Slice Load'!P41-'HLH-LLH Loads'!$AB$7</f>
        <v>2410542.050900489</v>
      </c>
      <c r="C150" s="1">
        <f>'LLH Slice Load'!P41-'HLH-LLH Loads'!$AB$8</f>
        <v>1155951.320346144</v>
      </c>
      <c r="D150" s="1">
        <f t="shared" si="5"/>
        <v>3566493.371246633</v>
      </c>
    </row>
    <row r="151" spans="1:4" ht="12.75">
      <c r="A151" s="131">
        <v>1968</v>
      </c>
      <c r="B151" s="1">
        <f>'HLH Slice Load'!P42-'HLH-LLH Loads'!$AB$7</f>
        <v>2306414.161585075</v>
      </c>
      <c r="C151" s="1">
        <f>'LLH Slice Load'!P42-'HLH-LLH Loads'!$AB$8</f>
        <v>716411.9260930722</v>
      </c>
      <c r="D151" s="1">
        <f t="shared" si="5"/>
        <v>3022826.087678147</v>
      </c>
    </row>
    <row r="152" spans="1:4" ht="12.75">
      <c r="A152" s="131">
        <v>1969</v>
      </c>
      <c r="B152" s="1">
        <f>'HLH Slice Load'!P43-'HLH-LLH Loads'!$AB$7</f>
        <v>3810293.7527244138</v>
      </c>
      <c r="C152" s="1">
        <f>'LLH Slice Load'!P43-'HLH-LLH Loads'!$AB$8</f>
        <v>1745973.333184191</v>
      </c>
      <c r="D152" s="1">
        <f t="shared" si="5"/>
        <v>5556267.085908605</v>
      </c>
    </row>
    <row r="153" spans="1:4" ht="12.75">
      <c r="A153" s="131">
        <v>1970</v>
      </c>
      <c r="B153" s="1">
        <f>'HLH Slice Load'!P44-'HLH-LLH Loads'!$AB$7</f>
        <v>1831684.4866456874</v>
      </c>
      <c r="C153" s="1">
        <f>'LLH Slice Load'!P44-'HLH-LLH Loads'!$AB$8</f>
        <v>476869.94539359165</v>
      </c>
      <c r="D153" s="1">
        <f t="shared" si="5"/>
        <v>2308554.432039279</v>
      </c>
    </row>
    <row r="154" spans="1:4" ht="12.75">
      <c r="A154" s="131">
        <v>1971</v>
      </c>
      <c r="B154" s="1">
        <f>'HLH Slice Load'!P45-'HLH-LLH Loads'!$AB$7</f>
        <v>3389892.273056614</v>
      </c>
      <c r="C154" s="1">
        <f>'LLH Slice Load'!P45-'HLH-LLH Loads'!$AB$8</f>
        <v>1809205.897371985</v>
      </c>
      <c r="D154" s="1">
        <f t="shared" si="5"/>
        <v>5199098.170428599</v>
      </c>
    </row>
    <row r="155" spans="1:4" ht="12.75">
      <c r="A155" s="131">
        <v>1972</v>
      </c>
      <c r="B155" s="1">
        <f>'HLH Slice Load'!P46-'HLH-LLH Loads'!$AB$7</f>
        <v>3864174.810839043</v>
      </c>
      <c r="C155" s="1">
        <f>'LLH Slice Load'!P46-'HLH-LLH Loads'!$AB$8</f>
        <v>2408404.244535139</v>
      </c>
      <c r="D155" s="1">
        <f t="shared" si="5"/>
        <v>6272579.055374182</v>
      </c>
    </row>
    <row r="156" spans="1:4" ht="12.75">
      <c r="A156" s="131">
        <v>1973</v>
      </c>
      <c r="B156" s="1">
        <f>'HLH Slice Load'!P47-'HLH-LLH Loads'!$AB$7</f>
        <v>1303050.5714162476</v>
      </c>
      <c r="C156" s="1">
        <f>'LLH Slice Load'!P47-'HLH-LLH Loads'!$AB$8</f>
        <v>261225.047006174</v>
      </c>
      <c r="D156" s="1">
        <f t="shared" si="5"/>
        <v>1564275.6184224216</v>
      </c>
    </row>
    <row r="157" spans="1:4" ht="12.75">
      <c r="A157" s="131">
        <v>1974</v>
      </c>
      <c r="B157" s="1">
        <f>'HLH Slice Load'!P48-'HLH-LLH Loads'!$AB$7</f>
        <v>3769034.9861266306</v>
      </c>
      <c r="C157" s="1">
        <f>'LLH Slice Load'!P48-'HLH-LLH Loads'!$AB$8</f>
        <v>2592310.868762538</v>
      </c>
      <c r="D157" s="1">
        <f t="shared" si="5"/>
        <v>6361345.854889168</v>
      </c>
    </row>
    <row r="158" spans="1:4" ht="12.75">
      <c r="A158" s="131">
        <v>1975</v>
      </c>
      <c r="B158" s="1">
        <f>'HLH Slice Load'!P49-'HLH-LLH Loads'!$AB$7</f>
        <v>2754413.9850913743</v>
      </c>
      <c r="C158" s="1">
        <f>'LLH Slice Load'!P49-'HLH-LLH Loads'!$AB$8</f>
        <v>1182073.3710833536</v>
      </c>
      <c r="D158" s="1">
        <f t="shared" si="5"/>
        <v>3936487.356174728</v>
      </c>
    </row>
    <row r="159" spans="1:4" ht="12.75">
      <c r="A159" s="131">
        <v>1976</v>
      </c>
      <c r="B159" s="1">
        <f>'HLH Slice Load'!P50-'HLH-LLH Loads'!$AB$7</f>
        <v>3618182.4129182203</v>
      </c>
      <c r="C159" s="1">
        <f>'LLH Slice Load'!P50-'HLH-LLH Loads'!$AB$8</f>
        <v>1809692.7333956873</v>
      </c>
      <c r="D159" s="1">
        <f t="shared" si="5"/>
        <v>5427875.146313908</v>
      </c>
    </row>
    <row r="160" spans="1:4" ht="12.75">
      <c r="A160" s="131">
        <v>1977</v>
      </c>
      <c r="B160" s="1">
        <f>'HLH Slice Load'!P51-'HLH-LLH Loads'!$AB$7</f>
        <v>830713.317170945</v>
      </c>
      <c r="C160" s="1">
        <f>'LLH Slice Load'!P51-'HLH-LLH Loads'!$AB$8</f>
        <v>208427.3484802423</v>
      </c>
      <c r="D160" s="1">
        <f t="shared" si="5"/>
        <v>1039140.6656511873</v>
      </c>
    </row>
    <row r="161" spans="1:4" ht="12.75">
      <c r="A161" s="131">
        <v>1978</v>
      </c>
      <c r="B161" s="1">
        <f>'HLH Slice Load'!P52-'HLH-LLH Loads'!$AB$7</f>
        <v>1727725.0358686382</v>
      </c>
      <c r="C161" s="1">
        <f>'LLH Slice Load'!P52-'HLH-LLH Loads'!$AB$8</f>
        <v>572449.8837880674</v>
      </c>
      <c r="D161" s="1">
        <f t="shared" si="5"/>
        <v>2300174.9196567056</v>
      </c>
    </row>
    <row r="162" spans="1:4" ht="12.75">
      <c r="A162" s="131" t="s">
        <v>46</v>
      </c>
      <c r="B162" s="1">
        <f>AVERAGE(B111:B161)</f>
        <v>2234302.512852335</v>
      </c>
      <c r="C162" s="1">
        <f>AVERAGE(C111:C161)</f>
        <v>924130.787474043</v>
      </c>
      <c r="D162" s="1">
        <f t="shared" si="5"/>
        <v>3158433.300326378</v>
      </c>
    </row>
  </sheetData>
  <mergeCells count="4">
    <mergeCell ref="A110:D110"/>
    <mergeCell ref="B1:O1"/>
    <mergeCell ref="B55:O55"/>
    <mergeCell ref="A109:E109"/>
  </mergeCells>
  <printOptions/>
  <pageMargins left="0.75" right="0.75" top="0.75" bottom="0.75" header="0.5" footer="0.5"/>
  <pageSetup fitToHeight="3" horizontalDpi="300" verticalDpi="300" orientation="landscape" scale="70" r:id="rId1"/>
  <headerFooter alignWithMargins="0">
    <oddFooter>&amp;LSlice Cost Shift Study&amp;CPage &amp;P&amp;R'02 Rate Case</oddFooter>
  </headerFooter>
  <rowBreaks count="2" manualBreakCount="2">
    <brk id="53" max="255" man="1"/>
    <brk id="107" max="255" man="1"/>
  </rowBreaks>
</worksheet>
</file>

<file path=xl/worksheets/sheet3.xml><?xml version="1.0" encoding="utf-8"?>
<worksheet xmlns="http://schemas.openxmlformats.org/spreadsheetml/2006/main" xmlns:r="http://schemas.openxmlformats.org/officeDocument/2006/relationships">
  <sheetPr codeName="Sheet16">
    <pageSetUpPr fitToPage="1"/>
  </sheetPr>
  <dimension ref="A1:D16"/>
  <sheetViews>
    <sheetView workbookViewId="0" topLeftCell="A1">
      <selection activeCell="E12" sqref="E12"/>
    </sheetView>
  </sheetViews>
  <sheetFormatPr defaultColWidth="9.33203125" defaultRowHeight="12.75"/>
  <cols>
    <col min="1" max="1" width="5.83203125" style="0" customWidth="1"/>
    <col min="2" max="2" width="31.66015625" style="0" customWidth="1"/>
    <col min="3" max="4" width="12.83203125" style="0" customWidth="1"/>
  </cols>
  <sheetData>
    <row r="1" spans="1:4" ht="18.75">
      <c r="A1" s="196" t="str">
        <f>"Cost Shift Breakdown for "&amp;TEXT(Slice_Sold,"0%")&amp;" Slice ($Million)"</f>
        <v>Cost Shift Breakdown for 15% Slice ($Million)</v>
      </c>
      <c r="B1" s="197"/>
      <c r="C1" s="197"/>
      <c r="D1" s="198"/>
    </row>
    <row r="2" spans="1:4" ht="12.75">
      <c r="A2" s="199" t="s">
        <v>173</v>
      </c>
      <c r="B2" s="200"/>
      <c r="C2" s="200"/>
      <c r="D2" s="201"/>
    </row>
    <row r="3" spans="1:4" ht="12.75">
      <c r="A3" s="113">
        <v>1</v>
      </c>
      <c r="B3" s="110" t="s">
        <v>163</v>
      </c>
      <c r="C3" s="32"/>
      <c r="D3" s="52"/>
    </row>
    <row r="4" spans="1:4" ht="12.75">
      <c r="A4" s="113">
        <v>2</v>
      </c>
      <c r="B4" s="32" t="s">
        <v>165</v>
      </c>
      <c r="C4" s="184">
        <f>ROUND(2578/5,1)</f>
        <v>515.6</v>
      </c>
      <c r="D4" s="52"/>
    </row>
    <row r="5" spans="1:4" ht="12.75">
      <c r="A5" s="113">
        <v>3</v>
      </c>
      <c r="B5" s="32" t="s">
        <v>164</v>
      </c>
      <c r="C5" s="185">
        <v>-75.4</v>
      </c>
      <c r="D5" s="52"/>
    </row>
    <row r="6" spans="1:4" ht="12.75">
      <c r="A6" s="113">
        <v>4</v>
      </c>
      <c r="B6" s="32" t="s">
        <v>169</v>
      </c>
      <c r="C6" s="20">
        <f>SUM(C4:C5)</f>
        <v>440.20000000000005</v>
      </c>
      <c r="D6" s="52"/>
    </row>
    <row r="7" spans="1:4" ht="12.75">
      <c r="A7" s="113">
        <v>5</v>
      </c>
      <c r="B7" s="110" t="s">
        <v>174</v>
      </c>
      <c r="C7" s="32"/>
      <c r="D7" s="52"/>
    </row>
    <row r="8" spans="1:4" ht="12.75">
      <c r="A8" s="113">
        <v>6</v>
      </c>
      <c r="B8" s="32" t="s">
        <v>118</v>
      </c>
      <c r="C8" s="111">
        <f>Slice_Sold</f>
        <v>0.15</v>
      </c>
      <c r="D8" s="52"/>
    </row>
    <row r="9" spans="1:4" ht="12.75">
      <c r="A9" s="113">
        <v>7</v>
      </c>
      <c r="B9" s="32" t="s">
        <v>168</v>
      </c>
      <c r="C9" s="20">
        <f>-ROUND(C6*C8,1)</f>
        <v>-66</v>
      </c>
      <c r="D9" s="52"/>
    </row>
    <row r="10" spans="1:4" ht="12.75">
      <c r="A10" s="113">
        <v>8</v>
      </c>
      <c r="B10" s="32" t="s">
        <v>166</v>
      </c>
      <c r="C10" s="16">
        <f>Results!K34</f>
        <v>-72.66799827795121</v>
      </c>
      <c r="D10" s="52"/>
    </row>
    <row r="11" spans="1:4" ht="12.75">
      <c r="A11" s="113">
        <v>9</v>
      </c>
      <c r="B11" s="32" t="s">
        <v>170</v>
      </c>
      <c r="C11" s="20">
        <f>C10-C9</f>
        <v>-6.667998277951213</v>
      </c>
      <c r="D11" s="67">
        <f>C11</f>
        <v>-6.667998277951213</v>
      </c>
    </row>
    <row r="12" spans="1:4" ht="12.75">
      <c r="A12" s="113">
        <v>10</v>
      </c>
      <c r="B12" s="32"/>
      <c r="C12" s="32"/>
      <c r="D12" s="52"/>
    </row>
    <row r="13" spans="1:4" ht="12.75">
      <c r="A13" s="113">
        <v>11</v>
      </c>
      <c r="B13" s="32" t="s">
        <v>168</v>
      </c>
      <c r="C13" s="20">
        <f>-C9</f>
        <v>66</v>
      </c>
      <c r="D13" s="52"/>
    </row>
    <row r="14" spans="1:4" ht="12.75">
      <c r="A14" s="113">
        <v>12</v>
      </c>
      <c r="B14" s="32" t="s">
        <v>167</v>
      </c>
      <c r="C14" s="16">
        <f>Results!K33</f>
        <v>78.4</v>
      </c>
      <c r="D14" s="52"/>
    </row>
    <row r="15" spans="1:4" ht="12.75">
      <c r="A15" s="113">
        <v>13</v>
      </c>
      <c r="B15" s="32" t="s">
        <v>171</v>
      </c>
      <c r="C15" s="20">
        <f>C14-C13</f>
        <v>12.400000000000006</v>
      </c>
      <c r="D15" s="68">
        <f>C15</f>
        <v>12.400000000000006</v>
      </c>
    </row>
    <row r="16" spans="1:4" ht="13.5" thickBot="1">
      <c r="A16" s="114">
        <v>14</v>
      </c>
      <c r="B16" s="35" t="s">
        <v>172</v>
      </c>
      <c r="C16" s="35"/>
      <c r="D16" s="112">
        <f>Results!K35</f>
        <v>5.732001722048796</v>
      </c>
    </row>
  </sheetData>
  <mergeCells count="2">
    <mergeCell ref="A1:D1"/>
    <mergeCell ref="A2:D2"/>
  </mergeCells>
  <printOptions/>
  <pageMargins left="2" right="0.75" top="1" bottom="1" header="0.5" footer="0.5"/>
  <pageSetup fitToHeight="1" fitToWidth="1" horizontalDpi="200" verticalDpi="200" orientation="portrait" r:id="rId1"/>
  <headerFooter alignWithMargins="0">
    <oddFooter>&amp;LSlice Cost Shift Study&amp;R'02 Rate Case</oddFooter>
  </headerFooter>
</worksheet>
</file>

<file path=xl/worksheets/sheet4.xml><?xml version="1.0" encoding="utf-8"?>
<worksheet xmlns="http://schemas.openxmlformats.org/spreadsheetml/2006/main" xmlns:r="http://schemas.openxmlformats.org/officeDocument/2006/relationships">
  <sheetPr codeName="Sheet17">
    <pageSetUpPr fitToPage="1"/>
  </sheetPr>
  <dimension ref="A1:C103"/>
  <sheetViews>
    <sheetView workbookViewId="0" topLeftCell="A17">
      <selection activeCell="D3" sqref="D3"/>
    </sheetView>
  </sheetViews>
  <sheetFormatPr defaultColWidth="9.33203125" defaultRowHeight="12.75"/>
  <cols>
    <col min="1" max="1" width="12.83203125" style="0" customWidth="1"/>
    <col min="2" max="2" width="17" style="0" bestFit="1" customWidth="1"/>
    <col min="3" max="3" width="9.5" style="0" bestFit="1" customWidth="1"/>
  </cols>
  <sheetData>
    <row r="1" spans="1:3" ht="22.5">
      <c r="A1" s="204" t="s">
        <v>120</v>
      </c>
      <c r="B1" s="204"/>
      <c r="C1" s="204"/>
    </row>
    <row r="2" spans="1:3" ht="24.75" customHeight="1">
      <c r="A2" s="183"/>
      <c r="B2" s="202" t="s">
        <v>179</v>
      </c>
      <c r="C2" s="203"/>
    </row>
    <row r="3" spans="1:3" ht="12.75">
      <c r="A3" s="151" t="s">
        <v>118</v>
      </c>
      <c r="B3" s="183" t="s">
        <v>122</v>
      </c>
      <c r="C3" s="151" t="s">
        <v>121</v>
      </c>
    </row>
    <row r="4" spans="1:3" ht="12.75">
      <c r="A4" s="80">
        <v>0.009999999776482582</v>
      </c>
      <c r="B4" s="94">
        <v>0.02086660119844874</v>
      </c>
      <c r="C4" s="96">
        <v>0.3821334395952377</v>
      </c>
    </row>
    <row r="5" spans="1:3" ht="12.75">
      <c r="A5" s="81">
        <v>0.019999999552965164</v>
      </c>
      <c r="B5" s="95">
        <v>0.02086660119844874</v>
      </c>
      <c r="C5" s="97">
        <v>0.7642668791904754</v>
      </c>
    </row>
    <row r="6" spans="1:3" ht="12.75">
      <c r="A6" s="81">
        <v>0.029999999329447746</v>
      </c>
      <c r="B6" s="95">
        <v>0.02086660119844879</v>
      </c>
      <c r="C6" s="97">
        <v>1.1464003187857161</v>
      </c>
    </row>
    <row r="7" spans="1:3" ht="12.75">
      <c r="A7" s="81">
        <v>0.03999999910593033</v>
      </c>
      <c r="B7" s="95">
        <v>0.02086660119844874</v>
      </c>
      <c r="C7" s="97">
        <v>1.5285337583809508</v>
      </c>
    </row>
    <row r="8" spans="1:3" ht="12.75">
      <c r="A8" s="81">
        <v>0.05000000074505806</v>
      </c>
      <c r="B8" s="95">
        <v>0.02086660119844893</v>
      </c>
      <c r="C8" s="97">
        <v>1.9106672691541076</v>
      </c>
    </row>
    <row r="9" spans="1:3" ht="12.75">
      <c r="A9" s="81">
        <v>0.05999999865889549</v>
      </c>
      <c r="B9" s="95">
        <v>0.02086660119844879</v>
      </c>
      <c r="C9" s="97">
        <v>2.2928006375714323</v>
      </c>
    </row>
    <row r="10" spans="1:3" ht="12.75">
      <c r="A10" s="81">
        <v>0.07000000029802322</v>
      </c>
      <c r="B10" s="95">
        <v>0.02086660119844863</v>
      </c>
      <c r="C10" s="97">
        <v>2.6749341483445517</v>
      </c>
    </row>
    <row r="11" spans="1:3" ht="12.75">
      <c r="A11" s="81">
        <v>0.07999999821186066</v>
      </c>
      <c r="B11" s="95">
        <v>0.02086660119844874</v>
      </c>
      <c r="C11" s="97">
        <v>3.0570675167619017</v>
      </c>
    </row>
    <row r="12" spans="1:3" ht="12.75">
      <c r="A12" s="81">
        <v>0.09000000357627869</v>
      </c>
      <c r="B12" s="95">
        <v>0.02086660119844882</v>
      </c>
      <c r="C12" s="97">
        <v>3.4392011698908567</v>
      </c>
    </row>
    <row r="13" spans="1:3" ht="12.75">
      <c r="A13" s="81">
        <v>0.10000000149011612</v>
      </c>
      <c r="B13" s="95">
        <v>0.02086660119844893</v>
      </c>
      <c r="C13" s="97">
        <v>3.821334538308215</v>
      </c>
    </row>
    <row r="14" spans="1:3" ht="12.75">
      <c r="A14" s="81">
        <v>0.10999999940395355</v>
      </c>
      <c r="B14" s="95">
        <v>0.020866601198448766</v>
      </c>
      <c r="C14" s="97">
        <v>4.203467906725522</v>
      </c>
    </row>
    <row r="15" spans="1:3" ht="12.75">
      <c r="A15" s="81">
        <v>0.11999999731779099</v>
      </c>
      <c r="B15" s="95">
        <v>0.02086660119844879</v>
      </c>
      <c r="C15" s="97">
        <v>4.5856012751428645</v>
      </c>
    </row>
    <row r="16" spans="1:3" ht="12.75">
      <c r="A16" s="81">
        <v>0.12999999523162842</v>
      </c>
      <c r="B16" s="95">
        <v>0.020866601198448808</v>
      </c>
      <c r="C16" s="97">
        <v>4.967734643560205</v>
      </c>
    </row>
    <row r="17" spans="1:3" ht="12.75">
      <c r="A17" s="81">
        <v>0.14000000059604645</v>
      </c>
      <c r="B17" s="95">
        <v>0.02086660119844863</v>
      </c>
      <c r="C17" s="97">
        <v>5.349868296689103</v>
      </c>
    </row>
    <row r="18" spans="1:3" ht="12.75">
      <c r="A18" s="81">
        <v>0.15000000596046448</v>
      </c>
      <c r="B18" s="95">
        <v>0.020866601198448836</v>
      </c>
      <c r="C18" s="97">
        <v>5.7320019498181</v>
      </c>
    </row>
    <row r="19" spans="1:3" ht="12.75">
      <c r="A19" s="81">
        <v>0.1599999964237213</v>
      </c>
      <c r="B19" s="95">
        <v>0.02086660119844874</v>
      </c>
      <c r="C19" s="97">
        <v>6.114135033523803</v>
      </c>
    </row>
    <row r="20" spans="1:3" ht="12.75">
      <c r="A20" s="81">
        <v>0.17000000178813934</v>
      </c>
      <c r="B20" s="95">
        <v>0.020866601198448846</v>
      </c>
      <c r="C20" s="97">
        <v>6.49626868665278</v>
      </c>
    </row>
    <row r="21" spans="1:3" ht="12.75">
      <c r="A21" s="81">
        <v>0.18000000715255737</v>
      </c>
      <c r="B21" s="95">
        <v>0.02086660119844882</v>
      </c>
      <c r="C21" s="97">
        <v>6.878402339781713</v>
      </c>
    </row>
    <row r="22" spans="1:3" ht="12.75">
      <c r="A22" s="81">
        <v>0.1899999976158142</v>
      </c>
      <c r="B22" s="95">
        <v>0.02086660119844875</v>
      </c>
      <c r="C22" s="97">
        <v>7.260535423487422</v>
      </c>
    </row>
    <row r="23" spans="1:3" ht="12.75">
      <c r="A23" s="81">
        <v>0.20000000298023224</v>
      </c>
      <c r="B23" s="95">
        <v>0.02086660119844893</v>
      </c>
      <c r="C23" s="97">
        <v>7.64266907661643</v>
      </c>
    </row>
    <row r="24" spans="1:3" ht="12.75">
      <c r="A24" s="81">
        <v>0.20999999344348907</v>
      </c>
      <c r="B24" s="95">
        <v>0.02086660119844864</v>
      </c>
      <c r="C24" s="97">
        <v>8.024802160322054</v>
      </c>
    </row>
    <row r="25" spans="1:3" ht="12.75">
      <c r="A25" s="81">
        <v>0.2199999988079071</v>
      </c>
      <c r="B25" s="95">
        <v>0.020866601198448766</v>
      </c>
      <c r="C25" s="97">
        <v>8.406935813451044</v>
      </c>
    </row>
    <row r="26" spans="1:3" ht="12.75">
      <c r="A26" s="81">
        <v>0.23000000417232513</v>
      </c>
      <c r="B26" s="95">
        <v>0.020866601198448773</v>
      </c>
      <c r="C26" s="97">
        <v>8.789069466579988</v>
      </c>
    </row>
    <row r="27" spans="1:3" ht="12.75">
      <c r="A27" s="81">
        <v>0.23999999463558197</v>
      </c>
      <c r="B27" s="95">
        <v>0.02086660119844879</v>
      </c>
      <c r="C27" s="97">
        <v>9.171202550285729</v>
      </c>
    </row>
    <row r="28" spans="1:3" ht="12.75">
      <c r="A28" s="81">
        <v>0.25</v>
      </c>
      <c r="B28" s="95">
        <v>0.020866601198448728</v>
      </c>
      <c r="C28" s="97">
        <v>9.553336203414643</v>
      </c>
    </row>
    <row r="29" spans="1:3" ht="12.75">
      <c r="A29" s="81">
        <v>0.25999999046325684</v>
      </c>
      <c r="B29" s="95">
        <v>0.020866601198448808</v>
      </c>
      <c r="C29" s="97">
        <v>9.93546928712041</v>
      </c>
    </row>
    <row r="30" spans="1:3" ht="12.75">
      <c r="A30" s="81">
        <v>0.27000001072883606</v>
      </c>
      <c r="B30" s="95">
        <v>0.020866601198448957</v>
      </c>
      <c r="C30" s="97">
        <v>10.31760350967264</v>
      </c>
    </row>
    <row r="31" spans="1:3" ht="12.75">
      <c r="A31" s="81">
        <v>0.2800000011920929</v>
      </c>
      <c r="B31" s="95">
        <v>0.02086660119844863</v>
      </c>
      <c r="C31" s="97">
        <v>10.699736593378207</v>
      </c>
    </row>
    <row r="32" spans="1:3" ht="12.75">
      <c r="A32" s="81">
        <v>0.28999999165534973</v>
      </c>
      <c r="B32" s="95">
        <v>0.02086660119844878</v>
      </c>
      <c r="C32" s="97">
        <v>11.081869677084015</v>
      </c>
    </row>
    <row r="33" spans="1:3" ht="12.75">
      <c r="A33" s="81">
        <v>0.30000001192092896</v>
      </c>
      <c r="B33" s="95">
        <v>0.020866601198448836</v>
      </c>
      <c r="C33" s="97">
        <v>11.4640038996362</v>
      </c>
    </row>
    <row r="34" spans="1:3" ht="12.75">
      <c r="A34" s="81">
        <v>0.3100000023841858</v>
      </c>
      <c r="B34" s="95">
        <v>0.020866601198448843</v>
      </c>
      <c r="C34" s="97">
        <v>11.846136983341935</v>
      </c>
    </row>
    <row r="35" spans="1:3" ht="12.75">
      <c r="A35" s="81">
        <v>0.3199999928474426</v>
      </c>
      <c r="B35" s="95">
        <v>0.02086660119844874</v>
      </c>
      <c r="C35" s="97">
        <v>12.228270067047607</v>
      </c>
    </row>
    <row r="36" spans="1:3" ht="12.75">
      <c r="A36" s="81">
        <v>0.33000001311302185</v>
      </c>
      <c r="B36" s="95">
        <v>0.02086660119844885</v>
      </c>
      <c r="C36" s="97">
        <v>12.610404289599826</v>
      </c>
    </row>
    <row r="37" spans="1:3" ht="12.75">
      <c r="A37" s="81">
        <v>0.3400000035762787</v>
      </c>
      <c r="B37" s="95">
        <v>0.020866601198448846</v>
      </c>
      <c r="C37" s="97">
        <v>12.99253737330556</v>
      </c>
    </row>
    <row r="38" spans="1:3" ht="12.75">
      <c r="A38" s="81">
        <v>0.3499999940395355</v>
      </c>
      <c r="B38" s="95">
        <v>0.020866601198448756</v>
      </c>
      <c r="C38" s="97">
        <v>13.374670457011234</v>
      </c>
    </row>
    <row r="39" spans="1:3" ht="12.75">
      <c r="A39" s="81">
        <v>0.36000001430511475</v>
      </c>
      <c r="B39" s="95">
        <v>0.02086660119844882</v>
      </c>
      <c r="C39" s="97">
        <v>13.756804679563427</v>
      </c>
    </row>
    <row r="40" spans="1:3" ht="12.75">
      <c r="A40" s="81">
        <v>0.3700000047683716</v>
      </c>
      <c r="B40" s="95">
        <v>0.020866601198448787</v>
      </c>
      <c r="C40" s="97">
        <v>14.138937763269139</v>
      </c>
    </row>
    <row r="41" spans="1:3" ht="12.75">
      <c r="A41" s="81">
        <v>0.3799999952316284</v>
      </c>
      <c r="B41" s="95">
        <v>0.02086660119844875</v>
      </c>
      <c r="C41" s="97">
        <v>14.521070846974844</v>
      </c>
    </row>
    <row r="42" spans="1:3" ht="12.75">
      <c r="A42" s="81">
        <v>0.38999998569488525</v>
      </c>
      <c r="B42" s="95">
        <v>0.020866601198448666</v>
      </c>
      <c r="C42" s="97">
        <v>14.903203930680515</v>
      </c>
    </row>
    <row r="43" spans="1:3" ht="12.75">
      <c r="A43" s="81">
        <v>0.4000000059604645</v>
      </c>
      <c r="B43" s="95">
        <v>0.02086660119844893</v>
      </c>
      <c r="C43" s="97">
        <v>15.28533815323286</v>
      </c>
    </row>
    <row r="44" spans="1:3" ht="12.75">
      <c r="A44" s="81">
        <v>0.4099999964237213</v>
      </c>
      <c r="B44" s="95">
        <v>0.020866601198448617</v>
      </c>
      <c r="C44" s="97">
        <v>15.66747123693836</v>
      </c>
    </row>
    <row r="45" spans="1:3" ht="12.75">
      <c r="A45" s="81">
        <v>0.41999998688697815</v>
      </c>
      <c r="B45" s="95">
        <v>0.02086660119844864</v>
      </c>
      <c r="C45" s="97">
        <v>16.049604320644107</v>
      </c>
    </row>
    <row r="46" spans="1:3" ht="12.75">
      <c r="A46" s="81">
        <v>0.4300000071525574</v>
      </c>
      <c r="B46" s="95">
        <v>0.02086660119844864</v>
      </c>
      <c r="C46" s="97">
        <v>16.431738543196257</v>
      </c>
    </row>
    <row r="47" spans="1:3" ht="12.75">
      <c r="A47" s="81">
        <v>0.4399999976158142</v>
      </c>
      <c r="B47" s="95">
        <v>0.020866601198448766</v>
      </c>
      <c r="C47" s="97">
        <v>16.81387162690209</v>
      </c>
    </row>
    <row r="48" spans="1:3" ht="12.75">
      <c r="A48" s="81">
        <v>0.44999998807907104</v>
      </c>
      <c r="B48" s="95">
        <v>0.020866601198448624</v>
      </c>
      <c r="C48" s="97">
        <v>17.196004710607703</v>
      </c>
    </row>
    <row r="49" spans="1:3" ht="12.75">
      <c r="A49" s="81">
        <v>0.46000000834465027</v>
      </c>
      <c r="B49" s="95">
        <v>0.020866601198448773</v>
      </c>
      <c r="C49" s="97">
        <v>17.578138933159977</v>
      </c>
    </row>
    <row r="50" spans="1:3" ht="12.75">
      <c r="A50" s="81">
        <v>0.4699999988079071</v>
      </c>
      <c r="B50" s="95">
        <v>0.020866601198448756</v>
      </c>
      <c r="C50" s="97">
        <v>17.960272016865698</v>
      </c>
    </row>
    <row r="51" spans="1:3" ht="12.75">
      <c r="A51" s="81">
        <v>0.47999998927116394</v>
      </c>
      <c r="B51" s="95">
        <v>0.02086660119844879</v>
      </c>
      <c r="C51" s="97">
        <v>18.342405100571458</v>
      </c>
    </row>
    <row r="52" spans="1:3" ht="12.75">
      <c r="A52" s="81">
        <v>0.49000000953674316</v>
      </c>
      <c r="B52" s="95">
        <v>0.020866601198448825</v>
      </c>
      <c r="C52" s="97">
        <v>18.72453932312364</v>
      </c>
    </row>
    <row r="53" spans="1:3" ht="12.75">
      <c r="A53" s="81">
        <v>0.5</v>
      </c>
      <c r="B53" s="95">
        <v>0.020866601198448728</v>
      </c>
      <c r="C53" s="97">
        <v>19.106672406829286</v>
      </c>
    </row>
    <row r="54" spans="1:3" ht="12.75">
      <c r="A54" s="81">
        <v>0.5099999904632568</v>
      </c>
      <c r="B54" s="95">
        <v>0.02086660119844869</v>
      </c>
      <c r="C54" s="97">
        <v>19.48880549053498</v>
      </c>
    </row>
    <row r="55" spans="1:3" ht="12.75">
      <c r="A55" s="81">
        <v>0.5199999809265137</v>
      </c>
      <c r="B55" s="95">
        <v>0.020866601198448808</v>
      </c>
      <c r="C55" s="97">
        <v>19.87093857424082</v>
      </c>
    </row>
    <row r="56" spans="1:3" ht="12.75">
      <c r="A56" s="81">
        <v>0.5299999713897705</v>
      </c>
      <c r="B56" s="95">
        <v>0.020866601198448805</v>
      </c>
      <c r="C56" s="97">
        <v>20.253071657946553</v>
      </c>
    </row>
    <row r="57" spans="1:3" ht="12.75">
      <c r="A57" s="81">
        <v>0.5400000214576721</v>
      </c>
      <c r="B57" s="95">
        <v>0.020866601198448957</v>
      </c>
      <c r="C57" s="97">
        <v>20.63520701934528</v>
      </c>
    </row>
    <row r="58" spans="1:3" ht="12.75">
      <c r="A58" s="81">
        <v>0.550000011920929</v>
      </c>
      <c r="B58" s="95">
        <v>0.02086660119844879</v>
      </c>
      <c r="C58" s="97">
        <v>21.017340103050845</v>
      </c>
    </row>
    <row r="59" spans="1:3" ht="12.75">
      <c r="A59" s="81">
        <v>0.5600000023841858</v>
      </c>
      <c r="B59" s="95">
        <v>0.02086660119844863</v>
      </c>
      <c r="C59" s="97">
        <v>21.399473186756413</v>
      </c>
    </row>
    <row r="60" spans="1:3" ht="12.75">
      <c r="A60" s="81">
        <v>0.5699999928474426</v>
      </c>
      <c r="B60" s="95">
        <v>0.02086660119844893</v>
      </c>
      <c r="C60" s="97">
        <v>21.781606270462454</v>
      </c>
    </row>
    <row r="61" spans="1:3" ht="12.75">
      <c r="A61" s="81">
        <v>0.5799999833106995</v>
      </c>
      <c r="B61" s="95">
        <v>0.02086660119844878</v>
      </c>
      <c r="C61" s="97">
        <v>22.16373935416803</v>
      </c>
    </row>
    <row r="62" spans="1:3" ht="12.75">
      <c r="A62" s="81">
        <v>0.5899999737739563</v>
      </c>
      <c r="B62" s="95">
        <v>0.020866601198448773</v>
      </c>
      <c r="C62" s="97">
        <v>22.545872437873754</v>
      </c>
    </row>
    <row r="63" spans="1:3" ht="12.75">
      <c r="A63" s="81">
        <v>0.6000000238418579</v>
      </c>
      <c r="B63" s="95">
        <v>0.020866601198448836</v>
      </c>
      <c r="C63" s="97">
        <v>22.9280077992724</v>
      </c>
    </row>
    <row r="64" spans="1:3" ht="12.75">
      <c r="A64" s="81">
        <v>0.6100000143051147</v>
      </c>
      <c r="B64" s="95">
        <v>0.020866601198448752</v>
      </c>
      <c r="C64" s="97">
        <v>23.310140882978036</v>
      </c>
    </row>
    <row r="65" spans="1:3" ht="12.75">
      <c r="A65" s="81">
        <v>0.6200000047683716</v>
      </c>
      <c r="B65" s="95">
        <v>0.020866601198448843</v>
      </c>
      <c r="C65" s="97">
        <v>23.69227396668387</v>
      </c>
    </row>
    <row r="66" spans="1:3" ht="12.75">
      <c r="A66" s="81">
        <v>0.6299999952316284</v>
      </c>
      <c r="B66" s="95">
        <v>0.020866601198448725</v>
      </c>
      <c r="C66" s="97">
        <v>24.074407050389468</v>
      </c>
    </row>
    <row r="67" spans="1:3" ht="12.75">
      <c r="A67" s="81">
        <v>0.6399999856948853</v>
      </c>
      <c r="B67" s="95">
        <v>0.02086660119844874</v>
      </c>
      <c r="C67" s="97">
        <v>24.456540134095214</v>
      </c>
    </row>
    <row r="68" spans="1:3" ht="12.75">
      <c r="A68" s="81">
        <v>0.6499999761581421</v>
      </c>
      <c r="B68" s="95">
        <v>0.02086660119844879</v>
      </c>
      <c r="C68" s="97">
        <v>24.83867321780101</v>
      </c>
    </row>
    <row r="69" spans="1:3" ht="12.75">
      <c r="A69" s="81">
        <v>0.6600000262260437</v>
      </c>
      <c r="B69" s="95">
        <v>0.02086660119844885</v>
      </c>
      <c r="C69" s="97">
        <v>25.22080857919965</v>
      </c>
    </row>
    <row r="70" spans="1:3" ht="12.75">
      <c r="A70" s="81">
        <v>0.6700000166893005</v>
      </c>
      <c r="B70" s="95">
        <v>0.02086660119844857</v>
      </c>
      <c r="C70" s="97">
        <v>25.602941662905046</v>
      </c>
    </row>
    <row r="71" spans="1:3" ht="12.75">
      <c r="A71" s="81">
        <v>0.6800000071525574</v>
      </c>
      <c r="B71" s="95">
        <v>0.020866601198448846</v>
      </c>
      <c r="C71" s="97">
        <v>25.98507474661112</v>
      </c>
    </row>
    <row r="72" spans="1:3" ht="12.75">
      <c r="A72" s="81">
        <v>0.6899999976158142</v>
      </c>
      <c r="B72" s="95">
        <v>0.020866601198448673</v>
      </c>
      <c r="C72" s="97">
        <v>26.36720783031663</v>
      </c>
    </row>
    <row r="73" spans="1:3" ht="12.75">
      <c r="A73" s="81">
        <v>0.699999988079071</v>
      </c>
      <c r="B73" s="95">
        <v>0.020866601198448756</v>
      </c>
      <c r="C73" s="97">
        <v>26.74934091402247</v>
      </c>
    </row>
    <row r="74" spans="1:3" ht="12.75">
      <c r="A74" s="81">
        <v>0.7099999785423279</v>
      </c>
      <c r="B74" s="95">
        <v>0.0208666011984488</v>
      </c>
      <c r="C74" s="97">
        <v>27.131473997728254</v>
      </c>
    </row>
    <row r="75" spans="1:3" ht="12.75">
      <c r="A75" s="81">
        <v>0.7200000286102295</v>
      </c>
      <c r="B75" s="95">
        <v>0.02086660119844882</v>
      </c>
      <c r="C75" s="97">
        <v>27.513609359126853</v>
      </c>
    </row>
    <row r="76" spans="1:3" ht="12.75">
      <c r="A76" s="81">
        <v>0.7300000190734863</v>
      </c>
      <c r="B76" s="95">
        <v>0.02086660119844867</v>
      </c>
      <c r="C76" s="97">
        <v>27.89574244283239</v>
      </c>
    </row>
    <row r="77" spans="1:3" ht="12.75">
      <c r="A77" s="81">
        <v>0.7400000095367432</v>
      </c>
      <c r="B77" s="95">
        <v>0.020866601198448787</v>
      </c>
      <c r="C77" s="97">
        <v>28.277875526538278</v>
      </c>
    </row>
    <row r="78" spans="1:3" ht="12.75">
      <c r="A78" s="81">
        <v>0.75</v>
      </c>
      <c r="B78" s="95">
        <v>0.0208666011984487</v>
      </c>
      <c r="C78" s="97">
        <v>28.66000861024389</v>
      </c>
    </row>
    <row r="79" spans="1:3" ht="12.75">
      <c r="A79" s="81">
        <v>0.7599999904632568</v>
      </c>
      <c r="B79" s="95">
        <v>0.02086660119844875</v>
      </c>
      <c r="C79" s="97">
        <v>29.042141693949688</v>
      </c>
    </row>
    <row r="80" spans="1:3" ht="12.75">
      <c r="A80" s="81">
        <v>0.7699999809265137</v>
      </c>
      <c r="B80" s="95">
        <v>0.020866601198448693</v>
      </c>
      <c r="C80" s="97">
        <v>29.42427477765534</v>
      </c>
    </row>
    <row r="81" spans="1:3" ht="12.75">
      <c r="A81" s="81">
        <v>0.7799999713897705</v>
      </c>
      <c r="B81" s="95">
        <v>0.020866601198448666</v>
      </c>
      <c r="C81" s="97">
        <v>29.80640786136103</v>
      </c>
    </row>
    <row r="82" spans="1:3" ht="12.75">
      <c r="A82" s="81">
        <v>0.7900000214576721</v>
      </c>
      <c r="B82" s="95">
        <v>0.020866601198448652</v>
      </c>
      <c r="C82" s="97">
        <v>30.18854322275958</v>
      </c>
    </row>
    <row r="83" spans="1:3" ht="12.75">
      <c r="A83" s="81">
        <v>0.800000011920929</v>
      </c>
      <c r="B83" s="95">
        <v>0.02086660119844893</v>
      </c>
      <c r="C83" s="97">
        <v>30.57067630646572</v>
      </c>
    </row>
    <row r="84" spans="1:3" ht="12.75">
      <c r="A84" s="81">
        <v>0.8100000023841858</v>
      </c>
      <c r="B84" s="95">
        <v>0.020866601198448614</v>
      </c>
      <c r="C84" s="97">
        <v>30.952809390170987</v>
      </c>
    </row>
    <row r="85" spans="1:3" ht="12.75">
      <c r="A85" s="81">
        <v>0.8199999928474426</v>
      </c>
      <c r="B85" s="95">
        <v>0.020866601198448617</v>
      </c>
      <c r="C85" s="97">
        <v>31.33494247387672</v>
      </c>
    </row>
    <row r="86" spans="1:3" ht="12.75">
      <c r="A86" s="81">
        <v>0.8299999833106995</v>
      </c>
      <c r="B86" s="95">
        <v>0.020866601198448808</v>
      </c>
      <c r="C86" s="97">
        <v>31.71707555758274</v>
      </c>
    </row>
    <row r="87" spans="1:3" ht="12.75">
      <c r="A87" s="81">
        <v>0.8399999737739563</v>
      </c>
      <c r="B87" s="95">
        <v>0.02086660119844864</v>
      </c>
      <c r="C87" s="97">
        <v>32.099208641288214</v>
      </c>
    </row>
    <row r="88" spans="1:3" ht="12.75">
      <c r="A88" s="81">
        <v>0.8500000238418579</v>
      </c>
      <c r="B88" s="95">
        <v>0.020866601198448746</v>
      </c>
      <c r="C88" s="97">
        <v>32.481344002686946</v>
      </c>
    </row>
    <row r="89" spans="1:3" ht="12.75">
      <c r="A89" s="81">
        <v>0.8600000143051147</v>
      </c>
      <c r="B89" s="95">
        <v>0.02086660119844864</v>
      </c>
      <c r="C89" s="97">
        <v>32.863477086392514</v>
      </c>
    </row>
    <row r="90" spans="1:3" ht="12.75">
      <c r="A90" s="81">
        <v>0.8700000047683716</v>
      </c>
      <c r="B90" s="95">
        <v>0.020866601198448714</v>
      </c>
      <c r="C90" s="97">
        <v>33.24561017009836</v>
      </c>
    </row>
    <row r="91" spans="1:3" ht="12.75">
      <c r="A91" s="81">
        <v>0.8799999952316284</v>
      </c>
      <c r="B91" s="95">
        <v>0.020866601198448766</v>
      </c>
      <c r="C91" s="97">
        <v>33.62774325380418</v>
      </c>
    </row>
    <row r="92" spans="1:3" ht="12.75">
      <c r="A92" s="81">
        <v>0.8899999856948853</v>
      </c>
      <c r="B92" s="95">
        <v>0.020866601198448794</v>
      </c>
      <c r="C92" s="97">
        <v>34.00987633750995</v>
      </c>
    </row>
    <row r="93" spans="1:3" ht="12.75">
      <c r="A93" s="81">
        <v>0.8999999761581421</v>
      </c>
      <c r="B93" s="95">
        <v>0.020866601198448624</v>
      </c>
      <c r="C93" s="97">
        <v>34.392009421215405</v>
      </c>
    </row>
    <row r="94" spans="1:3" ht="12.75">
      <c r="A94" s="81">
        <v>0.9100000262260437</v>
      </c>
      <c r="B94" s="95">
        <v>0.02086660119844875</v>
      </c>
      <c r="C94" s="97">
        <v>34.77414478261419</v>
      </c>
    </row>
    <row r="95" spans="1:3" ht="12.75">
      <c r="A95" s="81">
        <v>0.9200000166893005</v>
      </c>
      <c r="B95" s="95">
        <v>0.020866601198448773</v>
      </c>
      <c r="C95" s="97">
        <v>35.156277866319954</v>
      </c>
    </row>
    <row r="96" spans="1:3" ht="12.75">
      <c r="A96" s="81">
        <v>0.9300000071525574</v>
      </c>
      <c r="B96" s="95">
        <v>0.020866601198448697</v>
      </c>
      <c r="C96" s="97">
        <v>35.53841095002556</v>
      </c>
    </row>
    <row r="97" spans="1:3" ht="12.75">
      <c r="A97" s="81">
        <v>0.9399999976158142</v>
      </c>
      <c r="B97" s="95">
        <v>0.020866601198448756</v>
      </c>
      <c r="C97" s="97">
        <v>35.920544033731396</v>
      </c>
    </row>
    <row r="98" spans="1:3" ht="12.75">
      <c r="A98" s="81">
        <v>0.949999988079071</v>
      </c>
      <c r="B98" s="95">
        <v>0.020866601198448773</v>
      </c>
      <c r="C98" s="97">
        <v>36.302677117437156</v>
      </c>
    </row>
    <row r="99" spans="1:3" ht="12.75">
      <c r="A99" s="81">
        <v>0.9599999785423279</v>
      </c>
      <c r="B99" s="95">
        <v>0.02086660119844879</v>
      </c>
      <c r="C99" s="97">
        <v>36.684810201142916</v>
      </c>
    </row>
    <row r="100" spans="1:3" ht="12.75">
      <c r="A100" s="81">
        <v>0.9700000286102295</v>
      </c>
      <c r="B100" s="95">
        <v>0.020866601198448784</v>
      </c>
      <c r="C100" s="97">
        <v>37.06694556254148</v>
      </c>
    </row>
    <row r="101" spans="1:3" ht="12.75">
      <c r="A101" s="81">
        <v>0.9800000190734863</v>
      </c>
      <c r="B101" s="95">
        <v>0.020866601198448825</v>
      </c>
      <c r="C101" s="97">
        <v>37.44907864624728</v>
      </c>
    </row>
    <row r="102" spans="1:3" ht="12.75">
      <c r="A102" s="81">
        <v>0.9900000095367432</v>
      </c>
      <c r="B102" s="95">
        <v>0.020866601198448825</v>
      </c>
      <c r="C102" s="97">
        <v>37.83121172995301</v>
      </c>
    </row>
    <row r="103" spans="1:3" ht="12.75">
      <c r="A103" s="82">
        <v>1</v>
      </c>
      <c r="B103" s="98">
        <v>0.020866601198448728</v>
      </c>
      <c r="C103" s="99">
        <v>38.21334481365857</v>
      </c>
    </row>
  </sheetData>
  <mergeCells count="2">
    <mergeCell ref="B2:C2"/>
    <mergeCell ref="A1:C1"/>
  </mergeCells>
  <printOptions/>
  <pageMargins left="3" right="0.75" top="1" bottom="1" header="0.5" footer="0.5"/>
  <pageSetup fitToHeight="2" fitToWidth="1" horizontalDpi="200" verticalDpi="200" orientation="portrait" scale="86" r:id="rId1"/>
  <headerFooter alignWithMargins="0">
    <oddFooter>&amp;LSlice Cost Shift Study&amp;R'02 Rate Case</oddFooter>
  </headerFooter>
</worksheet>
</file>

<file path=xl/worksheets/sheet5.xml><?xml version="1.0" encoding="utf-8"?>
<worksheet xmlns="http://schemas.openxmlformats.org/spreadsheetml/2006/main" xmlns:r="http://schemas.openxmlformats.org/officeDocument/2006/relationships">
  <sheetPr codeName="Sheet11">
    <pageSetUpPr fitToPage="1"/>
  </sheetPr>
  <dimension ref="A1:Y180"/>
  <sheetViews>
    <sheetView workbookViewId="0" topLeftCell="A3">
      <selection activeCell="B5" sqref="B5"/>
    </sheetView>
  </sheetViews>
  <sheetFormatPr defaultColWidth="9.33203125" defaultRowHeight="12.75"/>
  <cols>
    <col min="1" max="1" width="17.16015625" style="0" customWidth="1"/>
    <col min="2" max="2" width="8.5" style="0" customWidth="1"/>
    <col min="3" max="3" width="17" style="0" bestFit="1" customWidth="1"/>
    <col min="4" max="4" width="28.33203125" style="0" customWidth="1"/>
    <col min="5" max="6" width="9" style="0" customWidth="1"/>
    <col min="7" max="7" width="9.66015625" style="0" bestFit="1" customWidth="1"/>
    <col min="8" max="8" width="17" style="0" bestFit="1" customWidth="1"/>
    <col min="9" max="9" width="5.16015625" style="0" bestFit="1" customWidth="1"/>
    <col min="11" max="11" width="8.33203125" style="0" customWidth="1"/>
    <col min="12" max="12" width="9.66015625" style="0" bestFit="1" customWidth="1"/>
  </cols>
  <sheetData>
    <row r="1" spans="1:25" ht="18.75">
      <c r="A1" s="105" t="s">
        <v>141</v>
      </c>
      <c r="B1" s="106"/>
      <c r="C1" s="107"/>
      <c r="D1" s="92"/>
      <c r="E1" s="92"/>
      <c r="F1" s="92"/>
      <c r="G1" s="92"/>
      <c r="H1" s="92"/>
      <c r="I1" s="92"/>
      <c r="J1" s="1"/>
      <c r="K1" s="1"/>
      <c r="L1" s="1"/>
      <c r="M1" s="1"/>
      <c r="N1" s="1"/>
      <c r="O1" s="1"/>
      <c r="X1" s="69" t="s">
        <v>90</v>
      </c>
      <c r="Y1" s="69"/>
    </row>
    <row r="2" spans="1:25" ht="12.75">
      <c r="A2" s="61" t="s">
        <v>70</v>
      </c>
      <c r="B2" s="58">
        <v>2.1</v>
      </c>
      <c r="C2" s="52"/>
      <c r="D2" t="str">
        <f>"Annual financial impact ($"&amp;FIXED('Fixed Revenues'!D27/1000000,0)&amp;" million fixed + variable impact based on water year)"</f>
        <v>Annual financial impact ($78 million fixed + variable impact based on water year)</v>
      </c>
      <c r="E2" s="33"/>
      <c r="F2" s="102"/>
      <c r="X2" s="69">
        <v>1</v>
      </c>
      <c r="Y2" s="69" t="s">
        <v>74</v>
      </c>
    </row>
    <row r="3" spans="1:25" ht="12.75">
      <c r="A3" s="61" t="s">
        <v>71</v>
      </c>
      <c r="B3" s="59">
        <v>36640</v>
      </c>
      <c r="C3" s="52"/>
      <c r="D3" t="str">
        <f>"Slice operation mimics Federal operations (operation is already optimized to maximize economic benefit)"</f>
        <v>Slice operation mimics Federal operations (operation is already optimized to maximize economic benefit)</v>
      </c>
      <c r="E3" s="33"/>
      <c r="F3" s="103"/>
      <c r="X3" s="69">
        <v>2</v>
      </c>
      <c r="Y3" s="69" t="s">
        <v>78</v>
      </c>
    </row>
    <row r="4" spans="1:25" ht="12.75">
      <c r="A4" s="61" t="s">
        <v>72</v>
      </c>
      <c r="B4" s="60" t="s">
        <v>73</v>
      </c>
      <c r="C4" s="104"/>
      <c r="D4" t="str">
        <f>"Non-Slice case load shaped to BPA's Aggregate PF load, Slice percentage is "&amp;TEXT(B5,"0%")</f>
        <v>Non-Slice case load shaped to BPA's Aggregate PF load, Slice percentage is 15%</v>
      </c>
      <c r="E4" s="33"/>
      <c r="F4" s="103"/>
      <c r="X4" s="69">
        <v>3</v>
      </c>
      <c r="Y4" s="69" t="s">
        <v>77</v>
      </c>
    </row>
    <row r="5" spans="1:25" ht="13.5" thickBot="1">
      <c r="A5" s="62" t="s">
        <v>148</v>
      </c>
      <c r="B5" s="125">
        <v>0.15</v>
      </c>
      <c r="C5" s="57"/>
      <c r="W5" s="1"/>
      <c r="X5" s="69">
        <v>4</v>
      </c>
      <c r="Y5" s="69" t="s">
        <v>76</v>
      </c>
    </row>
    <row r="6" spans="12:25" ht="12.75">
      <c r="L6" s="3"/>
      <c r="X6" s="69">
        <v>5</v>
      </c>
      <c r="Y6" s="69" t="s">
        <v>75</v>
      </c>
    </row>
    <row r="7" spans="24:25" ht="12.75">
      <c r="X7" s="69">
        <v>6</v>
      </c>
      <c r="Y7" s="69" t="s">
        <v>98</v>
      </c>
    </row>
    <row r="24" ht="13.5" thickBot="1"/>
    <row r="25" spans="8:13" ht="16.5" thickBot="1">
      <c r="H25" s="208" t="str">
        <f>"Slice Results over 50 Water Conditions"</f>
        <v>Slice Results over 50 Water Conditions</v>
      </c>
      <c r="I25" s="209"/>
      <c r="J25" s="209"/>
      <c r="K25" s="209"/>
      <c r="L25" s="209"/>
      <c r="M25" s="210"/>
    </row>
    <row r="26" spans="8:13" ht="27.75" customHeight="1">
      <c r="H26" s="211" t="s">
        <v>104</v>
      </c>
      <c r="I26" s="212"/>
      <c r="J26" s="212"/>
      <c r="K26" s="63" t="s">
        <v>64</v>
      </c>
      <c r="L26" s="63" t="s">
        <v>65</v>
      </c>
      <c r="M26" s="64" t="s">
        <v>66</v>
      </c>
    </row>
    <row r="27" spans="8:13" ht="12.75">
      <c r="H27" s="91" t="s">
        <v>134</v>
      </c>
      <c r="I27" s="32"/>
      <c r="K27" s="17">
        <f>'HLH-LLH Loads'!AB6/'HLH-LLH Loads'!$AB$3</f>
        <v>1061.1567025923237</v>
      </c>
      <c r="L27" s="18">
        <f>'HLH-LLH Loads'!$AB$6/'HLH-LLH Loads'!$AB$3</f>
        <v>1061.1567025923237</v>
      </c>
      <c r="M27" s="66">
        <f>'HLH-LLH Loads'!$AB$6/'HLH-LLH Loads'!$AB$3</f>
        <v>1061.1567025923237</v>
      </c>
    </row>
    <row r="28" spans="8:13" ht="12.75">
      <c r="H28" s="91" t="s">
        <v>144</v>
      </c>
      <c r="I28" s="32"/>
      <c r="K28" s="19">
        <f>('HLH Slice Load'!P53+'LLH Slice Load'!P53)/'HLH-LLH Loads'!$AB$3</f>
        <v>1421.708449204924</v>
      </c>
      <c r="L28" s="20">
        <f>(MAX('Demand Change'!D111:D161)+'HLH-LLH Loads'!AB6)/'HLH-LLH Loads'!$AB$3</f>
        <v>1787.3377362554706</v>
      </c>
      <c r="M28" s="67">
        <f>(MIN('Demand Change'!D111:D161)+'HLH-LLH Loads'!AB6)/'HLH-LLH Loads'!$AB$3</f>
        <v>1061.1567025923237</v>
      </c>
    </row>
    <row r="29" spans="8:13" ht="12.75">
      <c r="H29" s="91" t="s">
        <v>143</v>
      </c>
      <c r="I29" s="32"/>
      <c r="K29" s="19">
        <f>MAX('HLH Slice Load'!B53:O53)</f>
        <v>1914.128400429383</v>
      </c>
      <c r="L29" s="20">
        <f>MAX('HLH Slice Load'!B3:O52)</f>
        <v>2652.6573865438736</v>
      </c>
      <c r="M29" s="67">
        <f>MIN('HLH Slice Load'!B3:O52)</f>
        <v>852.2522991388353</v>
      </c>
    </row>
    <row r="30" spans="8:13" ht="12.75">
      <c r="H30" s="91" t="s">
        <v>142</v>
      </c>
      <c r="I30" s="32"/>
      <c r="K30" s="22">
        <f>MAX('Effect on Loads'!C4:P4)</f>
        <v>1656.4185291377514</v>
      </c>
      <c r="L30" s="16">
        <f>K30</f>
        <v>1656.4185291377514</v>
      </c>
      <c r="M30" s="68">
        <f>K30</f>
        <v>1656.4185291377514</v>
      </c>
    </row>
    <row r="31" spans="8:13" ht="12.75">
      <c r="H31" s="91"/>
      <c r="I31" s="32"/>
      <c r="J31" s="65"/>
      <c r="K31" s="20"/>
      <c r="L31" s="20"/>
      <c r="M31" s="67"/>
    </row>
    <row r="32" spans="8:13" ht="12.75">
      <c r="H32" s="91"/>
      <c r="I32" s="32"/>
      <c r="J32" s="33" t="s">
        <v>119</v>
      </c>
      <c r="K32" s="32"/>
      <c r="L32" s="32"/>
      <c r="M32" s="52"/>
    </row>
    <row r="33" spans="8:13" ht="12.75">
      <c r="H33" s="91">
        <v>5</v>
      </c>
      <c r="I33" s="32"/>
      <c r="J33" s="60" t="s">
        <v>94</v>
      </c>
      <c r="K33" s="17">
        <f>ROUND('Fixed Revenues'!$D$27/1000000,1)</f>
        <v>78.4</v>
      </c>
      <c r="L33" s="18">
        <f>ROUND('Fixed Revenues'!$D$27/1000000,1)</f>
        <v>78.4</v>
      </c>
      <c r="M33" s="66">
        <f>ROUND('Fixed Revenues'!$D$27/1000000,1)</f>
        <v>78.4</v>
      </c>
    </row>
    <row r="34" spans="8:15" ht="12.75">
      <c r="H34" s="91">
        <v>6</v>
      </c>
      <c r="I34" s="32"/>
      <c r="J34" s="60" t="s">
        <v>95</v>
      </c>
      <c r="K34" s="22">
        <f>K35-K33</f>
        <v>-72.66799827795121</v>
      </c>
      <c r="L34" s="16">
        <f>L35-L33</f>
        <v>15.519255613580384</v>
      </c>
      <c r="M34" s="68">
        <f>M35-M33</f>
        <v>-136.22102894524622</v>
      </c>
      <c r="O34" s="6"/>
    </row>
    <row r="35" spans="8:13" ht="12.75">
      <c r="H35" s="91">
        <v>7</v>
      </c>
      <c r="I35" s="32"/>
      <c r="J35" s="60" t="s">
        <v>17</v>
      </c>
      <c r="K35" s="22">
        <f>AVERAGE('Change in Rev'!P3:P52)</f>
        <v>5.732001722048796</v>
      </c>
      <c r="L35" s="16">
        <f>MAX('Change in Rev'!P3:P52)</f>
        <v>93.91925561358039</v>
      </c>
      <c r="M35" s="68">
        <f>MIN('Change in Rev'!P3:P52)</f>
        <v>-57.82102894524621</v>
      </c>
    </row>
    <row r="36" spans="8:13" ht="12.75">
      <c r="H36" s="220" t="s">
        <v>135</v>
      </c>
      <c r="I36" s="221"/>
      <c r="J36" s="221"/>
      <c r="K36" s="109">
        <f>K35*1000000/'Fixed Revenues'!$D$25</f>
        <v>0.020866601198448766</v>
      </c>
      <c r="L36" s="75">
        <f>L35*1000000/'Fixed Revenues'!$D$23</f>
        <v>0.3675937390586684</v>
      </c>
      <c r="M36" s="76">
        <f>M35*1000000/'Fixed Revenues'!$D$23</f>
        <v>-0.2263076734088723</v>
      </c>
    </row>
    <row r="37" spans="8:13" ht="12.75">
      <c r="H37" s="217" t="s">
        <v>91</v>
      </c>
      <c r="I37" s="218"/>
      <c r="J37" s="218"/>
      <c r="K37" s="218"/>
      <c r="L37" s="218"/>
      <c r="M37" s="219"/>
    </row>
    <row r="38" spans="8:13" ht="38.25" customHeight="1">
      <c r="H38" s="179" t="s">
        <v>93</v>
      </c>
      <c r="I38" s="213" t="str">
        <f>D4</f>
        <v>Non-Slice case load shaped to BPA's Aggregate PF load, Slice percentage is 15%</v>
      </c>
      <c r="J38" s="213"/>
      <c r="K38" s="213"/>
      <c r="L38" s="213"/>
      <c r="M38" s="214"/>
    </row>
    <row r="39" spans="8:13" ht="25.5" customHeight="1">
      <c r="H39" s="180" t="s">
        <v>92</v>
      </c>
      <c r="I39" s="213" t="str">
        <f>D2</f>
        <v>Annual financial impact ($78 million fixed + variable impact based on water year)</v>
      </c>
      <c r="J39" s="213"/>
      <c r="K39" s="213"/>
      <c r="L39" s="213"/>
      <c r="M39" s="214"/>
    </row>
    <row r="40" spans="8:13" ht="12.75">
      <c r="H40" s="181" t="s">
        <v>188</v>
      </c>
      <c r="I40" s="215" t="str">
        <f>" "&amp;TEXT('HLH-LLH Loads'!B15,"0")&amp;" aMWs"</f>
        <v> 7074 aMWs</v>
      </c>
      <c r="J40" s="215"/>
      <c r="K40" s="215"/>
      <c r="L40" s="215"/>
      <c r="M40" s="216"/>
    </row>
    <row r="41" spans="8:13" ht="13.5" thickBot="1">
      <c r="H41" s="182" t="s">
        <v>187</v>
      </c>
      <c r="I41" s="205" t="str">
        <f>TEXT(B3,"mm/dd/yyyy")&amp;" by "&amp;B4</f>
        <v>04/24/2000 by Philip Mesa (503) 230-7390</v>
      </c>
      <c r="J41" s="206"/>
      <c r="K41" s="206"/>
      <c r="L41" s="206"/>
      <c r="M41" s="207"/>
    </row>
    <row r="48" ht="12.75">
      <c r="S48" s="1"/>
    </row>
    <row r="54" ht="12.75">
      <c r="S54" s="1"/>
    </row>
    <row r="59" ht="12.75">
      <c r="S59" s="1"/>
    </row>
    <row r="67" spans="5:18" ht="12.75">
      <c r="E67" s="32"/>
      <c r="F67" s="32"/>
      <c r="M67" s="32"/>
      <c r="N67" s="32"/>
      <c r="O67" s="32"/>
      <c r="P67" s="32"/>
      <c r="Q67" s="32"/>
      <c r="R67" s="32"/>
    </row>
    <row r="167" ht="12.75">
      <c r="E167" s="83"/>
    </row>
    <row r="180" ht="12.75">
      <c r="G180" s="90"/>
    </row>
  </sheetData>
  <mergeCells count="8">
    <mergeCell ref="I41:M41"/>
    <mergeCell ref="H25:M25"/>
    <mergeCell ref="H26:J26"/>
    <mergeCell ref="I38:M38"/>
    <mergeCell ref="I39:M39"/>
    <mergeCell ref="I40:M40"/>
    <mergeCell ref="H37:M37"/>
    <mergeCell ref="H36:J36"/>
  </mergeCells>
  <printOptions horizontalCentered="1" verticalCentered="1"/>
  <pageMargins left="0.5" right="0.5" top="0.75" bottom="0.75" header="0.5" footer="0.5"/>
  <pageSetup fitToHeight="1" fitToWidth="1" horizontalDpi="300" verticalDpi="300" orientation="landscape" scale="90" r:id="rId4"/>
  <headerFooter alignWithMargins="0">
    <oddFooter>&amp;LSlice Cost Shift Study&amp;R'02 Rate Case</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14"/>
  <dimension ref="A1:O54"/>
  <sheetViews>
    <sheetView workbookViewId="0" topLeftCell="A1">
      <selection activeCell="C5" sqref="C5"/>
    </sheetView>
  </sheetViews>
  <sheetFormatPr defaultColWidth="9.33203125" defaultRowHeight="12.75"/>
  <cols>
    <col min="2" max="2" width="39.66015625" style="0" customWidth="1"/>
    <col min="3" max="3" width="18.66015625" style="0" customWidth="1"/>
    <col min="4" max="4" width="18" style="0" customWidth="1"/>
    <col min="5" max="5" width="15.33203125" style="0" customWidth="1"/>
    <col min="6" max="6" width="11.83203125" style="0" customWidth="1"/>
    <col min="7" max="7" width="16" style="0" bestFit="1" customWidth="1"/>
  </cols>
  <sheetData>
    <row r="1" spans="2:8" ht="30" customHeight="1">
      <c r="B1" s="222" t="s">
        <v>129</v>
      </c>
      <c r="C1" s="223"/>
      <c r="D1" s="224"/>
      <c r="F1" s="11"/>
      <c r="G1" s="11"/>
      <c r="H1" s="11"/>
    </row>
    <row r="2" spans="1:8" ht="12.75" customHeight="1">
      <c r="A2">
        <v>1</v>
      </c>
      <c r="B2" s="48" t="s">
        <v>101</v>
      </c>
      <c r="C2" s="49"/>
      <c r="D2" s="50"/>
      <c r="F2" s="70"/>
      <c r="G2" s="72"/>
      <c r="H2" s="11"/>
    </row>
    <row r="3" spans="1:8" ht="12.75" customHeight="1">
      <c r="A3">
        <v>2</v>
      </c>
      <c r="B3" s="77" t="s">
        <v>105</v>
      </c>
      <c r="C3" s="172">
        <f>223945000/5</f>
        <v>44789000</v>
      </c>
      <c r="D3" s="50"/>
      <c r="F3" s="70"/>
      <c r="G3" s="72"/>
      <c r="H3" s="11"/>
    </row>
    <row r="4" spans="1:8" ht="12.75" customHeight="1">
      <c r="A4">
        <v>3</v>
      </c>
      <c r="B4" s="31"/>
      <c r="C4" s="173"/>
      <c r="D4" s="50"/>
      <c r="F4" s="70"/>
      <c r="G4" s="72"/>
      <c r="H4" s="11"/>
    </row>
    <row r="5" spans="1:8" ht="12.75" customHeight="1">
      <c r="A5">
        <v>4</v>
      </c>
      <c r="B5" s="56" t="s">
        <v>107</v>
      </c>
      <c r="C5" s="174">
        <f>(9071373000)/5</f>
        <v>1814274600</v>
      </c>
      <c r="D5" s="50"/>
      <c r="F5" s="70"/>
      <c r="G5" s="72"/>
      <c r="H5" s="11"/>
    </row>
    <row r="6" spans="1:8" ht="12.75" customHeight="1">
      <c r="A6">
        <v>5</v>
      </c>
      <c r="B6" s="31" t="s">
        <v>108</v>
      </c>
      <c r="C6" s="175">
        <f>1147249000/5</f>
        <v>229449800</v>
      </c>
      <c r="D6" s="50"/>
      <c r="F6" s="70"/>
      <c r="G6" s="72"/>
      <c r="H6" s="11"/>
    </row>
    <row r="7" spans="1:8" ht="12.75">
      <c r="A7">
        <v>6</v>
      </c>
      <c r="B7" s="31" t="s">
        <v>109</v>
      </c>
      <c r="C7" s="176">
        <f>(592457000)/5</f>
        <v>118491400</v>
      </c>
      <c r="D7" s="52"/>
      <c r="F7" s="70"/>
      <c r="G7" s="72"/>
      <c r="H7" s="71"/>
    </row>
    <row r="8" spans="1:4" ht="12.75">
      <c r="A8">
        <v>7</v>
      </c>
      <c r="B8" s="31" t="s">
        <v>110</v>
      </c>
      <c r="C8" s="53">
        <f>C5-C6+C7</f>
        <v>1703316200</v>
      </c>
      <c r="D8" s="52"/>
    </row>
    <row r="9" spans="1:15" ht="12.75">
      <c r="A9">
        <v>8</v>
      </c>
      <c r="B9" s="31"/>
      <c r="C9" s="32"/>
      <c r="D9" s="52"/>
      <c r="N9" s="2"/>
      <c r="O9" s="6"/>
    </row>
    <row r="10" spans="1:15" ht="12.75">
      <c r="A10">
        <v>9</v>
      </c>
      <c r="B10" s="48" t="s">
        <v>57</v>
      </c>
      <c r="C10" s="32"/>
      <c r="D10" s="52"/>
      <c r="N10" s="2"/>
      <c r="O10" s="6"/>
    </row>
    <row r="11" spans="1:15" ht="12.75">
      <c r="A11">
        <v>10</v>
      </c>
      <c r="B11" s="31" t="s">
        <v>147</v>
      </c>
      <c r="C11" s="51">
        <f>C17/C14</f>
        <v>2.007543508170812</v>
      </c>
      <c r="D11" s="52" t="s">
        <v>56</v>
      </c>
      <c r="N11" s="2"/>
      <c r="O11" s="6"/>
    </row>
    <row r="12" spans="1:15" ht="12.75">
      <c r="A12">
        <v>11</v>
      </c>
      <c r="B12" s="31" t="s">
        <v>180</v>
      </c>
      <c r="C12" s="29">
        <f>(C15+C16)/C13</f>
        <v>17.362800948440384</v>
      </c>
      <c r="D12" s="52" t="s">
        <v>50</v>
      </c>
      <c r="N12" s="2"/>
      <c r="O12" s="6"/>
    </row>
    <row r="13" spans="1:15" ht="12.75">
      <c r="A13">
        <v>12</v>
      </c>
      <c r="B13" s="31" t="s">
        <v>53</v>
      </c>
      <c r="C13" s="21">
        <f>'HLH-LLH Loads'!AB6</f>
        <v>9295732.714708755</v>
      </c>
      <c r="D13" s="52" t="s">
        <v>60</v>
      </c>
      <c r="G13" s="71"/>
      <c r="N13" s="2"/>
      <c r="O13" s="6"/>
    </row>
    <row r="14" spans="1:15" ht="12.75">
      <c r="A14">
        <v>13</v>
      </c>
      <c r="B14" s="31" t="s">
        <v>54</v>
      </c>
      <c r="C14" s="21">
        <f>SUM('HLH-LLH Loads'!N10:Y10)*1000</f>
        <v>14048552.42513157</v>
      </c>
      <c r="D14" s="52" t="s">
        <v>55</v>
      </c>
      <c r="N14" s="2"/>
      <c r="O14" s="6"/>
    </row>
    <row r="15" spans="1:15" ht="12.75">
      <c r="A15">
        <v>14</v>
      </c>
      <c r="B15" s="31" t="s">
        <v>68</v>
      </c>
      <c r="C15" s="53">
        <f>SUMPRODUCT('HLH Prices'!B58:O58,'HLH-LLH Loads'!N4:AA4,'HLH-LLH Loads'!N7:AA7)</f>
        <v>114538453.61593635</v>
      </c>
      <c r="D15" s="52"/>
      <c r="N15" s="2"/>
      <c r="O15" s="6"/>
    </row>
    <row r="16" spans="1:15" ht="12.75">
      <c r="A16">
        <v>15</v>
      </c>
      <c r="B16" s="31" t="s">
        <v>69</v>
      </c>
      <c r="C16" s="54">
        <f>SUMPRODUCT('LLH Prices'!B58:O58,'HLH-LLH Loads'!N5:AA5,'HLH-LLH Loads'!N8:AA8)</f>
        <v>46861503.17945713</v>
      </c>
      <c r="D16" s="52"/>
      <c r="N16" s="2"/>
      <c r="O16" s="6"/>
    </row>
    <row r="17" spans="1:15" ht="12.75">
      <c r="A17">
        <v>16</v>
      </c>
      <c r="B17" s="31" t="s">
        <v>52</v>
      </c>
      <c r="C17" s="53">
        <f>SUMPRODUCT('HLH Prices'!C62:N62,'HLH-LLH Loads'!N10:Y10)*1000</f>
        <v>28203080.2202702</v>
      </c>
      <c r="D17" s="52"/>
      <c r="N17" s="2"/>
      <c r="O17" s="6"/>
    </row>
    <row r="18" spans="1:15" ht="12.75">
      <c r="A18">
        <v>17</v>
      </c>
      <c r="B18" s="31" t="s">
        <v>106</v>
      </c>
      <c r="C18" s="30">
        <f>C3*D22</f>
        <v>6718350</v>
      </c>
      <c r="D18" s="52"/>
      <c r="N18" s="2"/>
      <c r="O18" s="6"/>
    </row>
    <row r="19" spans="1:15" ht="12.75">
      <c r="A19">
        <v>18</v>
      </c>
      <c r="B19" s="31" t="s">
        <v>58</v>
      </c>
      <c r="C19" s="53">
        <f>C18+C16+C17+C15</f>
        <v>196321387.01566368</v>
      </c>
      <c r="D19" s="52"/>
      <c r="N19" s="2"/>
      <c r="O19" s="6"/>
    </row>
    <row r="20" spans="1:15" ht="12.75">
      <c r="A20">
        <v>19</v>
      </c>
      <c r="B20" s="31"/>
      <c r="C20" s="32"/>
      <c r="D20" s="52"/>
      <c r="N20" s="2"/>
      <c r="O20" s="6"/>
    </row>
    <row r="21" spans="1:15" ht="12.75">
      <c r="A21">
        <v>20</v>
      </c>
      <c r="B21" s="55" t="s">
        <v>59</v>
      </c>
      <c r="C21" s="32"/>
      <c r="D21" s="52"/>
      <c r="N21" s="2"/>
      <c r="O21" s="6"/>
    </row>
    <row r="22" spans="1:15" ht="12.75">
      <c r="A22">
        <v>21</v>
      </c>
      <c r="B22" s="31" t="s">
        <v>51</v>
      </c>
      <c r="C22" s="32"/>
      <c r="D22" s="85">
        <f>Results!$B$5</f>
        <v>0.15</v>
      </c>
      <c r="N22" s="2"/>
      <c r="O22" s="6"/>
    </row>
    <row r="23" spans="1:15" ht="12.75">
      <c r="A23">
        <v>22</v>
      </c>
      <c r="B23" s="31" t="s">
        <v>111</v>
      </c>
      <c r="C23" s="32"/>
      <c r="D23" s="86">
        <f>C8*D22</f>
        <v>255497430</v>
      </c>
      <c r="N23" s="2"/>
      <c r="O23" s="6"/>
    </row>
    <row r="24" spans="1:15" ht="12.75">
      <c r="A24">
        <v>23</v>
      </c>
      <c r="B24" s="31" t="s">
        <v>128</v>
      </c>
      <c r="C24" s="32"/>
      <c r="D24" s="88">
        <f>C42*Results!B5</f>
        <v>19200000</v>
      </c>
      <c r="N24" s="2"/>
      <c r="O24" s="6"/>
    </row>
    <row r="25" spans="1:15" ht="12.75">
      <c r="A25">
        <v>24</v>
      </c>
      <c r="B25" s="31" t="s">
        <v>124</v>
      </c>
      <c r="C25" s="32"/>
      <c r="D25" s="89">
        <f>SUM(D23:D24)</f>
        <v>274697430</v>
      </c>
      <c r="N25" s="2"/>
      <c r="O25" s="6"/>
    </row>
    <row r="26" spans="1:15" ht="13.5" thickBot="1">
      <c r="A26">
        <v>25</v>
      </c>
      <c r="B26" s="31"/>
      <c r="C26" s="32"/>
      <c r="D26" s="57"/>
      <c r="N26" s="2"/>
      <c r="O26" s="6"/>
    </row>
    <row r="27" spans="1:15" ht="13.5" thickBot="1">
      <c r="A27">
        <v>26</v>
      </c>
      <c r="B27" s="34" t="s">
        <v>112</v>
      </c>
      <c r="C27" s="35"/>
      <c r="D27" s="87">
        <f>D23+D24-C19</f>
        <v>78376042.98433632</v>
      </c>
      <c r="N27" s="2"/>
      <c r="O27" s="6"/>
    </row>
    <row r="28" spans="1:15" ht="12.75">
      <c r="A28">
        <v>27</v>
      </c>
      <c r="B28" s="2" t="s">
        <v>140</v>
      </c>
      <c r="N28" s="2"/>
      <c r="O28" s="6"/>
    </row>
    <row r="29" spans="1:15" ht="12.75">
      <c r="A29">
        <v>28</v>
      </c>
      <c r="B29" t="s">
        <v>137</v>
      </c>
      <c r="N29" s="2"/>
      <c r="O29" s="6"/>
    </row>
    <row r="30" spans="1:15" ht="12.75">
      <c r="A30">
        <v>29</v>
      </c>
      <c r="B30" t="s">
        <v>210</v>
      </c>
      <c r="N30" s="2"/>
      <c r="O30" s="6"/>
    </row>
    <row r="31" spans="1:15" ht="12.75">
      <c r="A31">
        <v>30</v>
      </c>
      <c r="B31" t="s">
        <v>211</v>
      </c>
      <c r="N31" s="2"/>
      <c r="O31" s="6"/>
    </row>
    <row r="32" spans="1:15" ht="12.75">
      <c r="A32">
        <v>31</v>
      </c>
      <c r="B32" t="s">
        <v>212</v>
      </c>
      <c r="N32" s="2"/>
      <c r="O32" s="6"/>
    </row>
    <row r="33" spans="1:15" ht="12.75">
      <c r="A33">
        <v>32</v>
      </c>
      <c r="B33" t="s">
        <v>139</v>
      </c>
      <c r="N33" s="2"/>
      <c r="O33" s="6"/>
    </row>
    <row r="34" spans="1:15" ht="12.75">
      <c r="A34">
        <v>33</v>
      </c>
      <c r="B34" t="s">
        <v>181</v>
      </c>
      <c r="N34" s="2"/>
      <c r="O34" s="6"/>
    </row>
    <row r="35" spans="1:15" ht="12.75">
      <c r="A35">
        <v>34</v>
      </c>
      <c r="B35" t="s">
        <v>138</v>
      </c>
      <c r="N35" s="2"/>
      <c r="O35" s="6"/>
    </row>
    <row r="36" spans="1:15" ht="12.75">
      <c r="A36">
        <v>35</v>
      </c>
      <c r="B36" t="s">
        <v>182</v>
      </c>
      <c r="N36" s="2"/>
      <c r="O36" s="6"/>
    </row>
    <row r="37" spans="1:15" ht="12.75">
      <c r="A37">
        <v>36</v>
      </c>
      <c r="N37" s="2"/>
      <c r="O37" s="6"/>
    </row>
    <row r="38" spans="1:15" ht="13.5" thickBot="1">
      <c r="A38">
        <v>37</v>
      </c>
      <c r="N38" s="2"/>
      <c r="O38" s="6"/>
    </row>
    <row r="39" spans="1:15" ht="19.5" thickBot="1">
      <c r="A39">
        <v>38</v>
      </c>
      <c r="B39" s="225" t="s">
        <v>145</v>
      </c>
      <c r="C39" s="226"/>
      <c r="N39" s="2"/>
      <c r="O39" s="6"/>
    </row>
    <row r="40" spans="1:15" ht="12.75">
      <c r="A40">
        <v>39</v>
      </c>
      <c r="B40" s="115" t="s">
        <v>146</v>
      </c>
      <c r="C40" s="177">
        <f>98000000+30000000</f>
        <v>128000000</v>
      </c>
      <c r="N40" s="2"/>
      <c r="O40" s="6"/>
    </row>
    <row r="41" spans="1:15" ht="12.75">
      <c r="A41">
        <v>40</v>
      </c>
      <c r="B41" s="115" t="s">
        <v>103</v>
      </c>
      <c r="C41" s="178">
        <v>1</v>
      </c>
      <c r="N41" s="2"/>
      <c r="O41" s="6"/>
    </row>
    <row r="42" spans="1:15" ht="13.5" thickBot="1">
      <c r="A42">
        <v>41</v>
      </c>
      <c r="B42" s="116" t="s">
        <v>123</v>
      </c>
      <c r="C42" s="117">
        <f>C40*C41</f>
        <v>128000000</v>
      </c>
      <c r="N42" s="2"/>
      <c r="O42" s="6"/>
    </row>
    <row r="43" spans="14:15" ht="12.75">
      <c r="N43" s="2"/>
      <c r="O43" s="6"/>
    </row>
    <row r="44" spans="14:15" ht="12.75">
      <c r="N44" s="2"/>
      <c r="O44" s="6"/>
    </row>
    <row r="45" spans="14:15" ht="12.75">
      <c r="N45" s="2"/>
      <c r="O45" s="6"/>
    </row>
    <row r="46" spans="14:15" ht="12.75">
      <c r="N46" s="2"/>
      <c r="O46" s="6"/>
    </row>
    <row r="47" spans="14:15" ht="12.75">
      <c r="N47" s="2"/>
      <c r="O47" s="6"/>
    </row>
    <row r="48" spans="14:15" ht="12.75">
      <c r="N48" s="2"/>
      <c r="O48" s="6"/>
    </row>
    <row r="49" spans="14:15" ht="12.75">
      <c r="N49" s="2"/>
      <c r="O49" s="6"/>
    </row>
    <row r="50" spans="14:15" ht="12.75">
      <c r="N50" s="2"/>
      <c r="O50" s="6"/>
    </row>
    <row r="51" spans="14:15" ht="12.75">
      <c r="N51" s="2"/>
      <c r="O51" s="6"/>
    </row>
    <row r="52" spans="14:15" ht="12.75">
      <c r="N52" s="2"/>
      <c r="O52" s="6"/>
    </row>
    <row r="53" spans="14:15" ht="12.75">
      <c r="N53" s="2"/>
      <c r="O53" s="6"/>
    </row>
    <row r="54" spans="14:15" ht="12.75">
      <c r="N54" s="2"/>
      <c r="O54" s="6"/>
    </row>
  </sheetData>
  <mergeCells count="2">
    <mergeCell ref="B1:D1"/>
    <mergeCell ref="B39:C39"/>
  </mergeCells>
  <printOptions horizontalCentered="1" verticalCentered="1"/>
  <pageMargins left="0.5" right="0.5" top="1" bottom="1" header="0.5" footer="0.5"/>
  <pageSetup horizontalDpi="300" verticalDpi="300" orientation="portrait" r:id="rId3"/>
  <headerFooter alignWithMargins="0">
    <oddHeader>&amp;C&amp;"Times New Roman,Bold"&amp;18Slice - Determination of Revenue Impacts</oddHeader>
    <oddFooter>&amp;LSlice Cost Shift Study&amp;R'02 Rate Case</oddFooter>
  </headerFooter>
  <legacyDrawing r:id="rId2"/>
</worksheet>
</file>

<file path=xl/worksheets/sheet7.xml><?xml version="1.0" encoding="utf-8"?>
<worksheet xmlns="http://schemas.openxmlformats.org/spreadsheetml/2006/main" xmlns:r="http://schemas.openxmlformats.org/officeDocument/2006/relationships">
  <sheetPr codeName="Sheet13">
    <pageSetUpPr fitToPage="1"/>
  </sheetPr>
  <dimension ref="A1:I52"/>
  <sheetViews>
    <sheetView workbookViewId="0" topLeftCell="A44">
      <selection activeCell="A1" sqref="A1:I52"/>
    </sheetView>
  </sheetViews>
  <sheetFormatPr defaultColWidth="9.33203125" defaultRowHeight="12.75"/>
  <cols>
    <col min="1" max="1" width="11.16015625" style="0" bestFit="1" customWidth="1"/>
  </cols>
  <sheetData>
    <row r="1" spans="1:9" ht="18.75">
      <c r="A1" s="227" t="s">
        <v>42</v>
      </c>
      <c r="B1" s="228"/>
      <c r="C1" s="228"/>
      <c r="D1" s="228"/>
      <c r="E1" s="228"/>
      <c r="F1" s="228"/>
      <c r="G1" s="228"/>
      <c r="H1" s="228"/>
      <c r="I1" s="228"/>
    </row>
    <row r="2" spans="1:9" ht="12.75">
      <c r="A2" s="132" t="s">
        <v>36</v>
      </c>
      <c r="B2" s="134" t="s">
        <v>3</v>
      </c>
      <c r="C2" s="134" t="s">
        <v>4</v>
      </c>
      <c r="D2" s="134" t="s">
        <v>5</v>
      </c>
      <c r="E2" s="134" t="s">
        <v>6</v>
      </c>
      <c r="F2" s="134" t="s">
        <v>7</v>
      </c>
      <c r="G2" s="134" t="s">
        <v>8</v>
      </c>
      <c r="H2" s="134" t="s">
        <v>9</v>
      </c>
      <c r="I2" s="135" t="s">
        <v>43</v>
      </c>
    </row>
    <row r="3" spans="1:9" ht="12.75">
      <c r="A3" s="131">
        <v>1929</v>
      </c>
      <c r="B3" s="131">
        <v>5.26</v>
      </c>
      <c r="C3" s="131">
        <v>4.984</v>
      </c>
      <c r="D3" s="131">
        <v>4.388</v>
      </c>
      <c r="E3" s="131">
        <v>3.867</v>
      </c>
      <c r="F3" s="131">
        <v>3.463</v>
      </c>
      <c r="G3" s="131">
        <v>3.089</v>
      </c>
      <c r="H3" s="131">
        <v>5.283</v>
      </c>
      <c r="I3" s="131">
        <f aca="true" t="shared" si="0" ref="I3:I34">SUM(B3:H3)</f>
        <v>30.334</v>
      </c>
    </row>
    <row r="4" spans="1:9" ht="12.75">
      <c r="A4" s="131">
        <v>1930</v>
      </c>
      <c r="B4" s="131">
        <v>4.616</v>
      </c>
      <c r="C4" s="131">
        <v>3.719</v>
      </c>
      <c r="D4" s="131">
        <v>2.982</v>
      </c>
      <c r="E4" s="131">
        <v>3.779</v>
      </c>
      <c r="F4" s="131">
        <v>2.523</v>
      </c>
      <c r="G4" s="131">
        <v>5.015</v>
      </c>
      <c r="H4" s="131">
        <v>4.701</v>
      </c>
      <c r="I4" s="131">
        <f t="shared" si="0"/>
        <v>27.335</v>
      </c>
    </row>
    <row r="5" spans="1:9" ht="12.75">
      <c r="A5" s="131">
        <v>1931</v>
      </c>
      <c r="B5" s="131">
        <v>5.212</v>
      </c>
      <c r="C5" s="131">
        <v>4.175</v>
      </c>
      <c r="D5" s="131">
        <v>3.41</v>
      </c>
      <c r="E5" s="131">
        <v>3.156</v>
      </c>
      <c r="F5" s="131">
        <v>3.311</v>
      </c>
      <c r="G5" s="131">
        <v>3.297</v>
      </c>
      <c r="H5" s="131">
        <v>5.079</v>
      </c>
      <c r="I5" s="131">
        <f t="shared" si="0"/>
        <v>27.640000000000004</v>
      </c>
    </row>
    <row r="6" spans="1:9" ht="12.75">
      <c r="A6" s="131">
        <v>1932</v>
      </c>
      <c r="B6" s="131">
        <v>5.125</v>
      </c>
      <c r="C6" s="131">
        <v>4.015</v>
      </c>
      <c r="D6" s="131">
        <v>3.827</v>
      </c>
      <c r="E6" s="131">
        <v>3.523</v>
      </c>
      <c r="F6" s="131">
        <v>3.625</v>
      </c>
      <c r="G6" s="131">
        <v>3.627</v>
      </c>
      <c r="H6" s="131">
        <v>10.099</v>
      </c>
      <c r="I6" s="131">
        <f t="shared" si="0"/>
        <v>33.841</v>
      </c>
    </row>
    <row r="7" spans="1:9" ht="12.75">
      <c r="A7" s="131">
        <v>1933</v>
      </c>
      <c r="B7" s="131">
        <v>5.587</v>
      </c>
      <c r="C7" s="131">
        <v>4.733</v>
      </c>
      <c r="D7" s="131">
        <v>5.943</v>
      </c>
      <c r="E7" s="131">
        <v>5.59</v>
      </c>
      <c r="F7" s="131">
        <v>5.222</v>
      </c>
      <c r="G7" s="131">
        <v>3.569</v>
      </c>
      <c r="H7" s="131">
        <v>5.79</v>
      </c>
      <c r="I7" s="131">
        <f t="shared" si="0"/>
        <v>36.434</v>
      </c>
    </row>
    <row r="8" spans="1:9" ht="12.75">
      <c r="A8" s="131">
        <v>1934</v>
      </c>
      <c r="B8" s="131">
        <v>6.693</v>
      </c>
      <c r="C8" s="131">
        <v>6.878</v>
      </c>
      <c r="D8" s="131">
        <v>8.561</v>
      </c>
      <c r="E8" s="131">
        <v>12.854</v>
      </c>
      <c r="F8" s="131">
        <v>12.072</v>
      </c>
      <c r="G8" s="131">
        <v>7.825</v>
      </c>
      <c r="H8" s="131">
        <v>10.521</v>
      </c>
      <c r="I8" s="131">
        <f t="shared" si="0"/>
        <v>65.404</v>
      </c>
    </row>
    <row r="9" spans="1:9" ht="12.75">
      <c r="A9" s="131">
        <v>1935</v>
      </c>
      <c r="B9" s="131">
        <v>5.051</v>
      </c>
      <c r="C9" s="131">
        <v>4.569</v>
      </c>
      <c r="D9" s="131">
        <v>6.36</v>
      </c>
      <c r="E9" s="131">
        <v>5.221</v>
      </c>
      <c r="F9" s="131">
        <v>5.235</v>
      </c>
      <c r="G9" s="131">
        <v>5.555</v>
      </c>
      <c r="H9" s="131">
        <v>5.966</v>
      </c>
      <c r="I9" s="131">
        <f t="shared" si="0"/>
        <v>37.957</v>
      </c>
    </row>
    <row r="10" spans="1:9" ht="12.75">
      <c r="A10" s="131">
        <v>1936</v>
      </c>
      <c r="B10" s="131">
        <v>5.648</v>
      </c>
      <c r="C10" s="131">
        <v>4.234</v>
      </c>
      <c r="D10" s="131">
        <v>3.542</v>
      </c>
      <c r="E10" s="131">
        <v>3.296</v>
      </c>
      <c r="F10" s="131">
        <v>3.791</v>
      </c>
      <c r="G10" s="131">
        <v>2.855</v>
      </c>
      <c r="H10" s="131">
        <v>5.701</v>
      </c>
      <c r="I10" s="131">
        <f t="shared" si="0"/>
        <v>29.067</v>
      </c>
    </row>
    <row r="11" spans="1:9" ht="12.75">
      <c r="A11" s="131">
        <v>1937</v>
      </c>
      <c r="B11" s="131">
        <v>5.035</v>
      </c>
      <c r="C11" s="131">
        <v>3.843</v>
      </c>
      <c r="D11" s="131">
        <v>3.073</v>
      </c>
      <c r="E11" s="131">
        <v>3.179</v>
      </c>
      <c r="F11" s="131">
        <v>2.408</v>
      </c>
      <c r="G11" s="131">
        <v>2.841</v>
      </c>
      <c r="H11" s="131">
        <v>4.294</v>
      </c>
      <c r="I11" s="131">
        <f t="shared" si="0"/>
        <v>24.673000000000002</v>
      </c>
    </row>
    <row r="12" spans="1:9" ht="12.75">
      <c r="A12" s="131">
        <v>1938</v>
      </c>
      <c r="B12" s="131">
        <v>5.251</v>
      </c>
      <c r="C12" s="131">
        <v>4.715</v>
      </c>
      <c r="D12" s="131">
        <v>5.273</v>
      </c>
      <c r="E12" s="131">
        <v>5.712</v>
      </c>
      <c r="F12" s="131">
        <v>5.677</v>
      </c>
      <c r="G12" s="131">
        <v>4.608</v>
      </c>
      <c r="H12" s="131">
        <v>8.441</v>
      </c>
      <c r="I12" s="131">
        <f t="shared" si="0"/>
        <v>39.677</v>
      </c>
    </row>
    <row r="13" spans="1:9" ht="12.75">
      <c r="A13" s="131">
        <v>1939</v>
      </c>
      <c r="B13" s="131">
        <v>5.821</v>
      </c>
      <c r="C13" s="131">
        <v>5.09</v>
      </c>
      <c r="D13" s="131">
        <v>4.232</v>
      </c>
      <c r="E13" s="131">
        <v>4.138</v>
      </c>
      <c r="F13" s="131">
        <v>4.283</v>
      </c>
      <c r="G13" s="131">
        <v>3.287</v>
      </c>
      <c r="H13" s="131">
        <v>6.559</v>
      </c>
      <c r="I13" s="131">
        <f t="shared" si="0"/>
        <v>33.41</v>
      </c>
    </row>
    <row r="14" spans="1:9" ht="12.75">
      <c r="A14" s="131">
        <v>1940</v>
      </c>
      <c r="B14" s="131">
        <v>5.105</v>
      </c>
      <c r="C14" s="131">
        <v>4.754</v>
      </c>
      <c r="D14" s="131">
        <v>4.508</v>
      </c>
      <c r="E14" s="131">
        <v>4.908</v>
      </c>
      <c r="F14" s="131">
        <v>3.987</v>
      </c>
      <c r="G14" s="131">
        <v>4.899</v>
      </c>
      <c r="H14" s="131">
        <v>8.842</v>
      </c>
      <c r="I14" s="131">
        <f t="shared" si="0"/>
        <v>37.003</v>
      </c>
    </row>
    <row r="15" spans="1:9" ht="12.75">
      <c r="A15" s="131">
        <v>1941</v>
      </c>
      <c r="B15" s="131">
        <v>5.968</v>
      </c>
      <c r="C15" s="131">
        <v>5.886</v>
      </c>
      <c r="D15" s="131">
        <v>4.799</v>
      </c>
      <c r="E15" s="131">
        <v>4.822</v>
      </c>
      <c r="F15" s="131">
        <v>4.556</v>
      </c>
      <c r="G15" s="131">
        <v>4.189</v>
      </c>
      <c r="H15" s="131">
        <v>6.575</v>
      </c>
      <c r="I15" s="131">
        <f t="shared" si="0"/>
        <v>36.795</v>
      </c>
    </row>
    <row r="16" spans="1:9" ht="12.75">
      <c r="A16" s="131">
        <v>1942</v>
      </c>
      <c r="B16" s="131">
        <v>6.942</v>
      </c>
      <c r="C16" s="131">
        <v>7.596</v>
      </c>
      <c r="D16" s="131">
        <v>6.724</v>
      </c>
      <c r="E16" s="131">
        <v>9.427</v>
      </c>
      <c r="F16" s="131">
        <v>5.618</v>
      </c>
      <c r="G16" s="131">
        <v>5.382</v>
      </c>
      <c r="H16" s="131">
        <v>5.604</v>
      </c>
      <c r="I16" s="131">
        <f t="shared" si="0"/>
        <v>47.293</v>
      </c>
    </row>
    <row r="17" spans="1:9" ht="12.75">
      <c r="A17" s="131">
        <v>1943</v>
      </c>
      <c r="B17" s="131">
        <v>5.48</v>
      </c>
      <c r="C17" s="131">
        <v>4.554</v>
      </c>
      <c r="D17" s="131">
        <v>4.831</v>
      </c>
      <c r="E17" s="131">
        <v>5.787</v>
      </c>
      <c r="F17" s="131">
        <v>5.963</v>
      </c>
      <c r="G17" s="131">
        <v>6.133</v>
      </c>
      <c r="H17" s="131">
        <v>8.165</v>
      </c>
      <c r="I17" s="131">
        <f t="shared" si="0"/>
        <v>40.913000000000004</v>
      </c>
    </row>
    <row r="18" spans="1:9" ht="12.75">
      <c r="A18" s="131">
        <v>1944</v>
      </c>
      <c r="B18" s="131">
        <v>5.372</v>
      </c>
      <c r="C18" s="131">
        <v>4.849</v>
      </c>
      <c r="D18" s="131">
        <v>4.267</v>
      </c>
      <c r="E18" s="131">
        <v>4.345</v>
      </c>
      <c r="F18" s="131">
        <v>3.561</v>
      </c>
      <c r="G18" s="131">
        <v>3.429</v>
      </c>
      <c r="H18" s="131">
        <v>4.094</v>
      </c>
      <c r="I18" s="131">
        <f t="shared" si="0"/>
        <v>29.916999999999998</v>
      </c>
    </row>
    <row r="19" spans="1:9" ht="12.75">
      <c r="A19" s="131">
        <v>1945</v>
      </c>
      <c r="B19" s="131">
        <v>5.253</v>
      </c>
      <c r="C19" s="131">
        <v>4.761</v>
      </c>
      <c r="D19" s="131">
        <v>4.289</v>
      </c>
      <c r="E19" s="131">
        <v>3.495</v>
      </c>
      <c r="F19" s="131">
        <v>4.551</v>
      </c>
      <c r="G19" s="131">
        <v>4.784</v>
      </c>
      <c r="H19" s="131">
        <v>5.25</v>
      </c>
      <c r="I19" s="131">
        <f t="shared" si="0"/>
        <v>32.382999999999996</v>
      </c>
    </row>
    <row r="20" spans="1:9" ht="12.75">
      <c r="A20" s="131">
        <v>1946</v>
      </c>
      <c r="B20" s="131">
        <v>5.048</v>
      </c>
      <c r="C20" s="131">
        <v>4.377</v>
      </c>
      <c r="D20" s="131">
        <v>5.004</v>
      </c>
      <c r="E20" s="131">
        <v>5.45</v>
      </c>
      <c r="F20" s="131">
        <v>6.183</v>
      </c>
      <c r="G20" s="131">
        <v>4.401</v>
      </c>
      <c r="H20" s="131">
        <v>8.361</v>
      </c>
      <c r="I20" s="131">
        <f t="shared" si="0"/>
        <v>38.824</v>
      </c>
    </row>
    <row r="21" spans="1:9" ht="12.75">
      <c r="A21" s="131">
        <v>1947</v>
      </c>
      <c r="B21" s="131">
        <v>6.153</v>
      </c>
      <c r="C21" s="131">
        <v>5.377</v>
      </c>
      <c r="D21" s="131">
        <v>5.384</v>
      </c>
      <c r="E21" s="131">
        <v>8.948</v>
      </c>
      <c r="F21" s="131">
        <v>5.73</v>
      </c>
      <c r="G21" s="131">
        <v>6.621</v>
      </c>
      <c r="H21" s="131">
        <v>8.187</v>
      </c>
      <c r="I21" s="131">
        <f t="shared" si="0"/>
        <v>46.4</v>
      </c>
    </row>
    <row r="22" spans="1:9" ht="12.75">
      <c r="A22" s="131">
        <v>1948</v>
      </c>
      <c r="B22" s="131">
        <v>5.872</v>
      </c>
      <c r="C22" s="131">
        <v>8.196</v>
      </c>
      <c r="D22" s="131">
        <v>7.334</v>
      </c>
      <c r="E22" s="131">
        <v>6.452</v>
      </c>
      <c r="F22" s="131">
        <v>6.819</v>
      </c>
      <c r="G22" s="131">
        <v>5.559</v>
      </c>
      <c r="H22" s="131">
        <v>6.121</v>
      </c>
      <c r="I22" s="131">
        <f t="shared" si="0"/>
        <v>46.353</v>
      </c>
    </row>
    <row r="23" spans="1:9" ht="12.75">
      <c r="A23" s="131">
        <v>1949</v>
      </c>
      <c r="B23" s="131">
        <v>6.616</v>
      </c>
      <c r="C23" s="131">
        <v>5.736</v>
      </c>
      <c r="D23" s="131">
        <v>5.006</v>
      </c>
      <c r="E23" s="131">
        <v>4.198</v>
      </c>
      <c r="F23" s="131">
        <v>3.674</v>
      </c>
      <c r="G23" s="131">
        <v>5.542</v>
      </c>
      <c r="H23" s="131">
        <v>9.498</v>
      </c>
      <c r="I23" s="131">
        <f t="shared" si="0"/>
        <v>40.269999999999996</v>
      </c>
    </row>
    <row r="24" spans="1:9" ht="12.75">
      <c r="A24" s="131">
        <v>1950</v>
      </c>
      <c r="B24" s="131">
        <v>5.109</v>
      </c>
      <c r="C24" s="131">
        <v>4.605</v>
      </c>
      <c r="D24" s="131">
        <v>5.513</v>
      </c>
      <c r="E24" s="131">
        <v>5.756</v>
      </c>
      <c r="F24" s="131">
        <v>4.789</v>
      </c>
      <c r="G24" s="131">
        <v>6.324</v>
      </c>
      <c r="H24" s="131">
        <v>10.118</v>
      </c>
      <c r="I24" s="131">
        <f t="shared" si="0"/>
        <v>42.214</v>
      </c>
    </row>
    <row r="25" spans="1:9" ht="12.75">
      <c r="A25" s="131">
        <v>1951</v>
      </c>
      <c r="B25" s="131">
        <v>6.295</v>
      </c>
      <c r="C25" s="131">
        <v>6.714</v>
      </c>
      <c r="D25" s="131">
        <v>8.228</v>
      </c>
      <c r="E25" s="131">
        <v>9.28</v>
      </c>
      <c r="F25" s="131">
        <v>8.264</v>
      </c>
      <c r="G25" s="131">
        <v>10.531</v>
      </c>
      <c r="H25" s="131">
        <v>8.693</v>
      </c>
      <c r="I25" s="131">
        <f t="shared" si="0"/>
        <v>58.005</v>
      </c>
    </row>
    <row r="26" spans="1:9" ht="12.75">
      <c r="A26" s="131">
        <v>1952</v>
      </c>
      <c r="B26" s="131">
        <v>6.277</v>
      </c>
      <c r="C26" s="131">
        <v>7.569</v>
      </c>
      <c r="D26" s="131">
        <v>6.043</v>
      </c>
      <c r="E26" s="131">
        <v>6.383</v>
      </c>
      <c r="F26" s="131">
        <v>5.422</v>
      </c>
      <c r="G26" s="131">
        <v>6.159</v>
      </c>
      <c r="H26" s="131">
        <v>6.889</v>
      </c>
      <c r="I26" s="131">
        <f t="shared" si="0"/>
        <v>44.742000000000004</v>
      </c>
    </row>
    <row r="27" spans="1:9" ht="12.75">
      <c r="A27" s="131">
        <v>1953</v>
      </c>
      <c r="B27" s="131">
        <v>5.046</v>
      </c>
      <c r="C27" s="131">
        <v>4.197</v>
      </c>
      <c r="D27" s="131">
        <v>3.532</v>
      </c>
      <c r="E27" s="131">
        <v>3.765</v>
      </c>
      <c r="F27" s="131">
        <v>7.166</v>
      </c>
      <c r="G27" s="131">
        <v>7.09</v>
      </c>
      <c r="H27" s="131">
        <v>6.169</v>
      </c>
      <c r="I27" s="131">
        <f t="shared" si="0"/>
        <v>36.964999999999996</v>
      </c>
    </row>
    <row r="28" spans="1:9" ht="12.75">
      <c r="A28" s="131">
        <v>1954</v>
      </c>
      <c r="B28" s="131">
        <v>5.777</v>
      </c>
      <c r="C28" s="131">
        <v>5.529</v>
      </c>
      <c r="D28" s="131">
        <v>5.324</v>
      </c>
      <c r="E28" s="131">
        <v>5.609</v>
      </c>
      <c r="F28" s="131">
        <v>5.299</v>
      </c>
      <c r="G28" s="131">
        <v>6.441</v>
      </c>
      <c r="H28" s="131">
        <v>6.847</v>
      </c>
      <c r="I28" s="131">
        <f t="shared" si="0"/>
        <v>40.82600000000001</v>
      </c>
    </row>
    <row r="29" spans="1:9" ht="12.75">
      <c r="A29" s="131">
        <v>1955</v>
      </c>
      <c r="B29" s="131">
        <v>8.348</v>
      </c>
      <c r="C29" s="131">
        <v>5.88</v>
      </c>
      <c r="D29" s="131">
        <v>6.649</v>
      </c>
      <c r="E29" s="131">
        <v>5.371</v>
      </c>
      <c r="F29" s="131">
        <v>4.493</v>
      </c>
      <c r="G29" s="131">
        <v>4.011</v>
      </c>
      <c r="H29" s="131">
        <v>4.107</v>
      </c>
      <c r="I29" s="131">
        <f t="shared" si="0"/>
        <v>38.85900000000001</v>
      </c>
    </row>
    <row r="30" spans="1:9" ht="12.75">
      <c r="A30" s="131">
        <v>1956</v>
      </c>
      <c r="B30" s="131">
        <v>5.784</v>
      </c>
      <c r="C30" s="131">
        <v>6.359</v>
      </c>
      <c r="D30" s="131">
        <v>7.297</v>
      </c>
      <c r="E30" s="131">
        <v>9.484</v>
      </c>
      <c r="F30" s="131">
        <v>8.716</v>
      </c>
      <c r="G30" s="131">
        <v>5.567</v>
      </c>
      <c r="H30" s="131">
        <v>9.644</v>
      </c>
      <c r="I30" s="131">
        <f t="shared" si="0"/>
        <v>52.851</v>
      </c>
    </row>
    <row r="31" spans="1:9" ht="12.75">
      <c r="A31" s="131">
        <v>1957</v>
      </c>
      <c r="B31" s="131">
        <v>6.135</v>
      </c>
      <c r="C31" s="131">
        <v>5.871</v>
      </c>
      <c r="D31" s="131">
        <v>5.223</v>
      </c>
      <c r="E31" s="131">
        <v>6.469</v>
      </c>
      <c r="F31" s="131">
        <v>4.228</v>
      </c>
      <c r="G31" s="131">
        <v>5.302</v>
      </c>
      <c r="H31" s="131">
        <v>8.94</v>
      </c>
      <c r="I31" s="131">
        <f t="shared" si="0"/>
        <v>42.168</v>
      </c>
    </row>
    <row r="32" spans="1:9" ht="12.75">
      <c r="A32" s="131">
        <v>1958</v>
      </c>
      <c r="B32" s="131">
        <v>5.122</v>
      </c>
      <c r="C32" s="131">
        <v>5.041</v>
      </c>
      <c r="D32" s="131">
        <v>4.41</v>
      </c>
      <c r="E32" s="131">
        <v>5.055</v>
      </c>
      <c r="F32" s="131">
        <v>5.012</v>
      </c>
      <c r="G32" s="131">
        <v>7.853</v>
      </c>
      <c r="H32" s="131">
        <v>7.425</v>
      </c>
      <c r="I32" s="131">
        <f t="shared" si="0"/>
        <v>39.918</v>
      </c>
    </row>
    <row r="33" spans="1:9" ht="12.75">
      <c r="A33" s="131">
        <v>1959</v>
      </c>
      <c r="B33" s="131">
        <v>5.333</v>
      </c>
      <c r="C33" s="131">
        <v>5.75</v>
      </c>
      <c r="D33" s="131">
        <v>6.442</v>
      </c>
      <c r="E33" s="131">
        <v>7.636</v>
      </c>
      <c r="F33" s="131">
        <v>8.571</v>
      </c>
      <c r="G33" s="131">
        <v>5.986</v>
      </c>
      <c r="H33" s="131">
        <v>7.119</v>
      </c>
      <c r="I33" s="131">
        <f t="shared" si="0"/>
        <v>46.836999999999996</v>
      </c>
    </row>
    <row r="34" spans="1:9" ht="12.75">
      <c r="A34" s="131">
        <v>1960</v>
      </c>
      <c r="B34" s="131">
        <v>8.96</v>
      </c>
      <c r="C34" s="131">
        <v>10.193</v>
      </c>
      <c r="D34" s="131">
        <v>8.973</v>
      </c>
      <c r="E34" s="131">
        <v>7.754</v>
      </c>
      <c r="F34" s="131">
        <v>5.023</v>
      </c>
      <c r="G34" s="131">
        <v>5.715</v>
      </c>
      <c r="H34" s="131">
        <v>8.44</v>
      </c>
      <c r="I34" s="131">
        <f t="shared" si="0"/>
        <v>55.05799999999999</v>
      </c>
    </row>
    <row r="35" spans="1:9" ht="12.75">
      <c r="A35" s="131">
        <v>1961</v>
      </c>
      <c r="B35" s="131">
        <v>5.758</v>
      </c>
      <c r="C35" s="131">
        <v>5.238</v>
      </c>
      <c r="D35" s="131">
        <v>5.364</v>
      </c>
      <c r="E35" s="131">
        <v>4.328</v>
      </c>
      <c r="F35" s="131">
        <v>4.387</v>
      </c>
      <c r="G35" s="131">
        <v>8.671</v>
      </c>
      <c r="H35" s="131">
        <v>8.659</v>
      </c>
      <c r="I35" s="131">
        <f aca="true" t="shared" si="1" ref="I35:I52">SUM(B35:H35)</f>
        <v>42.404999999999994</v>
      </c>
    </row>
    <row r="36" spans="1:9" ht="12.75">
      <c r="A36" s="131">
        <v>1962</v>
      </c>
      <c r="B36" s="131">
        <v>4.791</v>
      </c>
      <c r="C36" s="131">
        <v>5.33</v>
      </c>
      <c r="D36" s="131">
        <v>4.215</v>
      </c>
      <c r="E36" s="131">
        <v>4.303</v>
      </c>
      <c r="F36" s="131">
        <v>4.41</v>
      </c>
      <c r="G36" s="131">
        <v>5.537</v>
      </c>
      <c r="H36" s="131">
        <v>5.799</v>
      </c>
      <c r="I36" s="131">
        <f t="shared" si="1"/>
        <v>34.385</v>
      </c>
    </row>
    <row r="37" spans="1:9" ht="12.75">
      <c r="A37" s="131">
        <v>1963</v>
      </c>
      <c r="B37" s="131">
        <v>5.317</v>
      </c>
      <c r="C37" s="131">
        <v>6.271</v>
      </c>
      <c r="D37" s="131">
        <v>6.503</v>
      </c>
      <c r="E37" s="131">
        <v>7.389</v>
      </c>
      <c r="F37" s="131">
        <v>5.168</v>
      </c>
      <c r="G37" s="131">
        <v>8.911</v>
      </c>
      <c r="H37" s="131">
        <v>7.026</v>
      </c>
      <c r="I37" s="131">
        <f t="shared" si="1"/>
        <v>46.584999999999994</v>
      </c>
    </row>
    <row r="38" spans="1:9" ht="12.75">
      <c r="A38" s="131">
        <v>1964</v>
      </c>
      <c r="B38" s="131">
        <v>6.062</v>
      </c>
      <c r="C38" s="131">
        <v>4.726</v>
      </c>
      <c r="D38" s="131">
        <v>4.666</v>
      </c>
      <c r="E38" s="131">
        <v>4.339</v>
      </c>
      <c r="F38" s="131">
        <v>4.173</v>
      </c>
      <c r="G38" s="131">
        <v>3.746</v>
      </c>
      <c r="H38" s="131">
        <v>4.842</v>
      </c>
      <c r="I38" s="131">
        <f t="shared" si="1"/>
        <v>32.554</v>
      </c>
    </row>
    <row r="39" spans="1:9" ht="12.75">
      <c r="A39" s="131">
        <v>1965</v>
      </c>
      <c r="B39" s="131">
        <v>6.415</v>
      </c>
      <c r="C39" s="131">
        <v>6.704</v>
      </c>
      <c r="D39" s="131">
        <v>5.598</v>
      </c>
      <c r="E39" s="131">
        <v>10.211</v>
      </c>
      <c r="F39" s="131">
        <v>9.271</v>
      </c>
      <c r="G39" s="131">
        <v>9.432</v>
      </c>
      <c r="H39" s="131">
        <v>8.738</v>
      </c>
      <c r="I39" s="131">
        <f t="shared" si="1"/>
        <v>56.369</v>
      </c>
    </row>
    <row r="40" spans="1:9" ht="12.75">
      <c r="A40" s="131">
        <v>1966</v>
      </c>
      <c r="B40" s="131">
        <v>6.346</v>
      </c>
      <c r="C40" s="131">
        <v>5.862</v>
      </c>
      <c r="D40" s="131">
        <v>5.764</v>
      </c>
      <c r="E40" s="131">
        <v>5.186</v>
      </c>
      <c r="F40" s="131">
        <v>5.053</v>
      </c>
      <c r="G40" s="131">
        <v>4.063</v>
      </c>
      <c r="H40" s="131">
        <v>6.585</v>
      </c>
      <c r="I40" s="131">
        <f t="shared" si="1"/>
        <v>38.859</v>
      </c>
    </row>
    <row r="41" spans="1:9" ht="12.75">
      <c r="A41" s="131">
        <v>1967</v>
      </c>
      <c r="B41" s="131">
        <v>5.244</v>
      </c>
      <c r="C41" s="131">
        <v>4.53</v>
      </c>
      <c r="D41" s="131">
        <v>4.617</v>
      </c>
      <c r="E41" s="131">
        <v>5.764</v>
      </c>
      <c r="F41" s="131">
        <v>6.115</v>
      </c>
      <c r="G41" s="131">
        <v>5.693</v>
      </c>
      <c r="H41" s="131">
        <v>6.155</v>
      </c>
      <c r="I41" s="131">
        <f t="shared" si="1"/>
        <v>38.118</v>
      </c>
    </row>
    <row r="42" spans="1:9" ht="12.75">
      <c r="A42" s="131">
        <v>1968</v>
      </c>
      <c r="B42" s="131">
        <v>5.745</v>
      </c>
      <c r="C42" s="131">
        <v>5.637</v>
      </c>
      <c r="D42" s="131">
        <v>5.714</v>
      </c>
      <c r="E42" s="131">
        <v>5.459</v>
      </c>
      <c r="F42" s="131">
        <v>5.659</v>
      </c>
      <c r="G42" s="131">
        <v>8.068</v>
      </c>
      <c r="H42" s="131">
        <v>8.777</v>
      </c>
      <c r="I42" s="131">
        <f t="shared" si="1"/>
        <v>45.059</v>
      </c>
    </row>
    <row r="43" spans="1:9" ht="12.75">
      <c r="A43" s="131">
        <v>1969</v>
      </c>
      <c r="B43" s="131">
        <v>7.594</v>
      </c>
      <c r="C43" s="131">
        <v>6.811</v>
      </c>
      <c r="D43" s="131">
        <v>7.029</v>
      </c>
      <c r="E43" s="131">
        <v>6.212</v>
      </c>
      <c r="F43" s="131">
        <v>7.842</v>
      </c>
      <c r="G43" s="131">
        <v>5.887</v>
      </c>
      <c r="H43" s="131">
        <v>7.931</v>
      </c>
      <c r="I43" s="131">
        <f t="shared" si="1"/>
        <v>49.306</v>
      </c>
    </row>
    <row r="44" spans="1:9" ht="12.75">
      <c r="A44" s="131">
        <v>1970</v>
      </c>
      <c r="B44" s="131">
        <v>5.295</v>
      </c>
      <c r="C44" s="131">
        <v>5.669</v>
      </c>
      <c r="D44" s="131">
        <v>4.66</v>
      </c>
      <c r="E44" s="131">
        <v>4.381</v>
      </c>
      <c r="F44" s="131">
        <v>7.168</v>
      </c>
      <c r="G44" s="131">
        <v>6.607</v>
      </c>
      <c r="H44" s="131">
        <v>6.7</v>
      </c>
      <c r="I44" s="131">
        <f t="shared" si="1"/>
        <v>40.480000000000004</v>
      </c>
    </row>
    <row r="45" spans="1:9" ht="12.75">
      <c r="A45" s="131">
        <v>1971</v>
      </c>
      <c r="B45" s="131">
        <v>4.992</v>
      </c>
      <c r="C45" s="131">
        <v>4.773</v>
      </c>
      <c r="D45" s="131">
        <v>4.838</v>
      </c>
      <c r="E45" s="131">
        <v>5.376</v>
      </c>
      <c r="F45" s="131">
        <v>8.647</v>
      </c>
      <c r="G45" s="131">
        <v>9.872</v>
      </c>
      <c r="H45" s="131">
        <v>8.655</v>
      </c>
      <c r="I45" s="131">
        <f t="shared" si="1"/>
        <v>47.153000000000006</v>
      </c>
    </row>
    <row r="46" spans="1:9" ht="12.75">
      <c r="A46" s="131">
        <v>1972</v>
      </c>
      <c r="B46" s="131">
        <v>5.874</v>
      </c>
      <c r="C46" s="131">
        <v>5.368</v>
      </c>
      <c r="D46" s="131">
        <v>5.312</v>
      </c>
      <c r="E46" s="131">
        <v>5.115</v>
      </c>
      <c r="F46" s="131">
        <v>6.5</v>
      </c>
      <c r="G46" s="131">
        <v>7.532</v>
      </c>
      <c r="H46" s="131">
        <v>19.487</v>
      </c>
      <c r="I46" s="131">
        <f t="shared" si="1"/>
        <v>55.188</v>
      </c>
    </row>
    <row r="47" spans="1:9" ht="12.75">
      <c r="A47" s="131">
        <v>1973</v>
      </c>
      <c r="B47" s="131">
        <v>5.902</v>
      </c>
      <c r="C47" s="131">
        <v>5.56</v>
      </c>
      <c r="D47" s="131">
        <v>4.966</v>
      </c>
      <c r="E47" s="131">
        <v>5.623</v>
      </c>
      <c r="F47" s="131">
        <v>5.996</v>
      </c>
      <c r="G47" s="131">
        <v>4.136</v>
      </c>
      <c r="H47" s="131">
        <v>6.033</v>
      </c>
      <c r="I47" s="131">
        <f t="shared" si="1"/>
        <v>38.21600000000001</v>
      </c>
    </row>
    <row r="48" spans="1:9" ht="12.75">
      <c r="A48" s="131">
        <v>1974</v>
      </c>
      <c r="B48" s="131">
        <v>4.455</v>
      </c>
      <c r="C48" s="131">
        <v>4.874</v>
      </c>
      <c r="D48" s="131">
        <v>7.216</v>
      </c>
      <c r="E48" s="131">
        <v>9.081</v>
      </c>
      <c r="F48" s="131">
        <v>13.694</v>
      </c>
      <c r="G48" s="131">
        <v>8.573</v>
      </c>
      <c r="H48" s="131">
        <v>10.558</v>
      </c>
      <c r="I48" s="131">
        <f t="shared" si="1"/>
        <v>58.451</v>
      </c>
    </row>
    <row r="49" spans="1:9" ht="12.75">
      <c r="A49" s="131">
        <v>1975</v>
      </c>
      <c r="B49" s="131">
        <v>5.81</v>
      </c>
      <c r="C49" s="131">
        <v>4.427</v>
      </c>
      <c r="D49" s="131">
        <v>4.621</v>
      </c>
      <c r="E49" s="131">
        <v>4.722</v>
      </c>
      <c r="F49" s="131">
        <v>5.287</v>
      </c>
      <c r="G49" s="131">
        <v>4.934</v>
      </c>
      <c r="H49" s="131">
        <v>7.131</v>
      </c>
      <c r="I49" s="131">
        <f t="shared" si="1"/>
        <v>36.932</v>
      </c>
    </row>
    <row r="50" spans="1:9" ht="12.75">
      <c r="A50" s="131">
        <v>1976</v>
      </c>
      <c r="B50" s="131">
        <v>6.048</v>
      </c>
      <c r="C50" s="131">
        <v>6.237</v>
      </c>
      <c r="D50" s="131">
        <v>7.481</v>
      </c>
      <c r="E50" s="131">
        <v>11.518</v>
      </c>
      <c r="F50" s="131">
        <v>8.274</v>
      </c>
      <c r="G50" s="131">
        <v>6.332</v>
      </c>
      <c r="H50" s="131">
        <v>7.54</v>
      </c>
      <c r="I50" s="131">
        <f t="shared" si="1"/>
        <v>53.43</v>
      </c>
    </row>
    <row r="51" spans="1:9" ht="12.75">
      <c r="A51" s="131">
        <v>1977</v>
      </c>
      <c r="B51" s="131">
        <v>8.675</v>
      </c>
      <c r="C51" s="131">
        <v>5.005</v>
      </c>
      <c r="D51" s="131">
        <v>4.489</v>
      </c>
      <c r="E51" s="131">
        <v>4.11</v>
      </c>
      <c r="F51" s="131">
        <v>3.719</v>
      </c>
      <c r="G51" s="131">
        <v>3.397</v>
      </c>
      <c r="H51" s="131">
        <v>3.636</v>
      </c>
      <c r="I51" s="131">
        <f t="shared" si="1"/>
        <v>33.031</v>
      </c>
    </row>
    <row r="52" spans="1:9" ht="12.75">
      <c r="A52" s="131">
        <v>1978</v>
      </c>
      <c r="B52" s="131">
        <v>4.676</v>
      </c>
      <c r="C52" s="131">
        <v>3.821</v>
      </c>
      <c r="D52" s="131">
        <v>4.302</v>
      </c>
      <c r="E52" s="131">
        <v>8.51</v>
      </c>
      <c r="F52" s="131">
        <v>5.558</v>
      </c>
      <c r="G52" s="131">
        <v>5.404</v>
      </c>
      <c r="H52" s="131">
        <v>9.109</v>
      </c>
      <c r="I52" s="131">
        <f t="shared" si="1"/>
        <v>41.38</v>
      </c>
    </row>
  </sheetData>
  <mergeCells count="1">
    <mergeCell ref="A1:I1"/>
  </mergeCells>
  <printOptions/>
  <pageMargins left="1" right="0.5" top="1" bottom="1" header="0.5" footer="0.5"/>
  <pageSetup fitToHeight="1" fitToWidth="1" horizontalDpi="300" verticalDpi="300" orientation="portrait" scale="94" r:id="rId1"/>
  <headerFooter alignWithMargins="0">
    <oddFooter>&amp;LSlice Cost Shift Study&amp;R'02 Rate Case</odd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Q108"/>
  <sheetViews>
    <sheetView workbookViewId="0" topLeftCell="A41">
      <selection activeCell="O22" sqref="O22"/>
    </sheetView>
  </sheetViews>
  <sheetFormatPr defaultColWidth="9.33203125" defaultRowHeight="12.75"/>
  <cols>
    <col min="1" max="1" width="11.16015625" style="0" bestFit="1" customWidth="1"/>
    <col min="2" max="16" width="7.83203125" style="0" customWidth="1"/>
    <col min="17" max="17" width="10.5" style="0" bestFit="1" customWidth="1"/>
  </cols>
  <sheetData>
    <row r="1" spans="2:15" ht="12.75">
      <c r="B1" s="229" t="s">
        <v>149</v>
      </c>
      <c r="C1" s="229"/>
      <c r="D1" s="229"/>
      <c r="E1" s="229"/>
      <c r="F1" s="229"/>
      <c r="G1" s="229"/>
      <c r="H1" s="229"/>
      <c r="I1" s="229"/>
      <c r="J1" s="229"/>
      <c r="K1" s="229"/>
      <c r="L1" s="229"/>
      <c r="M1" s="229"/>
      <c r="N1" s="229"/>
      <c r="O1" s="229"/>
    </row>
    <row r="2" spans="1:16" ht="12.75">
      <c r="A2" s="132" t="s">
        <v>36</v>
      </c>
      <c r="B2" s="134" t="str">
        <f>'Demand Change'!B2</f>
        <v>Aug I</v>
      </c>
      <c r="C2" s="134" t="str">
        <f>'Demand Change'!C2</f>
        <v>Aug II</v>
      </c>
      <c r="D2" s="134" t="str">
        <f>'Demand Change'!D2</f>
        <v>Sep</v>
      </c>
      <c r="E2" s="134" t="str">
        <f>'Demand Change'!E2</f>
        <v>Oct</v>
      </c>
      <c r="F2" s="134" t="str">
        <f>'Demand Change'!F2</f>
        <v>Nov</v>
      </c>
      <c r="G2" s="134" t="str">
        <f>'Demand Change'!G2</f>
        <v>Dec</v>
      </c>
      <c r="H2" s="134" t="str">
        <f>'Demand Change'!H2</f>
        <v>Jan</v>
      </c>
      <c r="I2" s="134" t="str">
        <f>'Demand Change'!I2</f>
        <v>Feb</v>
      </c>
      <c r="J2" s="134" t="str">
        <f>'Demand Change'!J2</f>
        <v>Mar</v>
      </c>
      <c r="K2" s="134" t="str">
        <f>'Demand Change'!K2</f>
        <v>Apr I</v>
      </c>
      <c r="L2" s="134" t="str">
        <f>'Demand Change'!L2</f>
        <v>Apr II</v>
      </c>
      <c r="M2" s="134" t="str">
        <f>'Demand Change'!M2</f>
        <v>May</v>
      </c>
      <c r="N2" s="134" t="str">
        <f>'Demand Change'!N2</f>
        <v>Jun</v>
      </c>
      <c r="O2" s="134" t="str">
        <f>'Demand Change'!O2</f>
        <v>Jul</v>
      </c>
      <c r="P2" s="135" t="s">
        <v>17</v>
      </c>
    </row>
    <row r="3" spans="1:16" ht="12.75">
      <c r="A3" s="133">
        <f>'Demand Change'!A3</f>
        <v>1929</v>
      </c>
      <c r="B3" s="170">
        <f>(-'Demand Change'!B3*'HLH Prices'!B4-'Demand Change'!B57*'LLH Prices'!B4)/1000000</f>
        <v>-11.29321154547803</v>
      </c>
      <c r="C3" s="170">
        <f>(-'Demand Change'!C3*'HLH Prices'!C4-'Demand Change'!C57*'LLH Prices'!C4)/1000000</f>
        <v>-5.046193272652539</v>
      </c>
      <c r="D3" s="170">
        <f>(-'Demand Change'!D3*'HLH Prices'!D4-'Demand Change'!D57*'LLH Prices'!D4)/1000000</f>
        <v>1.3012132159708762</v>
      </c>
      <c r="E3" s="170">
        <f>(-'Demand Change'!E3*'HLH Prices'!E4-'Demand Change'!E57*'LLH Prices'!E4)/1000000</f>
        <v>-4.551013265510377</v>
      </c>
      <c r="F3" s="170">
        <f>(-'Demand Change'!F3*'HLH Prices'!F4-'Demand Change'!F57*'LLH Prices'!F4)/1000000</f>
        <v>3.4735736125851058</v>
      </c>
      <c r="G3" s="170">
        <f>(-'Demand Change'!G3*'HLH Prices'!G4-'Demand Change'!G57*'LLH Prices'!G4)/1000000</f>
        <v>4.24279262361854</v>
      </c>
      <c r="H3" s="170">
        <f>(-'Demand Change'!H3*'HLH Prices'!H4-'Demand Change'!H57*'LLH Prices'!H4)/1000000</f>
        <v>23.34105272375497</v>
      </c>
      <c r="I3" s="170">
        <f>(-'Demand Change'!I3*'HLH Prices'!I4-'Demand Change'!I57*'LLH Prices'!I4)/1000000</f>
        <v>12.412907333154633</v>
      </c>
      <c r="J3" s="170">
        <f>(-'Demand Change'!J3*'HLH Prices'!J4-'Demand Change'!J57*'LLH Prices'!J4)/1000000</f>
        <v>9.287909855131433</v>
      </c>
      <c r="K3" s="170">
        <f>(-'Demand Change'!K3*'HLH Prices'!K4-'Demand Change'!K57*'LLH Prices'!K4)/1000000</f>
        <v>3.0754687871795796</v>
      </c>
      <c r="L3" s="170">
        <f>(-'Demand Change'!L3*'HLH Prices'!L4-'Demand Change'!L57*'LLH Prices'!L4)/1000000</f>
        <v>0.5572470548174763</v>
      </c>
      <c r="M3" s="170">
        <f>(-'Demand Change'!M3*'HLH Prices'!M4-'Demand Change'!M57*'LLH Prices'!M4)/1000000</f>
        <v>-7.481103964605408</v>
      </c>
      <c r="N3" s="170">
        <f>(-'Demand Change'!N3*'HLH Prices'!N4-'Demand Change'!N57*'LLH Prices'!N4)/1000000</f>
        <v>-15.700979477177391</v>
      </c>
      <c r="O3" s="170">
        <f>(-'Demand Change'!O3*'HLH Prices'!O4-'Demand Change'!O57*'LLH Prices'!O4)/1000000</f>
        <v>-18.883611062834248</v>
      </c>
      <c r="P3" s="171">
        <f>SUM(B3:O3)+('Fixed Revenues'!$D$27/1000000)</f>
        <v>73.11209560229094</v>
      </c>
    </row>
    <row r="4" spans="1:16" ht="12.75">
      <c r="A4" s="133">
        <f>'Demand Change'!A4</f>
        <v>1930</v>
      </c>
      <c r="B4" s="170">
        <f>(-'Demand Change'!B4*'HLH Prices'!B5-'Demand Change'!B58*'LLH Prices'!B5)/1000000</f>
        <v>-5.980774468039379</v>
      </c>
      <c r="C4" s="170">
        <f>(-'Demand Change'!C4*'HLH Prices'!C5-'Demand Change'!C58*'LLH Prices'!C5)/1000000</f>
        <v>-5.213112648512189</v>
      </c>
      <c r="D4" s="170">
        <f>(-'Demand Change'!D4*'HLH Prices'!D5-'Demand Change'!D58*'LLH Prices'!D5)/1000000</f>
        <v>1.186764008086529</v>
      </c>
      <c r="E4" s="170">
        <f>(-'Demand Change'!E4*'HLH Prices'!E5-'Demand Change'!E58*'LLH Prices'!E5)/1000000</f>
        <v>-2.9033209850057924</v>
      </c>
      <c r="F4" s="170">
        <f>(-'Demand Change'!F4*'HLH Prices'!F5-'Demand Change'!F58*'LLH Prices'!F5)/1000000</f>
        <v>0.10668203661854833</v>
      </c>
      <c r="G4" s="170">
        <f>(-'Demand Change'!G4*'HLH Prices'!G5-'Demand Change'!G58*'LLH Prices'!G5)/1000000</f>
        <v>3.4894919937354696</v>
      </c>
      <c r="H4" s="170">
        <f>(-'Demand Change'!H4*'HLH Prices'!H5-'Demand Change'!H58*'LLH Prices'!H5)/1000000</f>
        <v>23.541250336749503</v>
      </c>
      <c r="I4" s="170">
        <f>(-'Demand Change'!I4*'HLH Prices'!I5-'Demand Change'!I58*'LLH Prices'!I5)/1000000</f>
        <v>13.980156274142788</v>
      </c>
      <c r="J4" s="170">
        <f>(-'Demand Change'!J4*'HLH Prices'!J5-'Demand Change'!J58*'LLH Prices'!J5)/1000000</f>
        <v>10.424959038930085</v>
      </c>
      <c r="K4" s="170">
        <f>(-'Demand Change'!K4*'HLH Prices'!K5-'Demand Change'!K58*'LLH Prices'!K5)/1000000</f>
        <v>1.10688137264102</v>
      </c>
      <c r="L4" s="170">
        <f>(-'Demand Change'!L4*'HLH Prices'!L5-'Demand Change'!L58*'LLH Prices'!L5)/1000000</f>
        <v>-3.985010947627848</v>
      </c>
      <c r="M4" s="170">
        <f>(-'Demand Change'!M4*'HLH Prices'!M5-'Demand Change'!M58*'LLH Prices'!M5)/1000000</f>
        <v>-5.551340278716456</v>
      </c>
      <c r="N4" s="170">
        <f>(-'Demand Change'!N4*'HLH Prices'!N5-'Demand Change'!N58*'LLH Prices'!N5)/1000000</f>
        <v>-11.027279480653831</v>
      </c>
      <c r="O4" s="170">
        <f>(-'Demand Change'!O4*'HLH Prices'!O5-'Demand Change'!O58*'LLH Prices'!O5)/1000000</f>
        <v>-20.43904525756238</v>
      </c>
      <c r="P4" s="171">
        <f>SUM(B4:O4)+('Fixed Revenues'!$D$27/1000000)</f>
        <v>77.11234397912239</v>
      </c>
    </row>
    <row r="5" spans="1:16" ht="12.75">
      <c r="A5" s="133">
        <f>'Demand Change'!A5</f>
        <v>1931</v>
      </c>
      <c r="B5" s="170">
        <f>(-'Demand Change'!B5*'HLH Prices'!B6-'Demand Change'!B59*'LLH Prices'!B6)/1000000</f>
        <v>-7.991032271031618</v>
      </c>
      <c r="C5" s="170">
        <f>(-'Demand Change'!C5*'HLH Prices'!C6-'Demand Change'!C59*'LLH Prices'!C6)/1000000</f>
        <v>-6.658029196505203</v>
      </c>
      <c r="D5" s="170">
        <f>(-'Demand Change'!D5*'HLH Prices'!D6-'Demand Change'!D59*'LLH Prices'!D6)/1000000</f>
        <v>3.4308680395639377</v>
      </c>
      <c r="E5" s="170">
        <f>(-'Demand Change'!E5*'HLH Prices'!E6-'Demand Change'!E59*'LLH Prices'!E6)/1000000</f>
        <v>-2.4842533155410194</v>
      </c>
      <c r="F5" s="170">
        <f>(-'Demand Change'!F5*'HLH Prices'!F6-'Demand Change'!F59*'LLH Prices'!F6)/1000000</f>
        <v>-0.2922735953296054</v>
      </c>
      <c r="G5" s="170">
        <f>(-'Demand Change'!G5*'HLH Prices'!G6-'Demand Change'!G59*'LLH Prices'!G6)/1000000</f>
        <v>2.4652254609653137</v>
      </c>
      <c r="H5" s="170">
        <f>(-'Demand Change'!H5*'HLH Prices'!H6-'Demand Change'!H59*'LLH Prices'!H6)/1000000</f>
        <v>32.120974318882396</v>
      </c>
      <c r="I5" s="170">
        <f>(-'Demand Change'!I5*'HLH Prices'!I6-'Demand Change'!I59*'LLH Prices'!I6)/1000000</f>
        <v>32.76534201640763</v>
      </c>
      <c r="J5" s="170">
        <f>(-'Demand Change'!J5*'HLH Prices'!J6-'Demand Change'!J59*'LLH Prices'!J6)/1000000</f>
        <v>10.527438257482975</v>
      </c>
      <c r="K5" s="170">
        <f>(-'Demand Change'!K5*'HLH Prices'!K6-'Demand Change'!K59*'LLH Prices'!K6)/1000000</f>
        <v>-0.7688394378196368</v>
      </c>
      <c r="L5" s="170">
        <f>(-'Demand Change'!L5*'HLH Prices'!L6-'Demand Change'!L59*'LLH Prices'!L6)/1000000</f>
        <v>1.7332485776165751</v>
      </c>
      <c r="M5" s="170">
        <f>(-'Demand Change'!M5*'HLH Prices'!M6-'Demand Change'!M59*'LLH Prices'!M6)/1000000</f>
        <v>-13.912430531158307</v>
      </c>
      <c r="N5" s="170">
        <f>(-'Demand Change'!N5*'HLH Prices'!N6-'Demand Change'!N59*'LLH Prices'!N6)/1000000</f>
        <v>-13.110301467821488</v>
      </c>
      <c r="O5" s="170">
        <f>(-'Demand Change'!O5*'HLH Prices'!O6-'Demand Change'!O59*'LLH Prices'!O6)/1000000</f>
        <v>-22.2827242264679</v>
      </c>
      <c r="P5" s="171">
        <f>SUM(B5:O5)+('Fixed Revenues'!$D$27/1000000)</f>
        <v>93.91925561358039</v>
      </c>
    </row>
    <row r="6" spans="1:16" ht="12.75">
      <c r="A6" s="133">
        <f>'Demand Change'!A6</f>
        <v>1932</v>
      </c>
      <c r="B6" s="170">
        <f>(-'Demand Change'!B6*'HLH Prices'!B7-'Demand Change'!B60*'LLH Prices'!B7)/1000000</f>
        <v>-6.934168167586692</v>
      </c>
      <c r="C6" s="170">
        <f>(-'Demand Change'!C6*'HLH Prices'!C7-'Demand Change'!C60*'LLH Prices'!C7)/1000000</f>
        <v>-4.134826325069756</v>
      </c>
      <c r="D6" s="170">
        <f>(-'Demand Change'!D6*'HLH Prices'!D7-'Demand Change'!D60*'LLH Prices'!D7)/1000000</f>
        <v>3.9771748776295572</v>
      </c>
      <c r="E6" s="170">
        <f>(-'Demand Change'!E6*'HLH Prices'!E7-'Demand Change'!E60*'LLH Prices'!E7)/1000000</f>
        <v>-2.840225439374072</v>
      </c>
      <c r="F6" s="170">
        <f>(-'Demand Change'!F6*'HLH Prices'!F7-'Demand Change'!F60*'LLH Prices'!F7)/1000000</f>
        <v>0.13772806666112145</v>
      </c>
      <c r="G6" s="170">
        <f>(-'Demand Change'!G6*'HLH Prices'!G7-'Demand Change'!G60*'LLH Prices'!G7)/1000000</f>
        <v>6.591564510636698</v>
      </c>
      <c r="H6" s="170">
        <f>(-'Demand Change'!H6*'HLH Prices'!H7-'Demand Change'!H60*'LLH Prices'!H7)/1000000</f>
        <v>33.056986130610206</v>
      </c>
      <c r="I6" s="170">
        <f>(-'Demand Change'!I6*'HLH Prices'!I7-'Demand Change'!I60*'LLH Prices'!I7)/1000000</f>
        <v>13.622471491757333</v>
      </c>
      <c r="J6" s="170">
        <f>(-'Demand Change'!J6*'HLH Prices'!J7-'Demand Change'!J60*'LLH Prices'!J7)/1000000</f>
        <v>-3.47904004225133</v>
      </c>
      <c r="K6" s="170">
        <f>(-'Demand Change'!K6*'HLH Prices'!K7-'Demand Change'!K60*'LLH Prices'!K7)/1000000</f>
        <v>-3.7849579623176512</v>
      </c>
      <c r="L6" s="170">
        <f>(-'Demand Change'!L6*'HLH Prices'!L7-'Demand Change'!L60*'LLH Prices'!L7)/1000000</f>
        <v>-3.1457006394723614</v>
      </c>
      <c r="M6" s="170">
        <f>(-'Demand Change'!M6*'HLH Prices'!M7-'Demand Change'!M60*'LLH Prices'!M7)/1000000</f>
        <v>-13.733055410122047</v>
      </c>
      <c r="N6" s="170">
        <f>(-'Demand Change'!N6*'HLH Prices'!N7-'Demand Change'!N60*'LLH Prices'!N7)/1000000</f>
        <v>-15.699552491717935</v>
      </c>
      <c r="O6" s="170">
        <f>(-'Demand Change'!O6*'HLH Prices'!O7-'Demand Change'!O60*'LLH Prices'!O7)/1000000</f>
        <v>-22.11743191942678</v>
      </c>
      <c r="P6" s="171">
        <f>SUM(B6:O6)+('Fixed Revenues'!$D$27/1000000)</f>
        <v>59.89300966429262</v>
      </c>
    </row>
    <row r="7" spans="1:16" ht="12.75">
      <c r="A7" s="133">
        <f>'Demand Change'!A7</f>
        <v>1933</v>
      </c>
      <c r="B7" s="170">
        <f>(-'Demand Change'!B7*'HLH Prices'!B8-'Demand Change'!B61*'LLH Prices'!B8)/1000000</f>
        <v>-8.097400513999995</v>
      </c>
      <c r="C7" s="170">
        <f>(-'Demand Change'!C7*'HLH Prices'!C8-'Demand Change'!C61*'LLH Prices'!C8)/1000000</f>
        <v>-7.412764717900186</v>
      </c>
      <c r="D7" s="170">
        <f>(-'Demand Change'!D7*'HLH Prices'!D8-'Demand Change'!D61*'LLH Prices'!D8)/1000000</f>
        <v>-0.2551376545029315</v>
      </c>
      <c r="E7" s="170">
        <f>(-'Demand Change'!E7*'HLH Prices'!E8-'Demand Change'!E61*'LLH Prices'!E8)/1000000</f>
        <v>-4.892945463311773</v>
      </c>
      <c r="F7" s="170">
        <f>(-'Demand Change'!F7*'HLH Prices'!F8-'Demand Change'!F61*'LLH Prices'!F8)/1000000</f>
        <v>0.6751230131147045</v>
      </c>
      <c r="G7" s="170">
        <f>(-'Demand Change'!G7*'HLH Prices'!G8-'Demand Change'!G61*'LLH Prices'!G8)/1000000</f>
        <v>2.7285869721456795</v>
      </c>
      <c r="H7" s="170">
        <f>(-'Demand Change'!H7*'HLH Prices'!H8-'Demand Change'!H61*'LLH Prices'!H8)/1000000</f>
        <v>-9.727584689735885</v>
      </c>
      <c r="I7" s="170">
        <f>(-'Demand Change'!I7*'HLH Prices'!I8-'Demand Change'!I61*'LLH Prices'!I8)/1000000</f>
        <v>-0.4062754259064188</v>
      </c>
      <c r="J7" s="170">
        <f>(-'Demand Change'!J7*'HLH Prices'!J8-'Demand Change'!J61*'LLH Prices'!J8)/1000000</f>
        <v>4.6822918330370875</v>
      </c>
      <c r="K7" s="170">
        <f>(-'Demand Change'!K7*'HLH Prices'!K8-'Demand Change'!K61*'LLH Prices'!K8)/1000000</f>
        <v>-3.136218593955313</v>
      </c>
      <c r="L7" s="170">
        <f>(-'Demand Change'!L7*'HLH Prices'!L8-'Demand Change'!L61*'LLH Prices'!L8)/1000000</f>
        <v>0.09575453437682796</v>
      </c>
      <c r="M7" s="170">
        <f>(-'Demand Change'!M7*'HLH Prices'!M8-'Demand Change'!M61*'LLH Prices'!M8)/1000000</f>
        <v>-14.166414915600292</v>
      </c>
      <c r="N7" s="170">
        <f>(-'Demand Change'!N7*'HLH Prices'!N8-'Demand Change'!N61*'LLH Prices'!N8)/1000000</f>
        <v>-8.219764183912748</v>
      </c>
      <c r="O7" s="170">
        <f>(-'Demand Change'!O7*'HLH Prices'!O8-'Demand Change'!O61*'LLH Prices'!O8)/1000000</f>
        <v>-22.262362123426453</v>
      </c>
      <c r="P7" s="171">
        <f>SUM(B7:O7)+('Fixed Revenues'!$D$27/1000000)</f>
        <v>7.980931054758628</v>
      </c>
    </row>
    <row r="8" spans="1:16" ht="12.75">
      <c r="A8" s="133">
        <f>'Demand Change'!A8</f>
        <v>1934</v>
      </c>
      <c r="B8" s="170">
        <f>(-'Demand Change'!B8*'HLH Prices'!B9-'Demand Change'!B62*'LLH Prices'!B9)/1000000</f>
        <v>-9.79814571848753</v>
      </c>
      <c r="C8" s="170">
        <f>(-'Demand Change'!C8*'HLH Prices'!C9-'Demand Change'!C62*'LLH Prices'!C9)/1000000</f>
        <v>-11.110591170398228</v>
      </c>
      <c r="D8" s="170">
        <f>(-'Demand Change'!D8*'HLH Prices'!D9-'Demand Change'!D62*'LLH Prices'!D9)/1000000</f>
        <v>-2.7267854291000067</v>
      </c>
      <c r="E8" s="170">
        <f>(-'Demand Change'!E8*'HLH Prices'!E9-'Demand Change'!E62*'LLH Prices'!E9)/1000000</f>
        <v>-7.5178058360788755</v>
      </c>
      <c r="F8" s="170">
        <f>(-'Demand Change'!F8*'HLH Prices'!F9-'Demand Change'!F62*'LLH Prices'!F9)/1000000</f>
        <v>-7.229053764253619</v>
      </c>
      <c r="G8" s="170">
        <f>(-'Demand Change'!G8*'HLH Prices'!G9-'Demand Change'!G62*'LLH Prices'!G9)/1000000</f>
        <v>-13.171937289131057</v>
      </c>
      <c r="H8" s="170">
        <f>(-'Demand Change'!H8*'HLH Prices'!H9-'Demand Change'!H62*'LLH Prices'!H9)/1000000</f>
        <v>-13.654412198544799</v>
      </c>
      <c r="I8" s="170">
        <f>(-'Demand Change'!I8*'HLH Prices'!I9-'Demand Change'!I62*'LLH Prices'!I9)/1000000</f>
        <v>-8.032536025332954</v>
      </c>
      <c r="J8" s="170">
        <f>(-'Demand Change'!J8*'HLH Prices'!J9-'Demand Change'!J62*'LLH Prices'!J9)/1000000</f>
        <v>-7.874664177367025</v>
      </c>
      <c r="K8" s="170">
        <f>(-'Demand Change'!K8*'HLH Prices'!K9-'Demand Change'!K62*'LLH Prices'!K9)/1000000</f>
        <v>-4.152401400477775</v>
      </c>
      <c r="L8" s="170">
        <f>(-'Demand Change'!L8*'HLH Prices'!L9-'Demand Change'!L62*'LLH Prices'!L9)/1000000</f>
        <v>-3.851690079063576</v>
      </c>
      <c r="M8" s="170">
        <f>(-'Demand Change'!M8*'HLH Prices'!M9-'Demand Change'!M62*'LLH Prices'!M9)/1000000</f>
        <v>-13.593463696986536</v>
      </c>
      <c r="N8" s="170">
        <f>(-'Demand Change'!N8*'HLH Prices'!N9-'Demand Change'!N62*'LLH Prices'!N9)/1000000</f>
        <v>-15.757999921031788</v>
      </c>
      <c r="O8" s="170">
        <f>(-'Demand Change'!O8*'HLH Prices'!O9-'Demand Change'!O62*'LLH Prices'!O9)/1000000</f>
        <v>-17.725585223328768</v>
      </c>
      <c r="P8" s="171">
        <f>SUM(B8:O8)+('Fixed Revenues'!$D$27/1000000)</f>
        <v>-57.82102894524621</v>
      </c>
    </row>
    <row r="9" spans="1:16" ht="12.75">
      <c r="A9" s="133">
        <f>'Demand Change'!A9</f>
        <v>1935</v>
      </c>
      <c r="B9" s="170">
        <f>(-'Demand Change'!B9*'HLH Prices'!B10-'Demand Change'!B63*'LLH Prices'!B10)/1000000</f>
        <v>-3.6189726246598304</v>
      </c>
      <c r="C9" s="170">
        <f>(-'Demand Change'!C9*'HLH Prices'!C10-'Demand Change'!C63*'LLH Prices'!C10)/1000000</f>
        <v>-1.982594822391429</v>
      </c>
      <c r="D9" s="170">
        <f>(-'Demand Change'!D9*'HLH Prices'!D10-'Demand Change'!D63*'LLH Prices'!D10)/1000000</f>
        <v>2.9709420137719844</v>
      </c>
      <c r="E9" s="170">
        <f>(-'Demand Change'!E9*'HLH Prices'!E10-'Demand Change'!E63*'LLH Prices'!E10)/1000000</f>
        <v>-1.7880023104299285</v>
      </c>
      <c r="F9" s="170">
        <f>(-'Demand Change'!F9*'HLH Prices'!F10-'Demand Change'!F63*'LLH Prices'!F10)/1000000</f>
        <v>2.417972023626052</v>
      </c>
      <c r="G9" s="170">
        <f>(-'Demand Change'!G9*'HLH Prices'!G10-'Demand Change'!G63*'LLH Prices'!G10)/1000000</f>
        <v>5.159534547108245</v>
      </c>
      <c r="H9" s="170">
        <f>(-'Demand Change'!H9*'HLH Prices'!H10-'Demand Change'!H63*'LLH Prices'!H10)/1000000</f>
        <v>-8.234213064361805</v>
      </c>
      <c r="I9" s="170">
        <f>(-'Demand Change'!I9*'HLH Prices'!I10-'Demand Change'!I63*'LLH Prices'!I10)/1000000</f>
        <v>2.8640304539863357</v>
      </c>
      <c r="J9" s="170">
        <f>(-'Demand Change'!J9*'HLH Prices'!J10-'Demand Change'!J63*'LLH Prices'!J10)/1000000</f>
        <v>-0.6204589705738921</v>
      </c>
      <c r="K9" s="170">
        <f>(-'Demand Change'!K9*'HLH Prices'!K10-'Demand Change'!K63*'LLH Prices'!K10)/1000000</f>
        <v>-3.708915503942552</v>
      </c>
      <c r="L9" s="170">
        <f>(-'Demand Change'!L9*'HLH Prices'!L10-'Demand Change'!L63*'LLH Prices'!L10)/1000000</f>
        <v>-1.1646931190078476</v>
      </c>
      <c r="M9" s="170">
        <f>(-'Demand Change'!M9*'HLH Prices'!M10-'Demand Change'!M63*'LLH Prices'!M10)/1000000</f>
        <v>-12.865381027357769</v>
      </c>
      <c r="N9" s="170">
        <f>(-'Demand Change'!N9*'HLH Prices'!N10-'Demand Change'!N63*'LLH Prices'!N10)/1000000</f>
        <v>-16.234234368283804</v>
      </c>
      <c r="O9" s="170">
        <f>(-'Demand Change'!O9*'HLH Prices'!O10-'Demand Change'!O63*'LLH Prices'!O10)/1000000</f>
        <v>-22.450299780903404</v>
      </c>
      <c r="P9" s="171">
        <f>SUM(B9:O9)+('Fixed Revenues'!$D$27/1000000)</f>
        <v>19.12075643091667</v>
      </c>
    </row>
    <row r="10" spans="1:16" ht="12.75">
      <c r="A10" s="133">
        <f>'Demand Change'!A10</f>
        <v>1936</v>
      </c>
      <c r="B10" s="170">
        <f>(-'Demand Change'!B10*'HLH Prices'!B11-'Demand Change'!B64*'LLH Prices'!B11)/1000000</f>
        <v>-10.091882173425875</v>
      </c>
      <c r="C10" s="170">
        <f>(-'Demand Change'!C10*'HLH Prices'!C11-'Demand Change'!C64*'LLH Prices'!C11)/1000000</f>
        <v>-2.3226247115694227</v>
      </c>
      <c r="D10" s="170">
        <f>(-'Demand Change'!D10*'HLH Prices'!D11-'Demand Change'!D64*'LLH Prices'!D11)/1000000</f>
        <v>2.4396322039986647</v>
      </c>
      <c r="E10" s="170">
        <f>(-'Demand Change'!E10*'HLH Prices'!E11-'Demand Change'!E64*'LLH Prices'!E11)/1000000</f>
        <v>-3.8366598722127545</v>
      </c>
      <c r="F10" s="170">
        <f>(-'Demand Change'!F10*'HLH Prices'!F11-'Demand Change'!F64*'LLH Prices'!F11)/1000000</f>
        <v>1.9208813473331403</v>
      </c>
      <c r="G10" s="170">
        <f>(-'Demand Change'!G10*'HLH Prices'!G11-'Demand Change'!G64*'LLH Prices'!G11)/1000000</f>
        <v>3.9874573405242804</v>
      </c>
      <c r="H10" s="170">
        <f>(-'Demand Change'!H10*'HLH Prices'!H11-'Demand Change'!H64*'LLH Prices'!H11)/1000000</f>
        <v>15.175210804164939</v>
      </c>
      <c r="I10" s="170">
        <f>(-'Demand Change'!I10*'HLH Prices'!I11-'Demand Change'!I64*'LLH Prices'!I11)/1000000</f>
        <v>10.520763105575424</v>
      </c>
      <c r="J10" s="170">
        <f>(-'Demand Change'!J10*'HLH Prices'!J11-'Demand Change'!J64*'LLH Prices'!J11)/1000000</f>
        <v>6.2223872156449875</v>
      </c>
      <c r="K10" s="170">
        <f>(-'Demand Change'!K10*'HLH Prices'!K11-'Demand Change'!K64*'LLH Prices'!K11)/1000000</f>
        <v>1.2507669853453018</v>
      </c>
      <c r="L10" s="170">
        <f>(-'Demand Change'!L10*'HLH Prices'!L11-'Demand Change'!L64*'LLH Prices'!L11)/1000000</f>
        <v>-5.591242241231233</v>
      </c>
      <c r="M10" s="170">
        <f>(-'Demand Change'!M10*'HLH Prices'!M11-'Demand Change'!M64*'LLH Prices'!M11)/1000000</f>
        <v>-10.979587294390086</v>
      </c>
      <c r="N10" s="170">
        <f>(-'Demand Change'!N10*'HLH Prices'!N11-'Demand Change'!N64*'LLH Prices'!N11)/1000000</f>
        <v>-15.693871279721312</v>
      </c>
      <c r="O10" s="170">
        <f>(-'Demand Change'!O10*'HLH Prices'!O11-'Demand Change'!O64*'LLH Prices'!O11)/1000000</f>
        <v>-22.59905452329869</v>
      </c>
      <c r="P10" s="171">
        <f>SUM(B10:O10)+('Fixed Revenues'!$D$27/1000000)</f>
        <v>48.77821989107369</v>
      </c>
    </row>
    <row r="11" spans="1:17" ht="12.75">
      <c r="A11" s="133">
        <f>'Demand Change'!A11</f>
        <v>1937</v>
      </c>
      <c r="B11" s="170">
        <f>(-'Demand Change'!B11*'HLH Prices'!B12-'Demand Change'!B65*'LLH Prices'!B12)/1000000</f>
        <v>-7.128693559183582</v>
      </c>
      <c r="C11" s="170">
        <f>(-'Demand Change'!C11*'HLH Prices'!C12-'Demand Change'!C65*'LLH Prices'!C12)/1000000</f>
        <v>-5.148075570629352</v>
      </c>
      <c r="D11" s="170">
        <f>(-'Demand Change'!D11*'HLH Prices'!D12-'Demand Change'!D65*'LLH Prices'!D12)/1000000</f>
        <v>1.0418102598177146</v>
      </c>
      <c r="E11" s="170">
        <f>(-'Demand Change'!E11*'HLH Prices'!E12-'Demand Change'!E65*'LLH Prices'!E12)/1000000</f>
        <v>-2.964148281425156</v>
      </c>
      <c r="F11" s="170">
        <f>(-'Demand Change'!F11*'HLH Prices'!F12-'Demand Change'!F65*'LLH Prices'!F12)/1000000</f>
        <v>1.4566873804164089</v>
      </c>
      <c r="G11" s="170">
        <f>(-'Demand Change'!G11*'HLH Prices'!G12-'Demand Change'!G65*'LLH Prices'!G12)/1000000</f>
        <v>4.240688860096259</v>
      </c>
      <c r="H11" s="170">
        <f>(-'Demand Change'!H11*'HLH Prices'!H12-'Demand Change'!H65*'LLH Prices'!H12)/1000000</f>
        <v>24.954209278200484</v>
      </c>
      <c r="I11" s="170">
        <f>(-'Demand Change'!I11*'HLH Prices'!I12-'Demand Change'!I65*'LLH Prices'!I12)/1000000</f>
        <v>16.280498522331612</v>
      </c>
      <c r="J11" s="170">
        <f>(-'Demand Change'!J11*'HLH Prices'!J12-'Demand Change'!J65*'LLH Prices'!J12)/1000000</f>
        <v>12.748498588762965</v>
      </c>
      <c r="K11" s="170">
        <f>(-'Demand Change'!K11*'HLH Prices'!K12-'Demand Change'!K65*'LLH Prices'!K12)/1000000</f>
        <v>3.5153621503621655</v>
      </c>
      <c r="L11" s="170">
        <f>(-'Demand Change'!L11*'HLH Prices'!L12-'Demand Change'!L65*'LLH Prices'!L12)/1000000</f>
        <v>3.9348129332727684</v>
      </c>
      <c r="M11" s="170">
        <f>(-'Demand Change'!M11*'HLH Prices'!M12-'Demand Change'!M65*'LLH Prices'!M12)/1000000</f>
        <v>-12.023381114341763</v>
      </c>
      <c r="N11" s="170">
        <f>(-'Demand Change'!N11*'HLH Prices'!N12-'Demand Change'!N65*'LLH Prices'!N12)/1000000</f>
        <v>-12.314231071341533</v>
      </c>
      <c r="O11" s="170">
        <f>(-'Demand Change'!O11*'HLH Prices'!O12-'Demand Change'!O65*'LLH Prices'!O12)/1000000</f>
        <v>-19.24943795805171</v>
      </c>
      <c r="P11" s="171">
        <f>SUM(B11:O11)+('Fixed Revenues'!$D$27/1000000)</f>
        <v>87.72064340262361</v>
      </c>
      <c r="Q11" t="s">
        <v>194</v>
      </c>
    </row>
    <row r="12" spans="1:16" ht="12.75">
      <c r="A12" s="133">
        <f>'Demand Change'!A12</f>
        <v>1938</v>
      </c>
      <c r="B12" s="170">
        <f>(-'Demand Change'!B12*'HLH Prices'!B13-'Demand Change'!B66*'LLH Prices'!B13)/1000000</f>
        <v>-7.768601738562311</v>
      </c>
      <c r="C12" s="170">
        <f>(-'Demand Change'!C12*'HLH Prices'!C13-'Demand Change'!C66*'LLH Prices'!C13)/1000000</f>
        <v>-5.75233519241406</v>
      </c>
      <c r="D12" s="170">
        <f>(-'Demand Change'!D12*'HLH Prices'!D13-'Demand Change'!D66*'LLH Prices'!D13)/1000000</f>
        <v>0.045701507494858115</v>
      </c>
      <c r="E12" s="170">
        <f>(-'Demand Change'!E12*'HLH Prices'!E13-'Demand Change'!E66*'LLH Prices'!E13)/1000000</f>
        <v>-3.2760004128920297</v>
      </c>
      <c r="F12" s="170">
        <f>(-'Demand Change'!F12*'HLH Prices'!F13-'Demand Change'!F66*'LLH Prices'!F13)/1000000</f>
        <v>-0.7311815956022253</v>
      </c>
      <c r="G12" s="170">
        <f>(-'Demand Change'!G12*'HLH Prices'!G13-'Demand Change'!G66*'LLH Prices'!G13)/1000000</f>
        <v>0.8993133260732763</v>
      </c>
      <c r="H12" s="170">
        <f>(-'Demand Change'!H12*'HLH Prices'!H13-'Demand Change'!H66*'LLH Prices'!H13)/1000000</f>
        <v>-6.786057946227492</v>
      </c>
      <c r="I12" s="170">
        <f>(-'Demand Change'!I12*'HLH Prices'!I13-'Demand Change'!I66*'LLH Prices'!I13)/1000000</f>
        <v>6.427281291735055</v>
      </c>
      <c r="J12" s="170">
        <f>(-'Demand Change'!J12*'HLH Prices'!J13-'Demand Change'!J66*'LLH Prices'!J13)/1000000</f>
        <v>-7.259586987724397</v>
      </c>
      <c r="K12" s="170">
        <f>(-'Demand Change'!K12*'HLH Prices'!K13-'Demand Change'!K66*'LLH Prices'!K13)/1000000</f>
        <v>-2.9804122365441414</v>
      </c>
      <c r="L12" s="170">
        <f>(-'Demand Change'!L12*'HLH Prices'!L13-'Demand Change'!L66*'LLH Prices'!L13)/1000000</f>
        <v>-2.9169804043677594</v>
      </c>
      <c r="M12" s="170">
        <f>(-'Demand Change'!M12*'HLH Prices'!M13-'Demand Change'!M66*'LLH Prices'!M13)/1000000</f>
        <v>-12.005129920089566</v>
      </c>
      <c r="N12" s="170">
        <f>(-'Demand Change'!N12*'HLH Prices'!N13-'Demand Change'!N66*'LLH Prices'!N13)/1000000</f>
        <v>-14.221845321746102</v>
      </c>
      <c r="O12" s="170">
        <f>(-'Demand Change'!O12*'HLH Prices'!O13-'Demand Change'!O66*'LLH Prices'!O13)/1000000</f>
        <v>-20.194428989000222</v>
      </c>
      <c r="P12" s="171">
        <f>SUM(B12:O12)+('Fixed Revenues'!$D$27/1000000)</f>
        <v>1.8557783644692165</v>
      </c>
    </row>
    <row r="13" spans="1:16" ht="12.75">
      <c r="A13" s="133">
        <f>'Demand Change'!A13</f>
        <v>1939</v>
      </c>
      <c r="B13" s="170">
        <f>(-'Demand Change'!B13*'HLH Prices'!B14-'Demand Change'!B67*'LLH Prices'!B14)/1000000</f>
        <v>-6.892798698728371</v>
      </c>
      <c r="C13" s="170">
        <f>(-'Demand Change'!C13*'HLH Prices'!C14-'Demand Change'!C67*'LLH Prices'!C14)/1000000</f>
        <v>-3.015565682071183</v>
      </c>
      <c r="D13" s="170">
        <f>(-'Demand Change'!D13*'HLH Prices'!D14-'Demand Change'!D67*'LLH Prices'!D14)/1000000</f>
        <v>1.7320408986846338</v>
      </c>
      <c r="E13" s="170">
        <f>(-'Demand Change'!E13*'HLH Prices'!E14-'Demand Change'!E67*'LLH Prices'!E14)/1000000</f>
        <v>-4.952004854517449</v>
      </c>
      <c r="F13" s="170">
        <f>(-'Demand Change'!F13*'HLH Prices'!F14-'Demand Change'!F67*'LLH Prices'!F14)/1000000</f>
        <v>3.028721364732763</v>
      </c>
      <c r="G13" s="170">
        <f>(-'Demand Change'!G13*'HLH Prices'!G14-'Demand Change'!G67*'LLH Prices'!G14)/1000000</f>
        <v>4.8785716431952295</v>
      </c>
      <c r="H13" s="170">
        <f>(-'Demand Change'!H13*'HLH Prices'!H14-'Demand Change'!H67*'LLH Prices'!H14)/1000000</f>
        <v>19.78813485511334</v>
      </c>
      <c r="I13" s="170">
        <f>(-'Demand Change'!I13*'HLH Prices'!I14-'Demand Change'!I67*'LLH Prices'!I14)/1000000</f>
        <v>0.13890731009476015</v>
      </c>
      <c r="J13" s="170">
        <f>(-'Demand Change'!J13*'HLH Prices'!J14-'Demand Change'!J67*'LLH Prices'!J14)/1000000</f>
        <v>-1.7788350848383514</v>
      </c>
      <c r="K13" s="170">
        <f>(-'Demand Change'!K13*'HLH Prices'!K14-'Demand Change'!K67*'LLH Prices'!K14)/1000000</f>
        <v>-2.33263907219442</v>
      </c>
      <c r="L13" s="170">
        <f>(-'Demand Change'!L13*'HLH Prices'!L14-'Demand Change'!L67*'LLH Prices'!L14)/1000000</f>
        <v>-2.743811799312912</v>
      </c>
      <c r="M13" s="170">
        <f>(-'Demand Change'!M13*'HLH Prices'!M14-'Demand Change'!M67*'LLH Prices'!M14)/1000000</f>
        <v>-14.028118616984694</v>
      </c>
      <c r="N13" s="170">
        <f>(-'Demand Change'!N13*'HLH Prices'!N14-'Demand Change'!N67*'LLH Prices'!N14)/1000000</f>
        <v>-10.113977131470559</v>
      </c>
      <c r="O13" s="170">
        <f>(-'Demand Change'!O13*'HLH Prices'!O14-'Demand Change'!O67*'LLH Prices'!O14)/1000000</f>
        <v>-23.72215612816333</v>
      </c>
      <c r="P13" s="171">
        <f>SUM(B13:O13)+('Fixed Revenues'!$D$27/1000000)</f>
        <v>38.36251198787578</v>
      </c>
    </row>
    <row r="14" spans="1:16" ht="12.75">
      <c r="A14" s="133">
        <f>'Demand Change'!A14</f>
        <v>1940</v>
      </c>
      <c r="B14" s="170">
        <f>(-'Demand Change'!B14*'HLH Prices'!B15-'Demand Change'!B68*'LLH Prices'!B15)/1000000</f>
        <v>-9.549952023830052</v>
      </c>
      <c r="C14" s="170">
        <f>(-'Demand Change'!C14*'HLH Prices'!C15-'Demand Change'!C68*'LLH Prices'!C15)/1000000</f>
        <v>-4.565635418135294</v>
      </c>
      <c r="D14" s="170">
        <f>(-'Demand Change'!D14*'HLH Prices'!D15-'Demand Change'!D68*'LLH Prices'!D15)/1000000</f>
        <v>1.1585471264592273</v>
      </c>
      <c r="E14" s="170">
        <f>(-'Demand Change'!E14*'HLH Prices'!E15-'Demand Change'!E68*'LLH Prices'!E15)/1000000</f>
        <v>-4.820293197077716</v>
      </c>
      <c r="F14" s="170">
        <f>(-'Demand Change'!F14*'HLH Prices'!F15-'Demand Change'!F68*'LLH Prices'!F15)/1000000</f>
        <v>1.074200681951528</v>
      </c>
      <c r="G14" s="170">
        <f>(-'Demand Change'!G14*'HLH Prices'!G15-'Demand Change'!G68*'LLH Prices'!G15)/1000000</f>
        <v>4.266912293745113</v>
      </c>
      <c r="H14" s="170">
        <f>(-'Demand Change'!H14*'HLH Prices'!H15-'Demand Change'!H68*'LLH Prices'!H15)/1000000</f>
        <v>11.102265623979305</v>
      </c>
      <c r="I14" s="170">
        <f>(-'Demand Change'!I14*'HLH Prices'!I15-'Demand Change'!I68*'LLH Prices'!I15)/1000000</f>
        <v>4.774747055870466</v>
      </c>
      <c r="J14" s="170">
        <f>(-'Demand Change'!J14*'HLH Prices'!J15-'Demand Change'!J68*'LLH Prices'!J15)/1000000</f>
        <v>-6.924317242620632</v>
      </c>
      <c r="K14" s="170">
        <f>(-'Demand Change'!K14*'HLH Prices'!K15-'Demand Change'!K68*'LLH Prices'!K15)/1000000</f>
        <v>-2.377870822144109</v>
      </c>
      <c r="L14" s="170">
        <f>(-'Demand Change'!L14*'HLH Prices'!L15-'Demand Change'!L68*'LLH Prices'!L15)/1000000</f>
        <v>-2.63466382647885</v>
      </c>
      <c r="M14" s="170">
        <f>(-'Demand Change'!M14*'HLH Prices'!M15-'Demand Change'!M68*'LLH Prices'!M15)/1000000</f>
        <v>-11.448009693405726</v>
      </c>
      <c r="N14" s="170">
        <f>(-'Demand Change'!N14*'HLH Prices'!N15-'Demand Change'!N68*'LLH Prices'!N15)/1000000</f>
        <v>-7.775997752178947</v>
      </c>
      <c r="O14" s="170">
        <f>(-'Demand Change'!O14*'HLH Prices'!O15-'Demand Change'!O68*'LLH Prices'!O15)/1000000</f>
        <v>-22.29187225528015</v>
      </c>
      <c r="P14" s="171">
        <f>SUM(B14:O14)+('Fixed Revenues'!$D$27/1000000)</f>
        <v>28.36410353519048</v>
      </c>
    </row>
    <row r="15" spans="1:16" ht="12.75">
      <c r="A15" s="133">
        <f>'Demand Change'!A15</f>
        <v>1941</v>
      </c>
      <c r="B15" s="170">
        <f>(-'Demand Change'!B15*'HLH Prices'!B16-'Demand Change'!B69*'LLH Prices'!B16)/1000000</f>
        <v>-7.588710547173115</v>
      </c>
      <c r="C15" s="170">
        <f>(-'Demand Change'!C15*'HLH Prices'!C16-'Demand Change'!C69*'LLH Prices'!C16)/1000000</f>
        <v>-3.961403645235418</v>
      </c>
      <c r="D15" s="170">
        <f>(-'Demand Change'!D15*'HLH Prices'!D16-'Demand Change'!D69*'LLH Prices'!D16)/1000000</f>
        <v>-0.598087579834486</v>
      </c>
      <c r="E15" s="170">
        <f>(-'Demand Change'!E15*'HLH Prices'!E16-'Demand Change'!E69*'LLH Prices'!E16)/1000000</f>
        <v>-5.399060008695327</v>
      </c>
      <c r="F15" s="170">
        <f>(-'Demand Change'!F15*'HLH Prices'!F16-'Demand Change'!F69*'LLH Prices'!F16)/1000000</f>
        <v>1.668888478334537</v>
      </c>
      <c r="G15" s="170">
        <f>(-'Demand Change'!G15*'HLH Prices'!G16-'Demand Change'!G69*'LLH Prices'!G16)/1000000</f>
        <v>4.333421724954175</v>
      </c>
      <c r="H15" s="170">
        <f>(-'Demand Change'!H15*'HLH Prices'!H16-'Demand Change'!H69*'LLH Prices'!H16)/1000000</f>
        <v>13.538608091950316</v>
      </c>
      <c r="I15" s="170">
        <f>(-'Demand Change'!I15*'HLH Prices'!I16-'Demand Change'!I69*'LLH Prices'!I16)/1000000</f>
        <v>15.292791496224952</v>
      </c>
      <c r="J15" s="170">
        <f>(-'Demand Change'!J15*'HLH Prices'!J16-'Demand Change'!J69*'LLH Prices'!J16)/1000000</f>
        <v>3.2694942505628988</v>
      </c>
      <c r="K15" s="170">
        <f>(-'Demand Change'!K15*'HLH Prices'!K16-'Demand Change'!K69*'LLH Prices'!K16)/1000000</f>
        <v>2.3774444941542137</v>
      </c>
      <c r="L15" s="170">
        <f>(-'Demand Change'!L15*'HLH Prices'!L16-'Demand Change'!L69*'LLH Prices'!L16)/1000000</f>
        <v>-0.5134779122200834</v>
      </c>
      <c r="M15" s="170">
        <f>(-'Demand Change'!M15*'HLH Prices'!M16-'Demand Change'!M69*'LLH Prices'!M16)/1000000</f>
        <v>-10.777286669452879</v>
      </c>
      <c r="N15" s="170">
        <f>(-'Demand Change'!N15*'HLH Prices'!N16-'Demand Change'!N69*'LLH Prices'!N16)/1000000</f>
        <v>-17.633228873424173</v>
      </c>
      <c r="O15" s="170">
        <f>(-'Demand Change'!O15*'HLH Prices'!O16-'Demand Change'!O69*'LLH Prices'!O16)/1000000</f>
        <v>-17.67912949757127</v>
      </c>
      <c r="P15" s="171">
        <f>SUM(B15:O15)+('Fixed Revenues'!$D$27/1000000)</f>
        <v>54.706306786910666</v>
      </c>
    </row>
    <row r="16" spans="1:16" ht="12.75">
      <c r="A16" s="133">
        <f>'Demand Change'!A16</f>
        <v>1942</v>
      </c>
      <c r="B16" s="170">
        <f>(-'Demand Change'!B16*'HLH Prices'!B17-'Demand Change'!B70*'LLH Prices'!B17)/1000000</f>
        <v>-6.676968561117799</v>
      </c>
      <c r="C16" s="170">
        <f>(-'Demand Change'!C16*'HLH Prices'!C17-'Demand Change'!C70*'LLH Prices'!C17)/1000000</f>
        <v>-4.792227253533417</v>
      </c>
      <c r="D16" s="170">
        <f>(-'Demand Change'!D16*'HLH Prices'!D17-'Demand Change'!D70*'LLH Prices'!D17)/1000000</f>
        <v>1.785500012847593</v>
      </c>
      <c r="E16" s="170">
        <f>(-'Demand Change'!E16*'HLH Prices'!E17-'Demand Change'!E70*'LLH Prices'!E17)/1000000</f>
        <v>-5.0211370969285385</v>
      </c>
      <c r="F16" s="170">
        <f>(-'Demand Change'!F16*'HLH Prices'!F17-'Demand Change'!F70*'LLH Prices'!F17)/1000000</f>
        <v>-0.7289922463524626</v>
      </c>
      <c r="G16" s="170">
        <f>(-'Demand Change'!G16*'HLH Prices'!G17-'Demand Change'!G70*'LLH Prices'!G17)/1000000</f>
        <v>-8.164038523034513</v>
      </c>
      <c r="H16" s="170">
        <f>(-'Demand Change'!H16*'HLH Prices'!H17-'Demand Change'!H70*'LLH Prices'!H17)/1000000</f>
        <v>-6.968057596712944</v>
      </c>
      <c r="I16" s="170">
        <f>(-'Demand Change'!I16*'HLH Prices'!I17-'Demand Change'!I70*'LLH Prices'!I17)/1000000</f>
        <v>2.402039201578666</v>
      </c>
      <c r="J16" s="170">
        <f>(-'Demand Change'!J16*'HLH Prices'!J17-'Demand Change'!J70*'LLH Prices'!J17)/1000000</f>
        <v>9.656142250805562</v>
      </c>
      <c r="K16" s="170">
        <f>(-'Demand Change'!K16*'HLH Prices'!K17-'Demand Change'!K70*'LLH Prices'!K17)/1000000</f>
        <v>-0.763366341217482</v>
      </c>
      <c r="L16" s="170">
        <f>(-'Demand Change'!L16*'HLH Prices'!L17-'Demand Change'!L70*'LLH Prices'!L17)/1000000</f>
        <v>-1.406047663873911</v>
      </c>
      <c r="M16" s="170">
        <f>(-'Demand Change'!M16*'HLH Prices'!M17-'Demand Change'!M70*'LLH Prices'!M17)/1000000</f>
        <v>-14.160884947616992</v>
      </c>
      <c r="N16" s="170">
        <f>(-'Demand Change'!N16*'HLH Prices'!N17-'Demand Change'!N70*'LLH Prices'!N17)/1000000</f>
        <v>-16.50480302666995</v>
      </c>
      <c r="O16" s="170">
        <f>(-'Demand Change'!O16*'HLH Prices'!O17-'Demand Change'!O70*'LLH Prices'!O17)/1000000</f>
        <v>-23.75498836329642</v>
      </c>
      <c r="P16" s="171">
        <f>SUM(B16:O16)+('Fixed Revenues'!$D$27/1000000)</f>
        <v>3.2782128292137287</v>
      </c>
    </row>
    <row r="17" spans="1:16" ht="12.75">
      <c r="A17" s="133">
        <f>'Demand Change'!A17</f>
        <v>1943</v>
      </c>
      <c r="B17" s="170">
        <f>(-'Demand Change'!B17*'HLH Prices'!B18-'Demand Change'!B71*'LLH Prices'!B18)/1000000</f>
        <v>-12.068896520701868</v>
      </c>
      <c r="C17" s="170">
        <f>(-'Demand Change'!C17*'HLH Prices'!C18-'Demand Change'!C71*'LLH Prices'!C18)/1000000</f>
        <v>-7.500755247549898</v>
      </c>
      <c r="D17" s="170">
        <f>(-'Demand Change'!D17*'HLH Prices'!D18-'Demand Change'!D71*'LLH Prices'!D18)/1000000</f>
        <v>-1.35129523630777</v>
      </c>
      <c r="E17" s="170">
        <f>(-'Demand Change'!E17*'HLH Prices'!E18-'Demand Change'!E71*'LLH Prices'!E18)/1000000</f>
        <v>-4.506392904721661</v>
      </c>
      <c r="F17" s="170">
        <f>(-'Demand Change'!F17*'HLH Prices'!F18-'Demand Change'!F71*'LLH Prices'!F18)/1000000</f>
        <v>2.549006588732103</v>
      </c>
      <c r="G17" s="170">
        <f>(-'Demand Change'!G17*'HLH Prices'!G18-'Demand Change'!G71*'LLH Prices'!G18)/1000000</f>
        <v>4.1982063967815755</v>
      </c>
      <c r="H17" s="170">
        <f>(-'Demand Change'!H17*'HLH Prices'!H18-'Demand Change'!H71*'LLH Prices'!H18)/1000000</f>
        <v>-7.458905483536727</v>
      </c>
      <c r="I17" s="170">
        <f>(-'Demand Change'!I17*'HLH Prices'!I18-'Demand Change'!I71*'LLH Prices'!I18)/1000000</f>
        <v>-5.66286454667724</v>
      </c>
      <c r="J17" s="170">
        <f>(-'Demand Change'!J17*'HLH Prices'!J18-'Demand Change'!J71*'LLH Prices'!J18)/1000000</f>
        <v>-7.3751949783981585</v>
      </c>
      <c r="K17" s="170">
        <f>(-'Demand Change'!K17*'HLH Prices'!K18-'Demand Change'!K71*'LLH Prices'!K18)/1000000</f>
        <v>-4.180780509753566</v>
      </c>
      <c r="L17" s="170">
        <f>(-'Demand Change'!L17*'HLH Prices'!L18-'Demand Change'!L71*'LLH Prices'!L18)/1000000</f>
        <v>-3.804846171662655</v>
      </c>
      <c r="M17" s="170">
        <f>(-'Demand Change'!M17*'HLH Prices'!M18-'Demand Change'!M71*'LLH Prices'!M18)/1000000</f>
        <v>-12.54642640779772</v>
      </c>
      <c r="N17" s="170">
        <f>(-'Demand Change'!N17*'HLH Prices'!N18-'Demand Change'!N71*'LLH Prices'!N18)/1000000</f>
        <v>-12.040599273027336</v>
      </c>
      <c r="O17" s="170">
        <f>(-'Demand Change'!O17*'HLH Prices'!O18-'Demand Change'!O71*'LLH Prices'!O18)/1000000</f>
        <v>-21.574118364665313</v>
      </c>
      <c r="P17" s="171">
        <f>SUM(B17:O17)+('Fixed Revenues'!$D$27/1000000)</f>
        <v>-14.947819674949912</v>
      </c>
    </row>
    <row r="18" spans="1:16" ht="12.75">
      <c r="A18" s="133">
        <f>'Demand Change'!A18</f>
        <v>1944</v>
      </c>
      <c r="B18" s="170">
        <f>(-'Demand Change'!B18*'HLH Prices'!B19-'Demand Change'!B72*'LLH Prices'!B19)/1000000</f>
        <v>-10.625013123236036</v>
      </c>
      <c r="C18" s="170">
        <f>(-'Demand Change'!C18*'HLH Prices'!C19-'Demand Change'!C72*'LLH Prices'!C19)/1000000</f>
        <v>-7.968556686503701</v>
      </c>
      <c r="D18" s="170">
        <f>(-'Demand Change'!D18*'HLH Prices'!D19-'Demand Change'!D72*'LLH Prices'!D19)/1000000</f>
        <v>1.310752177010968</v>
      </c>
      <c r="E18" s="170">
        <f>(-'Demand Change'!E18*'HLH Prices'!E19-'Demand Change'!E72*'LLH Prices'!E19)/1000000</f>
        <v>-4.976814957443323</v>
      </c>
      <c r="F18" s="170">
        <f>(-'Demand Change'!F18*'HLH Prices'!F19-'Demand Change'!F72*'LLH Prices'!F19)/1000000</f>
        <v>3.146949818288922</v>
      </c>
      <c r="G18" s="170">
        <f>(-'Demand Change'!G18*'HLH Prices'!G19-'Demand Change'!G72*'LLH Prices'!G19)/1000000</f>
        <v>4.066417643359504</v>
      </c>
      <c r="H18" s="170">
        <f>(-'Demand Change'!H18*'HLH Prices'!H19-'Demand Change'!H72*'LLH Prices'!H19)/1000000</f>
        <v>21.100996084294845</v>
      </c>
      <c r="I18" s="170">
        <f>(-'Demand Change'!I18*'HLH Prices'!I19-'Demand Change'!I72*'LLH Prices'!I19)/1000000</f>
        <v>9.861230249732406</v>
      </c>
      <c r="J18" s="170">
        <f>(-'Demand Change'!J18*'HLH Prices'!J19-'Demand Change'!J72*'LLH Prices'!J19)/1000000</f>
        <v>12.790039779119857</v>
      </c>
      <c r="K18" s="170">
        <f>(-'Demand Change'!K18*'HLH Prices'!K19-'Demand Change'!K72*'LLH Prices'!K19)/1000000</f>
        <v>3.056530696527931</v>
      </c>
      <c r="L18" s="170">
        <f>(-'Demand Change'!L18*'HLH Prices'!L19-'Demand Change'!L72*'LLH Prices'!L19)/1000000</f>
        <v>1.3359271026396606</v>
      </c>
      <c r="M18" s="170">
        <f>(-'Demand Change'!M18*'HLH Prices'!M19-'Demand Change'!M72*'LLH Prices'!M19)/1000000</f>
        <v>-9.641597897468168</v>
      </c>
      <c r="N18" s="170">
        <f>(-'Demand Change'!N18*'HLH Prices'!N19-'Demand Change'!N72*'LLH Prices'!N19)/1000000</f>
        <v>-14.923485417113545</v>
      </c>
      <c r="O18" s="170">
        <f>(-'Demand Change'!O18*'HLH Prices'!O19-'Demand Change'!O72*'LLH Prices'!O19)/1000000</f>
        <v>-17.050798515376695</v>
      </c>
      <c r="P18" s="171">
        <f>SUM(B18:O18)+('Fixed Revenues'!$D$27/1000000)</f>
        <v>69.85861993816894</v>
      </c>
    </row>
    <row r="19" spans="1:16" ht="12.75">
      <c r="A19" s="133">
        <f>'Demand Change'!A19</f>
        <v>1945</v>
      </c>
      <c r="B19" s="170">
        <f>(-'Demand Change'!B19*'HLH Prices'!B20-'Demand Change'!B73*'LLH Prices'!B20)/1000000</f>
        <v>-7.292218843494741</v>
      </c>
      <c r="C19" s="170">
        <f>(-'Demand Change'!C19*'HLH Prices'!C20-'Demand Change'!C73*'LLH Prices'!C20)/1000000</f>
        <v>-4.1591322827339114</v>
      </c>
      <c r="D19" s="170">
        <f>(-'Demand Change'!D19*'HLH Prices'!D20-'Demand Change'!D73*'LLH Prices'!D20)/1000000</f>
        <v>3.7606675407092127</v>
      </c>
      <c r="E19" s="170">
        <f>(-'Demand Change'!E19*'HLH Prices'!E20-'Demand Change'!E73*'LLH Prices'!E20)/1000000</f>
        <v>-3.2373227017351693</v>
      </c>
      <c r="F19" s="170">
        <f>(-'Demand Change'!F19*'HLH Prices'!F20-'Demand Change'!F73*'LLH Prices'!F20)/1000000</f>
        <v>-0.18262421280682717</v>
      </c>
      <c r="G19" s="170">
        <f>(-'Demand Change'!G19*'HLH Prices'!G20-'Demand Change'!G73*'LLH Prices'!G20)/1000000</f>
        <v>7.024713961845417</v>
      </c>
      <c r="H19" s="170">
        <f>(-'Demand Change'!H19*'HLH Prices'!H20-'Demand Change'!H73*'LLH Prices'!H20)/1000000</f>
        <v>28.558759399888487</v>
      </c>
      <c r="I19" s="170">
        <f>(-'Demand Change'!I19*'HLH Prices'!I20-'Demand Change'!I73*'LLH Prices'!I20)/1000000</f>
        <v>22.912295157705596</v>
      </c>
      <c r="J19" s="170">
        <f>(-'Demand Change'!J19*'HLH Prices'!J20-'Demand Change'!J73*'LLH Prices'!J20)/1000000</f>
        <v>10.287982653656988</v>
      </c>
      <c r="K19" s="170">
        <f>(-'Demand Change'!K19*'HLH Prices'!K20-'Demand Change'!K73*'LLH Prices'!K20)/1000000</f>
        <v>2.1273845410642838</v>
      </c>
      <c r="L19" s="170">
        <f>(-'Demand Change'!L19*'HLH Prices'!L20-'Demand Change'!L73*'LLH Prices'!L20)/1000000</f>
        <v>0.22099247985015014</v>
      </c>
      <c r="M19" s="170">
        <f>(-'Demand Change'!M19*'HLH Prices'!M20-'Demand Change'!M73*'LLH Prices'!M20)/1000000</f>
        <v>-14.635451434768921</v>
      </c>
      <c r="N19" s="170">
        <f>(-'Demand Change'!N19*'HLH Prices'!N20-'Demand Change'!N73*'LLH Prices'!N20)/1000000</f>
        <v>-16.568363389453847</v>
      </c>
      <c r="O19" s="170">
        <f>(-'Demand Change'!O19*'HLH Prices'!O20-'Demand Change'!O73*'LLH Prices'!O20)/1000000</f>
        <v>-22.516642167119183</v>
      </c>
      <c r="P19" s="171">
        <f>SUM(B19:O19)+('Fixed Revenues'!$D$27/1000000)</f>
        <v>84.67708368694386</v>
      </c>
    </row>
    <row r="20" spans="1:16" ht="12.75">
      <c r="A20" s="133">
        <f>'Demand Change'!A20</f>
        <v>1946</v>
      </c>
      <c r="B20" s="170">
        <f>(-'Demand Change'!B20*'HLH Prices'!B21-'Demand Change'!B74*'LLH Prices'!B21)/1000000</f>
        <v>-8.214748095823657</v>
      </c>
      <c r="C20" s="170">
        <f>(-'Demand Change'!C20*'HLH Prices'!C21-'Demand Change'!C74*'LLH Prices'!C21)/1000000</f>
        <v>-6.8805981631810305</v>
      </c>
      <c r="D20" s="170">
        <f>(-'Demand Change'!D20*'HLH Prices'!D21-'Demand Change'!D74*'LLH Prices'!D21)/1000000</f>
        <v>0.45573090837016833</v>
      </c>
      <c r="E20" s="170">
        <f>(-'Demand Change'!E20*'HLH Prices'!E21-'Demand Change'!E74*'LLH Prices'!E21)/1000000</f>
        <v>-2.645863791837581</v>
      </c>
      <c r="F20" s="170">
        <f>(-'Demand Change'!F20*'HLH Prices'!F21-'Demand Change'!F74*'LLH Prices'!F21)/1000000</f>
        <v>2.0629447882904977</v>
      </c>
      <c r="G20" s="170">
        <f>(-'Demand Change'!G20*'HLH Prices'!G21-'Demand Change'!G74*'LLH Prices'!G21)/1000000</f>
        <v>-1.022335399595934</v>
      </c>
      <c r="H20" s="170">
        <f>(-'Demand Change'!H20*'HLH Prices'!H21-'Demand Change'!H74*'LLH Prices'!H21)/1000000</f>
        <v>-9.242684094305748</v>
      </c>
      <c r="I20" s="170">
        <f>(-'Demand Change'!I20*'HLH Prices'!I21-'Demand Change'!I74*'LLH Prices'!I21)/1000000</f>
        <v>4.515947979137906</v>
      </c>
      <c r="J20" s="170">
        <f>(-'Demand Change'!J20*'HLH Prices'!J21-'Demand Change'!J74*'LLH Prices'!J21)/1000000</f>
        <v>-4.868808113111907</v>
      </c>
      <c r="K20" s="170">
        <f>(-'Demand Change'!K20*'HLH Prices'!K21-'Demand Change'!K74*'LLH Prices'!K21)/1000000</f>
        <v>-2.7544338347673305</v>
      </c>
      <c r="L20" s="170">
        <f>(-'Demand Change'!L20*'HLH Prices'!L21-'Demand Change'!L74*'LLH Prices'!L21)/1000000</f>
        <v>-3.9209775323802063</v>
      </c>
      <c r="M20" s="170">
        <f>(-'Demand Change'!M20*'HLH Prices'!M21-'Demand Change'!M74*'LLH Prices'!M21)/1000000</f>
        <v>-11.856105975867184</v>
      </c>
      <c r="N20" s="170">
        <f>(-'Demand Change'!N20*'HLH Prices'!N21-'Demand Change'!N74*'LLH Prices'!N21)/1000000</f>
        <v>-13.03752433167341</v>
      </c>
      <c r="O20" s="170">
        <f>(-'Demand Change'!O20*'HLH Prices'!O21-'Demand Change'!O74*'LLH Prices'!O21)/1000000</f>
        <v>-22.633033677721244</v>
      </c>
      <c r="P20" s="171">
        <f>SUM(B20:O20)+('Fixed Revenues'!$D$27/1000000)</f>
        <v>-1.666446350130343</v>
      </c>
    </row>
    <row r="21" spans="1:16" ht="12.75">
      <c r="A21" s="133">
        <f>'Demand Change'!A21</f>
        <v>1947</v>
      </c>
      <c r="B21" s="170">
        <f>(-'Demand Change'!B21*'HLH Prices'!B22-'Demand Change'!B75*'LLH Prices'!B22)/1000000</f>
        <v>-11.046474006751744</v>
      </c>
      <c r="C21" s="170">
        <f>(-'Demand Change'!C21*'HLH Prices'!C22-'Demand Change'!C75*'LLH Prices'!C22)/1000000</f>
        <v>-3.5624404017586544</v>
      </c>
      <c r="D21" s="170">
        <f>(-'Demand Change'!D21*'HLH Prices'!D22-'Demand Change'!D75*'LLH Prices'!D22)/1000000</f>
        <v>-1.3117218271693452</v>
      </c>
      <c r="E21" s="170">
        <f>(-'Demand Change'!E21*'HLH Prices'!E22-'Demand Change'!E75*'LLH Prices'!E22)/1000000</f>
        <v>-5.022690057231666</v>
      </c>
      <c r="F21" s="170">
        <f>(-'Demand Change'!F21*'HLH Prices'!F22-'Demand Change'!F75*'LLH Prices'!F22)/1000000</f>
        <v>1.1548733188758884</v>
      </c>
      <c r="G21" s="170">
        <f>(-'Demand Change'!G21*'HLH Prices'!G22-'Demand Change'!G75*'LLH Prices'!G22)/1000000</f>
        <v>-7.8052554735129975</v>
      </c>
      <c r="H21" s="170">
        <f>(-'Demand Change'!H21*'HLH Prices'!H22-'Demand Change'!H75*'LLH Prices'!H22)/1000000</f>
        <v>-11.55273804590098</v>
      </c>
      <c r="I21" s="170">
        <f>(-'Demand Change'!I21*'HLH Prices'!I22-'Demand Change'!I75*'LLH Prices'!I22)/1000000</f>
        <v>-7.530796287165989</v>
      </c>
      <c r="J21" s="170">
        <f>(-'Demand Change'!J21*'HLH Prices'!J22-'Demand Change'!J75*'LLH Prices'!J22)/1000000</f>
        <v>-4.099750790753856</v>
      </c>
      <c r="K21" s="170">
        <f>(-'Demand Change'!K21*'HLH Prices'!K22-'Demand Change'!K75*'LLH Prices'!K22)/1000000</f>
        <v>-2.5921022895083445</v>
      </c>
      <c r="L21" s="170">
        <f>(-'Demand Change'!L21*'HLH Prices'!L22-'Demand Change'!L75*'LLH Prices'!L22)/1000000</f>
        <v>-2.6594610870578896</v>
      </c>
      <c r="M21" s="170">
        <f>(-'Demand Change'!M21*'HLH Prices'!M22-'Demand Change'!M75*'LLH Prices'!M22)/1000000</f>
        <v>-11.7299964105816</v>
      </c>
      <c r="N21" s="170">
        <f>(-'Demand Change'!N21*'HLH Prices'!N22-'Demand Change'!N75*'LLH Prices'!N22)/1000000</f>
        <v>-15.003128156657139</v>
      </c>
      <c r="O21" s="170">
        <f>(-'Demand Change'!O21*'HLH Prices'!O22-'Demand Change'!O75*'LLH Prices'!O22)/1000000</f>
        <v>-22.381527627364147</v>
      </c>
      <c r="P21" s="171">
        <f>SUM(B21:O21)+('Fixed Revenues'!$D$27/1000000)</f>
        <v>-26.76716615820216</v>
      </c>
    </row>
    <row r="22" spans="1:16" ht="12.75">
      <c r="A22" s="133">
        <f>'Demand Change'!A22</f>
        <v>1948</v>
      </c>
      <c r="B22" s="170">
        <f>(-'Demand Change'!B22*'HLH Prices'!B23-'Demand Change'!B76*'LLH Prices'!B23)/1000000</f>
        <v>-10.612750577754996</v>
      </c>
      <c r="C22" s="170">
        <f>(-'Demand Change'!C22*'HLH Prices'!C23-'Demand Change'!C76*'LLH Prices'!C23)/1000000</f>
        <v>-4.954711738291339</v>
      </c>
      <c r="D22" s="170">
        <f>(-'Demand Change'!D22*'HLH Prices'!D23-'Demand Change'!D76*'LLH Prices'!D23)/1000000</f>
        <v>-0.39458401041586966</v>
      </c>
      <c r="E22" s="170">
        <f>(-'Demand Change'!E22*'HLH Prices'!E23-'Demand Change'!E76*'LLH Prices'!E23)/1000000</f>
        <v>-10.265917966689852</v>
      </c>
      <c r="F22" s="170">
        <f>(-'Demand Change'!F22*'HLH Prices'!F23-'Demand Change'!F76*'LLH Prices'!F23)/1000000</f>
        <v>-4.961564440443283</v>
      </c>
      <c r="G22" s="170">
        <f>(-'Demand Change'!G22*'HLH Prices'!G23-'Demand Change'!G76*'LLH Prices'!G23)/1000000</f>
        <v>-1.5082214034930563</v>
      </c>
      <c r="H22" s="170">
        <f>(-'Demand Change'!H22*'HLH Prices'!H23-'Demand Change'!H76*'LLH Prices'!H23)/1000000</f>
        <v>-11.855759756210496</v>
      </c>
      <c r="I22" s="170">
        <f>(-'Demand Change'!I22*'HLH Prices'!I23-'Demand Change'!I76*'LLH Prices'!I23)/1000000</f>
        <v>-4.729086954756857</v>
      </c>
      <c r="J22" s="170">
        <f>(-'Demand Change'!J22*'HLH Prices'!J23-'Demand Change'!J76*'LLH Prices'!J23)/1000000</f>
        <v>-0.347283551716472</v>
      </c>
      <c r="K22" s="170">
        <f>(-'Demand Change'!K22*'HLH Prices'!K23-'Demand Change'!K76*'LLH Prices'!K23)/1000000</f>
        <v>-1.2742972818973535</v>
      </c>
      <c r="L22" s="170">
        <f>(-'Demand Change'!L22*'HLH Prices'!L23-'Demand Change'!L76*'LLH Prices'!L23)/1000000</f>
        <v>-3.6685772451410497</v>
      </c>
      <c r="M22" s="170">
        <f>(-'Demand Change'!M22*'HLH Prices'!M23-'Demand Change'!M76*'LLH Prices'!M23)/1000000</f>
        <v>-8.463162433889092</v>
      </c>
      <c r="N22" s="170">
        <f>(-'Demand Change'!N22*'HLH Prices'!N23-'Demand Change'!N76*'LLH Prices'!N23)/1000000</f>
        <v>-10.049403235138067</v>
      </c>
      <c r="O22" s="170">
        <f>(-'Demand Change'!O22*'HLH Prices'!O23-'Demand Change'!O76*'LLH Prices'!O23)/1000000</f>
        <v>-23.971596373833417</v>
      </c>
      <c r="P22" s="171">
        <f>SUM(B22:O22)+('Fixed Revenues'!$D$27/1000000)</f>
        <v>-18.680873985334884</v>
      </c>
    </row>
    <row r="23" spans="1:16" ht="12.75">
      <c r="A23" s="133">
        <f>'Demand Change'!A23</f>
        <v>1949</v>
      </c>
      <c r="B23" s="170">
        <f>(-'Demand Change'!B23*'HLH Prices'!B24-'Demand Change'!B77*'LLH Prices'!B24)/1000000</f>
        <v>-9.907989901915945</v>
      </c>
      <c r="C23" s="170">
        <f>(-'Demand Change'!C23*'HLH Prices'!C24-'Demand Change'!C77*'LLH Prices'!C24)/1000000</f>
        <v>-11.364204672161833</v>
      </c>
      <c r="D23" s="170">
        <f>(-'Demand Change'!D23*'HLH Prices'!D24-'Demand Change'!D77*'LLH Prices'!D24)/1000000</f>
        <v>-3.3782971278544687</v>
      </c>
      <c r="E23" s="170">
        <f>(-'Demand Change'!E23*'HLH Prices'!E24-'Demand Change'!E77*'LLH Prices'!E24)/1000000</f>
        <v>-6.076403052832864</v>
      </c>
      <c r="F23" s="170">
        <f>(-'Demand Change'!F23*'HLH Prices'!F24-'Demand Change'!F77*'LLH Prices'!F24)/1000000</f>
        <v>2.241654642721492</v>
      </c>
      <c r="G23" s="170">
        <f>(-'Demand Change'!G23*'HLH Prices'!G24-'Demand Change'!G77*'LLH Prices'!G24)/1000000</f>
        <v>4.976200873612124</v>
      </c>
      <c r="H23" s="170">
        <f>(-'Demand Change'!H23*'HLH Prices'!H24-'Demand Change'!H77*'LLH Prices'!H24)/1000000</f>
        <v>-2.496494085238553</v>
      </c>
      <c r="I23" s="170">
        <f>(-'Demand Change'!I23*'HLH Prices'!I24-'Demand Change'!I77*'LLH Prices'!I24)/1000000</f>
        <v>5.779977571774362</v>
      </c>
      <c r="J23" s="170">
        <f>(-'Demand Change'!J23*'HLH Prices'!J24-'Demand Change'!J77*'LLH Prices'!J24)/1000000</f>
        <v>-9.826969704024272</v>
      </c>
      <c r="K23" s="170">
        <f>(-'Demand Change'!K23*'HLH Prices'!K24-'Demand Change'!K77*'LLH Prices'!K24)/1000000</f>
        <v>-2.939354847296199</v>
      </c>
      <c r="L23" s="170">
        <f>(-'Demand Change'!L23*'HLH Prices'!L24-'Demand Change'!L77*'LLH Prices'!L24)/1000000</f>
        <v>-3.939991829684219</v>
      </c>
      <c r="M23" s="170">
        <f>(-'Demand Change'!M23*'HLH Prices'!M24-'Demand Change'!M77*'LLH Prices'!M24)/1000000</f>
        <v>-11.545246013482279</v>
      </c>
      <c r="N23" s="170">
        <f>(-'Demand Change'!N23*'HLH Prices'!N24-'Demand Change'!N77*'LLH Prices'!N24)/1000000</f>
        <v>-15.677344280891946</v>
      </c>
      <c r="O23" s="170">
        <f>(-'Demand Change'!O23*'HLH Prices'!O24-'Demand Change'!O77*'LLH Prices'!O24)/1000000</f>
        <v>-14.999166744548406</v>
      </c>
      <c r="P23" s="171">
        <f>SUM(B23:O23)+('Fixed Revenues'!$D$27/1000000)</f>
        <v>-0.7775861874866763</v>
      </c>
    </row>
    <row r="24" spans="1:16" ht="12.75">
      <c r="A24" s="133">
        <f>'Demand Change'!A24</f>
        <v>1950</v>
      </c>
      <c r="B24" s="170">
        <f>(-'Demand Change'!B24*'HLH Prices'!B25-'Demand Change'!B78*'LLH Prices'!B25)/1000000</f>
        <v>-2.73829194610685</v>
      </c>
      <c r="C24" s="170">
        <f>(-'Demand Change'!C24*'HLH Prices'!C25-'Demand Change'!C78*'LLH Prices'!C25)/1000000</f>
        <v>-0.7650994290415757</v>
      </c>
      <c r="D24" s="170">
        <f>(-'Demand Change'!D24*'HLH Prices'!D25-'Demand Change'!D78*'LLH Prices'!D25)/1000000</f>
        <v>1.740205376826385</v>
      </c>
      <c r="E24" s="170">
        <f>(-'Demand Change'!E24*'HLH Prices'!E25-'Demand Change'!E78*'LLH Prices'!E25)/1000000</f>
        <v>-3.2809471080788986</v>
      </c>
      <c r="F24" s="170">
        <f>(-'Demand Change'!F24*'HLH Prices'!F25-'Demand Change'!F78*'LLH Prices'!F25)/1000000</f>
        <v>3.538134137117594</v>
      </c>
      <c r="G24" s="170">
        <f>(-'Demand Change'!G24*'HLH Prices'!G25-'Demand Change'!G78*'LLH Prices'!G25)/1000000</f>
        <v>-0.21790666807279818</v>
      </c>
      <c r="H24" s="170">
        <f>(-'Demand Change'!H24*'HLH Prices'!H25-'Demand Change'!H78*'LLH Prices'!H25)/1000000</f>
        <v>-9.084895548197833</v>
      </c>
      <c r="I24" s="170">
        <f>(-'Demand Change'!I24*'HLH Prices'!I25-'Demand Change'!I78*'LLH Prices'!I25)/1000000</f>
        <v>-4.531369789978427</v>
      </c>
      <c r="J24" s="170">
        <f>(-'Demand Change'!J24*'HLH Prices'!J25-'Demand Change'!J78*'LLH Prices'!J25)/1000000</f>
        <v>-9.091022541493103</v>
      </c>
      <c r="K24" s="170">
        <f>(-'Demand Change'!K24*'HLH Prices'!K25-'Demand Change'!K78*'LLH Prices'!K25)/1000000</f>
        <v>-3.988541132328334</v>
      </c>
      <c r="L24" s="170">
        <f>(-'Demand Change'!L24*'HLH Prices'!L25-'Demand Change'!L78*'LLH Prices'!L25)/1000000</f>
        <v>-3.1283823873228425</v>
      </c>
      <c r="M24" s="170">
        <f>(-'Demand Change'!M24*'HLH Prices'!M25-'Demand Change'!M78*'LLH Prices'!M25)/1000000</f>
        <v>-12.73809353761526</v>
      </c>
      <c r="N24" s="170">
        <f>(-'Demand Change'!N24*'HLH Prices'!N25-'Demand Change'!N78*'LLH Prices'!N25)/1000000</f>
        <v>-8.765976228791233</v>
      </c>
      <c r="O24" s="170">
        <f>(-'Demand Change'!O24*'HLH Prices'!O25-'Demand Change'!O78*'LLH Prices'!O25)/1000000</f>
        <v>-22.318771591232203</v>
      </c>
      <c r="P24" s="171">
        <f>SUM(B24:O24)+('Fixed Revenues'!$D$27/1000000)</f>
        <v>3.0050845900209424</v>
      </c>
    </row>
    <row r="25" spans="1:16" ht="12.75">
      <c r="A25" s="133">
        <f>'Demand Change'!A25</f>
        <v>1951</v>
      </c>
      <c r="B25" s="170">
        <f>(-'Demand Change'!B25*'HLH Prices'!B26-'Demand Change'!B79*'LLH Prices'!B26)/1000000</f>
        <v>-9.337187431572564</v>
      </c>
      <c r="C25" s="170">
        <f>(-'Demand Change'!C25*'HLH Prices'!C26-'Demand Change'!C79*'LLH Prices'!C26)/1000000</f>
        <v>-8.717154949442337</v>
      </c>
      <c r="D25" s="170">
        <f>(-'Demand Change'!D25*'HLH Prices'!D26-'Demand Change'!D79*'LLH Prices'!D26)/1000000</f>
        <v>-1.1708277757055532</v>
      </c>
      <c r="E25" s="170">
        <f>(-'Demand Change'!E25*'HLH Prices'!E26-'Demand Change'!E79*'LLH Prices'!E26)/1000000</f>
        <v>-7.755285776813044</v>
      </c>
      <c r="F25" s="170">
        <f>(-'Demand Change'!F25*'HLH Prices'!F26-'Demand Change'!F79*'LLH Prices'!F26)/1000000</f>
        <v>-6.809412440110122</v>
      </c>
      <c r="G25" s="170">
        <f>(-'Demand Change'!G25*'HLH Prices'!G26-'Demand Change'!G79*'LLH Prices'!G26)/1000000</f>
        <v>-10.010830249759007</v>
      </c>
      <c r="H25" s="170">
        <f>(-'Demand Change'!H25*'HLH Prices'!H26-'Demand Change'!H79*'LLH Prices'!H26)/1000000</f>
        <v>-12.79509350309284</v>
      </c>
      <c r="I25" s="170">
        <f>(-'Demand Change'!I25*'HLH Prices'!I26-'Demand Change'!I79*'LLH Prices'!I26)/1000000</f>
        <v>-8.995986904690357</v>
      </c>
      <c r="J25" s="170">
        <f>(-'Demand Change'!J25*'HLH Prices'!J26-'Demand Change'!J79*'LLH Prices'!J26)/1000000</f>
        <v>-8.155454805722643</v>
      </c>
      <c r="K25" s="170">
        <f>(-'Demand Change'!K25*'HLH Prices'!K26-'Demand Change'!K79*'LLH Prices'!K26)/1000000</f>
        <v>-3.711261853988266</v>
      </c>
      <c r="L25" s="170">
        <f>(-'Demand Change'!L25*'HLH Prices'!L26-'Demand Change'!L79*'LLH Prices'!L26)/1000000</f>
        <v>-3.519174725307361</v>
      </c>
      <c r="M25" s="170">
        <f>(-'Demand Change'!M25*'HLH Prices'!M26-'Demand Change'!M79*'LLH Prices'!M26)/1000000</f>
        <v>-11.991914766844165</v>
      </c>
      <c r="N25" s="170">
        <f>(-'Demand Change'!N25*'HLH Prices'!N26-'Demand Change'!N79*'LLH Prices'!N26)/1000000</f>
        <v>-15.878398567951129</v>
      </c>
      <c r="O25" s="170">
        <f>(-'Demand Change'!O25*'HLH Prices'!O26-'Demand Change'!O79*'LLH Prices'!O26)/1000000</f>
        <v>-22.166306246356143</v>
      </c>
      <c r="P25" s="171">
        <f>SUM(B25:O25)+('Fixed Revenues'!$D$27/1000000)</f>
        <v>-52.638247013019196</v>
      </c>
    </row>
    <row r="26" spans="1:16" ht="12.75">
      <c r="A26" s="133">
        <f>'Demand Change'!A26</f>
        <v>1952</v>
      </c>
      <c r="B26" s="170">
        <f>(-'Demand Change'!B26*'HLH Prices'!B27-'Demand Change'!B80*'LLH Prices'!B27)/1000000</f>
        <v>-10.784735107287261</v>
      </c>
      <c r="C26" s="170">
        <f>(-'Demand Change'!C26*'HLH Prices'!C27-'Demand Change'!C80*'LLH Prices'!C27)/1000000</f>
        <v>-9.13839824529624</v>
      </c>
      <c r="D26" s="170">
        <f>(-'Demand Change'!D26*'HLH Prices'!D27-'Demand Change'!D80*'LLH Prices'!D27)/1000000</f>
        <v>-1.0083414302837737</v>
      </c>
      <c r="E26" s="170">
        <f>(-'Demand Change'!E26*'HLH Prices'!E27-'Demand Change'!E80*'LLH Prices'!E27)/1000000</f>
        <v>-9.266446432996226</v>
      </c>
      <c r="F26" s="170">
        <f>(-'Demand Change'!F26*'HLH Prices'!F27-'Demand Change'!F80*'LLH Prices'!F27)/1000000</f>
        <v>-0.9116220840481731</v>
      </c>
      <c r="G26" s="170">
        <f>(-'Demand Change'!G26*'HLH Prices'!G27-'Demand Change'!G80*'LLH Prices'!G27)/1000000</f>
        <v>-4.04326638781611</v>
      </c>
      <c r="H26" s="170">
        <f>(-'Demand Change'!H26*'HLH Prices'!H27-'Demand Change'!H80*'LLH Prices'!H27)/1000000</f>
        <v>-10.945185494702296</v>
      </c>
      <c r="I26" s="170">
        <f>(-'Demand Change'!I26*'HLH Prices'!I27-'Demand Change'!I80*'LLH Prices'!I27)/1000000</f>
        <v>-2.4846197409686948</v>
      </c>
      <c r="J26" s="170">
        <f>(-'Demand Change'!J26*'HLH Prices'!J27-'Demand Change'!J80*'LLH Prices'!J27)/1000000</f>
        <v>-2.8650896625620197</v>
      </c>
      <c r="K26" s="170">
        <f>(-'Demand Change'!K26*'HLH Prices'!K27-'Demand Change'!K80*'LLH Prices'!K27)/1000000</f>
        <v>-4.012961486083837</v>
      </c>
      <c r="L26" s="170">
        <f>(-'Demand Change'!L26*'HLH Prices'!L27-'Demand Change'!L80*'LLH Prices'!L27)/1000000</f>
        <v>-3.9752517559983294</v>
      </c>
      <c r="M26" s="170">
        <f>(-'Demand Change'!M26*'HLH Prices'!M27-'Demand Change'!M80*'LLH Prices'!M27)/1000000</f>
        <v>-8.755277294263758</v>
      </c>
      <c r="N26" s="170">
        <f>(-'Demand Change'!N26*'HLH Prices'!N27-'Demand Change'!N80*'LLH Prices'!N27)/1000000</f>
        <v>-13.028245560810577</v>
      </c>
      <c r="O26" s="170">
        <f>(-'Demand Change'!O26*'HLH Prices'!O27-'Demand Change'!O80*'LLH Prices'!O27)/1000000</f>
        <v>-20.82958726672137</v>
      </c>
      <c r="P26" s="171">
        <f>SUM(B26:O26)+('Fixed Revenues'!$D$27/1000000)</f>
        <v>-23.672984965502337</v>
      </c>
    </row>
    <row r="27" spans="1:16" ht="12.75">
      <c r="A27" s="133">
        <f>'Demand Change'!A27</f>
        <v>1953</v>
      </c>
      <c r="B27" s="170">
        <f>(-'Demand Change'!B27*'HLH Prices'!B28-'Demand Change'!B81*'LLH Prices'!B28)/1000000</f>
        <v>-11.069080676846763</v>
      </c>
      <c r="C27" s="170">
        <f>(-'Demand Change'!C27*'HLH Prices'!C28-'Demand Change'!C81*'LLH Prices'!C28)/1000000</f>
        <v>-4.107442351360824</v>
      </c>
      <c r="D27" s="170">
        <f>(-'Demand Change'!D27*'HLH Prices'!D28-'Demand Change'!D81*'LLH Prices'!D28)/1000000</f>
        <v>1.5233092521514413</v>
      </c>
      <c r="E27" s="170">
        <f>(-'Demand Change'!E27*'HLH Prices'!E28-'Demand Change'!E81*'LLH Prices'!E28)/1000000</f>
        <v>-3.7534268991740056</v>
      </c>
      <c r="F27" s="170">
        <f>(-'Demand Change'!F27*'HLH Prices'!F28-'Demand Change'!F81*'LLH Prices'!F28)/1000000</f>
        <v>2.6550603466938547</v>
      </c>
      <c r="G27" s="170">
        <f>(-'Demand Change'!G27*'HLH Prices'!G28-'Demand Change'!G81*'LLH Prices'!G28)/1000000</f>
        <v>3.386552058227608</v>
      </c>
      <c r="H27" s="170">
        <f>(-'Demand Change'!H27*'HLH Prices'!H28-'Demand Change'!H81*'LLH Prices'!H28)/1000000</f>
        <v>9.319603326910016</v>
      </c>
      <c r="I27" s="170">
        <f>(-'Demand Change'!I27*'HLH Prices'!I28-'Demand Change'!I81*'LLH Prices'!I28)/1000000</f>
        <v>-8.57109502660302</v>
      </c>
      <c r="J27" s="170">
        <f>(-'Demand Change'!J27*'HLH Prices'!J28-'Demand Change'!J81*'LLH Prices'!J28)/1000000</f>
        <v>-6.193024742613066</v>
      </c>
      <c r="K27" s="170">
        <f>(-'Demand Change'!K27*'HLH Prices'!K28-'Demand Change'!K81*'LLH Prices'!K28)/1000000</f>
        <v>-0.2707396393128389</v>
      </c>
      <c r="L27" s="170">
        <f>(-'Demand Change'!L27*'HLH Prices'!L28-'Demand Change'!L81*'LLH Prices'!L28)/1000000</f>
        <v>-1.0151495769451486</v>
      </c>
      <c r="M27" s="170">
        <f>(-'Demand Change'!M27*'HLH Prices'!M28-'Demand Change'!M81*'LLH Prices'!M28)/1000000</f>
        <v>-13.50428559590423</v>
      </c>
      <c r="N27" s="170">
        <f>(-'Demand Change'!N27*'HLH Prices'!N28-'Demand Change'!N81*'LLH Prices'!N28)/1000000</f>
        <v>-10.045262627698566</v>
      </c>
      <c r="O27" s="170">
        <f>(-'Demand Change'!O27*'HLH Prices'!O28-'Demand Change'!O81*'LLH Prices'!O28)/1000000</f>
        <v>-22.471575189850977</v>
      </c>
      <c r="P27" s="171">
        <f>SUM(B27:O27)+('Fixed Revenues'!$D$27/1000000)</f>
        <v>14.259485642009793</v>
      </c>
    </row>
    <row r="28" spans="1:16" ht="12.75">
      <c r="A28" s="133">
        <f>'Demand Change'!A28</f>
        <v>1954</v>
      </c>
      <c r="B28" s="170">
        <f>(-'Demand Change'!B28*'HLH Prices'!B29-'Demand Change'!B82*'LLH Prices'!B29)/1000000</f>
        <v>-11.10291907121208</v>
      </c>
      <c r="C28" s="170">
        <f>(-'Demand Change'!C28*'HLH Prices'!C29-'Demand Change'!C82*'LLH Prices'!C29)/1000000</f>
        <v>-8.817371117145822</v>
      </c>
      <c r="D28" s="170">
        <f>(-'Demand Change'!D28*'HLH Prices'!D29-'Demand Change'!D82*'LLH Prices'!D29)/1000000</f>
        <v>-1.468150943555532</v>
      </c>
      <c r="E28" s="170">
        <f>(-'Demand Change'!E28*'HLH Prices'!E29-'Demand Change'!E82*'LLH Prices'!E29)/1000000</f>
        <v>-6.028342342801403</v>
      </c>
      <c r="F28" s="170">
        <f>(-'Demand Change'!F28*'HLH Prices'!F29-'Demand Change'!F82*'LLH Prices'!F29)/1000000</f>
        <v>0.4715179327796968</v>
      </c>
      <c r="G28" s="170">
        <f>(-'Demand Change'!G28*'HLH Prices'!G29-'Demand Change'!G82*'LLH Prices'!G29)/1000000</f>
        <v>2.268272638272823</v>
      </c>
      <c r="H28" s="170">
        <f>(-'Demand Change'!H28*'HLH Prices'!H29-'Demand Change'!H82*'LLH Prices'!H29)/1000000</f>
        <v>-4.763180391853089</v>
      </c>
      <c r="I28" s="170">
        <f>(-'Demand Change'!I28*'HLH Prices'!I29-'Demand Change'!I82*'LLH Prices'!I29)/1000000</f>
        <v>-9.512573125544394</v>
      </c>
      <c r="J28" s="170">
        <f>(-'Demand Change'!J28*'HLH Prices'!J29-'Demand Change'!J82*'LLH Prices'!J29)/1000000</f>
        <v>-3.4218226529253553</v>
      </c>
      <c r="K28" s="170">
        <f>(-'Demand Change'!K28*'HLH Prices'!K29-'Demand Change'!K82*'LLH Prices'!K29)/1000000</f>
        <v>-2.932073878773728</v>
      </c>
      <c r="L28" s="170">
        <f>(-'Demand Change'!L28*'HLH Prices'!L29-'Demand Change'!L82*'LLH Prices'!L29)/1000000</f>
        <v>-2.467010251326</v>
      </c>
      <c r="M28" s="170">
        <f>(-'Demand Change'!M28*'HLH Prices'!M29-'Demand Change'!M82*'LLH Prices'!M29)/1000000</f>
        <v>-12.695633359866163</v>
      </c>
      <c r="N28" s="170">
        <f>(-'Demand Change'!N28*'HLH Prices'!N29-'Demand Change'!N82*'LLH Prices'!N29)/1000000</f>
        <v>-11.739385350478543</v>
      </c>
      <c r="O28" s="170">
        <f>(-'Demand Change'!O28*'HLH Prices'!O29-'Demand Change'!O82*'LLH Prices'!O29)/1000000</f>
        <v>-22.53151164197262</v>
      </c>
      <c r="P28" s="171">
        <f>SUM(B28:O28)+('Fixed Revenues'!$D$27/1000000)</f>
        <v>-16.364140572065907</v>
      </c>
    </row>
    <row r="29" spans="1:16" ht="12.75">
      <c r="A29" s="133">
        <f>'Demand Change'!A29</f>
        <v>1955</v>
      </c>
      <c r="B29" s="170">
        <f>(-'Demand Change'!B29*'HLH Prices'!B30-'Demand Change'!B83*'LLH Prices'!B30)/1000000</f>
        <v>-10.800729795803209</v>
      </c>
      <c r="C29" s="170">
        <f>(-'Demand Change'!C29*'HLH Prices'!C30-'Demand Change'!C83*'LLH Prices'!C30)/1000000</f>
        <v>-9.642795816740279</v>
      </c>
      <c r="D29" s="170">
        <f>(-'Demand Change'!D29*'HLH Prices'!D30-'Demand Change'!D83*'LLH Prices'!D30)/1000000</f>
        <v>-10.20024647825238</v>
      </c>
      <c r="E29" s="170">
        <f>(-'Demand Change'!E29*'HLH Prices'!E30-'Demand Change'!E83*'LLH Prices'!E30)/1000000</f>
        <v>-7.949699608865517</v>
      </c>
      <c r="F29" s="170">
        <f>(-'Demand Change'!F29*'HLH Prices'!F30-'Demand Change'!F83*'LLH Prices'!F30)/1000000</f>
        <v>-2.709363333949503</v>
      </c>
      <c r="G29" s="170">
        <f>(-'Demand Change'!G29*'HLH Prices'!G30-'Demand Change'!G83*'LLH Prices'!G30)/1000000</f>
        <v>1.5124422569970124</v>
      </c>
      <c r="H29" s="170">
        <f>(-'Demand Change'!H29*'HLH Prices'!H30-'Demand Change'!H83*'LLH Prices'!H30)/1000000</f>
        <v>-1.4366970778353074</v>
      </c>
      <c r="I29" s="170">
        <f>(-'Demand Change'!I29*'HLH Prices'!I30-'Demand Change'!I83*'LLH Prices'!I30)/1000000</f>
        <v>2.7064336382878533</v>
      </c>
      <c r="J29" s="170">
        <f>(-'Demand Change'!J29*'HLH Prices'!J30-'Demand Change'!J83*'LLH Prices'!J30)/1000000</f>
        <v>10.70719707851178</v>
      </c>
      <c r="K29" s="170">
        <f>(-'Demand Change'!K29*'HLH Prices'!K30-'Demand Change'!K83*'LLH Prices'!K30)/1000000</f>
        <v>-1.3219309415560296</v>
      </c>
      <c r="L29" s="170">
        <f>(-'Demand Change'!L29*'HLH Prices'!L30-'Demand Change'!L83*'LLH Prices'!L30)/1000000</f>
        <v>-1.581473147597564</v>
      </c>
      <c r="M29" s="170">
        <f>(-'Demand Change'!M29*'HLH Prices'!M30-'Demand Change'!M83*'LLH Prices'!M30)/1000000</f>
        <v>-11.876306017241284</v>
      </c>
      <c r="N29" s="170">
        <f>(-'Demand Change'!N29*'HLH Prices'!N30-'Demand Change'!N83*'LLH Prices'!N30)/1000000</f>
        <v>-8.0937539580687</v>
      </c>
      <c r="O29" s="170">
        <f>(-'Demand Change'!O29*'HLH Prices'!O30-'Demand Change'!O83*'LLH Prices'!O30)/1000000</f>
        <v>-21.927024416983592</v>
      </c>
      <c r="P29" s="171">
        <f>SUM(B29:O29)+('Fixed Revenues'!$D$27/1000000)</f>
        <v>5.762095365239617</v>
      </c>
    </row>
    <row r="30" spans="1:16" ht="12.75">
      <c r="A30" s="133">
        <f>'Demand Change'!A30</f>
        <v>1956</v>
      </c>
      <c r="B30" s="170">
        <f>(-'Demand Change'!B30*'HLH Prices'!B31-'Demand Change'!B84*'LLH Prices'!B31)/1000000</f>
        <v>-10.167089341602457</v>
      </c>
      <c r="C30" s="170">
        <f>(-'Demand Change'!C30*'HLH Prices'!C31-'Demand Change'!C84*'LLH Prices'!C31)/1000000</f>
        <v>-10.157183956233402</v>
      </c>
      <c r="D30" s="170">
        <f>(-'Demand Change'!D30*'HLH Prices'!D31-'Demand Change'!D84*'LLH Prices'!D31)/1000000</f>
        <v>-1.9318269529004308</v>
      </c>
      <c r="E30" s="170">
        <f>(-'Demand Change'!E30*'HLH Prices'!E31-'Demand Change'!E84*'LLH Prices'!E31)/1000000</f>
        <v>-6.953645119309301</v>
      </c>
      <c r="F30" s="170">
        <f>(-'Demand Change'!F30*'HLH Prices'!F31-'Demand Change'!F84*'LLH Prices'!F31)/1000000</f>
        <v>-4.226391983213545</v>
      </c>
      <c r="G30" s="170">
        <f>(-'Demand Change'!G30*'HLH Prices'!G31-'Demand Change'!G84*'LLH Prices'!G31)/1000000</f>
        <v>-10.118472399786054</v>
      </c>
      <c r="H30" s="170">
        <f>(-'Demand Change'!H30*'HLH Prices'!H31-'Demand Change'!H84*'LLH Prices'!H31)/1000000</f>
        <v>-13.154579484102063</v>
      </c>
      <c r="I30" s="170">
        <f>(-'Demand Change'!I30*'HLH Prices'!I31-'Demand Change'!I84*'LLH Prices'!I31)/1000000</f>
        <v>-7.5368760984829475</v>
      </c>
      <c r="J30" s="170">
        <f>(-'Demand Change'!J30*'HLH Prices'!J31-'Demand Change'!J84*'LLH Prices'!J31)/1000000</f>
        <v>-8.411472939587487</v>
      </c>
      <c r="K30" s="170">
        <f>(-'Demand Change'!K30*'HLH Prices'!K31-'Demand Change'!K84*'LLH Prices'!K31)/1000000</f>
        <v>-3.306587835730466</v>
      </c>
      <c r="L30" s="170">
        <f>(-'Demand Change'!L30*'HLH Prices'!L31-'Demand Change'!L84*'LLH Prices'!L31)/1000000</f>
        <v>-4.748942003287125</v>
      </c>
      <c r="M30" s="170">
        <f>(-'Demand Change'!M30*'HLH Prices'!M31-'Demand Change'!M84*'LLH Prices'!M31)/1000000</f>
        <v>-8.524246753172845</v>
      </c>
      <c r="N30" s="170">
        <f>(-'Demand Change'!N30*'HLH Prices'!N31-'Demand Change'!N84*'LLH Prices'!N31)/1000000</f>
        <v>-8.778708815638284</v>
      </c>
      <c r="O30" s="170">
        <f>(-'Demand Change'!O30*'HLH Prices'!O31-'Demand Change'!O84*'LLH Prices'!O31)/1000000</f>
        <v>-22.578736253847747</v>
      </c>
      <c r="P30" s="171">
        <f>SUM(B30:O30)+('Fixed Revenues'!$D$27/1000000)</f>
        <v>-42.21871695255783</v>
      </c>
    </row>
    <row r="31" spans="1:16" ht="12.75">
      <c r="A31" s="133">
        <f>'Demand Change'!A31</f>
        <v>1957</v>
      </c>
      <c r="B31" s="170">
        <f>(-'Demand Change'!B31*'HLH Prices'!B32-'Demand Change'!B85*'LLH Prices'!B32)/1000000</f>
        <v>-11.150526657768392</v>
      </c>
      <c r="C31" s="170">
        <f>(-'Demand Change'!C31*'HLH Prices'!C32-'Demand Change'!C85*'LLH Prices'!C32)/1000000</f>
        <v>-8.844812891203139</v>
      </c>
      <c r="D31" s="170">
        <f>(-'Demand Change'!D31*'HLH Prices'!D32-'Demand Change'!D85*'LLH Prices'!D32)/1000000</f>
        <v>-0.6838925749324434</v>
      </c>
      <c r="E31" s="170">
        <f>(-'Demand Change'!E31*'HLH Prices'!E32-'Demand Change'!E85*'LLH Prices'!E32)/1000000</f>
        <v>-6.245769833909337</v>
      </c>
      <c r="F31" s="170">
        <f>(-'Demand Change'!F31*'HLH Prices'!F32-'Demand Change'!F85*'LLH Prices'!F32)/1000000</f>
        <v>2.8250122867462686</v>
      </c>
      <c r="G31" s="170">
        <f>(-'Demand Change'!G31*'HLH Prices'!G32-'Demand Change'!G85*'LLH Prices'!G32)/1000000</f>
        <v>0.12665727500941662</v>
      </c>
      <c r="H31" s="170">
        <f>(-'Demand Change'!H31*'HLH Prices'!H32-'Demand Change'!H85*'LLH Prices'!H32)/1000000</f>
        <v>-0.3062177684518709</v>
      </c>
      <c r="I31" s="170">
        <f>(-'Demand Change'!I31*'HLH Prices'!I32-'Demand Change'!I85*'LLH Prices'!I32)/1000000</f>
        <v>-6.235985446100268</v>
      </c>
      <c r="J31" s="170">
        <f>(-'Demand Change'!J31*'HLH Prices'!J32-'Demand Change'!J85*'LLH Prices'!J32)/1000000</f>
        <v>-3.4931631743687146</v>
      </c>
      <c r="K31" s="170">
        <f>(-'Demand Change'!K31*'HLH Prices'!K32-'Demand Change'!K85*'LLH Prices'!K32)/1000000</f>
        <v>-4.32119083642958</v>
      </c>
      <c r="L31" s="170">
        <f>(-'Demand Change'!L31*'HLH Prices'!L32-'Demand Change'!L85*'LLH Prices'!L32)/1000000</f>
        <v>-1.4465183730991065</v>
      </c>
      <c r="M31" s="170">
        <f>(-'Demand Change'!M31*'HLH Prices'!M32-'Demand Change'!M85*'LLH Prices'!M32)/1000000</f>
        <v>-8.466696373895559</v>
      </c>
      <c r="N31" s="170">
        <f>(-'Demand Change'!N31*'HLH Prices'!N32-'Demand Change'!N85*'LLH Prices'!N32)/1000000</f>
        <v>-9.191295846243152</v>
      </c>
      <c r="O31" s="170">
        <f>(-'Demand Change'!O31*'HLH Prices'!O32-'Demand Change'!O85*'LLH Prices'!O32)/1000000</f>
        <v>-21.061556304518643</v>
      </c>
      <c r="P31" s="171">
        <f>SUM(B31:O31)+('Fixed Revenues'!$D$27/1000000)</f>
        <v>-0.11991353482819989</v>
      </c>
    </row>
    <row r="32" spans="1:16" ht="12.75">
      <c r="A32" s="133">
        <f>'Demand Change'!A32</f>
        <v>1958</v>
      </c>
      <c r="B32" s="170">
        <f>(-'Demand Change'!B32*'HLH Prices'!B33-'Demand Change'!B86*'LLH Prices'!B33)/1000000</f>
        <v>-8.919369570989419</v>
      </c>
      <c r="C32" s="170">
        <f>(-'Demand Change'!C32*'HLH Prices'!C33-'Demand Change'!C86*'LLH Prices'!C33)/1000000</f>
        <v>-5.003675502485204</v>
      </c>
      <c r="D32" s="170">
        <f>(-'Demand Change'!D32*'HLH Prices'!D33-'Demand Change'!D86*'LLH Prices'!D33)/1000000</f>
        <v>0.9308683818596525</v>
      </c>
      <c r="E32" s="170">
        <f>(-'Demand Change'!E32*'HLH Prices'!E33-'Demand Change'!E86*'LLH Prices'!E33)/1000000</f>
        <v>-4.36887095947614</v>
      </c>
      <c r="F32" s="170">
        <f>(-'Demand Change'!F32*'HLH Prices'!F33-'Demand Change'!F86*'LLH Prices'!F33)/1000000</f>
        <v>3.1936064812208813</v>
      </c>
      <c r="G32" s="170">
        <f>(-'Demand Change'!G32*'HLH Prices'!G33-'Demand Change'!G86*'LLH Prices'!G33)/1000000</f>
        <v>4.335050132503625</v>
      </c>
      <c r="H32" s="170">
        <f>(-'Demand Change'!H32*'HLH Prices'!H33-'Demand Change'!H86*'LLH Prices'!H33)/1000000</f>
        <v>-0.8147565088593512</v>
      </c>
      <c r="I32" s="170">
        <f>(-'Demand Change'!I32*'HLH Prices'!I33-'Demand Change'!I86*'LLH Prices'!I33)/1000000</f>
        <v>-8.147401241823896</v>
      </c>
      <c r="J32" s="170">
        <f>(-'Demand Change'!J32*'HLH Prices'!J33-'Demand Change'!J86*'LLH Prices'!J33)/1000000</f>
        <v>-0.08590738166023953</v>
      </c>
      <c r="K32" s="170">
        <f>(-'Demand Change'!K32*'HLH Prices'!K33-'Demand Change'!K86*'LLH Prices'!K33)/1000000</f>
        <v>-1.2444238915975703</v>
      </c>
      <c r="L32" s="170">
        <f>(-'Demand Change'!L32*'HLH Prices'!L33-'Demand Change'!L86*'LLH Prices'!L33)/1000000</f>
        <v>-4.020262362422121</v>
      </c>
      <c r="M32" s="170">
        <f>(-'Demand Change'!M32*'HLH Prices'!M33-'Demand Change'!M86*'LLH Prices'!M33)/1000000</f>
        <v>-7.54518253885264</v>
      </c>
      <c r="N32" s="170">
        <f>(-'Demand Change'!N32*'HLH Prices'!N33-'Demand Change'!N86*'LLH Prices'!N33)/1000000</f>
        <v>-11.798788353358693</v>
      </c>
      <c r="O32" s="170">
        <f>(-'Demand Change'!O32*'HLH Prices'!O33-'Demand Change'!O86*'LLH Prices'!O33)/1000000</f>
        <v>-20.501040321015793</v>
      </c>
      <c r="P32" s="171">
        <f>SUM(B32:O32)+('Fixed Revenues'!$D$27/1000000)</f>
        <v>14.385889347379418</v>
      </c>
    </row>
    <row r="33" spans="1:16" ht="12.75">
      <c r="A33" s="133">
        <f>'Demand Change'!A33</f>
        <v>1959</v>
      </c>
      <c r="B33" s="170">
        <f>(-'Demand Change'!B33*'HLH Prices'!B34-'Demand Change'!B87*'LLH Prices'!B34)/1000000</f>
        <v>-8.552333970465504</v>
      </c>
      <c r="C33" s="170">
        <f>(-'Demand Change'!C33*'HLH Prices'!C34-'Demand Change'!C87*'LLH Prices'!C34)/1000000</f>
        <v>-5.582595190488376</v>
      </c>
      <c r="D33" s="170">
        <f>(-'Demand Change'!D33*'HLH Prices'!D34-'Demand Change'!D87*'LLH Prices'!D34)/1000000</f>
        <v>0.9805954627693874</v>
      </c>
      <c r="E33" s="170">
        <f>(-'Demand Change'!E33*'HLH Prices'!E34-'Demand Change'!E87*'LLH Prices'!E34)/1000000</f>
        <v>-5.6740688886229504</v>
      </c>
      <c r="F33" s="170">
        <f>(-'Demand Change'!F33*'HLH Prices'!F34-'Demand Change'!F87*'LLH Prices'!F34)/1000000</f>
        <v>-1.811572380169492</v>
      </c>
      <c r="G33" s="170">
        <f>(-'Demand Change'!G33*'HLH Prices'!G34-'Demand Change'!G87*'LLH Prices'!G34)/1000000</f>
        <v>-4.041682240141409</v>
      </c>
      <c r="H33" s="170">
        <f>(-'Demand Change'!H33*'HLH Prices'!H34-'Demand Change'!H87*'LLH Prices'!H34)/1000000</f>
        <v>-13.157984831082747</v>
      </c>
      <c r="I33" s="170">
        <f>(-'Demand Change'!I33*'HLH Prices'!I34-'Demand Change'!I87*'LLH Prices'!I34)/1000000</f>
        <v>-7.963436538350411</v>
      </c>
      <c r="J33" s="170">
        <f>(-'Demand Change'!J33*'HLH Prices'!J34-'Demand Change'!J87*'LLH Prices'!J34)/1000000</f>
        <v>-6.2090364435088485</v>
      </c>
      <c r="K33" s="170">
        <f>(-'Demand Change'!K33*'HLH Prices'!K34-'Demand Change'!K87*'LLH Prices'!K34)/1000000</f>
        <v>-3.185925686330948</v>
      </c>
      <c r="L33" s="170">
        <f>(-'Demand Change'!L33*'HLH Prices'!L34-'Demand Change'!L87*'LLH Prices'!L34)/1000000</f>
        <v>-0.950181151172692</v>
      </c>
      <c r="M33" s="170">
        <f>(-'Demand Change'!M33*'HLH Prices'!M34-'Demand Change'!M87*'LLH Prices'!M34)/1000000</f>
        <v>-13.08737050282535</v>
      </c>
      <c r="N33" s="170">
        <f>(-'Demand Change'!N33*'HLH Prices'!N34-'Demand Change'!N87*'LLH Prices'!N34)/1000000</f>
        <v>-11.423739893942008</v>
      </c>
      <c r="O33" s="170">
        <f>(-'Demand Change'!O33*'HLH Prices'!O34-'Demand Change'!O87*'LLH Prices'!O34)/1000000</f>
        <v>-22.687991770646327</v>
      </c>
      <c r="P33" s="171">
        <f>SUM(B33:O33)+('Fixed Revenues'!$D$27/1000000)</f>
        <v>-24.971281040641344</v>
      </c>
    </row>
    <row r="34" spans="1:16" ht="12.75">
      <c r="A34" s="133">
        <f>'Demand Change'!A34</f>
        <v>1960</v>
      </c>
      <c r="B34" s="170">
        <f>(-'Demand Change'!B34*'HLH Prices'!B35-'Demand Change'!B88*'LLH Prices'!B35)/1000000</f>
        <v>-11.087294808172743</v>
      </c>
      <c r="C34" s="170">
        <f>(-'Demand Change'!C34*'HLH Prices'!C35-'Demand Change'!C88*'LLH Prices'!C35)/1000000</f>
        <v>-8.416526285157536</v>
      </c>
      <c r="D34" s="170">
        <f>(-'Demand Change'!D34*'HLH Prices'!D35-'Demand Change'!D88*'LLH Prices'!D35)/1000000</f>
        <v>-9.602700628833349</v>
      </c>
      <c r="E34" s="170">
        <f>(-'Demand Change'!E34*'HLH Prices'!E35-'Demand Change'!E88*'LLH Prices'!E35)/1000000</f>
        <v>-11.407852246644167</v>
      </c>
      <c r="F34" s="170">
        <f>(-'Demand Change'!F34*'HLH Prices'!F35-'Demand Change'!F88*'LLH Prices'!F35)/1000000</f>
        <v>-8.373242932081746</v>
      </c>
      <c r="G34" s="170">
        <f>(-'Demand Change'!G34*'HLH Prices'!G35-'Demand Change'!G88*'LLH Prices'!G35)/1000000</f>
        <v>-5.692768593267333</v>
      </c>
      <c r="H34" s="170">
        <f>(-'Demand Change'!H34*'HLH Prices'!H35-'Demand Change'!H88*'LLH Prices'!H35)/1000000</f>
        <v>-10.75341398786909</v>
      </c>
      <c r="I34" s="170">
        <f>(-'Demand Change'!I34*'HLH Prices'!I35-'Demand Change'!I88*'LLH Prices'!I35)/1000000</f>
        <v>1.3480852288269531</v>
      </c>
      <c r="J34" s="170">
        <f>(-'Demand Change'!J34*'HLH Prices'!J35-'Demand Change'!J88*'LLH Prices'!J35)/1000000</f>
        <v>-4.817213964222231</v>
      </c>
      <c r="K34" s="170">
        <f>(-'Demand Change'!K34*'HLH Prices'!K35-'Demand Change'!K88*'LLH Prices'!K35)/1000000</f>
        <v>-4.938856174461397</v>
      </c>
      <c r="L34" s="170">
        <f>(-'Demand Change'!L34*'HLH Prices'!L35-'Demand Change'!L88*'LLH Prices'!L35)/1000000</f>
        <v>-2.7366978263429944</v>
      </c>
      <c r="M34" s="170">
        <f>(-'Demand Change'!M34*'HLH Prices'!M35-'Demand Change'!M88*'LLH Prices'!M35)/1000000</f>
        <v>-13.378919016969459</v>
      </c>
      <c r="N34" s="170">
        <f>(-'Demand Change'!N34*'HLH Prices'!N35-'Demand Change'!N88*'LLH Prices'!N35)/1000000</f>
        <v>-16.333392032941216</v>
      </c>
      <c r="O34" s="170">
        <f>(-'Demand Change'!O34*'HLH Prices'!O35-'Demand Change'!O88*'LLH Prices'!O35)/1000000</f>
        <v>-22.73277119045432</v>
      </c>
      <c r="P34" s="171">
        <f>SUM(B34:O34)+('Fixed Revenues'!$D$27/1000000)</f>
        <v>-50.547521474254296</v>
      </c>
    </row>
    <row r="35" spans="1:16" ht="12.75">
      <c r="A35" s="133">
        <f>'Demand Change'!A35</f>
        <v>1961</v>
      </c>
      <c r="B35" s="170">
        <f>(-'Demand Change'!B35*'HLH Prices'!B36-'Demand Change'!B89*'LLH Prices'!B36)/1000000</f>
        <v>-11.200184746365547</v>
      </c>
      <c r="C35" s="170">
        <f>(-'Demand Change'!C35*'HLH Prices'!C36-'Demand Change'!C89*'LLH Prices'!C36)/1000000</f>
        <v>-3.824280324202743</v>
      </c>
      <c r="D35" s="170">
        <f>(-'Demand Change'!D35*'HLH Prices'!D36-'Demand Change'!D89*'LLH Prices'!D36)/1000000</f>
        <v>-0.13368631729063846</v>
      </c>
      <c r="E35" s="170">
        <f>(-'Demand Change'!E35*'HLH Prices'!E36-'Demand Change'!E89*'LLH Prices'!E36)/1000000</f>
        <v>-5.855299333503723</v>
      </c>
      <c r="F35" s="170">
        <f>(-'Demand Change'!F35*'HLH Prices'!F36-'Demand Change'!F89*'LLH Prices'!F36)/1000000</f>
        <v>-0.13743532930896724</v>
      </c>
      <c r="G35" s="170">
        <f>(-'Demand Change'!G35*'HLH Prices'!G36-'Demand Change'!G89*'LLH Prices'!G36)/1000000</f>
        <v>7.080391616480532</v>
      </c>
      <c r="H35" s="170">
        <f>(-'Demand Change'!H35*'HLH Prices'!H36-'Demand Change'!H89*'LLH Prices'!H36)/1000000</f>
        <v>-7.941318101698555</v>
      </c>
      <c r="I35" s="170">
        <f>(-'Demand Change'!I35*'HLH Prices'!I36-'Demand Change'!I89*'LLH Prices'!I36)/1000000</f>
        <v>-8.366292089713216</v>
      </c>
      <c r="J35" s="170">
        <f>(-'Demand Change'!J35*'HLH Prices'!J36-'Demand Change'!J89*'LLH Prices'!J36)/1000000</f>
        <v>-5.800485213990986</v>
      </c>
      <c r="K35" s="170">
        <f>(-'Demand Change'!K35*'HLH Prices'!K36-'Demand Change'!K89*'LLH Prices'!K36)/1000000</f>
        <v>-3.2060373472247266</v>
      </c>
      <c r="L35" s="170">
        <f>(-'Demand Change'!L35*'HLH Prices'!L36-'Demand Change'!L89*'LLH Prices'!L36)/1000000</f>
        <v>0.20603547245329065</v>
      </c>
      <c r="M35" s="170">
        <f>(-'Demand Change'!M35*'HLH Prices'!M36-'Demand Change'!M89*'LLH Prices'!M36)/1000000</f>
        <v>-12.703593121691322</v>
      </c>
      <c r="N35" s="170">
        <f>(-'Demand Change'!N35*'HLH Prices'!N36-'Demand Change'!N89*'LLH Prices'!N36)/1000000</f>
        <v>-11.898088370917248</v>
      </c>
      <c r="O35" s="170">
        <f>(-'Demand Change'!O35*'HLH Prices'!O36-'Demand Change'!O89*'LLH Prices'!O36)/1000000</f>
        <v>-21.402313894658814</v>
      </c>
      <c r="P35" s="171">
        <f>SUM(B35:O35)+('Fixed Revenues'!$D$27/1000000)</f>
        <v>-6.806544117296355</v>
      </c>
    </row>
    <row r="36" spans="1:16" ht="12.75">
      <c r="A36" s="133">
        <f>'Demand Change'!A36</f>
        <v>1962</v>
      </c>
      <c r="B36" s="170">
        <f>(-'Demand Change'!B36*'HLH Prices'!B37-'Demand Change'!B90*'LLH Prices'!B37)/1000000</f>
        <v>-10.266768404102207</v>
      </c>
      <c r="C36" s="170">
        <f>(-'Demand Change'!C36*'HLH Prices'!C37-'Demand Change'!C90*'LLH Prices'!C37)/1000000</f>
        <v>-5.390868541199866</v>
      </c>
      <c r="D36" s="170">
        <f>(-'Demand Change'!D36*'HLH Prices'!D37-'Demand Change'!D90*'LLH Prices'!D37)/1000000</f>
        <v>1.9347574406939345</v>
      </c>
      <c r="E36" s="170">
        <f>(-'Demand Change'!E36*'HLH Prices'!E37-'Demand Change'!E90*'LLH Prices'!E37)/1000000</f>
        <v>-5.060496472146783</v>
      </c>
      <c r="F36" s="170">
        <f>(-'Demand Change'!F36*'HLH Prices'!F37-'Demand Change'!F90*'LLH Prices'!F37)/1000000</f>
        <v>3.714200718486062</v>
      </c>
      <c r="G36" s="170">
        <f>(-'Demand Change'!G36*'HLH Prices'!G37-'Demand Change'!G90*'LLH Prices'!G37)/1000000</f>
        <v>5.769830873850646</v>
      </c>
      <c r="H36" s="170">
        <f>(-'Demand Change'!H36*'HLH Prices'!H37-'Demand Change'!H90*'LLH Prices'!H37)/1000000</f>
        <v>-8.188822983509647</v>
      </c>
      <c r="I36" s="170">
        <f>(-'Demand Change'!I36*'HLH Prices'!I37-'Demand Change'!I90*'LLH Prices'!I37)/1000000</f>
        <v>8.35188935988718</v>
      </c>
      <c r="J36" s="170">
        <f>(-'Demand Change'!J36*'HLH Prices'!J37-'Demand Change'!J90*'LLH Prices'!J37)/1000000</f>
        <v>3.2295959361095643</v>
      </c>
      <c r="K36" s="170">
        <f>(-'Demand Change'!K36*'HLH Prices'!K37-'Demand Change'!K90*'LLH Prices'!K37)/1000000</f>
        <v>-3.144923734370935</v>
      </c>
      <c r="L36" s="170">
        <f>(-'Demand Change'!L36*'HLH Prices'!L37-'Demand Change'!L90*'LLH Prices'!L37)/1000000</f>
        <v>-3.3591314473015714</v>
      </c>
      <c r="M36" s="170">
        <f>(-'Demand Change'!M36*'HLH Prices'!M37-'Demand Change'!M90*'LLH Prices'!M37)/1000000</f>
        <v>-13.951425164006205</v>
      </c>
      <c r="N36" s="170">
        <f>(-'Demand Change'!N36*'HLH Prices'!N37-'Demand Change'!N90*'LLH Prices'!N37)/1000000</f>
        <v>-15.794946974515824</v>
      </c>
      <c r="O36" s="170">
        <f>(-'Demand Change'!O36*'HLH Prices'!O37-'Demand Change'!O90*'LLH Prices'!O37)/1000000</f>
        <v>-23.808753501934664</v>
      </c>
      <c r="P36" s="171">
        <f>SUM(B36:O36)+('Fixed Revenues'!$D$27/1000000)</f>
        <v>12.410180090276</v>
      </c>
    </row>
    <row r="37" spans="1:16" ht="12.75">
      <c r="A37" s="133">
        <f>'Demand Change'!A37</f>
        <v>1963</v>
      </c>
      <c r="B37" s="170">
        <f>(-'Demand Change'!B37*'HLH Prices'!B38-'Demand Change'!B91*'LLH Prices'!B38)/1000000</f>
        <v>-11.27973787280369</v>
      </c>
      <c r="C37" s="170">
        <f>(-'Demand Change'!C37*'HLH Prices'!C38-'Demand Change'!C91*'LLH Prices'!C38)/1000000</f>
        <v>-7.393196113739871</v>
      </c>
      <c r="D37" s="170">
        <f>(-'Demand Change'!D37*'HLH Prices'!D38-'Demand Change'!D91*'LLH Prices'!D38)/1000000</f>
        <v>1.1278613403897644</v>
      </c>
      <c r="E37" s="170">
        <f>(-'Demand Change'!E37*'HLH Prices'!E38-'Demand Change'!E91*'LLH Prices'!E38)/1000000</f>
        <v>-7.190711398445535</v>
      </c>
      <c r="F37" s="170">
        <f>(-'Demand Change'!F37*'HLH Prices'!F38-'Demand Change'!F91*'LLH Prices'!F38)/1000000</f>
        <v>-2.5957302037007395</v>
      </c>
      <c r="G37" s="170">
        <f>(-'Demand Change'!G37*'HLH Prices'!G38-'Demand Change'!G91*'LLH Prices'!G38)/1000000</f>
        <v>-3.783721131160366</v>
      </c>
      <c r="H37" s="170">
        <f>(-'Demand Change'!H37*'HLH Prices'!H38-'Demand Change'!H91*'LLH Prices'!H38)/1000000</f>
        <v>-9.658993652101996</v>
      </c>
      <c r="I37" s="170">
        <f>(-'Demand Change'!I37*'HLH Prices'!I38-'Demand Change'!I91*'LLH Prices'!I38)/1000000</f>
        <v>-1.7432871662095664</v>
      </c>
      <c r="J37" s="170">
        <f>(-'Demand Change'!J37*'HLH Prices'!J38-'Demand Change'!J91*'LLH Prices'!J38)/1000000</f>
        <v>2.2646066962174256</v>
      </c>
      <c r="K37" s="170">
        <f>(-'Demand Change'!K37*'HLH Prices'!K38-'Demand Change'!K91*'LLH Prices'!K38)/1000000</f>
        <v>-1.9919079580907635</v>
      </c>
      <c r="L37" s="170">
        <f>(-'Demand Change'!L37*'HLH Prices'!L38-'Demand Change'!L91*'LLH Prices'!L38)/1000000</f>
        <v>-1.9323126685054206</v>
      </c>
      <c r="M37" s="170">
        <f>(-'Demand Change'!M37*'HLH Prices'!M38-'Demand Change'!M91*'LLH Prices'!M38)/1000000</f>
        <v>-13.23032650690477</v>
      </c>
      <c r="N37" s="170">
        <f>(-'Demand Change'!N37*'HLH Prices'!N38-'Demand Change'!N91*'LLH Prices'!N38)/1000000</f>
        <v>-16.822443203998308</v>
      </c>
      <c r="O37" s="170">
        <f>(-'Demand Change'!O37*'HLH Prices'!O38-'Demand Change'!O91*'LLH Prices'!O38)/1000000</f>
        <v>-23.486092938493364</v>
      </c>
      <c r="P37" s="171">
        <f>SUM(B37:O37)+('Fixed Revenues'!$D$27/1000000)</f>
        <v>-19.339949793210877</v>
      </c>
    </row>
    <row r="38" spans="1:16" ht="12.75">
      <c r="A38" s="133">
        <f>'Demand Change'!A38</f>
        <v>1964</v>
      </c>
      <c r="B38" s="170">
        <f>(-'Demand Change'!B38*'HLH Prices'!B39-'Demand Change'!B92*'LLH Prices'!B39)/1000000</f>
        <v>-11.057890548505027</v>
      </c>
      <c r="C38" s="170">
        <f>(-'Demand Change'!C38*'HLH Prices'!C39-'Demand Change'!C92*'LLH Prices'!C39)/1000000</f>
        <v>-7.138460837091501</v>
      </c>
      <c r="D38" s="170">
        <f>(-'Demand Change'!D38*'HLH Prices'!D39-'Demand Change'!D92*'LLH Prices'!D39)/1000000</f>
        <v>-3.0311695451025624</v>
      </c>
      <c r="E38" s="170">
        <f>(-'Demand Change'!E38*'HLH Prices'!E39-'Demand Change'!E92*'LLH Prices'!E39)/1000000</f>
        <v>-4.766548495287773</v>
      </c>
      <c r="F38" s="170">
        <f>(-'Demand Change'!F38*'HLH Prices'!F39-'Demand Change'!F92*'LLH Prices'!F39)/1000000</f>
        <v>2.82764063249956</v>
      </c>
      <c r="G38" s="170">
        <f>(-'Demand Change'!G38*'HLH Prices'!G39-'Demand Change'!G92*'LLH Prices'!G39)/1000000</f>
        <v>6.281277693374466</v>
      </c>
      <c r="H38" s="170">
        <f>(-'Demand Change'!H38*'HLH Prices'!H39-'Demand Change'!H92*'LLH Prices'!H39)/1000000</f>
        <v>0.3949573110672771</v>
      </c>
      <c r="I38" s="170">
        <f>(-'Demand Change'!I38*'HLH Prices'!I39-'Demand Change'!I92*'LLH Prices'!I39)/1000000</f>
        <v>-6.884531452109527</v>
      </c>
      <c r="J38" s="170">
        <f>(-'Demand Change'!J38*'HLH Prices'!J39-'Demand Change'!J92*'LLH Prices'!J39)/1000000</f>
        <v>6.22494853131043</v>
      </c>
      <c r="K38" s="170">
        <f>(-'Demand Change'!K38*'HLH Prices'!K39-'Demand Change'!K92*'LLH Prices'!K39)/1000000</f>
        <v>-2.918395776198915</v>
      </c>
      <c r="L38" s="170">
        <f>(-'Demand Change'!L38*'HLH Prices'!L39-'Demand Change'!L92*'LLH Prices'!L39)/1000000</f>
        <v>-0.4236206651231384</v>
      </c>
      <c r="M38" s="170">
        <f>(-'Demand Change'!M38*'HLH Prices'!M39-'Demand Change'!M92*'LLH Prices'!M39)/1000000</f>
        <v>-13.474542952384807</v>
      </c>
      <c r="N38" s="170">
        <f>(-'Demand Change'!N38*'HLH Prices'!N39-'Demand Change'!N92*'LLH Prices'!N39)/1000000</f>
        <v>-8.453847818323581</v>
      </c>
      <c r="O38" s="170">
        <f>(-'Demand Change'!O38*'HLH Prices'!O39-'Demand Change'!O92*'LLH Prices'!O39)/1000000</f>
        <v>-23.226325177113225</v>
      </c>
      <c r="P38" s="171">
        <f>SUM(B38:O38)+('Fixed Revenues'!$D$27/1000000)</f>
        <v>12.72953388534799</v>
      </c>
    </row>
    <row r="39" spans="1:16" ht="12.75">
      <c r="A39" s="133">
        <f>'Demand Change'!A39</f>
        <v>1965</v>
      </c>
      <c r="B39" s="170">
        <f>(-'Demand Change'!B39*'HLH Prices'!B40-'Demand Change'!B93*'LLH Prices'!B40)/1000000</f>
        <v>-10.502571189479678</v>
      </c>
      <c r="C39" s="170">
        <f>(-'Demand Change'!C39*'HLH Prices'!C40-'Demand Change'!C93*'LLH Prices'!C40)/1000000</f>
        <v>-9.714537823702992</v>
      </c>
      <c r="D39" s="170">
        <f>(-'Demand Change'!D39*'HLH Prices'!D40-'Demand Change'!D93*'LLH Prices'!D40)/1000000</f>
        <v>-4.525368946383709</v>
      </c>
      <c r="E39" s="170">
        <f>(-'Demand Change'!E39*'HLH Prices'!E40-'Demand Change'!E93*'LLH Prices'!E40)/1000000</f>
        <v>-7.987854258933723</v>
      </c>
      <c r="F39" s="170">
        <f>(-'Demand Change'!F39*'HLH Prices'!F40-'Demand Change'!F93*'LLH Prices'!F40)/1000000</f>
        <v>-0.41507818874642627</v>
      </c>
      <c r="G39" s="170">
        <f>(-'Demand Change'!G39*'HLH Prices'!G40-'Demand Change'!G93*'LLH Prices'!G40)/1000000</f>
        <v>-10.959907851522473</v>
      </c>
      <c r="H39" s="170">
        <f>(-'Demand Change'!H39*'HLH Prices'!H40-'Demand Change'!H93*'LLH Prices'!H40)/1000000</f>
        <v>-14.54299214689772</v>
      </c>
      <c r="I39" s="170">
        <f>(-'Demand Change'!I39*'HLH Prices'!I40-'Demand Change'!I93*'LLH Prices'!I40)/1000000</f>
        <v>-8.579618000988932</v>
      </c>
      <c r="J39" s="170">
        <f>(-'Demand Change'!J39*'HLH Prices'!J40-'Demand Change'!J93*'LLH Prices'!J40)/1000000</f>
        <v>-8.689928583126388</v>
      </c>
      <c r="K39" s="170">
        <f>(-'Demand Change'!K39*'HLH Prices'!K40-'Demand Change'!K93*'LLH Prices'!K40)/1000000</f>
        <v>-2.118926828003732</v>
      </c>
      <c r="L39" s="170">
        <f>(-'Demand Change'!L39*'HLH Prices'!L40-'Demand Change'!L93*'LLH Prices'!L40)/1000000</f>
        <v>-4.745658706731066</v>
      </c>
      <c r="M39" s="170">
        <f>(-'Demand Change'!M39*'HLH Prices'!M40-'Demand Change'!M93*'LLH Prices'!M40)/1000000</f>
        <v>-10.982766595712759</v>
      </c>
      <c r="N39" s="170">
        <f>(-'Demand Change'!N39*'HLH Prices'!N40-'Demand Change'!N93*'LLH Prices'!N40)/1000000</f>
        <v>-9.650708154467653</v>
      </c>
      <c r="O39" s="170">
        <f>(-'Demand Change'!O39*'HLH Prices'!O40-'Demand Change'!O93*'LLH Prices'!O40)/1000000</f>
        <v>-22.209253955042012</v>
      </c>
      <c r="P39" s="171">
        <f>SUM(B39:O39)+('Fixed Revenues'!$D$27/1000000)</f>
        <v>-47.24912824540294</v>
      </c>
    </row>
    <row r="40" spans="1:16" ht="12.75">
      <c r="A40" s="133">
        <f>'Demand Change'!A40</f>
        <v>1966</v>
      </c>
      <c r="B40" s="170">
        <f>(-'Demand Change'!B40*'HLH Prices'!B41-'Demand Change'!B94*'LLH Prices'!B41)/1000000</f>
        <v>-10.878119877186352</v>
      </c>
      <c r="C40" s="170">
        <f>(-'Demand Change'!C40*'HLH Prices'!C41-'Demand Change'!C94*'LLH Prices'!C41)/1000000</f>
        <v>-9.296521150113525</v>
      </c>
      <c r="D40" s="170">
        <f>(-'Demand Change'!D40*'HLH Prices'!D41-'Demand Change'!D94*'LLH Prices'!D41)/1000000</f>
        <v>-1.3386830231060374</v>
      </c>
      <c r="E40" s="170">
        <f>(-'Demand Change'!E40*'HLH Prices'!E41-'Demand Change'!E94*'LLH Prices'!E41)/1000000</f>
        <v>-6.857739075835762</v>
      </c>
      <c r="F40" s="170">
        <f>(-'Demand Change'!F40*'HLH Prices'!F41-'Demand Change'!F94*'LLH Prices'!F41)/1000000</f>
        <v>-0.696474343429875</v>
      </c>
      <c r="G40" s="170">
        <f>(-'Demand Change'!G40*'HLH Prices'!G41-'Demand Change'!G94*'LLH Prices'!G41)/1000000</f>
        <v>0.7003128665221378</v>
      </c>
      <c r="H40" s="170">
        <f>(-'Demand Change'!H40*'HLH Prices'!H41-'Demand Change'!H94*'LLH Prices'!H41)/1000000</f>
        <v>-6.844491265960327</v>
      </c>
      <c r="I40" s="170">
        <f>(-'Demand Change'!I40*'HLH Prices'!I41-'Demand Change'!I94*'LLH Prices'!I41)/1000000</f>
        <v>-4.325927953176924</v>
      </c>
      <c r="J40" s="170">
        <f>(-'Demand Change'!J40*'HLH Prices'!J41-'Demand Change'!J94*'LLH Prices'!J41)/1000000</f>
        <v>2.4035223052024834</v>
      </c>
      <c r="K40" s="170">
        <f>(-'Demand Change'!K40*'HLH Prices'!K41-'Demand Change'!K94*'LLH Prices'!K41)/1000000</f>
        <v>-4.424514687715946</v>
      </c>
      <c r="L40" s="170">
        <f>(-'Demand Change'!L40*'HLH Prices'!L41-'Demand Change'!L94*'LLH Prices'!L41)/1000000</f>
        <v>-1.3685799210290004</v>
      </c>
      <c r="M40" s="170">
        <f>(-'Demand Change'!M40*'HLH Prices'!M41-'Demand Change'!M94*'LLH Prices'!M41)/1000000</f>
        <v>-13.277949663879886</v>
      </c>
      <c r="N40" s="170">
        <f>(-'Demand Change'!N40*'HLH Prices'!N41-'Demand Change'!N94*'LLH Prices'!N41)/1000000</f>
        <v>-14.027698222076927</v>
      </c>
      <c r="O40" s="170">
        <f>(-'Demand Change'!O40*'HLH Prices'!O41-'Demand Change'!O94*'LLH Prices'!O41)/1000000</f>
        <v>-23.114380457496527</v>
      </c>
      <c r="P40" s="171">
        <f>SUM(B40:O40)+('Fixed Revenues'!$D$27/1000000)</f>
        <v>-14.971201484946135</v>
      </c>
    </row>
    <row r="41" spans="1:16" ht="12.75">
      <c r="A41" s="133">
        <f>'Demand Change'!A41</f>
        <v>1967</v>
      </c>
      <c r="B41" s="170">
        <f>(-'Demand Change'!B41*'HLH Prices'!B42-'Demand Change'!B95*'LLH Prices'!B42)/1000000</f>
        <v>-11.971607922343807</v>
      </c>
      <c r="C41" s="170">
        <f>(-'Demand Change'!C41*'HLH Prices'!C42-'Demand Change'!C95*'LLH Prices'!C42)/1000000</f>
        <v>-4.351230735371744</v>
      </c>
      <c r="D41" s="170">
        <f>(-'Demand Change'!D41*'HLH Prices'!D42-'Demand Change'!D95*'LLH Prices'!D42)/1000000</f>
        <v>0.7927854877540361</v>
      </c>
      <c r="E41" s="170">
        <f>(-'Demand Change'!E41*'HLH Prices'!E42-'Demand Change'!E95*'LLH Prices'!E42)/1000000</f>
        <v>-4.583667282512591</v>
      </c>
      <c r="F41" s="170">
        <f>(-'Demand Change'!F41*'HLH Prices'!F42-'Demand Change'!F95*'LLH Prices'!F42)/1000000</f>
        <v>3.006516247853282</v>
      </c>
      <c r="G41" s="170">
        <f>(-'Demand Change'!G41*'HLH Prices'!G42-'Demand Change'!G95*'LLH Prices'!G42)/1000000</f>
        <v>3.187070836806862</v>
      </c>
      <c r="H41" s="170">
        <f>(-'Demand Change'!H41*'HLH Prices'!H42-'Demand Change'!H95*'LLH Prices'!H42)/1000000</f>
        <v>-10.157162184077736</v>
      </c>
      <c r="I41" s="170">
        <f>(-'Demand Change'!I41*'HLH Prices'!I42-'Demand Change'!I95*'LLH Prices'!I42)/1000000</f>
        <v>-7.5843646771868825</v>
      </c>
      <c r="J41" s="170">
        <f>(-'Demand Change'!J41*'HLH Prices'!J42-'Demand Change'!J95*'LLH Prices'!J42)/1000000</f>
        <v>-4.08194209350227</v>
      </c>
      <c r="K41" s="170">
        <f>(-'Demand Change'!K41*'HLH Prices'!K42-'Demand Change'!K95*'LLH Prices'!K42)/1000000</f>
        <v>-2.4374873076757324</v>
      </c>
      <c r="L41" s="170">
        <f>(-'Demand Change'!L41*'HLH Prices'!L42-'Demand Change'!L95*'LLH Prices'!L42)/1000000</f>
        <v>2.0188537290104147</v>
      </c>
      <c r="M41" s="170">
        <f>(-'Demand Change'!M41*'HLH Prices'!M42-'Demand Change'!M95*'LLH Prices'!M42)/1000000</f>
        <v>-12.869695683200039</v>
      </c>
      <c r="N41" s="170">
        <f>(-'Demand Change'!N41*'HLH Prices'!N42-'Demand Change'!N95*'LLH Prices'!N42)/1000000</f>
        <v>-9.513262934769612</v>
      </c>
      <c r="O41" s="170">
        <f>(-'Demand Change'!O41*'HLH Prices'!O42-'Demand Change'!O95*'LLH Prices'!O42)/1000000</f>
        <v>-23.99611264382997</v>
      </c>
      <c r="P41" s="171">
        <f>SUM(B41:O41)+('Fixed Revenues'!$D$27/1000000)</f>
        <v>-4.165264178709464</v>
      </c>
    </row>
    <row r="42" spans="1:16" ht="12.75">
      <c r="A42" s="133">
        <f>'Demand Change'!A42</f>
        <v>1968</v>
      </c>
      <c r="B42" s="170">
        <f>(-'Demand Change'!B42*'HLH Prices'!B43-'Demand Change'!B96*'LLH Prices'!B43)/1000000</f>
        <v>-11.020697904812586</v>
      </c>
      <c r="C42" s="170">
        <f>(-'Demand Change'!C42*'HLH Prices'!C43-'Demand Change'!C96*'LLH Prices'!C43)/1000000</f>
        <v>-9.44707800196036</v>
      </c>
      <c r="D42" s="170">
        <f>(-'Demand Change'!D42*'HLH Prices'!D43-'Demand Change'!D96*'LLH Prices'!D43)/1000000</f>
        <v>-2.1672751704929576</v>
      </c>
      <c r="E42" s="170">
        <f>(-'Demand Change'!E42*'HLH Prices'!E43-'Demand Change'!E96*'LLH Prices'!E43)/1000000</f>
        <v>-6.093115436622901</v>
      </c>
      <c r="F42" s="170">
        <f>(-'Demand Change'!F42*'HLH Prices'!F43-'Demand Change'!F96*'LLH Prices'!F43)/1000000</f>
        <v>0.320318925602639</v>
      </c>
      <c r="G42" s="170">
        <f>(-'Demand Change'!G42*'HLH Prices'!G43-'Demand Change'!G96*'LLH Prices'!G43)/1000000</f>
        <v>1.1326275300447946</v>
      </c>
      <c r="H42" s="170">
        <f>(-'Demand Change'!H42*'HLH Prices'!H43-'Demand Change'!H96*'LLH Prices'!H43)/1000000</f>
        <v>-8.734713036147527</v>
      </c>
      <c r="I42" s="170">
        <f>(-'Demand Change'!I42*'HLH Prices'!I43-'Demand Change'!I96*'LLH Prices'!I43)/1000000</f>
        <v>-7.012373894193014</v>
      </c>
      <c r="J42" s="170">
        <f>(-'Demand Change'!J42*'HLH Prices'!J43-'Demand Change'!J96*'LLH Prices'!J43)/1000000</f>
        <v>-5.472741569039576</v>
      </c>
      <c r="K42" s="170">
        <f>(-'Demand Change'!K42*'HLH Prices'!K43-'Demand Change'!K96*'LLH Prices'!K43)/1000000</f>
        <v>1.1518606599978756</v>
      </c>
      <c r="L42" s="170">
        <f>(-'Demand Change'!L42*'HLH Prices'!L43-'Demand Change'!L96*'LLH Prices'!L43)/1000000</f>
        <v>0.42334546589492983</v>
      </c>
      <c r="M42" s="170">
        <f>(-'Demand Change'!M42*'HLH Prices'!M43-'Demand Change'!M96*'LLH Prices'!M43)/1000000</f>
        <v>-8.746340790176543</v>
      </c>
      <c r="N42" s="170">
        <f>(-'Demand Change'!N42*'HLH Prices'!N43-'Demand Change'!N96*'LLH Prices'!N43)/1000000</f>
        <v>-16.38171110299121</v>
      </c>
      <c r="O42" s="170">
        <f>(-'Demand Change'!O42*'HLH Prices'!O43-'Demand Change'!O96*'LLH Prices'!O43)/1000000</f>
        <v>-23.002574395941238</v>
      </c>
      <c r="P42" s="171">
        <f>SUM(B42:O42)+('Fixed Revenues'!$D$27/1000000)</f>
        <v>-16.674425736501362</v>
      </c>
    </row>
    <row r="43" spans="1:16" ht="12.75">
      <c r="A43" s="133">
        <f>'Demand Change'!A43</f>
        <v>1969</v>
      </c>
      <c r="B43" s="170">
        <f>(-'Demand Change'!B43*'HLH Prices'!B44-'Demand Change'!B97*'LLH Prices'!B44)/1000000</f>
        <v>-11.289673521483838</v>
      </c>
      <c r="C43" s="170">
        <f>(-'Demand Change'!C43*'HLH Prices'!C44-'Demand Change'!C97*'LLH Prices'!C44)/1000000</f>
        <v>-9.248773460849256</v>
      </c>
      <c r="D43" s="170">
        <f>(-'Demand Change'!D43*'HLH Prices'!D44-'Demand Change'!D97*'LLH Prices'!D44)/1000000</f>
        <v>-6.706692449741781</v>
      </c>
      <c r="E43" s="170">
        <f>(-'Demand Change'!E43*'HLH Prices'!E44-'Demand Change'!E97*'LLH Prices'!E44)/1000000</f>
        <v>-8.041639838712705</v>
      </c>
      <c r="F43" s="170">
        <f>(-'Demand Change'!F43*'HLH Prices'!F44-'Demand Change'!F97*'LLH Prices'!F44)/1000000</f>
        <v>-4.785766881494976</v>
      </c>
      <c r="G43" s="170">
        <f>(-'Demand Change'!G43*'HLH Prices'!G44-'Demand Change'!G97*'LLH Prices'!G44)/1000000</f>
        <v>-2.7182896393581015</v>
      </c>
      <c r="H43" s="170">
        <f>(-'Demand Change'!H43*'HLH Prices'!H44-'Demand Change'!H97*'LLH Prices'!H44)/1000000</f>
        <v>-13.482717517549522</v>
      </c>
      <c r="I43" s="170">
        <f>(-'Demand Change'!I43*'HLH Prices'!I44-'Demand Change'!I97*'LLH Prices'!I44)/1000000</f>
        <v>-8.191983975545257</v>
      </c>
      <c r="J43" s="170">
        <f>(-'Demand Change'!J43*'HLH Prices'!J44-'Demand Change'!J97*'LLH Prices'!J44)/1000000</f>
        <v>-7.1912931617290825</v>
      </c>
      <c r="K43" s="170">
        <f>(-'Demand Change'!K43*'HLH Prices'!K44-'Demand Change'!K97*'LLH Prices'!K44)/1000000</f>
        <v>-3.394190584713955</v>
      </c>
      <c r="L43" s="170">
        <f>(-'Demand Change'!L43*'HLH Prices'!L44-'Demand Change'!L97*'LLH Prices'!L44)/1000000</f>
        <v>-4.303102842699392</v>
      </c>
      <c r="M43" s="170">
        <f>(-'Demand Change'!M43*'HLH Prices'!M44-'Demand Change'!M97*'LLH Prices'!M44)/1000000</f>
        <v>-8.178417401843166</v>
      </c>
      <c r="N43" s="170">
        <f>(-'Demand Change'!N43*'HLH Prices'!N44-'Demand Change'!N97*'LLH Prices'!N44)/1000000</f>
        <v>-10.81194809860676</v>
      </c>
      <c r="O43" s="170">
        <f>(-'Demand Change'!O43*'HLH Prices'!O44-'Demand Change'!O97*'LLH Prices'!O44)/1000000</f>
        <v>-23.365492072216853</v>
      </c>
      <c r="P43" s="171">
        <f>SUM(B43:O43)+('Fixed Revenues'!$D$27/1000000)</f>
        <v>-43.33393846220832</v>
      </c>
    </row>
    <row r="44" spans="1:16" ht="12.75">
      <c r="A44" s="133">
        <f>'Demand Change'!A44</f>
        <v>1970</v>
      </c>
      <c r="B44" s="170">
        <f>(-'Demand Change'!B44*'HLH Prices'!B45-'Demand Change'!B98*'LLH Prices'!B45)/1000000</f>
        <v>-10.441979580473516</v>
      </c>
      <c r="C44" s="170">
        <f>(-'Demand Change'!C44*'HLH Prices'!C45-'Demand Change'!C98*'LLH Prices'!C45)/1000000</f>
        <v>-2.8769676034888123</v>
      </c>
      <c r="D44" s="170">
        <f>(-'Demand Change'!D44*'HLH Prices'!D45-'Demand Change'!D98*'LLH Prices'!D45)/1000000</f>
        <v>0.9764401644092461</v>
      </c>
      <c r="E44" s="170">
        <f>(-'Demand Change'!E44*'HLH Prices'!E45-'Demand Change'!E98*'LLH Prices'!E45)/1000000</f>
        <v>-6.11211978663915</v>
      </c>
      <c r="F44" s="170">
        <f>(-'Demand Change'!F44*'HLH Prices'!F45-'Demand Change'!F98*'LLH Prices'!F45)/1000000</f>
        <v>3.0582525416246815</v>
      </c>
      <c r="G44" s="170">
        <f>(-'Demand Change'!G44*'HLH Prices'!G45-'Demand Change'!G98*'LLH Prices'!G45)/1000000</f>
        <v>5.596015449200192</v>
      </c>
      <c r="H44" s="170">
        <f>(-'Demand Change'!H44*'HLH Prices'!H45-'Demand Change'!H98*'LLH Prices'!H45)/1000000</f>
        <v>1.4234818625650383</v>
      </c>
      <c r="I44" s="170">
        <f>(-'Demand Change'!I44*'HLH Prices'!I45-'Demand Change'!I98*'LLH Prices'!I45)/1000000</f>
        <v>-6.9727321882365985</v>
      </c>
      <c r="J44" s="170">
        <f>(-'Demand Change'!J44*'HLH Prices'!J45-'Demand Change'!J98*'LLH Prices'!J45)/1000000</f>
        <v>-1.6229985141291376</v>
      </c>
      <c r="K44" s="170">
        <f>(-'Demand Change'!K44*'HLH Prices'!K45-'Demand Change'!K98*'LLH Prices'!K45)/1000000</f>
        <v>-0.17670117499314927</v>
      </c>
      <c r="L44" s="170">
        <f>(-'Demand Change'!L44*'HLH Prices'!L45-'Demand Change'!L98*'LLH Prices'!L45)/1000000</f>
        <v>-1.405297694003369</v>
      </c>
      <c r="M44" s="170">
        <f>(-'Demand Change'!M44*'HLH Prices'!M45-'Demand Change'!M98*'LLH Prices'!M45)/1000000</f>
        <v>-13.398106346912765</v>
      </c>
      <c r="N44" s="170">
        <f>(-'Demand Change'!N44*'HLH Prices'!N45-'Demand Change'!N98*'LLH Prices'!N45)/1000000</f>
        <v>-14.312717169100436</v>
      </c>
      <c r="O44" s="170">
        <f>(-'Demand Change'!O44*'HLH Prices'!O45-'Demand Change'!O98*'LLH Prices'!O45)/1000000</f>
        <v>-20.81593120604787</v>
      </c>
      <c r="P44" s="171">
        <f>SUM(B44:O44)+('Fixed Revenues'!$D$27/1000000)</f>
        <v>11.294681738110683</v>
      </c>
    </row>
    <row r="45" spans="1:16" ht="12.75">
      <c r="A45" s="133">
        <f>'Demand Change'!A45</f>
        <v>1971</v>
      </c>
      <c r="B45" s="170">
        <f>(-'Demand Change'!B45*'HLH Prices'!B46-'Demand Change'!B99*'LLH Prices'!B46)/1000000</f>
        <v>-10.020055760971479</v>
      </c>
      <c r="C45" s="170">
        <f>(-'Demand Change'!C45*'HLH Prices'!C46-'Demand Change'!C99*'LLH Prices'!C46)/1000000</f>
        <v>-4.974818542553684</v>
      </c>
      <c r="D45" s="170">
        <f>(-'Demand Change'!D45*'HLH Prices'!D46-'Demand Change'!D99*'LLH Prices'!D46)/1000000</f>
        <v>1.8861756143576698</v>
      </c>
      <c r="E45" s="170">
        <f>(-'Demand Change'!E45*'HLH Prices'!E46-'Demand Change'!E99*'LLH Prices'!E46)/1000000</f>
        <v>-4.14494861278877</v>
      </c>
      <c r="F45" s="170">
        <f>(-'Demand Change'!F45*'HLH Prices'!F46-'Demand Change'!F99*'LLH Prices'!F46)/1000000</f>
        <v>3.5054044691348962</v>
      </c>
      <c r="G45" s="170">
        <f>(-'Demand Change'!G45*'HLH Prices'!G46-'Demand Change'!G99*'LLH Prices'!G46)/1000000</f>
        <v>-0.8311165542498676</v>
      </c>
      <c r="H45" s="170">
        <f>(-'Demand Change'!H45*'HLH Prices'!H46-'Demand Change'!H99*'LLH Prices'!H46)/1000000</f>
        <v>-12.9389450120217</v>
      </c>
      <c r="I45" s="170">
        <f>(-'Demand Change'!I45*'HLH Prices'!I46-'Demand Change'!I99*'LLH Prices'!I46)/1000000</f>
        <v>-9.619083371619617</v>
      </c>
      <c r="J45" s="170">
        <f>(-'Demand Change'!J45*'HLH Prices'!J46-'Demand Change'!J99*'LLH Prices'!J46)/1000000</f>
        <v>-8.578011274360607</v>
      </c>
      <c r="K45" s="170">
        <f>(-'Demand Change'!K45*'HLH Prices'!K46-'Demand Change'!K99*'LLH Prices'!K46)/1000000</f>
        <v>-3.6734143832222523</v>
      </c>
      <c r="L45" s="170">
        <f>(-'Demand Change'!L45*'HLH Prices'!L46-'Demand Change'!L99*'LLH Prices'!L46)/1000000</f>
        <v>-3.1221301991103227</v>
      </c>
      <c r="M45" s="170">
        <f>(-'Demand Change'!M45*'HLH Prices'!M46-'Demand Change'!M99*'LLH Prices'!M46)/1000000</f>
        <v>-8.436168765285743</v>
      </c>
      <c r="N45" s="170">
        <f>(-'Demand Change'!N45*'HLH Prices'!N46-'Demand Change'!N99*'LLH Prices'!N46)/1000000</f>
        <v>-8.223965031331135</v>
      </c>
      <c r="O45" s="170">
        <f>(-'Demand Change'!O45*'HLH Prices'!O46-'Demand Change'!O99*'LLH Prices'!O46)/1000000</f>
        <v>-22.572913008022322</v>
      </c>
      <c r="P45" s="171">
        <f>SUM(B45:O45)+('Fixed Revenues'!$D$27/1000000)</f>
        <v>-13.367947447708616</v>
      </c>
    </row>
    <row r="46" spans="1:16" ht="12.75">
      <c r="A46" s="133">
        <f>'Demand Change'!A46</f>
        <v>1972</v>
      </c>
      <c r="B46" s="170">
        <f>(-'Demand Change'!B46*'HLH Prices'!B47-'Demand Change'!B100*'LLH Prices'!B47)/1000000</f>
        <v>-10.35700880594982</v>
      </c>
      <c r="C46" s="170">
        <f>(-'Demand Change'!C46*'HLH Prices'!C47-'Demand Change'!C100*'LLH Prices'!C47)/1000000</f>
        <v>-10.378017333590954</v>
      </c>
      <c r="D46" s="170">
        <f>(-'Demand Change'!D46*'HLH Prices'!D47-'Demand Change'!D100*'LLH Prices'!D47)/1000000</f>
        <v>-3.4859840907090587</v>
      </c>
      <c r="E46" s="170">
        <f>(-'Demand Change'!E46*'HLH Prices'!E47-'Demand Change'!E100*'LLH Prices'!E47)/1000000</f>
        <v>-5.755628436814377</v>
      </c>
      <c r="F46" s="170">
        <f>(-'Demand Change'!F46*'HLH Prices'!F47-'Demand Change'!F100*'LLH Prices'!F47)/1000000</f>
        <v>0.36119514578129924</v>
      </c>
      <c r="G46" s="170">
        <f>(-'Demand Change'!G46*'HLH Prices'!G47-'Demand Change'!G100*'LLH Prices'!G47)/1000000</f>
        <v>1.1644390871339194</v>
      </c>
      <c r="H46" s="170">
        <f>(-'Demand Change'!H46*'HLH Prices'!H47-'Demand Change'!H100*'LLH Prices'!H47)/1000000</f>
        <v>-12.314069514787308</v>
      </c>
      <c r="I46" s="170">
        <f>(-'Demand Change'!I46*'HLH Prices'!I47-'Demand Change'!I100*'LLH Prices'!I47)/1000000</f>
        <v>-9.549967870617117</v>
      </c>
      <c r="J46" s="170">
        <f>(-'Demand Change'!J46*'HLH Prices'!J47-'Demand Change'!J100*'LLH Prices'!J47)/1000000</f>
        <v>-12.06834873326008</v>
      </c>
      <c r="K46" s="170">
        <f>(-'Demand Change'!K46*'HLH Prices'!K47-'Demand Change'!K100*'LLH Prices'!K47)/1000000</f>
        <v>-4.356690912281665</v>
      </c>
      <c r="L46" s="170">
        <f>(-'Demand Change'!L46*'HLH Prices'!L47-'Demand Change'!L100*'LLH Prices'!L47)/1000000</f>
        <v>-1.8838483040515548</v>
      </c>
      <c r="M46" s="170">
        <f>(-'Demand Change'!M46*'HLH Prices'!M47-'Demand Change'!M100*'LLH Prices'!M47)/1000000</f>
        <v>-9.14760076569331</v>
      </c>
      <c r="N46" s="170">
        <f>(-'Demand Change'!N46*'HLH Prices'!N47-'Demand Change'!N100*'LLH Prices'!N47)/1000000</f>
        <v>-8.886717764119169</v>
      </c>
      <c r="O46" s="170">
        <f>(-'Demand Change'!O46*'HLH Prices'!O47-'Demand Change'!O100*'LLH Prices'!O47)/1000000</f>
        <v>-22.953384015824863</v>
      </c>
      <c r="P46" s="171">
        <f>SUM(B46:O46)+('Fixed Revenues'!$D$27/1000000)</f>
        <v>-31.235589330447738</v>
      </c>
    </row>
    <row r="47" spans="1:16" ht="12.75">
      <c r="A47" s="133">
        <f>'Demand Change'!A47</f>
        <v>1973</v>
      </c>
      <c r="B47" s="170">
        <f>(-'Demand Change'!B47*'HLH Prices'!B48-'Demand Change'!B101*'LLH Prices'!B48)/1000000</f>
        <v>-10.399844211358555</v>
      </c>
      <c r="C47" s="170">
        <f>(-'Demand Change'!C47*'HLH Prices'!C48-'Demand Change'!C101*'LLH Prices'!C48)/1000000</f>
        <v>-10.459471237722594</v>
      </c>
      <c r="D47" s="170">
        <f>(-'Demand Change'!D47*'HLH Prices'!D48-'Demand Change'!D101*'LLH Prices'!D48)/1000000</f>
        <v>-4.1971087234528985</v>
      </c>
      <c r="E47" s="170">
        <f>(-'Demand Change'!E47*'HLH Prices'!E48-'Demand Change'!E101*'LLH Prices'!E48)/1000000</f>
        <v>-6.25071755153925</v>
      </c>
      <c r="F47" s="170">
        <f>(-'Demand Change'!F47*'HLH Prices'!F48-'Demand Change'!F101*'LLH Prices'!F48)/1000000</f>
        <v>2.2093513400471076</v>
      </c>
      <c r="G47" s="170">
        <f>(-'Demand Change'!G47*'HLH Prices'!G48-'Demand Change'!G101*'LLH Prices'!G48)/1000000</f>
        <v>-2.0646827362156945</v>
      </c>
      <c r="H47" s="170">
        <f>(-'Demand Change'!H47*'HLH Prices'!H48-'Demand Change'!H101*'LLH Prices'!H48)/1000000</f>
        <v>0.9964370034492674</v>
      </c>
      <c r="I47" s="170">
        <f>(-'Demand Change'!I47*'HLH Prices'!I48-'Demand Change'!I101*'LLH Prices'!I48)/1000000</f>
        <v>4.859497343597428</v>
      </c>
      <c r="J47" s="170">
        <f>(-'Demand Change'!J47*'HLH Prices'!J48-'Demand Change'!J101*'LLH Prices'!J48)/1000000</f>
        <v>2.46136884465068</v>
      </c>
      <c r="K47" s="170">
        <f>(-'Demand Change'!K47*'HLH Prices'!K48-'Demand Change'!K101*'LLH Prices'!K48)/1000000</f>
        <v>2.79753377258357</v>
      </c>
      <c r="L47" s="170">
        <f>(-'Demand Change'!L47*'HLH Prices'!L48-'Demand Change'!L101*'LLH Prices'!L48)/1000000</f>
        <v>2.0897165879416093</v>
      </c>
      <c r="M47" s="170">
        <f>(-'Demand Change'!M47*'HLH Prices'!M48-'Demand Change'!M101*'LLH Prices'!M48)/1000000</f>
        <v>-8.45863181346506</v>
      </c>
      <c r="N47" s="170">
        <f>(-'Demand Change'!N47*'HLH Prices'!N48-'Demand Change'!N101*'LLH Prices'!N48)/1000000</f>
        <v>-14.069911495388132</v>
      </c>
      <c r="O47" s="170">
        <f>(-'Demand Change'!O47*'HLH Prices'!O48-'Demand Change'!O101*'LLH Prices'!O48)/1000000</f>
        <v>-22.72514915683046</v>
      </c>
      <c r="P47" s="171">
        <f>SUM(B47:O47)+('Fixed Revenues'!$D$27/1000000)</f>
        <v>15.164430950633331</v>
      </c>
    </row>
    <row r="48" spans="1:16" ht="12.75">
      <c r="A48" s="133">
        <f>'Demand Change'!A48</f>
        <v>1974</v>
      </c>
      <c r="B48" s="170">
        <f>(-'Demand Change'!B48*'HLH Prices'!B49-'Demand Change'!B102*'LLH Prices'!B49)/1000000</f>
        <v>-9.726059953668049</v>
      </c>
      <c r="C48" s="170">
        <f>(-'Demand Change'!C48*'HLH Prices'!C49-'Demand Change'!C102*'LLH Prices'!C49)/1000000</f>
        <v>-2.874314230328307</v>
      </c>
      <c r="D48" s="170">
        <f>(-'Demand Change'!D48*'HLH Prices'!D49-'Demand Change'!D102*'LLH Prices'!D49)/1000000</f>
        <v>3.2182307490307367</v>
      </c>
      <c r="E48" s="170">
        <f>(-'Demand Change'!E48*'HLH Prices'!E49-'Demand Change'!E102*'LLH Prices'!E49)/1000000</f>
        <v>-3.7099628922463683</v>
      </c>
      <c r="F48" s="170">
        <f>(-'Demand Change'!F48*'HLH Prices'!F49-'Demand Change'!F102*'LLH Prices'!F49)/1000000</f>
        <v>-0.3388974100616542</v>
      </c>
      <c r="G48" s="170">
        <f>(-'Demand Change'!G48*'HLH Prices'!G49-'Demand Change'!G102*'LLH Prices'!G49)/1000000</f>
        <v>-9.444535780818693</v>
      </c>
      <c r="H48" s="170">
        <f>(-'Demand Change'!H48*'HLH Prices'!H49-'Demand Change'!H102*'LLH Prices'!H49)/1000000</f>
        <v>-14.142413196825238</v>
      </c>
      <c r="I48" s="170">
        <f>(-'Demand Change'!I48*'HLH Prices'!I49-'Demand Change'!I102*'LLH Prices'!I49)/1000000</f>
        <v>-9.754141665668788</v>
      </c>
      <c r="J48" s="170">
        <f>(-'Demand Change'!J48*'HLH Prices'!J49-'Demand Change'!J102*'LLH Prices'!J49)/1000000</f>
        <v>-10.074275807489062</v>
      </c>
      <c r="K48" s="170">
        <f>(-'Demand Change'!K48*'HLH Prices'!K49-'Demand Change'!K102*'LLH Prices'!K49)/1000000</f>
        <v>-3.7233801697016013</v>
      </c>
      <c r="L48" s="170">
        <f>(-'Demand Change'!L48*'HLH Prices'!L49-'Demand Change'!L102*'LLH Prices'!L49)/1000000</f>
        <v>-4.171349364602653</v>
      </c>
      <c r="M48" s="170">
        <f>(-'Demand Change'!M48*'HLH Prices'!M49-'Demand Change'!M102*'LLH Prices'!M49)/1000000</f>
        <v>-10.453579283608807</v>
      </c>
      <c r="N48" s="170">
        <f>(-'Demand Change'!N48*'HLH Prices'!N49-'Demand Change'!N102*'LLH Prices'!N49)/1000000</f>
        <v>-9.543097410733314</v>
      </c>
      <c r="O48" s="170">
        <f>(-'Demand Change'!O48*'HLH Prices'!O49-'Demand Change'!O102*'LLH Prices'!O49)/1000000</f>
        <v>-21.416385615754344</v>
      </c>
      <c r="P48" s="171">
        <f>SUM(B48:O48)+('Fixed Revenues'!$D$27/1000000)</f>
        <v>-27.778119048139814</v>
      </c>
    </row>
    <row r="49" spans="1:16" ht="12.75">
      <c r="A49" s="133">
        <f>'Demand Change'!A49</f>
        <v>1975</v>
      </c>
      <c r="B49" s="170">
        <f>(-'Demand Change'!B49*'HLH Prices'!B50-'Demand Change'!B103*'LLH Prices'!B50)/1000000</f>
        <v>-10.063983666517403</v>
      </c>
      <c r="C49" s="170">
        <f>(-'Demand Change'!C49*'HLH Prices'!C50-'Demand Change'!C103*'LLH Prices'!C50)/1000000</f>
        <v>-9.60606700971585</v>
      </c>
      <c r="D49" s="170">
        <f>(-'Demand Change'!D49*'HLH Prices'!D50-'Demand Change'!D103*'LLH Prices'!D50)/1000000</f>
        <v>-2.179975893232084</v>
      </c>
      <c r="E49" s="170">
        <f>(-'Demand Change'!E49*'HLH Prices'!E50-'Demand Change'!E103*'LLH Prices'!E50)/1000000</f>
        <v>-4.308099389033919</v>
      </c>
      <c r="F49" s="170">
        <f>(-'Demand Change'!F49*'HLH Prices'!F50-'Demand Change'!F103*'LLH Prices'!F50)/1000000</f>
        <v>3.107770921210508</v>
      </c>
      <c r="G49" s="170">
        <f>(-'Demand Change'!G49*'HLH Prices'!G50-'Demand Change'!G103*'LLH Prices'!G50)/1000000</f>
        <v>3.8765090774405535</v>
      </c>
      <c r="H49" s="170">
        <f>(-'Demand Change'!H49*'HLH Prices'!H50-'Demand Change'!H103*'LLH Prices'!H50)/1000000</f>
        <v>-6.3656568691589985</v>
      </c>
      <c r="I49" s="170">
        <f>(-'Demand Change'!I49*'HLH Prices'!I50-'Demand Change'!I103*'LLH Prices'!I50)/1000000</f>
        <v>-5.509593764954821</v>
      </c>
      <c r="J49" s="170">
        <f>(-'Demand Change'!J49*'HLH Prices'!J50-'Demand Change'!J103*'LLH Prices'!J50)/1000000</f>
        <v>-8.516464212256968</v>
      </c>
      <c r="K49" s="170">
        <f>(-'Demand Change'!K49*'HLH Prices'!K50-'Demand Change'!K103*'LLH Prices'!K50)/1000000</f>
        <v>-2.830558565454388</v>
      </c>
      <c r="L49" s="170">
        <f>(-'Demand Change'!L49*'HLH Prices'!L50-'Demand Change'!L103*'LLH Prices'!L50)/1000000</f>
        <v>-1.5371973185408492</v>
      </c>
      <c r="M49" s="170">
        <f>(-'Demand Change'!M49*'HLH Prices'!M50-'Demand Change'!M103*'LLH Prices'!M50)/1000000</f>
        <v>-12.942729377957336</v>
      </c>
      <c r="N49" s="170">
        <f>(-'Demand Change'!N49*'HLH Prices'!N50-'Demand Change'!N103*'LLH Prices'!N50)/1000000</f>
        <v>-9.066852269841792</v>
      </c>
      <c r="O49" s="170">
        <f>(-'Demand Change'!O49*'HLH Prices'!O50-'Demand Change'!O103*'LLH Prices'!O50)/1000000</f>
        <v>-23.558177322629554</v>
      </c>
      <c r="P49" s="171">
        <f>SUM(B49:O49)+('Fixed Revenues'!$D$27/1000000)</f>
        <v>-11.125032676306574</v>
      </c>
    </row>
    <row r="50" spans="1:16" ht="12.75">
      <c r="A50" s="133">
        <f>'Demand Change'!A50</f>
        <v>1976</v>
      </c>
      <c r="B50" s="170">
        <f>(-'Demand Change'!B50*'HLH Prices'!B51-'Demand Change'!B104*'LLH Prices'!B51)/1000000</f>
        <v>-8.49467524863075</v>
      </c>
      <c r="C50" s="170">
        <f>(-'Demand Change'!C50*'HLH Prices'!C51-'Demand Change'!C104*'LLH Prices'!C51)/1000000</f>
        <v>-7.378906327138357</v>
      </c>
      <c r="D50" s="170">
        <f>(-'Demand Change'!D50*'HLH Prices'!D51-'Demand Change'!D104*'LLH Prices'!D51)/1000000</f>
        <v>-0.16830542245651212</v>
      </c>
      <c r="E50" s="170">
        <f>(-'Demand Change'!E50*'HLH Prices'!E51-'Demand Change'!E104*'LLH Prices'!E51)/1000000</f>
        <v>-7.36547674836184</v>
      </c>
      <c r="F50" s="170">
        <f>(-'Demand Change'!F50*'HLH Prices'!F51-'Demand Change'!F104*'LLH Prices'!F51)/1000000</f>
        <v>-5.809428956966327</v>
      </c>
      <c r="G50" s="170">
        <f>(-'Demand Change'!G50*'HLH Prices'!G51-'Demand Change'!G104*'LLH Prices'!G51)/1000000</f>
        <v>-12.143968570001922</v>
      </c>
      <c r="H50" s="170">
        <f>(-'Demand Change'!H50*'HLH Prices'!H51-'Demand Change'!H104*'LLH Prices'!H51)/1000000</f>
        <v>-13.284604971504956</v>
      </c>
      <c r="I50" s="170">
        <f>(-'Demand Change'!I50*'HLH Prices'!I51-'Demand Change'!I104*'LLH Prices'!I51)/1000000</f>
        <v>-8.198610858204976</v>
      </c>
      <c r="J50" s="170">
        <f>(-'Demand Change'!J50*'HLH Prices'!J51-'Demand Change'!J104*'LLH Prices'!J51)/1000000</f>
        <v>-5.109125455032591</v>
      </c>
      <c r="K50" s="170">
        <f>(-'Demand Change'!K50*'HLH Prices'!K51-'Demand Change'!K104*'LLH Prices'!K51)/1000000</f>
        <v>-4.202833623252013</v>
      </c>
      <c r="L50" s="170">
        <f>(-'Demand Change'!L50*'HLH Prices'!L51-'Demand Change'!L104*'LLH Prices'!L51)/1000000</f>
        <v>-2.8390097847013167</v>
      </c>
      <c r="M50" s="170">
        <f>(-'Demand Change'!M50*'HLH Prices'!M51-'Demand Change'!M104*'LLH Prices'!M51)/1000000</f>
        <v>-10.052653479375756</v>
      </c>
      <c r="N50" s="170">
        <f>(-'Demand Change'!N50*'HLH Prices'!N51-'Demand Change'!N104*'LLH Prices'!N51)/1000000</f>
        <v>-16.335851399952702</v>
      </c>
      <c r="O50" s="170">
        <f>(-'Demand Change'!O50*'HLH Prices'!O51-'Demand Change'!O104*'LLH Prices'!O51)/1000000</f>
        <v>-22.964347720177244</v>
      </c>
      <c r="P50" s="171">
        <f>SUM(B50:O50)+('Fixed Revenues'!$D$27/1000000)</f>
        <v>-45.97175558142095</v>
      </c>
    </row>
    <row r="51" spans="1:16" ht="12.75">
      <c r="A51" s="133">
        <f>'Demand Change'!A51</f>
        <v>1977</v>
      </c>
      <c r="B51" s="170">
        <f>(-'Demand Change'!B51*'HLH Prices'!B52-'Demand Change'!B105*'LLH Prices'!B52)/1000000</f>
        <v>-11.00477194057254</v>
      </c>
      <c r="C51" s="170">
        <f>(-'Demand Change'!C51*'HLH Prices'!C52-'Demand Change'!C105*'LLH Prices'!C52)/1000000</f>
        <v>-9.850086660224926</v>
      </c>
      <c r="D51" s="170">
        <f>(-'Demand Change'!D51*'HLH Prices'!D52-'Demand Change'!D105*'LLH Prices'!D52)/1000000</f>
        <v>-12.476345534860776</v>
      </c>
      <c r="E51" s="170">
        <f>(-'Demand Change'!E51*'HLH Prices'!E52-'Demand Change'!E105*'LLH Prices'!E52)/1000000</f>
        <v>-5.853813223136614</v>
      </c>
      <c r="F51" s="170">
        <f>(-'Demand Change'!F51*'HLH Prices'!F52-'Demand Change'!F105*'LLH Prices'!F52)/1000000</f>
        <v>3.18741489266927</v>
      </c>
      <c r="G51" s="170">
        <f>(-'Demand Change'!G51*'HLH Prices'!G52-'Demand Change'!G105*'LLH Prices'!G52)/1000000</f>
        <v>3.8207159456931574</v>
      </c>
      <c r="H51" s="170">
        <f>(-'Demand Change'!H51*'HLH Prices'!H52-'Demand Change'!H105*'LLH Prices'!H52)/1000000</f>
        <v>17.08268600229381</v>
      </c>
      <c r="I51" s="170">
        <f>(-'Demand Change'!I51*'HLH Prices'!I52-'Demand Change'!I105*'LLH Prices'!I52)/1000000</f>
        <v>7.592344137967657</v>
      </c>
      <c r="J51" s="170">
        <f>(-'Demand Change'!J51*'HLH Prices'!J52-'Demand Change'!J105*'LLH Prices'!J52)/1000000</f>
        <v>15.43520108317712</v>
      </c>
      <c r="K51" s="170">
        <f>(-'Demand Change'!K51*'HLH Prices'!K52-'Demand Change'!K105*'LLH Prices'!K52)/1000000</f>
        <v>3.555022561553253</v>
      </c>
      <c r="L51" s="170">
        <f>(-'Demand Change'!L51*'HLH Prices'!L52-'Demand Change'!L105*'LLH Prices'!L52)/1000000</f>
        <v>0.6258934195556648</v>
      </c>
      <c r="M51" s="170">
        <f>(-'Demand Change'!M51*'HLH Prices'!M52-'Demand Change'!M105*'LLH Prices'!M52)/1000000</f>
        <v>-8.957497079989734</v>
      </c>
      <c r="N51" s="170">
        <f>(-'Demand Change'!N51*'HLH Prices'!N52-'Demand Change'!N105*'LLH Prices'!N52)/1000000</f>
        <v>-13.754533520682966</v>
      </c>
      <c r="O51" s="170">
        <f>(-'Demand Change'!O51*'HLH Prices'!O52-'Demand Change'!O105*'LLH Prices'!O52)/1000000</f>
        <v>-17.61405945175008</v>
      </c>
      <c r="P51" s="171">
        <f>SUM(B51:O51)+('Fixed Revenues'!$D$27/1000000)</f>
        <v>50.16421361602862</v>
      </c>
    </row>
    <row r="52" spans="1:16" ht="12.75">
      <c r="A52" s="133">
        <f>'Demand Change'!A52</f>
        <v>1978</v>
      </c>
      <c r="B52" s="170">
        <f>(-'Demand Change'!B52*'HLH Prices'!B53-'Demand Change'!B106*'LLH Prices'!B53)/1000000</f>
        <v>-7.0175584792565635</v>
      </c>
      <c r="C52" s="170">
        <f>(-'Demand Change'!C52*'HLH Prices'!C53-'Demand Change'!C106*'LLH Prices'!C53)/1000000</f>
        <v>-4.579508309238437</v>
      </c>
      <c r="D52" s="170">
        <f>(-'Demand Change'!D52*'HLH Prices'!D53-'Demand Change'!D106*'LLH Prices'!D53)/1000000</f>
        <v>5.662799373369028</v>
      </c>
      <c r="E52" s="170">
        <f>(-'Demand Change'!E52*'HLH Prices'!E53-'Demand Change'!E106*'LLH Prices'!E53)/1000000</f>
        <v>-2.309361213483224</v>
      </c>
      <c r="F52" s="170">
        <f>(-'Demand Change'!F52*'HLH Prices'!F53-'Demand Change'!F106*'LLH Prices'!F53)/1000000</f>
        <v>0.3684457080559583</v>
      </c>
      <c r="G52" s="170">
        <f>(-'Demand Change'!G52*'HLH Prices'!G53-'Demand Change'!G106*'LLH Prices'!G53)/1000000</f>
        <v>2.2463476778627207</v>
      </c>
      <c r="H52" s="170">
        <f>(-'Demand Change'!H52*'HLH Prices'!H53-'Demand Change'!H106*'LLH Prices'!H53)/1000000</f>
        <v>-4.342291213849788</v>
      </c>
      <c r="I52" s="170">
        <f>(-'Demand Change'!I52*'HLH Prices'!I53-'Demand Change'!I106*'LLH Prices'!I53)/1000000</f>
        <v>6.238080880346855</v>
      </c>
      <c r="J52" s="170">
        <f>(-'Demand Change'!J52*'HLH Prices'!J53-'Demand Change'!J106*'LLH Prices'!J53)/1000000</f>
        <v>-7.35600929514323</v>
      </c>
      <c r="K52" s="170">
        <f>(-'Demand Change'!K52*'HLH Prices'!K53-'Demand Change'!K106*'LLH Prices'!K53)/1000000</f>
        <v>-3.568888432947018</v>
      </c>
      <c r="L52" s="170">
        <f>(-'Demand Change'!L52*'HLH Prices'!L53-'Demand Change'!L106*'LLH Prices'!L53)/1000000</f>
        <v>-2.200315466796568</v>
      </c>
      <c r="M52" s="170">
        <f>(-'Demand Change'!M52*'HLH Prices'!M53-'Demand Change'!M106*'LLH Prices'!M53)/1000000</f>
        <v>-12.690698335900946</v>
      </c>
      <c r="N52" s="170">
        <f>(-'Demand Change'!N52*'HLH Prices'!N53-'Demand Change'!N106*'LLH Prices'!N53)/1000000</f>
        <v>-15.182670404871988</v>
      </c>
      <c r="O52" s="170">
        <f>(-'Demand Change'!O52*'HLH Prices'!O53-'Demand Change'!O106*'LLH Prices'!O53)/1000000</f>
        <v>-21.747174406002863</v>
      </c>
      <c r="P52" s="171">
        <f>SUM(B52:O52)+('Fixed Revenues'!$D$27/1000000)</f>
        <v>11.897241066480262</v>
      </c>
    </row>
    <row r="58" spans="10:16" ht="12.75">
      <c r="J58" s="8"/>
      <c r="K58" s="8"/>
      <c r="L58" s="8"/>
      <c r="M58" s="8"/>
      <c r="N58" s="8"/>
      <c r="O58" s="8"/>
      <c r="P58" s="71"/>
    </row>
    <row r="59" spans="1:17" ht="12.75">
      <c r="A59" s="8"/>
      <c r="B59" s="9"/>
      <c r="C59" s="9"/>
      <c r="D59" s="9"/>
      <c r="E59" s="9"/>
      <c r="F59" s="9"/>
      <c r="G59" s="9"/>
      <c r="H59" s="9"/>
      <c r="I59" s="9"/>
      <c r="J59" s="9"/>
      <c r="K59" s="9"/>
      <c r="L59" s="9"/>
      <c r="M59" s="9"/>
      <c r="Q59" s="71"/>
    </row>
    <row r="60" spans="1:16" ht="12.75">
      <c r="A60" s="8"/>
      <c r="B60" s="9"/>
      <c r="C60" s="9"/>
      <c r="D60" s="9"/>
      <c r="E60" s="9"/>
      <c r="F60" s="9"/>
      <c r="G60" s="9"/>
      <c r="H60" s="9"/>
      <c r="I60" s="9"/>
      <c r="J60" s="9"/>
      <c r="K60" s="9"/>
      <c r="L60" s="9"/>
      <c r="M60" s="9"/>
      <c r="N60" s="9"/>
      <c r="O60" s="9"/>
      <c r="P60" s="10"/>
    </row>
    <row r="61" spans="1:16" ht="12.75">
      <c r="A61" s="8"/>
      <c r="B61" s="9"/>
      <c r="C61" s="9"/>
      <c r="D61" s="9"/>
      <c r="E61" s="9"/>
      <c r="F61" s="9"/>
      <c r="G61" s="9"/>
      <c r="H61" s="9"/>
      <c r="I61" s="9"/>
      <c r="J61" s="9"/>
      <c r="K61" s="9"/>
      <c r="L61" s="9"/>
      <c r="M61" s="9"/>
      <c r="N61" s="9"/>
      <c r="O61" s="9"/>
      <c r="P61" s="10"/>
    </row>
    <row r="62" spans="1:16" ht="12.75">
      <c r="A62" s="8"/>
      <c r="B62" s="9"/>
      <c r="C62" s="9"/>
      <c r="D62" s="9"/>
      <c r="E62" s="9"/>
      <c r="F62" s="9"/>
      <c r="G62" s="9"/>
      <c r="H62" s="9"/>
      <c r="I62" s="9"/>
      <c r="J62" s="9"/>
      <c r="K62" s="9"/>
      <c r="O62" s="9"/>
      <c r="P62" s="10"/>
    </row>
    <row r="63" spans="1:16" ht="12.75">
      <c r="A63" s="8"/>
      <c r="B63" s="9"/>
      <c r="C63" s="9"/>
      <c r="D63" s="9"/>
      <c r="E63" s="9"/>
      <c r="F63" s="9"/>
      <c r="G63" s="9"/>
      <c r="H63" s="9"/>
      <c r="I63" s="9"/>
      <c r="J63" s="9"/>
      <c r="K63" s="9"/>
      <c r="O63" s="9"/>
      <c r="P63" s="10"/>
    </row>
    <row r="64" spans="1:16" ht="12.75">
      <c r="A64" s="8"/>
      <c r="B64" s="9"/>
      <c r="C64" s="9"/>
      <c r="D64" s="9"/>
      <c r="E64" s="9"/>
      <c r="F64" s="9"/>
      <c r="G64" s="9"/>
      <c r="H64" s="9"/>
      <c r="I64" s="9"/>
      <c r="J64" s="9"/>
      <c r="K64" s="9"/>
      <c r="O64" s="9"/>
      <c r="P64" s="10"/>
    </row>
    <row r="65" spans="1:16" ht="12.75">
      <c r="A65" s="8"/>
      <c r="B65" s="9"/>
      <c r="C65" s="9"/>
      <c r="D65" s="9"/>
      <c r="E65" s="9"/>
      <c r="F65" s="9"/>
      <c r="G65" s="9"/>
      <c r="H65" s="9"/>
      <c r="I65" s="9"/>
      <c r="J65" s="9"/>
      <c r="K65" s="9"/>
      <c r="O65" s="9"/>
      <c r="P65" s="10"/>
    </row>
    <row r="66" spans="1:16" ht="12.75">
      <c r="A66" s="8"/>
      <c r="B66" s="9"/>
      <c r="C66" s="9"/>
      <c r="D66" s="9"/>
      <c r="E66" s="9"/>
      <c r="F66" s="9"/>
      <c r="G66" s="9"/>
      <c r="H66" s="9"/>
      <c r="I66" s="9"/>
      <c r="J66" s="9"/>
      <c r="K66" s="9"/>
      <c r="O66" s="9"/>
      <c r="P66" s="10"/>
    </row>
    <row r="67" spans="1:16" ht="12.75">
      <c r="A67" s="8"/>
      <c r="B67" s="9"/>
      <c r="C67" s="9"/>
      <c r="D67" s="9"/>
      <c r="E67" s="9"/>
      <c r="F67" s="9"/>
      <c r="G67" s="9"/>
      <c r="H67" s="9"/>
      <c r="I67" s="9"/>
      <c r="J67" s="9"/>
      <c r="K67" s="9"/>
      <c r="L67" s="9"/>
      <c r="M67" s="9"/>
      <c r="N67" s="9"/>
      <c r="O67" s="9"/>
      <c r="P67" s="10"/>
    </row>
    <row r="68" spans="1:16" ht="12.75">
      <c r="A68" s="8"/>
      <c r="B68" s="9"/>
      <c r="C68" s="9"/>
      <c r="D68" s="9"/>
      <c r="E68" s="9"/>
      <c r="F68" s="9"/>
      <c r="G68" s="9"/>
      <c r="H68" s="9"/>
      <c r="I68" s="9"/>
      <c r="J68" s="9"/>
      <c r="K68" s="9"/>
      <c r="L68" s="9"/>
      <c r="M68" s="9"/>
      <c r="N68" s="9"/>
      <c r="O68" s="9"/>
      <c r="P68" s="10"/>
    </row>
    <row r="69" spans="1:16" ht="12.75">
      <c r="A69" s="8"/>
      <c r="B69" s="9"/>
      <c r="C69" s="9"/>
      <c r="D69" s="9"/>
      <c r="E69" s="9"/>
      <c r="F69" s="9"/>
      <c r="G69" s="9"/>
      <c r="H69" s="9"/>
      <c r="I69" s="9"/>
      <c r="J69" s="9"/>
      <c r="K69" s="9"/>
      <c r="L69" s="9"/>
      <c r="M69" s="9"/>
      <c r="N69" s="9"/>
      <c r="O69" s="9"/>
      <c r="P69" s="10"/>
    </row>
    <row r="70" spans="1:16" ht="12.75">
      <c r="A70" s="8"/>
      <c r="B70" s="9"/>
      <c r="C70" s="9"/>
      <c r="D70" s="9"/>
      <c r="E70" s="9"/>
      <c r="F70" s="9"/>
      <c r="G70" s="9"/>
      <c r="H70" s="9"/>
      <c r="I70" s="9"/>
      <c r="J70" s="9"/>
      <c r="K70" s="9"/>
      <c r="L70" s="9"/>
      <c r="M70" s="9"/>
      <c r="N70" s="9"/>
      <c r="O70" s="9"/>
      <c r="P70" s="10"/>
    </row>
    <row r="71" spans="1:16" ht="12.75">
      <c r="A71" s="8"/>
      <c r="B71" s="9"/>
      <c r="C71" s="9"/>
      <c r="D71" s="9"/>
      <c r="E71" s="9"/>
      <c r="F71" s="9"/>
      <c r="G71" s="9"/>
      <c r="H71" s="9"/>
      <c r="I71" s="9"/>
      <c r="J71" s="9"/>
      <c r="K71" s="9"/>
      <c r="L71" s="9"/>
      <c r="M71" s="9"/>
      <c r="N71" s="9"/>
      <c r="O71" s="9"/>
      <c r="P71" s="10"/>
    </row>
    <row r="72" spans="1:16" ht="12.75">
      <c r="A72" s="8"/>
      <c r="B72" s="9"/>
      <c r="C72" s="9"/>
      <c r="D72" s="9"/>
      <c r="E72" s="9"/>
      <c r="F72" s="9"/>
      <c r="G72" s="9"/>
      <c r="H72" s="9"/>
      <c r="I72" s="9"/>
      <c r="J72" s="9"/>
      <c r="K72" s="9"/>
      <c r="L72" s="9"/>
      <c r="M72" s="9"/>
      <c r="N72" s="9"/>
      <c r="O72" s="9"/>
      <c r="P72" s="10"/>
    </row>
    <row r="73" spans="1:16" ht="12.75">
      <c r="A73" s="8"/>
      <c r="B73" s="9"/>
      <c r="C73" s="9"/>
      <c r="D73" s="9"/>
      <c r="E73" s="9"/>
      <c r="F73" s="9"/>
      <c r="G73" s="9"/>
      <c r="H73" s="9"/>
      <c r="I73" s="9"/>
      <c r="J73" s="9"/>
      <c r="K73" s="9"/>
      <c r="L73" s="9"/>
      <c r="M73" s="9"/>
      <c r="N73" s="9"/>
      <c r="O73" s="9"/>
      <c r="P73" s="10"/>
    </row>
    <row r="74" spans="1:16" ht="12.75">
      <c r="A74" s="8"/>
      <c r="B74" s="9"/>
      <c r="C74" s="9"/>
      <c r="D74" s="9"/>
      <c r="E74" s="9"/>
      <c r="F74" s="9"/>
      <c r="G74" s="9"/>
      <c r="H74" s="9"/>
      <c r="I74" s="9"/>
      <c r="J74" s="9"/>
      <c r="K74" s="9"/>
      <c r="L74" s="9"/>
      <c r="M74" s="9"/>
      <c r="N74" s="9"/>
      <c r="O74" s="9"/>
      <c r="P74" s="10"/>
    </row>
    <row r="75" spans="1:16" ht="12.75">
      <c r="A75" s="8"/>
      <c r="B75" s="9"/>
      <c r="C75" s="9"/>
      <c r="D75" s="9"/>
      <c r="E75" s="9"/>
      <c r="F75" s="9"/>
      <c r="G75" s="9"/>
      <c r="H75" s="9"/>
      <c r="I75" s="9"/>
      <c r="J75" s="9"/>
      <c r="K75" s="9"/>
      <c r="L75" s="9"/>
      <c r="M75" s="9"/>
      <c r="N75" s="9"/>
      <c r="O75" s="9"/>
      <c r="P75" s="10"/>
    </row>
    <row r="76" spans="1:16" ht="12.75">
      <c r="A76" s="8"/>
      <c r="B76" s="9"/>
      <c r="C76" s="9"/>
      <c r="D76" s="9"/>
      <c r="E76" s="9"/>
      <c r="F76" s="9"/>
      <c r="G76" s="9"/>
      <c r="H76" s="9"/>
      <c r="I76" s="9"/>
      <c r="J76" s="9"/>
      <c r="K76" s="9"/>
      <c r="L76" s="9"/>
      <c r="M76" s="9"/>
      <c r="N76" s="9"/>
      <c r="O76" s="9"/>
      <c r="P76" s="10"/>
    </row>
    <row r="77" spans="1:16" ht="12.75">
      <c r="A77" s="8"/>
      <c r="B77" s="9"/>
      <c r="C77" s="9"/>
      <c r="D77" s="9"/>
      <c r="E77" s="9"/>
      <c r="F77" s="9"/>
      <c r="G77" s="9"/>
      <c r="H77" s="9"/>
      <c r="I77" s="9"/>
      <c r="J77" s="9"/>
      <c r="K77" s="9"/>
      <c r="L77" s="9"/>
      <c r="M77" s="9"/>
      <c r="N77" s="9"/>
      <c r="O77" s="9"/>
      <c r="P77" s="10"/>
    </row>
    <row r="78" spans="1:16" ht="12.75">
      <c r="A78" s="8"/>
      <c r="B78" s="9"/>
      <c r="C78" s="9"/>
      <c r="D78" s="9"/>
      <c r="E78" s="9"/>
      <c r="F78" s="9"/>
      <c r="G78" s="9"/>
      <c r="H78" s="9"/>
      <c r="I78" s="9"/>
      <c r="J78" s="9"/>
      <c r="K78" s="9"/>
      <c r="L78" s="9"/>
      <c r="M78" s="9"/>
      <c r="N78" s="9"/>
      <c r="O78" s="9"/>
      <c r="P78" s="10"/>
    </row>
    <row r="79" spans="1:16" ht="12.75">
      <c r="A79" s="8"/>
      <c r="B79" s="9"/>
      <c r="C79" s="9"/>
      <c r="D79" s="9"/>
      <c r="E79" s="9"/>
      <c r="F79" s="9"/>
      <c r="G79" s="9"/>
      <c r="H79" s="9"/>
      <c r="I79" s="9"/>
      <c r="J79" s="9"/>
      <c r="K79" s="9"/>
      <c r="L79" s="9"/>
      <c r="M79" s="9"/>
      <c r="N79" s="9"/>
      <c r="O79" s="9"/>
      <c r="P79" s="10"/>
    </row>
    <row r="80" spans="1:16" ht="12.75">
      <c r="A80" s="8"/>
      <c r="B80" s="9"/>
      <c r="C80" s="9"/>
      <c r="D80" s="9"/>
      <c r="E80" s="9"/>
      <c r="F80" s="9"/>
      <c r="G80" s="9"/>
      <c r="H80" s="9"/>
      <c r="I80" s="9"/>
      <c r="J80" s="9"/>
      <c r="K80" s="9"/>
      <c r="L80" s="9"/>
      <c r="M80" s="9"/>
      <c r="N80" s="9"/>
      <c r="O80" s="9"/>
      <c r="P80" s="10"/>
    </row>
    <row r="81" spans="1:16" ht="12.75">
      <c r="A81" s="8"/>
      <c r="B81" s="9"/>
      <c r="C81" s="9"/>
      <c r="D81" s="9"/>
      <c r="E81" s="9"/>
      <c r="F81" s="9"/>
      <c r="G81" s="9"/>
      <c r="H81" s="9"/>
      <c r="I81" s="9"/>
      <c r="J81" s="9"/>
      <c r="K81" s="9"/>
      <c r="L81" s="9"/>
      <c r="M81" s="9"/>
      <c r="N81" s="9"/>
      <c r="O81" s="9"/>
      <c r="P81" s="10"/>
    </row>
    <row r="82" spans="1:16" ht="12.75">
      <c r="A82" s="8"/>
      <c r="B82" s="9"/>
      <c r="C82" s="9"/>
      <c r="D82" s="9"/>
      <c r="E82" s="9"/>
      <c r="F82" s="9"/>
      <c r="G82" s="9"/>
      <c r="H82" s="9"/>
      <c r="I82" s="9"/>
      <c r="J82" s="9"/>
      <c r="K82" s="9"/>
      <c r="L82" s="9"/>
      <c r="M82" s="9"/>
      <c r="N82" s="9"/>
      <c r="O82" s="9"/>
      <c r="P82" s="10"/>
    </row>
    <row r="83" spans="1:16" ht="12.75">
      <c r="A83" s="8"/>
      <c r="B83" s="9"/>
      <c r="C83" s="9"/>
      <c r="D83" s="9"/>
      <c r="E83" s="9"/>
      <c r="F83" s="9"/>
      <c r="G83" s="9"/>
      <c r="H83" s="9"/>
      <c r="I83" s="9"/>
      <c r="J83" s="9"/>
      <c r="K83" s="9"/>
      <c r="L83" s="9"/>
      <c r="M83" s="9"/>
      <c r="N83" s="9"/>
      <c r="O83" s="9"/>
      <c r="P83" s="10"/>
    </row>
    <row r="84" spans="1:16" ht="12.75">
      <c r="A84" s="8"/>
      <c r="B84" s="9"/>
      <c r="C84" s="9"/>
      <c r="D84" s="9"/>
      <c r="E84" s="9"/>
      <c r="F84" s="9"/>
      <c r="G84" s="9"/>
      <c r="H84" s="9"/>
      <c r="I84" s="9"/>
      <c r="J84" s="9"/>
      <c r="K84" s="9"/>
      <c r="L84" s="9"/>
      <c r="M84" s="9"/>
      <c r="N84" s="9"/>
      <c r="O84" s="9"/>
      <c r="P84" s="10"/>
    </row>
    <row r="85" spans="1:16" ht="12.75">
      <c r="A85" s="8"/>
      <c r="B85" s="9"/>
      <c r="C85" s="9"/>
      <c r="D85" s="9"/>
      <c r="E85" s="9"/>
      <c r="F85" s="9"/>
      <c r="G85" s="9"/>
      <c r="H85" s="9"/>
      <c r="I85" s="9"/>
      <c r="J85" s="9"/>
      <c r="K85" s="9"/>
      <c r="L85" s="9"/>
      <c r="M85" s="9"/>
      <c r="N85" s="9"/>
      <c r="O85" s="9"/>
      <c r="P85" s="10"/>
    </row>
    <row r="86" spans="1:16" ht="12.75">
      <c r="A86" s="8"/>
      <c r="B86" s="9"/>
      <c r="C86" s="9"/>
      <c r="D86" s="9"/>
      <c r="E86" s="9"/>
      <c r="F86" s="9"/>
      <c r="G86" s="9"/>
      <c r="H86" s="9"/>
      <c r="I86" s="9"/>
      <c r="J86" s="9"/>
      <c r="K86" s="9"/>
      <c r="L86" s="9"/>
      <c r="M86" s="9"/>
      <c r="N86" s="9"/>
      <c r="O86" s="9"/>
      <c r="P86" s="10"/>
    </row>
    <row r="87" spans="1:16" ht="12.75">
      <c r="A87" s="8"/>
      <c r="B87" s="9"/>
      <c r="C87" s="9"/>
      <c r="D87" s="9"/>
      <c r="E87" s="9"/>
      <c r="F87" s="9"/>
      <c r="G87" s="9"/>
      <c r="H87" s="9"/>
      <c r="I87" s="9"/>
      <c r="J87" s="9"/>
      <c r="K87" s="9"/>
      <c r="L87" s="9"/>
      <c r="M87" s="9"/>
      <c r="N87" s="9"/>
      <c r="O87" s="9"/>
      <c r="P87" s="10"/>
    </row>
    <row r="88" spans="1:16" ht="12.75">
      <c r="A88" s="8"/>
      <c r="B88" s="9"/>
      <c r="C88" s="9"/>
      <c r="D88" s="9"/>
      <c r="E88" s="9"/>
      <c r="F88" s="9"/>
      <c r="G88" s="9"/>
      <c r="H88" s="9"/>
      <c r="I88" s="9"/>
      <c r="J88" s="9"/>
      <c r="K88" s="9"/>
      <c r="L88" s="9"/>
      <c r="M88" s="9"/>
      <c r="N88" s="9"/>
      <c r="O88" s="9"/>
      <c r="P88" s="10"/>
    </row>
    <row r="89" spans="1:16" ht="12.75">
      <c r="A89" s="8"/>
      <c r="B89" s="9"/>
      <c r="C89" s="9"/>
      <c r="D89" s="9"/>
      <c r="E89" s="9"/>
      <c r="F89" s="9"/>
      <c r="G89" s="9"/>
      <c r="H89" s="9"/>
      <c r="I89" s="9"/>
      <c r="J89" s="9"/>
      <c r="K89" s="9"/>
      <c r="L89" s="9"/>
      <c r="M89" s="9"/>
      <c r="N89" s="9"/>
      <c r="O89" s="9"/>
      <c r="P89" s="10"/>
    </row>
    <row r="90" spans="1:16" ht="12.75">
      <c r="A90" s="8"/>
      <c r="B90" s="9"/>
      <c r="C90" s="9"/>
      <c r="D90" s="9"/>
      <c r="E90" s="9"/>
      <c r="F90" s="9"/>
      <c r="G90" s="9"/>
      <c r="H90" s="9"/>
      <c r="I90" s="9"/>
      <c r="J90" s="9"/>
      <c r="K90" s="9"/>
      <c r="L90" s="9"/>
      <c r="M90" s="9"/>
      <c r="N90" s="9"/>
      <c r="O90" s="9"/>
      <c r="P90" s="10"/>
    </row>
    <row r="91" spans="1:16" ht="12.75">
      <c r="A91" s="8"/>
      <c r="B91" s="9"/>
      <c r="C91" s="9"/>
      <c r="D91" s="9"/>
      <c r="E91" s="9"/>
      <c r="F91" s="9"/>
      <c r="G91" s="9"/>
      <c r="H91" s="9"/>
      <c r="I91" s="9"/>
      <c r="J91" s="9"/>
      <c r="K91" s="9"/>
      <c r="L91" s="9"/>
      <c r="M91" s="9"/>
      <c r="N91" s="9"/>
      <c r="O91" s="9"/>
      <c r="P91" s="10"/>
    </row>
    <row r="92" spans="1:16" ht="12.75">
      <c r="A92" s="8"/>
      <c r="B92" s="9"/>
      <c r="C92" s="9"/>
      <c r="D92" s="9"/>
      <c r="E92" s="9"/>
      <c r="F92" s="9"/>
      <c r="G92" s="9"/>
      <c r="H92" s="9"/>
      <c r="I92" s="9"/>
      <c r="J92" s="9"/>
      <c r="K92" s="9"/>
      <c r="L92" s="9"/>
      <c r="M92" s="9"/>
      <c r="N92" s="9"/>
      <c r="O92" s="9"/>
      <c r="P92" s="10"/>
    </row>
    <row r="93" spans="1:16" ht="12.75">
      <c r="A93" s="8"/>
      <c r="B93" s="9"/>
      <c r="C93" s="9"/>
      <c r="D93" s="9"/>
      <c r="E93" s="9"/>
      <c r="F93" s="9"/>
      <c r="G93" s="9"/>
      <c r="H93" s="9"/>
      <c r="I93" s="9"/>
      <c r="J93" s="9"/>
      <c r="K93" s="9"/>
      <c r="L93" s="9"/>
      <c r="M93" s="9"/>
      <c r="N93" s="9"/>
      <c r="O93" s="9"/>
      <c r="P93" s="10"/>
    </row>
    <row r="94" spans="1:16" ht="12.75">
      <c r="A94" s="8"/>
      <c r="B94" s="9"/>
      <c r="C94" s="9"/>
      <c r="D94" s="9"/>
      <c r="E94" s="9"/>
      <c r="F94" s="9"/>
      <c r="G94" s="9"/>
      <c r="H94" s="9"/>
      <c r="I94" s="9"/>
      <c r="J94" s="9"/>
      <c r="K94" s="9"/>
      <c r="L94" s="9"/>
      <c r="M94" s="9"/>
      <c r="N94" s="9"/>
      <c r="O94" s="9"/>
      <c r="P94" s="10"/>
    </row>
    <row r="95" spans="1:16" ht="12.75">
      <c r="A95" s="8"/>
      <c r="B95" s="9"/>
      <c r="C95" s="9"/>
      <c r="D95" s="9"/>
      <c r="E95" s="9"/>
      <c r="F95" s="9"/>
      <c r="G95" s="9"/>
      <c r="H95" s="9"/>
      <c r="I95" s="9"/>
      <c r="J95" s="9"/>
      <c r="K95" s="9"/>
      <c r="L95" s="9"/>
      <c r="M95" s="9"/>
      <c r="N95" s="9"/>
      <c r="O95" s="9"/>
      <c r="P95" s="10"/>
    </row>
    <row r="96" spans="1:16" ht="12.75">
      <c r="A96" s="8"/>
      <c r="B96" s="9"/>
      <c r="C96" s="9"/>
      <c r="D96" s="9"/>
      <c r="E96" s="9"/>
      <c r="F96" s="9"/>
      <c r="G96" s="9"/>
      <c r="H96" s="9"/>
      <c r="I96" s="9"/>
      <c r="J96" s="9"/>
      <c r="K96" s="9"/>
      <c r="L96" s="9"/>
      <c r="M96" s="9"/>
      <c r="N96" s="9"/>
      <c r="O96" s="9"/>
      <c r="P96" s="10"/>
    </row>
    <row r="97" spans="1:16" ht="12.75">
      <c r="A97" s="8"/>
      <c r="B97" s="9"/>
      <c r="C97" s="9"/>
      <c r="D97" s="9"/>
      <c r="E97" s="9"/>
      <c r="F97" s="9"/>
      <c r="G97" s="9"/>
      <c r="H97" s="9"/>
      <c r="I97" s="9"/>
      <c r="J97" s="9"/>
      <c r="K97" s="9"/>
      <c r="L97" s="9"/>
      <c r="M97" s="9"/>
      <c r="N97" s="9"/>
      <c r="O97" s="9"/>
      <c r="P97" s="10"/>
    </row>
    <row r="98" spans="1:16" ht="12.75">
      <c r="A98" s="8"/>
      <c r="B98" s="9"/>
      <c r="C98" s="9"/>
      <c r="D98" s="9"/>
      <c r="E98" s="9"/>
      <c r="F98" s="9"/>
      <c r="G98" s="9"/>
      <c r="H98" s="9"/>
      <c r="I98" s="9"/>
      <c r="J98" s="9"/>
      <c r="K98" s="9"/>
      <c r="L98" s="9"/>
      <c r="M98" s="9"/>
      <c r="N98" s="9"/>
      <c r="O98" s="9"/>
      <c r="P98" s="10"/>
    </row>
    <row r="99" spans="1:16" ht="12.75">
      <c r="A99" s="8"/>
      <c r="B99" s="9"/>
      <c r="C99" s="9"/>
      <c r="D99" s="9"/>
      <c r="E99" s="9"/>
      <c r="F99" s="9"/>
      <c r="G99" s="9"/>
      <c r="H99" s="9"/>
      <c r="I99" s="9"/>
      <c r="J99" s="9"/>
      <c r="K99" s="9"/>
      <c r="L99" s="9"/>
      <c r="M99" s="9"/>
      <c r="N99" s="9"/>
      <c r="O99" s="9"/>
      <c r="P99" s="10"/>
    </row>
    <row r="100" spans="1:16" ht="12.75">
      <c r="A100" s="8"/>
      <c r="B100" s="9"/>
      <c r="C100" s="9"/>
      <c r="D100" s="9"/>
      <c r="E100" s="9"/>
      <c r="F100" s="9"/>
      <c r="G100" s="9"/>
      <c r="H100" s="9"/>
      <c r="I100" s="9"/>
      <c r="J100" s="9"/>
      <c r="K100" s="9"/>
      <c r="L100" s="9"/>
      <c r="M100" s="9"/>
      <c r="N100" s="9"/>
      <c r="O100" s="9"/>
      <c r="P100" s="10"/>
    </row>
    <row r="101" spans="1:16" ht="12.75">
      <c r="A101" s="8"/>
      <c r="B101" s="9"/>
      <c r="C101" s="9"/>
      <c r="D101" s="9"/>
      <c r="E101" s="9"/>
      <c r="F101" s="9"/>
      <c r="G101" s="9"/>
      <c r="H101" s="9"/>
      <c r="I101" s="9"/>
      <c r="J101" s="9"/>
      <c r="K101" s="9"/>
      <c r="L101" s="9"/>
      <c r="M101" s="9"/>
      <c r="N101" s="9"/>
      <c r="O101" s="9"/>
      <c r="P101" s="10"/>
    </row>
    <row r="102" spans="1:16" ht="12.75">
      <c r="A102" s="8"/>
      <c r="B102" s="9"/>
      <c r="C102" s="9"/>
      <c r="D102" s="9"/>
      <c r="E102" s="9"/>
      <c r="F102" s="9"/>
      <c r="G102" s="9"/>
      <c r="H102" s="9"/>
      <c r="I102" s="9"/>
      <c r="J102" s="9"/>
      <c r="K102" s="9"/>
      <c r="L102" s="9"/>
      <c r="M102" s="9"/>
      <c r="N102" s="9"/>
      <c r="O102" s="9"/>
      <c r="P102" s="10"/>
    </row>
    <row r="103" spans="1:16" ht="12.75">
      <c r="A103" s="8"/>
      <c r="B103" s="9"/>
      <c r="C103" s="9"/>
      <c r="D103" s="9"/>
      <c r="E103" s="9"/>
      <c r="F103" s="9"/>
      <c r="G103" s="9"/>
      <c r="H103" s="9"/>
      <c r="I103" s="9"/>
      <c r="J103" s="9"/>
      <c r="K103" s="9"/>
      <c r="L103" s="9"/>
      <c r="M103" s="9"/>
      <c r="N103" s="9"/>
      <c r="O103" s="9"/>
      <c r="P103" s="10"/>
    </row>
    <row r="104" spans="1:16" ht="12.75">
      <c r="A104" s="8"/>
      <c r="B104" s="9"/>
      <c r="C104" s="9"/>
      <c r="D104" s="9"/>
      <c r="E104" s="9"/>
      <c r="F104" s="9"/>
      <c r="G104" s="9"/>
      <c r="H104" s="9"/>
      <c r="I104" s="9"/>
      <c r="J104" s="9"/>
      <c r="K104" s="9"/>
      <c r="L104" s="9"/>
      <c r="M104" s="9"/>
      <c r="N104" s="9"/>
      <c r="O104" s="9"/>
      <c r="P104" s="10"/>
    </row>
    <row r="105" spans="1:16" ht="12.75">
      <c r="A105" s="8"/>
      <c r="B105" s="9"/>
      <c r="C105" s="9"/>
      <c r="D105" s="9"/>
      <c r="E105" s="9"/>
      <c r="F105" s="9"/>
      <c r="G105" s="9"/>
      <c r="H105" s="9"/>
      <c r="I105" s="9"/>
      <c r="J105" s="9"/>
      <c r="K105" s="9"/>
      <c r="L105" s="9"/>
      <c r="M105" s="9"/>
      <c r="N105" s="9"/>
      <c r="O105" s="9"/>
      <c r="P105" s="10"/>
    </row>
    <row r="106" spans="1:16" ht="12.75">
      <c r="A106" s="8"/>
      <c r="B106" s="9"/>
      <c r="C106" s="9"/>
      <c r="D106" s="9"/>
      <c r="E106" s="9"/>
      <c r="F106" s="9"/>
      <c r="G106" s="9"/>
      <c r="H106" s="9"/>
      <c r="I106" s="9"/>
      <c r="J106" s="9"/>
      <c r="K106" s="9"/>
      <c r="L106" s="9"/>
      <c r="M106" s="9"/>
      <c r="N106" s="9"/>
      <c r="O106" s="9"/>
      <c r="P106" s="10"/>
    </row>
    <row r="107" spans="1:16" ht="12.75">
      <c r="A107" s="8"/>
      <c r="B107" s="9"/>
      <c r="C107" s="9"/>
      <c r="D107" s="9"/>
      <c r="E107" s="9"/>
      <c r="F107" s="9"/>
      <c r="G107" s="9"/>
      <c r="H107" s="9"/>
      <c r="I107" s="9"/>
      <c r="J107" s="9"/>
      <c r="K107" s="9"/>
      <c r="L107" s="9"/>
      <c r="M107" s="9"/>
      <c r="N107" s="9"/>
      <c r="O107" s="9"/>
      <c r="P107" s="10"/>
    </row>
    <row r="108" spans="1:16" ht="12.75">
      <c r="A108" s="8"/>
      <c r="B108" s="9"/>
      <c r="C108" s="9"/>
      <c r="D108" s="9"/>
      <c r="E108" s="9"/>
      <c r="F108" s="9"/>
      <c r="G108" s="9"/>
      <c r="H108" s="9"/>
      <c r="I108" s="9"/>
      <c r="J108" s="9"/>
      <c r="K108" s="9"/>
      <c r="L108" s="9"/>
      <c r="M108" s="9"/>
      <c r="N108" s="9"/>
      <c r="O108" s="9"/>
      <c r="P108" s="10"/>
    </row>
  </sheetData>
  <mergeCells count="1">
    <mergeCell ref="B1:O1"/>
  </mergeCells>
  <printOptions/>
  <pageMargins left="1" right="0.5" top="1" bottom="1" header="0.5" footer="0.5"/>
  <pageSetup fitToHeight="2" fitToWidth="1" horizontalDpi="300" verticalDpi="300" orientation="landscape" r:id="rId1"/>
  <headerFooter alignWithMargins="0">
    <oddFooter>&amp;LSlice Cost Shift Study&amp;R'02 Rate Case</oddFooter>
  </headerFooter>
</worksheet>
</file>

<file path=xl/worksheets/sheet9.xml><?xml version="1.0" encoding="utf-8"?>
<worksheet xmlns="http://schemas.openxmlformats.org/spreadsheetml/2006/main" xmlns:r="http://schemas.openxmlformats.org/officeDocument/2006/relationships">
  <sheetPr codeName="Sheet12">
    <pageSetUpPr fitToPage="1"/>
  </sheetPr>
  <dimension ref="A1:AI31"/>
  <sheetViews>
    <sheetView workbookViewId="0" topLeftCell="M18">
      <selection activeCell="M1" sqref="M1:AB31"/>
    </sheetView>
  </sheetViews>
  <sheetFormatPr defaultColWidth="9.33203125" defaultRowHeight="12.75"/>
  <cols>
    <col min="1" max="1" width="41.66015625" style="4" bestFit="1" customWidth="1"/>
    <col min="2" max="2" width="12.83203125" style="4" customWidth="1"/>
    <col min="3" max="3" width="8" style="4" customWidth="1"/>
    <col min="4" max="8" width="8.83203125" style="4" customWidth="1"/>
    <col min="9" max="9" width="19.16015625" style="4" customWidth="1"/>
    <col min="10" max="10" width="17.33203125" style="4" customWidth="1"/>
    <col min="11" max="11" width="17.5" style="4" customWidth="1"/>
    <col min="12" max="12" width="10.66015625" style="4" customWidth="1"/>
    <col min="13" max="13" width="19.33203125" style="4" bestFit="1" customWidth="1"/>
    <col min="14" max="27" width="10.66015625" style="4" customWidth="1"/>
    <col min="28" max="28" width="15.5" style="4" bestFit="1" customWidth="1"/>
    <col min="29" max="16384" width="10.66015625" style="4" customWidth="1"/>
  </cols>
  <sheetData>
    <row r="1" spans="13:28" ht="12.75">
      <c r="M1" s="144"/>
      <c r="N1" s="157" t="s">
        <v>1</v>
      </c>
      <c r="O1" s="157" t="s">
        <v>2</v>
      </c>
      <c r="P1" s="157" t="s">
        <v>3</v>
      </c>
      <c r="Q1" s="157" t="s">
        <v>4</v>
      </c>
      <c r="R1" s="157" t="s">
        <v>5</v>
      </c>
      <c r="S1" s="157" t="s">
        <v>6</v>
      </c>
      <c r="T1" s="157" t="s">
        <v>7</v>
      </c>
      <c r="U1" s="157" t="s">
        <v>8</v>
      </c>
      <c r="V1" s="157" t="s">
        <v>9</v>
      </c>
      <c r="W1" s="157" t="s">
        <v>10</v>
      </c>
      <c r="X1" s="157" t="s">
        <v>11</v>
      </c>
      <c r="Y1" s="157" t="s">
        <v>12</v>
      </c>
      <c r="Z1" s="157" t="s">
        <v>13</v>
      </c>
      <c r="AA1" s="157" t="s">
        <v>14</v>
      </c>
      <c r="AB1" s="158" t="s">
        <v>17</v>
      </c>
    </row>
    <row r="2" spans="13:28" ht="12.75">
      <c r="M2" s="159" t="s">
        <v>44</v>
      </c>
      <c r="N2" s="160">
        <v>36739</v>
      </c>
      <c r="O2" s="160">
        <v>36754</v>
      </c>
      <c r="P2" s="160">
        <v>36770</v>
      </c>
      <c r="Q2" s="160">
        <v>36800</v>
      </c>
      <c r="R2" s="160">
        <v>36831</v>
      </c>
      <c r="S2" s="160">
        <v>36861</v>
      </c>
      <c r="T2" s="160">
        <v>36892</v>
      </c>
      <c r="U2" s="160">
        <v>36923</v>
      </c>
      <c r="V2" s="160">
        <v>36951</v>
      </c>
      <c r="W2" s="160">
        <v>36982</v>
      </c>
      <c r="X2" s="160">
        <v>36997</v>
      </c>
      <c r="Y2" s="160">
        <v>37012</v>
      </c>
      <c r="Z2" s="160">
        <v>37043</v>
      </c>
      <c r="AA2" s="160">
        <v>37073</v>
      </c>
      <c r="AB2" s="160"/>
    </row>
    <row r="3" spans="13:28" ht="12.75">
      <c r="M3" s="159" t="s">
        <v>41</v>
      </c>
      <c r="N3" s="161">
        <v>360</v>
      </c>
      <c r="O3" s="161">
        <v>384</v>
      </c>
      <c r="P3" s="161">
        <v>720</v>
      </c>
      <c r="Q3" s="161">
        <v>744</v>
      </c>
      <c r="R3" s="161">
        <v>720</v>
      </c>
      <c r="S3" s="161">
        <v>744</v>
      </c>
      <c r="T3" s="161">
        <v>744</v>
      </c>
      <c r="U3" s="161">
        <v>672</v>
      </c>
      <c r="V3" s="161">
        <v>744</v>
      </c>
      <c r="W3" s="161">
        <v>360</v>
      </c>
      <c r="X3" s="161">
        <v>360</v>
      </c>
      <c r="Y3" s="161">
        <v>744</v>
      </c>
      <c r="Z3" s="161">
        <v>720</v>
      </c>
      <c r="AA3" s="161">
        <v>744</v>
      </c>
      <c r="AB3" s="161">
        <f>SUM(N3:AA3)</f>
        <v>8760</v>
      </c>
    </row>
    <row r="4" spans="13:28" ht="12.75">
      <c r="M4" s="159" t="s">
        <v>0</v>
      </c>
      <c r="N4" s="144">
        <v>208</v>
      </c>
      <c r="O4" s="144">
        <v>224</v>
      </c>
      <c r="P4" s="144">
        <v>416</v>
      </c>
      <c r="Q4" s="144">
        <v>416</v>
      </c>
      <c r="R4" s="144">
        <v>416</v>
      </c>
      <c r="S4" s="144">
        <v>416</v>
      </c>
      <c r="T4" s="144">
        <v>432</v>
      </c>
      <c r="U4" s="144">
        <v>384</v>
      </c>
      <c r="V4" s="144">
        <v>432</v>
      </c>
      <c r="W4" s="144">
        <v>192</v>
      </c>
      <c r="X4" s="144">
        <v>208</v>
      </c>
      <c r="Y4" s="144">
        <v>432</v>
      </c>
      <c r="Z4" s="144">
        <v>416</v>
      </c>
      <c r="AA4" s="144">
        <v>416</v>
      </c>
      <c r="AB4" s="161">
        <f>SUM(N4:AA4)</f>
        <v>5008</v>
      </c>
    </row>
    <row r="5" spans="13:28" ht="12.75">
      <c r="M5" s="162" t="s">
        <v>15</v>
      </c>
      <c r="N5" s="161">
        <f aca="true" t="shared" si="0" ref="N5:AA5">N3-N4</f>
        <v>152</v>
      </c>
      <c r="O5" s="161">
        <f t="shared" si="0"/>
        <v>160</v>
      </c>
      <c r="P5" s="161">
        <f t="shared" si="0"/>
        <v>304</v>
      </c>
      <c r="Q5" s="161">
        <f t="shared" si="0"/>
        <v>328</v>
      </c>
      <c r="R5" s="161">
        <f t="shared" si="0"/>
        <v>304</v>
      </c>
      <c r="S5" s="161">
        <f t="shared" si="0"/>
        <v>328</v>
      </c>
      <c r="T5" s="161">
        <f t="shared" si="0"/>
        <v>312</v>
      </c>
      <c r="U5" s="161">
        <f t="shared" si="0"/>
        <v>288</v>
      </c>
      <c r="V5" s="161">
        <f t="shared" si="0"/>
        <v>312</v>
      </c>
      <c r="W5" s="161">
        <f t="shared" si="0"/>
        <v>168</v>
      </c>
      <c r="X5" s="161">
        <f t="shared" si="0"/>
        <v>152</v>
      </c>
      <c r="Y5" s="161">
        <f t="shared" si="0"/>
        <v>312</v>
      </c>
      <c r="Z5" s="161">
        <f t="shared" si="0"/>
        <v>304</v>
      </c>
      <c r="AA5" s="161">
        <f t="shared" si="0"/>
        <v>328</v>
      </c>
      <c r="AB5" s="161">
        <f>SUM(N5:AA5)</f>
        <v>3752</v>
      </c>
    </row>
    <row r="6" spans="2:35" ht="12.75">
      <c r="B6" s="5"/>
      <c r="C6" s="5"/>
      <c r="D6" s="5"/>
      <c r="E6" s="5"/>
      <c r="F6" s="5"/>
      <c r="G6" s="5"/>
      <c r="H6" s="5"/>
      <c r="I6" s="5"/>
      <c r="J6" s="5"/>
      <c r="K6" s="5"/>
      <c r="L6" s="5"/>
      <c r="M6" s="162" t="s">
        <v>20</v>
      </c>
      <c r="N6" s="161">
        <f aca="true" t="shared" si="1" ref="N6:AA6">N15</f>
        <v>802.6273620328803</v>
      </c>
      <c r="O6" s="161">
        <f t="shared" si="1"/>
        <v>804.1757286077235</v>
      </c>
      <c r="P6" s="161">
        <f t="shared" si="1"/>
        <v>1040.016174299342</v>
      </c>
      <c r="Q6" s="161">
        <f t="shared" si="1"/>
        <v>915.1613328718835</v>
      </c>
      <c r="R6" s="161">
        <f t="shared" si="1"/>
        <v>1057.3927661685907</v>
      </c>
      <c r="S6" s="161">
        <f t="shared" si="1"/>
        <v>1300.1570672935106</v>
      </c>
      <c r="T6" s="161">
        <f t="shared" si="1"/>
        <v>1514.955915878858</v>
      </c>
      <c r="U6" s="161">
        <f t="shared" si="1"/>
        <v>1547.6754390463964</v>
      </c>
      <c r="V6" s="161">
        <f t="shared" si="1"/>
        <v>1291.6833512484004</v>
      </c>
      <c r="W6" s="161">
        <f t="shared" si="1"/>
        <v>1195.3418636437102</v>
      </c>
      <c r="X6" s="161">
        <f t="shared" si="1"/>
        <v>1212.6736564870462</v>
      </c>
      <c r="Y6" s="161">
        <f t="shared" si="1"/>
        <v>792.7194204061075</v>
      </c>
      <c r="Z6" s="161">
        <f t="shared" si="1"/>
        <v>666.215817174523</v>
      </c>
      <c r="AA6" s="161">
        <f t="shared" si="1"/>
        <v>638.6160262834088</v>
      </c>
      <c r="AB6" s="161">
        <f>SUMPRODUCT(N6:AA6,$N$3:$AA$3)</f>
        <v>9295732.714708755</v>
      </c>
      <c r="AC6" s="5"/>
      <c r="AD6" s="5"/>
      <c r="AE6" s="5"/>
      <c r="AF6" s="5"/>
      <c r="AG6" s="5"/>
      <c r="AH6" s="5"/>
      <c r="AI6" s="5"/>
    </row>
    <row r="7" spans="2:35" ht="12.75">
      <c r="B7" s="5"/>
      <c r="C7" s="5"/>
      <c r="D7" s="5"/>
      <c r="E7" s="5"/>
      <c r="F7" s="5"/>
      <c r="G7" s="5"/>
      <c r="H7" s="5"/>
      <c r="I7" s="5"/>
      <c r="J7" s="5"/>
      <c r="K7" s="5"/>
      <c r="L7" s="5"/>
      <c r="M7" s="159" t="s">
        <v>47</v>
      </c>
      <c r="N7" s="161">
        <f aca="true" t="shared" si="2" ref="N7:AA7">N13</f>
        <v>920.3032217209618</v>
      </c>
      <c r="O7" s="161">
        <f t="shared" si="2"/>
        <v>920.3032217209618</v>
      </c>
      <c r="P7" s="161">
        <f t="shared" si="2"/>
        <v>1155.6503966047267</v>
      </c>
      <c r="Q7" s="161">
        <f t="shared" si="2"/>
        <v>1018.6687596787216</v>
      </c>
      <c r="R7" s="161">
        <f t="shared" si="2"/>
        <v>1160.7020350162345</v>
      </c>
      <c r="S7" s="161">
        <f t="shared" si="2"/>
        <v>1487.2963323183735</v>
      </c>
      <c r="T7" s="161">
        <f t="shared" si="2"/>
        <v>1574.4142515907345</v>
      </c>
      <c r="U7" s="161">
        <f t="shared" si="2"/>
        <v>1656.4185291377514</v>
      </c>
      <c r="V7" s="161">
        <f t="shared" si="2"/>
        <v>1386.054710820556</v>
      </c>
      <c r="W7" s="161">
        <f t="shared" si="2"/>
        <v>1377.3256884987381</v>
      </c>
      <c r="X7" s="161">
        <f t="shared" si="2"/>
        <v>1377.3256884987381</v>
      </c>
      <c r="Y7" s="161">
        <f t="shared" si="2"/>
        <v>838.2848030672804</v>
      </c>
      <c r="Z7" s="161">
        <f t="shared" si="2"/>
        <v>745.1754056789449</v>
      </c>
      <c r="AA7" s="161">
        <f t="shared" si="2"/>
        <v>728.2582909985465</v>
      </c>
      <c r="AB7" s="161">
        <f>SUMPRODUCT(N7:AA7,$N$4:$AA$4)</f>
        <v>5844660.116701539</v>
      </c>
      <c r="AC7" s="5"/>
      <c r="AD7" s="5"/>
      <c r="AE7" s="5"/>
      <c r="AF7" s="5"/>
      <c r="AG7" s="5"/>
      <c r="AH7" s="5"/>
      <c r="AI7" s="5"/>
    </row>
    <row r="8" spans="2:35" ht="12.75">
      <c r="B8" s="5"/>
      <c r="C8" s="5"/>
      <c r="D8" s="5"/>
      <c r="E8" s="5"/>
      <c r="F8" s="5"/>
      <c r="G8" s="5"/>
      <c r="H8" s="5"/>
      <c r="I8" s="5"/>
      <c r="J8" s="5"/>
      <c r="K8" s="5"/>
      <c r="L8" s="5"/>
      <c r="M8" s="159" t="s">
        <v>48</v>
      </c>
      <c r="N8" s="161">
        <f aca="true" t="shared" si="3" ref="N8:AA8">N14</f>
        <v>641.5972382491898</v>
      </c>
      <c r="O8" s="161">
        <f t="shared" si="3"/>
        <v>641.5972382491898</v>
      </c>
      <c r="P8" s="161">
        <f t="shared" si="3"/>
        <v>881.7798700919733</v>
      </c>
      <c r="Q8" s="161">
        <f t="shared" si="3"/>
        <v>783.8836208241862</v>
      </c>
      <c r="R8" s="161">
        <f t="shared" si="3"/>
        <v>916.0221877454992</v>
      </c>
      <c r="S8" s="161">
        <f t="shared" si="3"/>
        <v>1062.8097067741721</v>
      </c>
      <c r="T8" s="161">
        <f t="shared" si="3"/>
        <v>1432.628989508567</v>
      </c>
      <c r="U8" s="161">
        <f t="shared" si="3"/>
        <v>1402.6846522579233</v>
      </c>
      <c r="V8" s="161">
        <f t="shared" si="3"/>
        <v>1161.0153149177233</v>
      </c>
      <c r="W8" s="161">
        <f t="shared" si="3"/>
        <v>987.3603495236785</v>
      </c>
      <c r="X8" s="161">
        <f t="shared" si="3"/>
        <v>987.3603495236785</v>
      </c>
      <c r="Y8" s="161">
        <f t="shared" si="3"/>
        <v>729.6288905675602</v>
      </c>
      <c r="Z8" s="161">
        <f t="shared" si="3"/>
        <v>558.1658539579454</v>
      </c>
      <c r="AA8" s="161">
        <f t="shared" si="3"/>
        <v>524.9233978642097</v>
      </c>
      <c r="AB8" s="161">
        <f>SUMPRODUCT(N8:AA8,$N$5:$AA$5)</f>
        <v>3451072.598007217</v>
      </c>
      <c r="AC8" s="5"/>
      <c r="AD8" s="5"/>
      <c r="AE8" s="5"/>
      <c r="AF8" s="5"/>
      <c r="AG8" s="5"/>
      <c r="AH8" s="5"/>
      <c r="AI8" s="5"/>
    </row>
    <row r="9" spans="2:35" ht="12.75">
      <c r="B9" s="5"/>
      <c r="C9" s="5"/>
      <c r="D9" s="5"/>
      <c r="E9" s="5"/>
      <c r="F9" s="5"/>
      <c r="G9" s="5"/>
      <c r="H9" s="5"/>
      <c r="I9" s="5"/>
      <c r="J9" s="5"/>
      <c r="K9" s="5"/>
      <c r="L9" s="5"/>
      <c r="M9" s="159"/>
      <c r="N9" s="133" t="s">
        <v>97</v>
      </c>
      <c r="O9" s="133" t="s">
        <v>24</v>
      </c>
      <c r="P9" s="133" t="s">
        <v>25</v>
      </c>
      <c r="Q9" s="133" t="s">
        <v>26</v>
      </c>
      <c r="R9" s="133" t="s">
        <v>27</v>
      </c>
      <c r="S9" s="133" t="s">
        <v>28</v>
      </c>
      <c r="T9" s="133" t="s">
        <v>29</v>
      </c>
      <c r="U9" s="133" t="s">
        <v>30</v>
      </c>
      <c r="V9" s="133" t="s">
        <v>96</v>
      </c>
      <c r="W9" s="133" t="s">
        <v>33</v>
      </c>
      <c r="X9" s="133" t="s">
        <v>34</v>
      </c>
      <c r="Y9" s="133" t="s">
        <v>35</v>
      </c>
      <c r="Z9" s="161"/>
      <c r="AA9" s="161"/>
      <c r="AB9" s="161"/>
      <c r="AC9" s="5"/>
      <c r="AD9" s="5"/>
      <c r="AE9" s="5"/>
      <c r="AF9" s="5"/>
      <c r="AG9" s="5"/>
      <c r="AH9" s="5"/>
      <c r="AI9" s="5"/>
    </row>
    <row r="10" spans="3:35" ht="12.75">
      <c r="C10" s="5"/>
      <c r="D10" s="5"/>
      <c r="E10" s="5"/>
      <c r="F10" s="5"/>
      <c r="G10" s="5"/>
      <c r="H10" s="5"/>
      <c r="I10" s="5"/>
      <c r="J10" s="5"/>
      <c r="K10" s="5"/>
      <c r="M10" s="159" t="s">
        <v>87</v>
      </c>
      <c r="N10" s="161">
        <f>MAX(N7:O8)</f>
        <v>920.3032217209618</v>
      </c>
      <c r="O10" s="161">
        <f aca="true" t="shared" si="4" ref="O10:U10">MAX(P7:P8)</f>
        <v>1155.6503966047267</v>
      </c>
      <c r="P10" s="161">
        <f t="shared" si="4"/>
        <v>1018.6687596787216</v>
      </c>
      <c r="Q10" s="161">
        <f t="shared" si="4"/>
        <v>1160.7020350162345</v>
      </c>
      <c r="R10" s="161">
        <f t="shared" si="4"/>
        <v>1487.2963323183735</v>
      </c>
      <c r="S10" s="161">
        <f t="shared" si="4"/>
        <v>1574.4142515907345</v>
      </c>
      <c r="T10" s="161">
        <f t="shared" si="4"/>
        <v>1656.4185291377514</v>
      </c>
      <c r="U10" s="161">
        <f t="shared" si="4"/>
        <v>1386.054710820556</v>
      </c>
      <c r="V10" s="161">
        <f>MAX(W7:X8)</f>
        <v>1377.3256884987381</v>
      </c>
      <c r="W10" s="161">
        <f>MAX(Y7:Y8)</f>
        <v>838.2848030672804</v>
      </c>
      <c r="X10" s="161">
        <f>MAX(Z7:Z8)</f>
        <v>745.1754056789449</v>
      </c>
      <c r="Y10" s="161">
        <f>MAX(AA7:AA8)</f>
        <v>728.2582909985465</v>
      </c>
      <c r="Z10" s="144"/>
      <c r="AA10" s="144"/>
      <c r="AB10" s="144"/>
      <c r="AC10" s="5"/>
      <c r="AD10" s="5"/>
      <c r="AE10" s="5"/>
      <c r="AF10" s="15"/>
      <c r="AH10" s="5"/>
      <c r="AI10" s="5"/>
    </row>
    <row r="11" spans="1:35" ht="36.75" customHeight="1">
      <c r="A11" s="47" t="s">
        <v>115</v>
      </c>
      <c r="B11" s="230" t="str">
        <f>Results!D4</f>
        <v>Non-Slice case load shaped to BPA's Aggregate PF load, Slice percentage is 15%</v>
      </c>
      <c r="C11" s="230"/>
      <c r="D11" s="230"/>
      <c r="E11" s="230"/>
      <c r="F11" s="230"/>
      <c r="G11" s="230"/>
      <c r="H11" s="230"/>
      <c r="I11" s="5"/>
      <c r="J11" s="5"/>
      <c r="K11" s="5"/>
      <c r="L11" s="5"/>
      <c r="M11" s="144"/>
      <c r="N11" s="161"/>
      <c r="O11" s="161"/>
      <c r="P11" s="161"/>
      <c r="Q11" s="161"/>
      <c r="R11" s="161"/>
      <c r="S11" s="161"/>
      <c r="T11" s="161"/>
      <c r="U11" s="161"/>
      <c r="V11" s="161"/>
      <c r="W11" s="161"/>
      <c r="X11" s="161"/>
      <c r="Y11" s="161"/>
      <c r="Z11" s="161"/>
      <c r="AA11" s="161"/>
      <c r="AB11" s="161"/>
      <c r="AC11" s="5"/>
      <c r="AD11" s="5"/>
      <c r="AE11" s="5"/>
      <c r="AF11" s="15"/>
      <c r="AH11" s="5"/>
      <c r="AI11" s="5"/>
    </row>
    <row r="12" spans="12:35" ht="13.5" thickBot="1">
      <c r="L12" s="5"/>
      <c r="M12" s="163" t="s">
        <v>136</v>
      </c>
      <c r="N12" s="157" t="s">
        <v>1</v>
      </c>
      <c r="O12" s="157" t="s">
        <v>2</v>
      </c>
      <c r="P12" s="157" t="s">
        <v>3</v>
      </c>
      <c r="Q12" s="157" t="s">
        <v>4</v>
      </c>
      <c r="R12" s="157" t="s">
        <v>5</v>
      </c>
      <c r="S12" s="157" t="s">
        <v>6</v>
      </c>
      <c r="T12" s="157" t="s">
        <v>7</v>
      </c>
      <c r="U12" s="157" t="s">
        <v>8</v>
      </c>
      <c r="V12" s="157" t="s">
        <v>9</v>
      </c>
      <c r="W12" s="157" t="s">
        <v>10</v>
      </c>
      <c r="X12" s="157" t="s">
        <v>11</v>
      </c>
      <c r="Y12" s="157" t="s">
        <v>12</v>
      </c>
      <c r="Z12" s="157" t="s">
        <v>13</v>
      </c>
      <c r="AA12" s="157" t="s">
        <v>14</v>
      </c>
      <c r="AB12" s="164" t="s">
        <v>45</v>
      </c>
      <c r="AD12" s="5"/>
      <c r="AE12" s="5"/>
      <c r="AF12" s="15"/>
      <c r="AH12" s="5"/>
      <c r="AI12" s="5"/>
    </row>
    <row r="13" spans="1:32" ht="15.75">
      <c r="A13" s="231" t="s">
        <v>79</v>
      </c>
      <c r="B13" s="232"/>
      <c r="C13" s="233"/>
      <c r="L13" s="14"/>
      <c r="M13" s="165" t="s">
        <v>0</v>
      </c>
      <c r="N13" s="161">
        <f>X24</f>
        <v>920.3032217209618</v>
      </c>
      <c r="O13" s="161">
        <f>X24</f>
        <v>920.3032217209618</v>
      </c>
      <c r="P13" s="161">
        <f>Y24</f>
        <v>1155.6503966047267</v>
      </c>
      <c r="Q13" s="161">
        <f>N24</f>
        <v>1018.6687596787216</v>
      </c>
      <c r="R13" s="161">
        <f aca="true" t="shared" si="5" ref="R13:W13">O24</f>
        <v>1160.7020350162345</v>
      </c>
      <c r="S13" s="161">
        <f t="shared" si="5"/>
        <v>1487.2963323183735</v>
      </c>
      <c r="T13" s="161">
        <f t="shared" si="5"/>
        <v>1574.4142515907345</v>
      </c>
      <c r="U13" s="161">
        <f t="shared" si="5"/>
        <v>1656.4185291377514</v>
      </c>
      <c r="V13" s="161">
        <f t="shared" si="5"/>
        <v>1386.054710820556</v>
      </c>
      <c r="W13" s="161">
        <f t="shared" si="5"/>
        <v>1377.3256884987381</v>
      </c>
      <c r="X13" s="161">
        <f aca="true" t="shared" si="6" ref="X13:AA14">T24</f>
        <v>1377.3256884987381</v>
      </c>
      <c r="Y13" s="161">
        <f t="shared" si="6"/>
        <v>838.2848030672804</v>
      </c>
      <c r="Z13" s="161">
        <f t="shared" si="6"/>
        <v>745.1754056789449</v>
      </c>
      <c r="AA13" s="161">
        <f t="shared" si="6"/>
        <v>728.2582909985465</v>
      </c>
      <c r="AB13" s="161">
        <f>SUMPRODUCT(N13:AA13,$N$4:$AA$4)</f>
        <v>5844660.116701539</v>
      </c>
      <c r="AF13" s="13"/>
    </row>
    <row r="14" spans="1:33" ht="12.75">
      <c r="A14" s="108" t="s">
        <v>117</v>
      </c>
      <c r="B14" s="37"/>
      <c r="C14" s="38"/>
      <c r="M14" s="165" t="s">
        <v>15</v>
      </c>
      <c r="N14" s="161">
        <f>X25</f>
        <v>641.5972382491898</v>
      </c>
      <c r="O14" s="161">
        <f>X25</f>
        <v>641.5972382491898</v>
      </c>
      <c r="P14" s="161">
        <f>Y25</f>
        <v>881.7798700919733</v>
      </c>
      <c r="Q14" s="161">
        <f>N25</f>
        <v>783.8836208241862</v>
      </c>
      <c r="R14" s="161">
        <f aca="true" t="shared" si="7" ref="R14:W14">O25</f>
        <v>916.0221877454992</v>
      </c>
      <c r="S14" s="161">
        <f t="shared" si="7"/>
        <v>1062.8097067741721</v>
      </c>
      <c r="T14" s="161">
        <f t="shared" si="7"/>
        <v>1432.628989508567</v>
      </c>
      <c r="U14" s="161">
        <f t="shared" si="7"/>
        <v>1402.6846522579233</v>
      </c>
      <c r="V14" s="161">
        <f t="shared" si="7"/>
        <v>1161.0153149177233</v>
      </c>
      <c r="W14" s="161">
        <f t="shared" si="7"/>
        <v>987.3603495236785</v>
      </c>
      <c r="X14" s="161">
        <f t="shared" si="6"/>
        <v>987.3603495236785</v>
      </c>
      <c r="Y14" s="161">
        <f t="shared" si="6"/>
        <v>729.6288905675602</v>
      </c>
      <c r="Z14" s="161">
        <f t="shared" si="6"/>
        <v>558.1658539579454</v>
      </c>
      <c r="AA14" s="161">
        <f t="shared" si="6"/>
        <v>524.9233978642097</v>
      </c>
      <c r="AB14" s="161">
        <f>SUMPRODUCT(N14:AA14,$N$5:$AA$5)</f>
        <v>3451072.598007217</v>
      </c>
      <c r="AG14" s="5"/>
    </row>
    <row r="15" spans="1:29" ht="12.75">
      <c r="A15" s="39" t="s">
        <v>82</v>
      </c>
      <c r="B15" s="40">
        <f>'LLH Tot Gen'!R11</f>
        <v>7074.378017282158</v>
      </c>
      <c r="C15" s="41" t="s">
        <v>80</v>
      </c>
      <c r="M15" s="165" t="s">
        <v>46</v>
      </c>
      <c r="N15" s="161">
        <f aca="true" t="shared" si="8" ref="N15:AA15">(N13*N$4+N$5*N14)/N$3</f>
        <v>802.6273620328803</v>
      </c>
      <c r="O15" s="161">
        <f t="shared" si="8"/>
        <v>804.1757286077235</v>
      </c>
      <c r="P15" s="161">
        <f t="shared" si="8"/>
        <v>1040.016174299342</v>
      </c>
      <c r="Q15" s="161">
        <f t="shared" si="8"/>
        <v>915.1613328718835</v>
      </c>
      <c r="R15" s="161">
        <f t="shared" si="8"/>
        <v>1057.3927661685907</v>
      </c>
      <c r="S15" s="161">
        <f t="shared" si="8"/>
        <v>1300.1570672935106</v>
      </c>
      <c r="T15" s="161">
        <f t="shared" si="8"/>
        <v>1514.955915878858</v>
      </c>
      <c r="U15" s="161">
        <f t="shared" si="8"/>
        <v>1547.6754390463964</v>
      </c>
      <c r="V15" s="161">
        <f t="shared" si="8"/>
        <v>1291.6833512484004</v>
      </c>
      <c r="W15" s="161">
        <f t="shared" si="8"/>
        <v>1195.3418636437102</v>
      </c>
      <c r="X15" s="161">
        <f t="shared" si="8"/>
        <v>1212.6736564870462</v>
      </c>
      <c r="Y15" s="161">
        <f t="shared" si="8"/>
        <v>792.7194204061075</v>
      </c>
      <c r="Z15" s="161">
        <f t="shared" si="8"/>
        <v>666.215817174523</v>
      </c>
      <c r="AA15" s="161">
        <f t="shared" si="8"/>
        <v>638.6160262834088</v>
      </c>
      <c r="AB15" s="161">
        <f>SUMPRODUCT(N15:AA15,$N$3:$AA$3)</f>
        <v>9295732.714708755</v>
      </c>
      <c r="AC15" s="5"/>
    </row>
    <row r="16" spans="1:33" ht="12.75">
      <c r="A16" s="39" t="s">
        <v>83</v>
      </c>
      <c r="B16" s="42">
        <f>B15*SUM(N3:AA3)</f>
        <v>61971551.4313917</v>
      </c>
      <c r="C16" s="41" t="s">
        <v>81</v>
      </c>
      <c r="M16" s="144"/>
      <c r="N16" s="165"/>
      <c r="O16" s="144"/>
      <c r="P16" s="165"/>
      <c r="Q16" s="165"/>
      <c r="R16" s="165"/>
      <c r="S16" s="165"/>
      <c r="T16" s="165"/>
      <c r="U16" s="165"/>
      <c r="V16" s="165"/>
      <c r="W16" s="165"/>
      <c r="X16" s="144"/>
      <c r="Y16" s="165"/>
      <c r="Z16" s="165"/>
      <c r="AA16" s="165"/>
      <c r="AB16" s="144"/>
      <c r="AD16" s="5"/>
      <c r="AE16" s="5"/>
      <c r="AF16" s="5"/>
      <c r="AG16" s="5"/>
    </row>
    <row r="17" spans="1:28" ht="12.75">
      <c r="A17" s="43" t="s">
        <v>84</v>
      </c>
      <c r="B17" s="37"/>
      <c r="C17" s="38"/>
      <c r="L17" s="4">
        <f>IF(ROUND(AB6-AB7-AB8,0)=0,"","ERROR, Total does not equal HLH + LLH")</f>
      </c>
      <c r="M17" s="144"/>
      <c r="N17" s="144"/>
      <c r="O17" s="144"/>
      <c r="P17" s="144"/>
      <c r="Q17" s="144"/>
      <c r="R17" s="144"/>
      <c r="S17" s="144"/>
      <c r="T17" s="144"/>
      <c r="U17" s="144"/>
      <c r="V17" s="144"/>
      <c r="W17" s="144"/>
      <c r="X17" s="144"/>
      <c r="Y17" s="144"/>
      <c r="Z17" s="144"/>
      <c r="AA17" s="144"/>
      <c r="AB17" s="144"/>
    </row>
    <row r="18" spans="1:28" ht="12.75">
      <c r="A18" s="78" t="s">
        <v>116</v>
      </c>
      <c r="B18" s="44">
        <f>Results!B5</f>
        <v>0.15</v>
      </c>
      <c r="C18" s="38"/>
      <c r="M18" s="144"/>
      <c r="N18" s="133" t="s">
        <v>4</v>
      </c>
      <c r="O18" s="133" t="s">
        <v>5</v>
      </c>
      <c r="P18" s="133" t="s">
        <v>6</v>
      </c>
      <c r="Q18" s="133" t="s">
        <v>7</v>
      </c>
      <c r="R18" s="133" t="s">
        <v>8</v>
      </c>
      <c r="S18" s="133" t="s">
        <v>9</v>
      </c>
      <c r="T18" s="133" t="s">
        <v>99</v>
      </c>
      <c r="U18" s="133" t="s">
        <v>12</v>
      </c>
      <c r="V18" s="133" t="s">
        <v>13</v>
      </c>
      <c r="W18" s="133" t="s">
        <v>14</v>
      </c>
      <c r="X18" s="133" t="s">
        <v>100</v>
      </c>
      <c r="Y18" s="159" t="s">
        <v>3</v>
      </c>
      <c r="Z18" s="133" t="s">
        <v>17</v>
      </c>
      <c r="AA18" s="131"/>
      <c r="AB18" s="144"/>
    </row>
    <row r="19" spans="1:28" ht="12.75">
      <c r="A19" s="43" t="s">
        <v>85</v>
      </c>
      <c r="B19" s="37"/>
      <c r="C19" s="38"/>
      <c r="M19" s="159" t="s">
        <v>0</v>
      </c>
      <c r="N19" s="144">
        <f aca="true" t="shared" si="9" ref="N19:S20">Q4</f>
        <v>416</v>
      </c>
      <c r="O19" s="144">
        <f t="shared" si="9"/>
        <v>416</v>
      </c>
      <c r="P19" s="144">
        <f t="shared" si="9"/>
        <v>416</v>
      </c>
      <c r="Q19" s="144">
        <f t="shared" si="9"/>
        <v>432</v>
      </c>
      <c r="R19" s="144">
        <f t="shared" si="9"/>
        <v>384</v>
      </c>
      <c r="S19" s="144">
        <f t="shared" si="9"/>
        <v>432</v>
      </c>
      <c r="T19" s="144">
        <f>W4+X4</f>
        <v>400</v>
      </c>
      <c r="U19" s="144">
        <f aca="true" t="shared" si="10" ref="U19:W20">Y4</f>
        <v>432</v>
      </c>
      <c r="V19" s="144">
        <f t="shared" si="10"/>
        <v>416</v>
      </c>
      <c r="W19" s="144">
        <f t="shared" si="10"/>
        <v>416</v>
      </c>
      <c r="X19" s="144">
        <f>N4+O4</f>
        <v>432</v>
      </c>
      <c r="Y19" s="144">
        <f>P4</f>
        <v>416</v>
      </c>
      <c r="Z19" s="131">
        <f>SUM(N19:Y20)</f>
        <v>8760</v>
      </c>
      <c r="AA19" s="131" t="s">
        <v>157</v>
      </c>
      <c r="AB19" s="144"/>
    </row>
    <row r="20" spans="1:28" ht="13.5" thickBot="1">
      <c r="A20" s="45" t="s">
        <v>153</v>
      </c>
      <c r="B20" s="120">
        <f>B16*B18</f>
        <v>9295732.714708755</v>
      </c>
      <c r="C20" s="46" t="s">
        <v>81</v>
      </c>
      <c r="M20" s="162" t="s">
        <v>15</v>
      </c>
      <c r="N20" s="144">
        <f t="shared" si="9"/>
        <v>328</v>
      </c>
      <c r="O20" s="144">
        <f t="shared" si="9"/>
        <v>304</v>
      </c>
      <c r="P20" s="144">
        <f t="shared" si="9"/>
        <v>328</v>
      </c>
      <c r="Q20" s="144">
        <f t="shared" si="9"/>
        <v>312</v>
      </c>
      <c r="R20" s="144">
        <f t="shared" si="9"/>
        <v>288</v>
      </c>
      <c r="S20" s="144">
        <f t="shared" si="9"/>
        <v>312</v>
      </c>
      <c r="T20" s="144">
        <f>W5+X5</f>
        <v>320</v>
      </c>
      <c r="U20" s="144">
        <f t="shared" si="10"/>
        <v>312</v>
      </c>
      <c r="V20" s="144">
        <f t="shared" si="10"/>
        <v>304</v>
      </c>
      <c r="W20" s="144">
        <f t="shared" si="10"/>
        <v>328</v>
      </c>
      <c r="X20" s="144">
        <f>N5+O5</f>
        <v>312</v>
      </c>
      <c r="Y20" s="144">
        <f>P5</f>
        <v>304</v>
      </c>
      <c r="Z20" s="144"/>
      <c r="AA20" s="144"/>
      <c r="AB20" s="144"/>
    </row>
    <row r="21" spans="13:28" ht="12.75">
      <c r="M21" s="165" t="s">
        <v>151</v>
      </c>
      <c r="N21" s="166">
        <f>N29/Z31</f>
        <v>0.04558717607659024</v>
      </c>
      <c r="O21" s="166">
        <f>O29/Z31</f>
        <v>0.05194340902280147</v>
      </c>
      <c r="P21" s="166">
        <f>P29/Z31</f>
        <v>0.06655906459804319</v>
      </c>
      <c r="Q21" s="166">
        <f>Q29/Z31</f>
        <v>0.07316765418728018</v>
      </c>
      <c r="R21" s="166">
        <f>R29/Z31</f>
        <v>0.06842545227042117</v>
      </c>
      <c r="S21" s="166">
        <f>S29/Z31</f>
        <v>0.06441403313232426</v>
      </c>
      <c r="T21" s="166">
        <f>T29/Z31</f>
        <v>0.05926700910061144</v>
      </c>
      <c r="U21" s="166">
        <f>U29/Z31</f>
        <v>0.0389575567671011</v>
      </c>
      <c r="V21" s="166">
        <f>V29/Z31</f>
        <v>0.033347878889841066</v>
      </c>
      <c r="W21" s="166">
        <f>W29/Z31</f>
        <v>0.0325908089607638</v>
      </c>
      <c r="X21" s="166">
        <f>X29/Z31</f>
        <v>0.04276919356280263</v>
      </c>
      <c r="Y21" s="166">
        <f>Y29/Z31</f>
        <v>0.0517173395300909</v>
      </c>
      <c r="Z21" s="167"/>
      <c r="AA21" s="144"/>
      <c r="AB21" s="144"/>
    </row>
    <row r="22" spans="13:28" ht="12.75">
      <c r="M22" s="165" t="s">
        <v>152</v>
      </c>
      <c r="N22" s="166">
        <f>N30/Z31</f>
        <v>0.027659339561635483</v>
      </c>
      <c r="O22" s="166">
        <f>O30/Z31</f>
        <v>0.02995683649918247</v>
      </c>
      <c r="P22" s="166">
        <f>P30/Z31</f>
        <v>0.037501248639639974</v>
      </c>
      <c r="Q22" s="166">
        <f>Q30/Z31</f>
        <v>0.04808445535653262</v>
      </c>
      <c r="R22" s="166">
        <f>R30/Z31</f>
        <v>0.04345791690106043</v>
      </c>
      <c r="S22" s="166">
        <f>S30/Z31</f>
        <v>0.03896807162722718</v>
      </c>
      <c r="T22" s="166">
        <f>T30/Z31</f>
        <v>0.03398928535753153</v>
      </c>
      <c r="U22" s="166">
        <f>U30/Z31</f>
        <v>0.02448910923362442</v>
      </c>
      <c r="V22" s="166">
        <f>V30/Z31</f>
        <v>0.018253797178863027</v>
      </c>
      <c r="W22" s="166">
        <f>W30/Z31</f>
        <v>0.018521926112077893</v>
      </c>
      <c r="X22" s="166">
        <f>X30/Z31</f>
        <v>0.021534433538197856</v>
      </c>
      <c r="Y22" s="166">
        <f>Y30/Z31</f>
        <v>0.028837003895755678</v>
      </c>
      <c r="Z22" s="144"/>
      <c r="AA22" s="144"/>
      <c r="AB22" s="144"/>
    </row>
    <row r="23" spans="13:28" ht="12.75">
      <c r="M23" s="144"/>
      <c r="N23" s="144"/>
      <c r="O23" s="144"/>
      <c r="P23" s="144"/>
      <c r="Q23" s="144"/>
      <c r="R23" s="144"/>
      <c r="S23" s="144"/>
      <c r="T23" s="144"/>
      <c r="U23" s="144"/>
      <c r="V23" s="144"/>
      <c r="W23" s="144"/>
      <c r="X23" s="144"/>
      <c r="Y23" s="144"/>
      <c r="Z23" s="144"/>
      <c r="AA23" s="144"/>
      <c r="AB23" s="144"/>
    </row>
    <row r="24" spans="13:28" ht="12.75">
      <c r="M24" s="165" t="s">
        <v>154</v>
      </c>
      <c r="N24" s="144">
        <f>$B$20*N21/N19</f>
        <v>1018.6687596787216</v>
      </c>
      <c r="O24" s="144">
        <f aca="true" t="shared" si="11" ref="O24:Y24">$B$20*O21/O19</f>
        <v>1160.7020350162345</v>
      </c>
      <c r="P24" s="144">
        <f t="shared" si="11"/>
        <v>1487.2963323183735</v>
      </c>
      <c r="Q24" s="144">
        <f t="shared" si="11"/>
        <v>1574.4142515907345</v>
      </c>
      <c r="R24" s="144">
        <f t="shared" si="11"/>
        <v>1656.4185291377514</v>
      </c>
      <c r="S24" s="144">
        <f t="shared" si="11"/>
        <v>1386.054710820556</v>
      </c>
      <c r="T24" s="144">
        <f t="shared" si="11"/>
        <v>1377.3256884987381</v>
      </c>
      <c r="U24" s="144">
        <f t="shared" si="11"/>
        <v>838.2848030672804</v>
      </c>
      <c r="V24" s="144">
        <f t="shared" si="11"/>
        <v>745.1754056789449</v>
      </c>
      <c r="W24" s="144">
        <f t="shared" si="11"/>
        <v>728.2582909985465</v>
      </c>
      <c r="X24" s="144">
        <f t="shared" si="11"/>
        <v>920.3032217209618</v>
      </c>
      <c r="Y24" s="144">
        <f t="shared" si="11"/>
        <v>1155.6503966047267</v>
      </c>
      <c r="Z24" s="144">
        <f>SUMPRODUCT(N19:Y19,N24:Y24)</f>
        <v>5844660.116701538</v>
      </c>
      <c r="AA24" s="144"/>
      <c r="AB24" s="144"/>
    </row>
    <row r="25" spans="13:28" ht="12.75">
      <c r="M25" s="165" t="s">
        <v>155</v>
      </c>
      <c r="N25" s="144">
        <f aca="true" t="shared" si="12" ref="N25:Y25">$B$20*N22/N20</f>
        <v>783.8836208241862</v>
      </c>
      <c r="O25" s="144">
        <f t="shared" si="12"/>
        <v>916.0221877454992</v>
      </c>
      <c r="P25" s="144">
        <f t="shared" si="12"/>
        <v>1062.8097067741721</v>
      </c>
      <c r="Q25" s="144">
        <f t="shared" si="12"/>
        <v>1432.628989508567</v>
      </c>
      <c r="R25" s="144">
        <f t="shared" si="12"/>
        <v>1402.6846522579233</v>
      </c>
      <c r="S25" s="144">
        <f t="shared" si="12"/>
        <v>1161.0153149177233</v>
      </c>
      <c r="T25" s="144">
        <f t="shared" si="12"/>
        <v>987.3603495236785</v>
      </c>
      <c r="U25" s="144">
        <f t="shared" si="12"/>
        <v>729.6288905675602</v>
      </c>
      <c r="V25" s="144">
        <f t="shared" si="12"/>
        <v>558.1658539579454</v>
      </c>
      <c r="W25" s="144">
        <f t="shared" si="12"/>
        <v>524.9233978642097</v>
      </c>
      <c r="X25" s="144">
        <f t="shared" si="12"/>
        <v>641.5972382491898</v>
      </c>
      <c r="Y25" s="144">
        <f t="shared" si="12"/>
        <v>881.7798700919733</v>
      </c>
      <c r="Z25" s="144">
        <f>SUMPRODUCT(N20:Y20,N25:Y25)</f>
        <v>3451072.5980072166</v>
      </c>
      <c r="AA25" s="144"/>
      <c r="AB25" s="144"/>
    </row>
    <row r="26" spans="13:28" ht="12.75">
      <c r="M26" s="144"/>
      <c r="N26" s="144"/>
      <c r="O26" s="144"/>
      <c r="P26" s="144"/>
      <c r="Q26" s="144"/>
      <c r="R26" s="144"/>
      <c r="S26" s="144"/>
      <c r="T26" s="144"/>
      <c r="U26" s="144"/>
      <c r="V26" s="144"/>
      <c r="W26" s="144"/>
      <c r="X26" s="144"/>
      <c r="Y26" s="144"/>
      <c r="Z26" s="144">
        <f>Z24+Z25</f>
        <v>9295732.714708755</v>
      </c>
      <c r="AA26" s="144"/>
      <c r="AB26" s="144"/>
    </row>
    <row r="27" spans="13:28" ht="12.75">
      <c r="M27" s="144"/>
      <c r="N27" s="234" t="s">
        <v>156</v>
      </c>
      <c r="O27" s="235"/>
      <c r="P27" s="235"/>
      <c r="Q27" s="235"/>
      <c r="R27" s="235"/>
      <c r="S27" s="235"/>
      <c r="T27" s="235"/>
      <c r="U27" s="235"/>
      <c r="V27" s="235"/>
      <c r="W27" s="235"/>
      <c r="X27" s="235"/>
      <c r="Y27" s="235"/>
      <c r="Z27" s="144"/>
      <c r="AA27" s="144"/>
      <c r="AB27" s="144"/>
    </row>
    <row r="28" spans="13:28" ht="12.75">
      <c r="M28" s="144"/>
      <c r="N28" s="133" t="s">
        <v>4</v>
      </c>
      <c r="O28" s="133" t="s">
        <v>5</v>
      </c>
      <c r="P28" s="133" t="s">
        <v>6</v>
      </c>
      <c r="Q28" s="133" t="s">
        <v>7</v>
      </c>
      <c r="R28" s="133" t="s">
        <v>8</v>
      </c>
      <c r="S28" s="133" t="s">
        <v>9</v>
      </c>
      <c r="T28" s="133" t="s">
        <v>99</v>
      </c>
      <c r="U28" s="133" t="s">
        <v>12</v>
      </c>
      <c r="V28" s="133" t="s">
        <v>13</v>
      </c>
      <c r="W28" s="133" t="s">
        <v>14</v>
      </c>
      <c r="X28" s="133" t="s">
        <v>100</v>
      </c>
      <c r="Y28" s="159" t="s">
        <v>3</v>
      </c>
      <c r="Z28" s="133" t="s">
        <v>17</v>
      </c>
      <c r="AA28" s="144"/>
      <c r="AB28" s="144"/>
    </row>
    <row r="29" spans="13:28" ht="12.75">
      <c r="M29" s="159" t="s">
        <v>0</v>
      </c>
      <c r="N29" s="168">
        <v>8671</v>
      </c>
      <c r="O29" s="168">
        <v>9880</v>
      </c>
      <c r="P29" s="168">
        <v>12660</v>
      </c>
      <c r="Q29" s="168">
        <v>13917</v>
      </c>
      <c r="R29" s="168">
        <v>13015</v>
      </c>
      <c r="S29" s="168">
        <v>12252</v>
      </c>
      <c r="T29" s="168">
        <v>11273</v>
      </c>
      <c r="U29" s="168">
        <v>7410</v>
      </c>
      <c r="V29" s="168">
        <v>6343</v>
      </c>
      <c r="W29" s="168">
        <v>6199</v>
      </c>
      <c r="X29" s="168">
        <v>8135</v>
      </c>
      <c r="Y29" s="168">
        <v>9837</v>
      </c>
      <c r="Z29" s="169">
        <f>SUM(N29:Y29)</f>
        <v>119592</v>
      </c>
      <c r="AA29" s="144"/>
      <c r="AB29" s="144"/>
    </row>
    <row r="30" spans="13:28" ht="12.75">
      <c r="M30" s="162" t="s">
        <v>15</v>
      </c>
      <c r="N30" s="168">
        <v>5261</v>
      </c>
      <c r="O30" s="168">
        <v>5698</v>
      </c>
      <c r="P30" s="168">
        <v>7133</v>
      </c>
      <c r="Q30" s="168">
        <v>9146</v>
      </c>
      <c r="R30" s="168">
        <v>8266</v>
      </c>
      <c r="S30" s="168">
        <v>7412</v>
      </c>
      <c r="T30" s="168">
        <v>6465</v>
      </c>
      <c r="U30" s="168">
        <v>4658</v>
      </c>
      <c r="V30" s="168">
        <v>3472</v>
      </c>
      <c r="W30" s="168">
        <v>3523</v>
      </c>
      <c r="X30" s="168">
        <v>4096</v>
      </c>
      <c r="Y30" s="168">
        <v>5485</v>
      </c>
      <c r="Z30" s="169">
        <f>SUM(N30:Y30)</f>
        <v>70615</v>
      </c>
      <c r="AA30" s="144"/>
      <c r="AB30" s="144"/>
    </row>
    <row r="31" spans="13:28" ht="12.75">
      <c r="M31" s="144"/>
      <c r="N31" s="144"/>
      <c r="O31" s="144"/>
      <c r="P31" s="144"/>
      <c r="Q31" s="144"/>
      <c r="R31" s="144"/>
      <c r="S31" s="144"/>
      <c r="T31" s="144"/>
      <c r="U31" s="144"/>
      <c r="V31" s="144"/>
      <c r="W31" s="144"/>
      <c r="X31" s="144"/>
      <c r="Y31" s="144"/>
      <c r="Z31" s="169">
        <f>SUM(Z29:Z30)</f>
        <v>190207</v>
      </c>
      <c r="AA31" s="144"/>
      <c r="AB31" s="144"/>
    </row>
  </sheetData>
  <mergeCells count="3">
    <mergeCell ref="B11:H11"/>
    <mergeCell ref="A13:C13"/>
    <mergeCell ref="N27:Y27"/>
  </mergeCells>
  <printOptions/>
  <pageMargins left="1" right="0.5" top="1.25" bottom="1" header="0.5" footer="0.5"/>
  <pageSetup fitToWidth="2" fitToHeight="1" horizontalDpi="300" verticalDpi="300" orientation="landscape" scale="71" r:id="rId2"/>
  <headerFooter alignWithMargins="0">
    <oddHeader>&amp;C
&amp;"Times New Roman,Bold"&amp;12Slice Determination of Pre-Slice Load</oddHeader>
    <oddFooter>&amp;LSlice Cost Shift Study&amp;R'02 Rate Case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SRK1916</dc:creator>
  <cp:keywords/>
  <dc:description/>
  <cp:lastModifiedBy>Busse, Patty</cp:lastModifiedBy>
  <cp:lastPrinted>2000-04-28T16:21:12Z</cp:lastPrinted>
  <dcterms:created xsi:type="dcterms:W3CDTF">1998-07-16T21:23:44Z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