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1970" windowHeight="1065" tabRatio="613" activeTab="0"/>
  </bookViews>
  <sheets>
    <sheet name="list" sheetId="1" r:id="rId1"/>
    <sheet name="source" sheetId="2" r:id="rId2"/>
    <sheet name="cond" sheetId="3" r:id="rId3"/>
    <sheet name="emiss" sheetId="4" r:id="rId4"/>
    <sheet name="feed" sheetId="5" r:id="rId5"/>
    <sheet name="process" sheetId="6" r:id="rId6"/>
    <sheet name="df c12" sheetId="7" r:id="rId7"/>
  </sheets>
  <definedNames/>
  <calcPr fullCalcOnLoad="1"/>
</workbook>
</file>

<file path=xl/sharedStrings.xml><?xml version="1.0" encoding="utf-8"?>
<sst xmlns="http://schemas.openxmlformats.org/spreadsheetml/2006/main" count="838" uniqueCount="231">
  <si>
    <t>EPA ID No.</t>
  </si>
  <si>
    <t>Facility Name</t>
  </si>
  <si>
    <t>Facility Location</t>
  </si>
  <si>
    <t xml:space="preserve">    City</t>
  </si>
  <si>
    <t xml:space="preserve">    State</t>
  </si>
  <si>
    <t>Unit ID Name/No.</t>
  </si>
  <si>
    <t>Other Sister Facilities</t>
  </si>
  <si>
    <t>None</t>
  </si>
  <si>
    <t>Soot Blowing</t>
  </si>
  <si>
    <t>APCS Characteristics</t>
  </si>
  <si>
    <t>NA</t>
  </si>
  <si>
    <t>Stack Characteristics</t>
  </si>
  <si>
    <t xml:space="preserve">    Diameter (ft)</t>
  </si>
  <si>
    <t xml:space="preserve">    Height (ft)</t>
  </si>
  <si>
    <t>Permitting Status</t>
  </si>
  <si>
    <t xml:space="preserve">    Report Name/Date</t>
  </si>
  <si>
    <t xml:space="preserve">    Report Prepare</t>
  </si>
  <si>
    <t xml:space="preserve">    Testing Firm</t>
  </si>
  <si>
    <t xml:space="preserve">    Condition Descr</t>
  </si>
  <si>
    <t xml:space="preserve">    Content</t>
  </si>
  <si>
    <t>Units</t>
  </si>
  <si>
    <t>PM</t>
  </si>
  <si>
    <t>gr/dscf</t>
  </si>
  <si>
    <t>y</t>
  </si>
  <si>
    <t>ppmv</t>
  </si>
  <si>
    <t>dscfm</t>
  </si>
  <si>
    <t>%</t>
  </si>
  <si>
    <t>°F</t>
  </si>
  <si>
    <t>Cond Avg</t>
  </si>
  <si>
    <t>Feedrate</t>
  </si>
  <si>
    <t>g/hr</t>
  </si>
  <si>
    <t>Btu/lb</t>
  </si>
  <si>
    <t>nd</t>
  </si>
  <si>
    <t>Viscosity</t>
  </si>
  <si>
    <t>cp</t>
  </si>
  <si>
    <t>Density</t>
  </si>
  <si>
    <t>g/ml</t>
  </si>
  <si>
    <t>Ash</t>
  </si>
  <si>
    <t>Chlorine</t>
  </si>
  <si>
    <t>Spike</t>
  </si>
  <si>
    <t xml:space="preserve">    Testing Dates</t>
  </si>
  <si>
    <t>Process Information</t>
  </si>
  <si>
    <t>lb/hr</t>
  </si>
  <si>
    <t>MMBtu/hr</t>
  </si>
  <si>
    <t>Heating Value</t>
  </si>
  <si>
    <t>Stack Gas Flowrate</t>
  </si>
  <si>
    <t>Oxygen</t>
  </si>
  <si>
    <t>Estimated Firing Rate</t>
  </si>
  <si>
    <t>mg/dscm</t>
  </si>
  <si>
    <t>ug/dscm</t>
  </si>
  <si>
    <t>Stack Gas Emissions</t>
  </si>
  <si>
    <t>HW</t>
  </si>
  <si>
    <t>SVM</t>
  </si>
  <si>
    <t>LVM</t>
  </si>
  <si>
    <t>DRE</t>
  </si>
  <si>
    <t>µg/dscm</t>
  </si>
  <si>
    <t>Liq</t>
  </si>
  <si>
    <t>Natural gas</t>
  </si>
  <si>
    <t>Celanese Ltd</t>
  </si>
  <si>
    <t>TX</t>
  </si>
  <si>
    <t>POHC DRE</t>
  </si>
  <si>
    <t>Mlb/hr</t>
  </si>
  <si>
    <t>I-TEF</t>
  </si>
  <si>
    <t>Run 1</t>
  </si>
  <si>
    <t>Run 2</t>
  </si>
  <si>
    <t>Run 3</t>
  </si>
  <si>
    <t>Wght Fact</t>
  </si>
  <si>
    <t>Total</t>
  </si>
  <si>
    <t xml:space="preserve"> TEQ</t>
  </si>
  <si>
    <t>TEQ</t>
  </si>
  <si>
    <t>Detected in sample volume (ng)</t>
  </si>
  <si>
    <t>2,3,7,8-TCDD</t>
  </si>
  <si>
    <t>TCDD Total</t>
  </si>
  <si>
    <t>1,2,3,7,8-PCDD</t>
  </si>
  <si>
    <t>PCDD Total</t>
  </si>
  <si>
    <t>1,2,3,4,7,8-HxCDD</t>
  </si>
  <si>
    <t>1,2,3,6,7,8-HxCDD</t>
  </si>
  <si>
    <t>1,2,3,7,8,9-HxCDD</t>
  </si>
  <si>
    <t>HxCDD Total</t>
  </si>
  <si>
    <t>1,2,3,4,6,7,8-HpCDD</t>
  </si>
  <si>
    <t>HpCDD Total</t>
  </si>
  <si>
    <t>OCDD</t>
  </si>
  <si>
    <t>2,3,7,8-TCDF</t>
  </si>
  <si>
    <t>TCDF Total</t>
  </si>
  <si>
    <t>1,2,3,7,8-PCDF</t>
  </si>
  <si>
    <t>2,3,4,7,8-PCDF</t>
  </si>
  <si>
    <t>PCDF Total</t>
  </si>
  <si>
    <t>1,2,3,4,7,8-HxCDF</t>
  </si>
  <si>
    <t>1,2,3,6,7,8-HxCDF</t>
  </si>
  <si>
    <t>2,3,4,6,7,8-HxCDF</t>
  </si>
  <si>
    <t>1,2,3,7,8,9-HxCDF</t>
  </si>
  <si>
    <t>HxCDF Total</t>
  </si>
  <si>
    <t>1,2,3,4,6,7,8-HpCDF</t>
  </si>
  <si>
    <t>1,2,3,4,7,8,9-HpCDF</t>
  </si>
  <si>
    <t>HpCDF Total</t>
  </si>
  <si>
    <t>OCDF</t>
  </si>
  <si>
    <t>Gas sample volume (dscf)</t>
  </si>
  <si>
    <t>O2 (%)</t>
  </si>
  <si>
    <t>PCDD/PCDF (ng in sample)</t>
  </si>
  <si>
    <t>PCDD/PCDF (ng/dscm @ 7% O2)</t>
  </si>
  <si>
    <t>Particle Size Distribution</t>
  </si>
  <si>
    <t>TRC Environmental Corporation</t>
  </si>
  <si>
    <t>Bishop</t>
  </si>
  <si>
    <t>TXD008113441</t>
  </si>
  <si>
    <t>Boiler No.16</t>
  </si>
  <si>
    <t>Liq Waste</t>
  </si>
  <si>
    <t>1018C10</t>
  </si>
  <si>
    <t>1018C11</t>
  </si>
  <si>
    <t>1018C12</t>
  </si>
  <si>
    <t>8.8-10</t>
  </si>
  <si>
    <t>5.9-8.8</t>
  </si>
  <si>
    <t>4.0-5.9</t>
  </si>
  <si>
    <t>2.5-4.0</t>
  </si>
  <si>
    <t>1.0-2.5</t>
  </si>
  <si>
    <t>0.8-1.2</t>
  </si>
  <si>
    <t>0.5-0.8</t>
  </si>
  <si>
    <t>0-0.5</t>
  </si>
  <si>
    <t>June 23-24, 1998</t>
  </si>
  <si>
    <t>Ash Modifier</t>
  </si>
  <si>
    <t>Capacity (MMBtu/hr)</t>
  </si>
  <si>
    <t>Hazardous Wastes</t>
  </si>
  <si>
    <t>Haz Waste Description</t>
  </si>
  <si>
    <t>Liquid waste w/ FuelSolv FS850 (ash modifier)</t>
  </si>
  <si>
    <t>Supplemental Fuel</t>
  </si>
  <si>
    <t>Trial burn; min combustion temp, DRE</t>
  </si>
  <si>
    <t>CO, DRE</t>
  </si>
  <si>
    <t>1/2 ND</t>
  </si>
  <si>
    <t>TEQ Cond Avg</t>
  </si>
  <si>
    <t>Total Cond Avg</t>
  </si>
  <si>
    <t>Steam Production Rate</t>
  </si>
  <si>
    <t>Firebox Temp Indicator</t>
  </si>
  <si>
    <t>Sootblowing</t>
  </si>
  <si>
    <t>VOC, Total Organics, SVOCs, PCDDs/PCDFs, Particle Size Distribution, aldehides, and ketones.</t>
  </si>
  <si>
    <t>Feedstreams</t>
  </si>
  <si>
    <t>PCDD/PCDF</t>
  </si>
  <si>
    <t>7% O2</t>
  </si>
  <si>
    <t>Phase II ID No.</t>
  </si>
  <si>
    <t>Feedrate MTEC Calculations</t>
  </si>
  <si>
    <t>Source Description</t>
  </si>
  <si>
    <t xml:space="preserve">    Gas Velocity (ft/sec)</t>
  </si>
  <si>
    <t xml:space="preserve">    Gas Temperature (°F)</t>
  </si>
  <si>
    <t>Combustor Characteristics</t>
  </si>
  <si>
    <t>% wt</t>
  </si>
  <si>
    <t xml:space="preserve">   Temperature</t>
  </si>
  <si>
    <t xml:space="preserve">   Stack Gas Flowrate</t>
  </si>
  <si>
    <t>Comments</t>
  </si>
  <si>
    <t xml:space="preserve">   O2</t>
  </si>
  <si>
    <t xml:space="preserve">   Moisture</t>
  </si>
  <si>
    <t>in microns</t>
  </si>
  <si>
    <t>&gt;10</t>
  </si>
  <si>
    <t>Chlorobenzene</t>
  </si>
  <si>
    <t>Toluene</t>
  </si>
  <si>
    <t>Emission Rate</t>
  </si>
  <si>
    <t>CO (MHRA)</t>
  </si>
  <si>
    <t>Sampling Train</t>
  </si>
  <si>
    <t>Arsenic</t>
  </si>
  <si>
    <t>Barium</t>
  </si>
  <si>
    <t>Beryllium</t>
  </si>
  <si>
    <t>Thallium</t>
  </si>
  <si>
    <t>Antimony</t>
  </si>
  <si>
    <t>Lead</t>
  </si>
  <si>
    <t>Cadmium</t>
  </si>
  <si>
    <t>Silver</t>
  </si>
  <si>
    <t>Chromium</t>
  </si>
  <si>
    <t>Feedstream Description</t>
  </si>
  <si>
    <t>*</t>
  </si>
  <si>
    <t>Thermal Feedrate</t>
  </si>
  <si>
    <t>Mercury</t>
  </si>
  <si>
    <t>Feed Rate</t>
  </si>
  <si>
    <t>Yes, typically 6 times/day w/ a duration of 0.0486 hrs per event</t>
  </si>
  <si>
    <t>All metals (exception of Cr) Adjusted Tier I; Cr is managed under Tier III.</t>
  </si>
  <si>
    <t>Feed analysis: 10 BIF metals (not chromium only), chlorides, and ash. 
PM, CO, and hexavalent and total Cr emissions.</t>
  </si>
  <si>
    <t>Risk burn at max. liquid waste feedrates + min. natural gas flowrate</t>
  </si>
  <si>
    <t>Cr+6</t>
  </si>
  <si>
    <t>liquid waste</t>
  </si>
  <si>
    <t>liquid spike</t>
  </si>
  <si>
    <t>Natural Gas</t>
  </si>
  <si>
    <t>mscfh</t>
  </si>
  <si>
    <t>Btu/scf</t>
  </si>
  <si>
    <t>Constituent</t>
  </si>
  <si>
    <t>BIF Tier I Feedrate</t>
  </si>
  <si>
    <t>HWC Burn Status (Date if Terminated)</t>
  </si>
  <si>
    <t>Trial Burn/Risk Burn Report; Sept 1998</t>
  </si>
  <si>
    <t>R1</t>
  </si>
  <si>
    <t>R2</t>
  </si>
  <si>
    <t>R3</t>
  </si>
  <si>
    <t xml:space="preserve">    Cond Dates</t>
  </si>
  <si>
    <t>John Zink co-fired boiler; "D" shape w/ superheater; Rated: 60,000 lb/hr steam. Watertube boiler.</t>
  </si>
  <si>
    <t>Liquid-fired boiler</t>
  </si>
  <si>
    <t>Cond Description</t>
  </si>
  <si>
    <t>Feedstream Number</t>
  </si>
  <si>
    <t>Feed Class</t>
  </si>
  <si>
    <t>Liq HW</t>
  </si>
  <si>
    <t>Raw Material</t>
  </si>
  <si>
    <t>E1</t>
  </si>
  <si>
    <t>E2</t>
  </si>
  <si>
    <t>Number of Sister Facilities</t>
  </si>
  <si>
    <t>Combustor Class</t>
  </si>
  <si>
    <t>Combustor Type</t>
  </si>
  <si>
    <t>APCS Detailed Acronym</t>
  </si>
  <si>
    <t>APCS General Class</t>
  </si>
  <si>
    <t>source</t>
  </si>
  <si>
    <t>cond</t>
  </si>
  <si>
    <t>emiss</t>
  </si>
  <si>
    <t>feed</t>
  </si>
  <si>
    <t>process</t>
  </si>
  <si>
    <t>Liquid-fired</t>
  </si>
  <si>
    <t>Chromium (Hex)</t>
  </si>
  <si>
    <t>NG</t>
  </si>
  <si>
    <t>F1</t>
  </si>
  <si>
    <t>F2</t>
  </si>
  <si>
    <t>F3</t>
  </si>
  <si>
    <t>F4</t>
  </si>
  <si>
    <t>F5</t>
  </si>
  <si>
    <t>Feed Class 2</t>
  </si>
  <si>
    <t>RM</t>
  </si>
  <si>
    <t>Boiler 16 Recertificatioin of Compliance, Oct 1996</t>
  </si>
  <si>
    <t>IT Corporation</t>
  </si>
  <si>
    <t>Compliance Test. Maximum combustion temperature condition</t>
  </si>
  <si>
    <t>1018C13</t>
  </si>
  <si>
    <t>Ticona, Boiler 16 baseline test for Chrome, May 2002</t>
  </si>
  <si>
    <t>Baseline test, normal condition</t>
  </si>
  <si>
    <t>Chromium, hexavalent chromium</t>
  </si>
  <si>
    <t>R4</t>
  </si>
  <si>
    <t>Full ND</t>
  </si>
  <si>
    <t>df c12</t>
  </si>
  <si>
    <t xml:space="preserve">Facility Name and ID:  </t>
  </si>
  <si>
    <t xml:space="preserve">Condition ID:  </t>
  </si>
  <si>
    <t xml:space="preserve">Condition/Test Date:  </t>
  </si>
  <si>
    <t>Risk burn; June 23-24, 1998</t>
  </si>
  <si>
    <t>N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</si>
</sst>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0.0"/>
    <numFmt numFmtId="166" formatCode="0.000"/>
    <numFmt numFmtId="167" formatCode="0.000000"/>
    <numFmt numFmtId="168" formatCode="0.00000"/>
    <numFmt numFmtId="169" formatCode="0.0000"/>
    <numFmt numFmtId="170" formatCode="0.00000000"/>
    <numFmt numFmtId="171" formatCode="0.0000000"/>
    <numFmt numFmtId="172" formatCode="0.000000000"/>
    <numFmt numFmtId="173" formatCode="0.0E+00"/>
    <numFmt numFmtId="174" formatCode="0E+00"/>
  </numFmts>
  <fonts count="4">
    <font>
      <sz val="10"/>
      <name val="Arial"/>
      <family val="0"/>
    </font>
    <font>
      <b/>
      <sz val="10"/>
      <name val="Arial"/>
      <family val="2"/>
    </font>
    <font>
      <sz val="10"/>
      <name val="Helv"/>
      <family val="0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165" fontId="0" fillId="0" borderId="0" xfId="0" applyNumberFormat="1" applyFont="1" applyFill="1" applyBorder="1" applyAlignment="1">
      <alignment horizontal="right"/>
    </xf>
    <xf numFmtId="1" fontId="0" fillId="0" borderId="0" xfId="0" applyNumberFormat="1" applyFont="1" applyFill="1" applyBorder="1" applyAlignment="1">
      <alignment horizontal="right"/>
    </xf>
    <xf numFmtId="165" fontId="0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166" fontId="0" fillId="0" borderId="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165" fontId="0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 vertical="top" wrapText="1"/>
    </xf>
    <xf numFmtId="164" fontId="0" fillId="0" borderId="0" xfId="0" applyNumberFormat="1" applyFont="1" applyFill="1" applyAlignment="1">
      <alignment vertical="top" wrapText="1"/>
    </xf>
    <xf numFmtId="164" fontId="0" fillId="0" borderId="0" xfId="0" applyNumberFormat="1" applyFont="1" applyFill="1" applyAlignment="1">
      <alignment horizontal="left"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169" fontId="0" fillId="0" borderId="0" xfId="0" applyNumberFormat="1" applyFont="1" applyFill="1" applyBorder="1" applyAlignment="1">
      <alignment horizontal="right"/>
    </xf>
    <xf numFmtId="0" fontId="0" fillId="0" borderId="0" xfId="0" applyFont="1" applyFill="1" applyAlignment="1">
      <alignment horizontal="left"/>
    </xf>
    <xf numFmtId="165" fontId="0" fillId="0" borderId="0" xfId="0" applyNumberFormat="1" applyFont="1" applyFill="1" applyAlignment="1">
      <alignment/>
    </xf>
    <xf numFmtId="168" fontId="0" fillId="0" borderId="0" xfId="0" applyNumberFormat="1" applyFont="1" applyFill="1" applyBorder="1" applyAlignment="1">
      <alignment/>
    </xf>
    <xf numFmtId="165" fontId="0" fillId="0" borderId="0" xfId="0" applyNumberFormat="1" applyFont="1" applyFill="1" applyBorder="1" applyAlignment="1">
      <alignment horizontal="center"/>
    </xf>
    <xf numFmtId="0" fontId="0" fillId="0" borderId="0" xfId="19" applyFont="1" applyFill="1" applyBorder="1">
      <alignment/>
      <protection/>
    </xf>
    <xf numFmtId="11" fontId="0" fillId="0" borderId="0" xfId="19" applyNumberFormat="1" applyFont="1" applyFill="1" applyBorder="1">
      <alignment/>
      <protection/>
    </xf>
    <xf numFmtId="169" fontId="0" fillId="0" borderId="0" xfId="19" applyNumberFormat="1" applyFont="1" applyFill="1" applyBorder="1">
      <alignment/>
      <protection/>
    </xf>
    <xf numFmtId="0" fontId="0" fillId="0" borderId="0" xfId="19" applyFont="1" applyFill="1" applyBorder="1" applyAlignment="1">
      <alignment horizontal="center"/>
      <protection/>
    </xf>
    <xf numFmtId="11" fontId="0" fillId="0" borderId="0" xfId="19" applyNumberFormat="1" applyFont="1" applyFill="1" applyBorder="1" applyAlignment="1">
      <alignment horizontal="left"/>
      <protection/>
    </xf>
    <xf numFmtId="169" fontId="0" fillId="0" borderId="0" xfId="19" applyNumberFormat="1" applyFont="1" applyFill="1" applyBorder="1" applyAlignment="1">
      <alignment horizontal="center"/>
      <protection/>
    </xf>
    <xf numFmtId="11" fontId="0" fillId="0" borderId="0" xfId="19" applyNumberFormat="1" applyFont="1" applyFill="1" applyBorder="1" applyAlignment="1">
      <alignment horizontal="center"/>
      <protection/>
    </xf>
    <xf numFmtId="1" fontId="0" fillId="0" borderId="0" xfId="19" applyNumberFormat="1" applyFont="1" applyFill="1" applyBorder="1" applyAlignment="1">
      <alignment horizontal="centerContinuous"/>
      <protection/>
    </xf>
    <xf numFmtId="1" fontId="0" fillId="0" borderId="0" xfId="19" applyNumberFormat="1" applyFont="1" applyFill="1" applyBorder="1" applyAlignment="1">
      <alignment horizontal="center"/>
      <protection/>
    </xf>
    <xf numFmtId="0" fontId="0" fillId="0" borderId="0" xfId="19" applyFont="1" applyFill="1">
      <alignment/>
      <protection/>
    </xf>
    <xf numFmtId="2" fontId="0" fillId="0" borderId="0" xfId="19" applyNumberFormat="1" applyFont="1" applyFill="1" applyBorder="1">
      <alignment/>
      <protection/>
    </xf>
    <xf numFmtId="166" fontId="0" fillId="0" borderId="0" xfId="19" applyNumberFormat="1" applyFont="1" applyFill="1" applyBorder="1">
      <alignment/>
      <protection/>
    </xf>
    <xf numFmtId="0" fontId="1" fillId="0" borderId="0" xfId="19" applyFont="1" applyFill="1" applyBorder="1">
      <alignment/>
      <protection/>
    </xf>
    <xf numFmtId="0" fontId="3" fillId="0" borderId="0" xfId="0" applyFont="1" applyFill="1" applyBorder="1" applyAlignment="1">
      <alignment horizontal="left"/>
    </xf>
    <xf numFmtId="0" fontId="0" fillId="0" borderId="0" xfId="0" applyFont="1" applyAlignment="1">
      <alignment vertical="top" wrapText="1"/>
    </xf>
    <xf numFmtId="0" fontId="0" fillId="0" borderId="0" xfId="0" applyFont="1" applyFill="1" applyAlignment="1">
      <alignment wrapText="1"/>
    </xf>
    <xf numFmtId="17" fontId="0" fillId="0" borderId="0" xfId="0" applyNumberFormat="1" applyFont="1" applyFill="1" applyAlignment="1">
      <alignment horizontal="left"/>
    </xf>
    <xf numFmtId="0" fontId="1" fillId="0" borderId="0" xfId="0" applyFont="1" applyAlignment="1">
      <alignment vertical="top" wrapText="1"/>
    </xf>
    <xf numFmtId="0" fontId="0" fillId="0" borderId="0" xfId="0" applyAlignment="1">
      <alignment wrapText="1"/>
    </xf>
    <xf numFmtId="0" fontId="0" fillId="0" borderId="0" xfId="0" applyFont="1" applyBorder="1" applyAlignment="1">
      <alignment horizontal="left"/>
    </xf>
    <xf numFmtId="2" fontId="0" fillId="0" borderId="0" xfId="0" applyNumberFormat="1" applyFill="1" applyBorder="1" applyAlignment="1">
      <alignment/>
    </xf>
    <xf numFmtId="167" fontId="0" fillId="0" borderId="0" xfId="0" applyNumberFormat="1" applyFont="1" applyFill="1" applyBorder="1" applyAlignment="1">
      <alignment horizontal="right"/>
    </xf>
    <xf numFmtId="11" fontId="0" fillId="0" borderId="0" xfId="0" applyNumberFormat="1" applyFont="1" applyFill="1" applyBorder="1" applyAlignment="1">
      <alignment horizontal="right"/>
    </xf>
    <xf numFmtId="1" fontId="0" fillId="0" borderId="0" xfId="0" applyNumberFormat="1" applyFont="1" applyFill="1" applyBorder="1" applyAlignment="1">
      <alignment horizontal="center"/>
    </xf>
    <xf numFmtId="165" fontId="0" fillId="0" borderId="0" xfId="0" applyNumberFormat="1" applyFont="1" applyBorder="1" applyAlignment="1">
      <alignment/>
    </xf>
    <xf numFmtId="0" fontId="0" fillId="0" borderId="0" xfId="19" applyFont="1" applyFill="1" applyBorder="1" applyAlignment="1">
      <alignment horizontal="left"/>
      <protection/>
    </xf>
    <xf numFmtId="0" fontId="1" fillId="0" borderId="0" xfId="19" applyFont="1" applyFill="1" applyBorder="1" applyAlignment="1">
      <alignment horizontal="left"/>
      <protection/>
    </xf>
    <xf numFmtId="11" fontId="0" fillId="0" borderId="0" xfId="0" applyNumberFormat="1" applyFont="1" applyBorder="1" applyAlignment="1">
      <alignment horizontal="center"/>
    </xf>
    <xf numFmtId="0" fontId="1" fillId="0" borderId="0" xfId="0" applyFont="1" applyAlignment="1">
      <alignment/>
    </xf>
    <xf numFmtId="2" fontId="0" fillId="0" borderId="0" xfId="19" applyNumberFormat="1" applyFont="1" applyFill="1" applyBorder="1" applyAlignment="1">
      <alignment horizontal="center"/>
      <protection/>
    </xf>
    <xf numFmtId="0" fontId="0" fillId="0" borderId="0" xfId="19" applyFont="1" applyFill="1" applyAlignment="1">
      <alignment horizontal="center"/>
      <protection/>
    </xf>
    <xf numFmtId="165" fontId="0" fillId="0" borderId="0" xfId="0" applyNumberFormat="1" applyFont="1" applyBorder="1" applyAlignment="1">
      <alignment horizontal="center"/>
    </xf>
    <xf numFmtId="166" fontId="0" fillId="0" borderId="0" xfId="19" applyNumberFormat="1" applyFont="1" applyFill="1" applyBorder="1" applyAlignment="1">
      <alignment horizontal="center"/>
      <protection/>
    </xf>
    <xf numFmtId="2" fontId="0" fillId="0" borderId="0" xfId="0" applyNumberFormat="1" applyFont="1" applyFill="1" applyBorder="1" applyAlignment="1">
      <alignment horizontal="right"/>
    </xf>
    <xf numFmtId="2" fontId="0" fillId="0" borderId="0" xfId="0" applyNumberFormat="1" applyFont="1" applyFill="1" applyBorder="1" applyAlignment="1">
      <alignment/>
    </xf>
    <xf numFmtId="0" fontId="0" fillId="0" borderId="0" xfId="0" applyFont="1" applyFill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BASF Amines LA (834)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6"/>
  <sheetViews>
    <sheetView tabSelected="1" workbookViewId="0" topLeftCell="A1">
      <selection activeCell="H20" sqref="H20"/>
    </sheetView>
  </sheetViews>
  <sheetFormatPr defaultColWidth="9.140625" defaultRowHeight="12.75"/>
  <sheetData>
    <row r="1" ht="12.75">
      <c r="A1" t="s">
        <v>201</v>
      </c>
    </row>
    <row r="2" ht="12.75">
      <c r="A2" t="s">
        <v>202</v>
      </c>
    </row>
    <row r="3" ht="12.75">
      <c r="A3" t="s">
        <v>203</v>
      </c>
    </row>
    <row r="4" ht="12.75">
      <c r="A4" t="s">
        <v>204</v>
      </c>
    </row>
    <row r="5" ht="12.75">
      <c r="A5" t="s">
        <v>205</v>
      </c>
    </row>
    <row r="6" ht="12.75">
      <c r="A6" t="s">
        <v>225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L53"/>
  <sheetViews>
    <sheetView workbookViewId="0" topLeftCell="B1">
      <selection activeCell="C5" sqref="C5"/>
    </sheetView>
  </sheetViews>
  <sheetFormatPr defaultColWidth="9.140625" defaultRowHeight="12.75"/>
  <cols>
    <col min="1" max="1" width="9.140625" style="15" hidden="1" customWidth="1"/>
    <col min="2" max="2" width="25.421875" style="15" customWidth="1"/>
    <col min="3" max="3" width="60.140625" style="15" customWidth="1"/>
    <col min="4" max="12" width="8.8515625" style="0" customWidth="1"/>
    <col min="13" max="16384" width="8.8515625" style="15" customWidth="1"/>
  </cols>
  <sheetData>
    <row r="1" ht="12.75">
      <c r="B1" s="14" t="s">
        <v>138</v>
      </c>
    </row>
    <row r="3" spans="2:3" ht="12.75">
      <c r="B3" s="15" t="s">
        <v>136</v>
      </c>
      <c r="C3" s="23">
        <v>1018</v>
      </c>
    </row>
    <row r="4" spans="2:3" ht="12.75">
      <c r="B4" s="15" t="s">
        <v>0</v>
      </c>
      <c r="C4" s="15" t="s">
        <v>103</v>
      </c>
    </row>
    <row r="5" spans="2:3" ht="12.75">
      <c r="B5" s="15" t="s">
        <v>1</v>
      </c>
      <c r="C5" s="15" t="s">
        <v>58</v>
      </c>
    </row>
    <row r="6" ht="12.75">
      <c r="B6" s="15" t="s">
        <v>2</v>
      </c>
    </row>
    <row r="7" spans="2:3" ht="12.75">
      <c r="B7" s="15" t="s">
        <v>3</v>
      </c>
      <c r="C7" s="15" t="s">
        <v>102</v>
      </c>
    </row>
    <row r="8" spans="2:3" ht="12.75">
      <c r="B8" s="15" t="s">
        <v>4</v>
      </c>
      <c r="C8" s="15" t="s">
        <v>59</v>
      </c>
    </row>
    <row r="9" spans="2:3" ht="12.75">
      <c r="B9" s="15" t="s">
        <v>5</v>
      </c>
      <c r="C9" s="15" t="s">
        <v>104</v>
      </c>
    </row>
    <row r="10" spans="2:3" ht="12.75">
      <c r="B10" s="15" t="s">
        <v>6</v>
      </c>
      <c r="C10" s="15" t="s">
        <v>7</v>
      </c>
    </row>
    <row r="11" spans="2:3" ht="12.75">
      <c r="B11" s="1" t="s">
        <v>196</v>
      </c>
      <c r="C11" s="2">
        <v>0</v>
      </c>
    </row>
    <row r="12" spans="2:3" ht="12.75">
      <c r="B12" s="15" t="s">
        <v>197</v>
      </c>
      <c r="C12" s="15" t="s">
        <v>188</v>
      </c>
    </row>
    <row r="13" spans="2:3" ht="12.75">
      <c r="B13" s="15" t="s">
        <v>198</v>
      </c>
      <c r="C13" s="15" t="s">
        <v>206</v>
      </c>
    </row>
    <row r="14" spans="2:12" s="17" customFormat="1" ht="25.5">
      <c r="B14" s="17" t="s">
        <v>141</v>
      </c>
      <c r="C14" s="17" t="s">
        <v>187</v>
      </c>
      <c r="D14"/>
      <c r="E14"/>
      <c r="F14"/>
      <c r="G14"/>
      <c r="H14"/>
      <c r="I14"/>
      <c r="J14"/>
      <c r="K14"/>
      <c r="L14"/>
    </row>
    <row r="15" spans="2:12" s="17" customFormat="1" ht="12.75">
      <c r="B15" s="41" t="s">
        <v>119</v>
      </c>
      <c r="D15"/>
      <c r="E15"/>
      <c r="F15"/>
      <c r="G15"/>
      <c r="H15"/>
      <c r="I15"/>
      <c r="J15"/>
      <c r="K15"/>
      <c r="L15"/>
    </row>
    <row r="16" spans="2:3" ht="12.75">
      <c r="B16" s="15" t="s">
        <v>8</v>
      </c>
      <c r="C16" s="15" t="s">
        <v>169</v>
      </c>
    </row>
    <row r="17" spans="2:3" ht="12.75">
      <c r="B17" s="1" t="s">
        <v>199</v>
      </c>
      <c r="C17" s="15" t="s">
        <v>7</v>
      </c>
    </row>
    <row r="18" ht="12.75">
      <c r="B18" s="1" t="s">
        <v>200</v>
      </c>
    </row>
    <row r="19" spans="2:3" ht="12.75">
      <c r="B19" s="15" t="s">
        <v>9</v>
      </c>
      <c r="C19" s="15" t="s">
        <v>10</v>
      </c>
    </row>
    <row r="20" spans="2:3" ht="12.75">
      <c r="B20" s="15" t="s">
        <v>120</v>
      </c>
      <c r="C20" s="15" t="s">
        <v>56</v>
      </c>
    </row>
    <row r="21" spans="2:3" ht="12.75">
      <c r="B21" s="15" t="s">
        <v>121</v>
      </c>
      <c r="C21" s="15" t="s">
        <v>122</v>
      </c>
    </row>
    <row r="22" spans="2:3" ht="12.75">
      <c r="B22" s="15" t="s">
        <v>123</v>
      </c>
      <c r="C22" s="15" t="s">
        <v>57</v>
      </c>
    </row>
    <row r="23" ht="12.75" customHeight="1"/>
    <row r="24" ht="12.75">
      <c r="B24" s="15" t="s">
        <v>11</v>
      </c>
    </row>
    <row r="25" spans="2:3" ht="12.75">
      <c r="B25" s="15" t="s">
        <v>12</v>
      </c>
      <c r="C25" s="16">
        <f>25/12</f>
        <v>2.0833333333333335</v>
      </c>
    </row>
    <row r="26" spans="2:3" ht="12.75">
      <c r="B26" s="15" t="s">
        <v>13</v>
      </c>
      <c r="C26" s="16">
        <v>45</v>
      </c>
    </row>
    <row r="27" spans="2:3" ht="12.75">
      <c r="B27" s="15" t="s">
        <v>139</v>
      </c>
      <c r="C27" s="23">
        <v>25.8</v>
      </c>
    </row>
    <row r="28" spans="2:3" ht="12.75">
      <c r="B28" s="15" t="s">
        <v>140</v>
      </c>
      <c r="C28" s="16">
        <v>576.1</v>
      </c>
    </row>
    <row r="29" ht="12.75" customHeight="1"/>
    <row r="30" spans="2:3" ht="12.75">
      <c r="B30" s="15" t="s">
        <v>14</v>
      </c>
      <c r="C30" s="15" t="s">
        <v>170</v>
      </c>
    </row>
    <row r="31" spans="2:12" s="42" customFormat="1" ht="25.5">
      <c r="B31" s="42" t="s">
        <v>181</v>
      </c>
      <c r="D31" s="45"/>
      <c r="E31" s="45"/>
      <c r="F31" s="45"/>
      <c r="G31" s="45"/>
      <c r="H31" s="45"/>
      <c r="I31" s="45"/>
      <c r="J31" s="45"/>
      <c r="K31" s="45"/>
      <c r="L31" s="45"/>
    </row>
    <row r="32" ht="12.75" customHeight="1"/>
    <row r="53" ht="12.75">
      <c r="C53" s="19"/>
    </row>
  </sheetData>
  <printOptions headings="1" horizontalCentered="1"/>
  <pageMargins left="0.25" right="0.25" top="0.5" bottom="0.5" header="0.25" footer="0.25"/>
  <pageSetup horizontalDpi="600" verticalDpi="600" orientation="portrait" pageOrder="overThenDown" scale="80" r:id="rId1"/>
  <headerFooter alignWithMargins="0">
    <oddFooter>&amp;C&amp;P, &amp;A, 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L42"/>
  <sheetViews>
    <sheetView workbookViewId="0" topLeftCell="B1">
      <selection activeCell="C5" sqref="C5"/>
    </sheetView>
  </sheetViews>
  <sheetFormatPr defaultColWidth="9.140625" defaultRowHeight="12.75"/>
  <cols>
    <col min="1" max="1" width="9.140625" style="1" hidden="1" customWidth="1"/>
    <col min="2" max="2" width="22.7109375" style="1" customWidth="1"/>
    <col min="3" max="3" width="63.7109375" style="1" customWidth="1"/>
    <col min="4" max="16384" width="9.140625" style="1" customWidth="1"/>
  </cols>
  <sheetData>
    <row r="1" ht="12.75">
      <c r="B1" s="55" t="s">
        <v>189</v>
      </c>
    </row>
    <row r="3" ht="12.75">
      <c r="B3" s="44" t="s">
        <v>106</v>
      </c>
    </row>
    <row r="4" ht="12.75">
      <c r="B4" s="44"/>
    </row>
    <row r="5" spans="2:12" s="17" customFormat="1" ht="12.75">
      <c r="B5" s="17" t="s">
        <v>15</v>
      </c>
      <c r="C5" s="18" t="s">
        <v>216</v>
      </c>
      <c r="D5" s="1"/>
      <c r="E5" s="1"/>
      <c r="F5" s="1"/>
      <c r="G5" s="1"/>
      <c r="H5" s="1"/>
      <c r="I5" s="1"/>
      <c r="J5" s="1"/>
      <c r="K5" s="1"/>
      <c r="L5" s="1"/>
    </row>
    <row r="6" spans="2:12" s="15" customFormat="1" ht="12.75">
      <c r="B6" s="15" t="s">
        <v>16</v>
      </c>
      <c r="C6" s="15" t="s">
        <v>217</v>
      </c>
      <c r="D6" s="1"/>
      <c r="E6" s="1"/>
      <c r="F6" s="1"/>
      <c r="G6" s="1"/>
      <c r="H6" s="1"/>
      <c r="I6" s="1"/>
      <c r="J6" s="1"/>
      <c r="K6" s="1"/>
      <c r="L6" s="1"/>
    </row>
    <row r="7" spans="2:12" s="15" customFormat="1" ht="12.75">
      <c r="B7" s="15" t="s">
        <v>17</v>
      </c>
      <c r="C7" s="15" t="s">
        <v>217</v>
      </c>
      <c r="D7" s="1"/>
      <c r="E7" s="1"/>
      <c r="F7" s="1"/>
      <c r="G7" s="1"/>
      <c r="H7" s="1"/>
      <c r="I7" s="1"/>
      <c r="J7" s="1"/>
      <c r="K7" s="1"/>
      <c r="L7" s="1"/>
    </row>
    <row r="8" spans="2:12" s="15" customFormat="1" ht="12.75">
      <c r="B8" s="15" t="s">
        <v>40</v>
      </c>
      <c r="C8" s="19">
        <v>35328</v>
      </c>
      <c r="D8" s="1"/>
      <c r="E8" s="1"/>
      <c r="F8" s="1"/>
      <c r="G8" s="1"/>
      <c r="H8" s="1"/>
      <c r="I8" s="1"/>
      <c r="J8" s="1"/>
      <c r="K8" s="1"/>
      <c r="L8" s="1"/>
    </row>
    <row r="9" spans="2:12" s="15" customFormat="1" ht="12.75">
      <c r="B9" s="15" t="s">
        <v>186</v>
      </c>
      <c r="C9" s="43">
        <v>35309</v>
      </c>
      <c r="D9" s="1"/>
      <c r="E9" s="1"/>
      <c r="F9" s="1"/>
      <c r="G9" s="1"/>
      <c r="H9" s="1"/>
      <c r="I9" s="1"/>
      <c r="J9" s="1"/>
      <c r="K9" s="1"/>
      <c r="L9" s="1"/>
    </row>
    <row r="10" spans="2:12" s="15" customFormat="1" ht="12.75">
      <c r="B10" s="15" t="s">
        <v>18</v>
      </c>
      <c r="C10" s="15" t="s">
        <v>218</v>
      </c>
      <c r="D10" s="1"/>
      <c r="E10" s="1"/>
      <c r="F10" s="1"/>
      <c r="G10" s="1"/>
      <c r="H10" s="1"/>
      <c r="I10" s="1"/>
      <c r="J10" s="1"/>
      <c r="K10" s="1"/>
      <c r="L10" s="1"/>
    </row>
    <row r="11" spans="2:12" s="15" customFormat="1" ht="25.5" customHeight="1">
      <c r="B11" s="15" t="s">
        <v>19</v>
      </c>
      <c r="C11" s="42" t="s">
        <v>171</v>
      </c>
      <c r="D11" s="1"/>
      <c r="E11" s="1"/>
      <c r="F11" s="1"/>
      <c r="G11" s="1"/>
      <c r="H11" s="1"/>
      <c r="I11" s="1"/>
      <c r="J11" s="1"/>
      <c r="K11" s="1"/>
      <c r="L11" s="1"/>
    </row>
    <row r="12" spans="3:12" s="15" customFormat="1" ht="12.75" customHeight="1">
      <c r="C12" s="42"/>
      <c r="D12" s="1"/>
      <c r="E12" s="1"/>
      <c r="F12" s="1"/>
      <c r="G12" s="1"/>
      <c r="H12" s="1"/>
      <c r="I12" s="1"/>
      <c r="J12" s="1"/>
      <c r="K12" s="1"/>
      <c r="L12" s="1"/>
    </row>
    <row r="13" spans="2:12" s="15" customFormat="1" ht="12.75">
      <c r="B13" s="44" t="s">
        <v>107</v>
      </c>
      <c r="D13" s="1"/>
      <c r="E13" s="1"/>
      <c r="F13" s="1"/>
      <c r="G13" s="1"/>
      <c r="H13" s="1"/>
      <c r="I13" s="1"/>
      <c r="J13" s="1"/>
      <c r="K13" s="1"/>
      <c r="L13" s="1"/>
    </row>
    <row r="14" ht="12.75">
      <c r="B14" s="44"/>
    </row>
    <row r="15" spans="2:12" s="17" customFormat="1" ht="12.75">
      <c r="B15" s="17" t="s">
        <v>15</v>
      </c>
      <c r="C15" s="18" t="s">
        <v>182</v>
      </c>
      <c r="D15" s="1"/>
      <c r="E15" s="1"/>
      <c r="F15" s="1"/>
      <c r="G15" s="1"/>
      <c r="H15" s="1"/>
      <c r="I15" s="1"/>
      <c r="J15" s="1"/>
      <c r="K15" s="1"/>
      <c r="L15" s="1"/>
    </row>
    <row r="16" spans="2:12" s="15" customFormat="1" ht="12.75">
      <c r="B16" s="15" t="s">
        <v>16</v>
      </c>
      <c r="C16" s="15" t="s">
        <v>101</v>
      </c>
      <c r="D16" s="1"/>
      <c r="E16" s="1"/>
      <c r="F16" s="1"/>
      <c r="G16" s="1"/>
      <c r="H16" s="1"/>
      <c r="I16" s="1"/>
      <c r="J16" s="1"/>
      <c r="K16" s="1"/>
      <c r="L16" s="1"/>
    </row>
    <row r="17" spans="2:12" s="15" customFormat="1" ht="12.75">
      <c r="B17" s="15" t="s">
        <v>17</v>
      </c>
      <c r="C17" s="15" t="s">
        <v>101</v>
      </c>
      <c r="D17" s="1"/>
      <c r="E17" s="1"/>
      <c r="F17" s="1"/>
      <c r="G17" s="1"/>
      <c r="H17" s="1"/>
      <c r="I17" s="1"/>
      <c r="J17" s="1"/>
      <c r="K17" s="1"/>
      <c r="L17" s="1"/>
    </row>
    <row r="18" spans="2:12" s="15" customFormat="1" ht="12.75">
      <c r="B18" s="15" t="s">
        <v>40</v>
      </c>
      <c r="C18" s="19">
        <v>35971</v>
      </c>
      <c r="D18" s="1"/>
      <c r="E18" s="1"/>
      <c r="F18" s="1"/>
      <c r="G18" s="1"/>
      <c r="H18" s="1"/>
      <c r="I18" s="1"/>
      <c r="J18" s="1"/>
      <c r="K18" s="1"/>
      <c r="L18" s="1"/>
    </row>
    <row r="19" spans="2:12" s="15" customFormat="1" ht="12.75">
      <c r="B19" s="15" t="s">
        <v>186</v>
      </c>
      <c r="C19" s="43">
        <v>35947</v>
      </c>
      <c r="D19" s="1"/>
      <c r="E19" s="1"/>
      <c r="F19" s="1"/>
      <c r="G19" s="1"/>
      <c r="H19" s="1"/>
      <c r="I19" s="1"/>
      <c r="J19" s="1"/>
      <c r="K19" s="1"/>
      <c r="L19" s="1"/>
    </row>
    <row r="20" spans="2:12" s="15" customFormat="1" ht="12.75">
      <c r="B20" s="15" t="s">
        <v>17</v>
      </c>
      <c r="C20" s="19" t="s">
        <v>101</v>
      </c>
      <c r="D20" s="1"/>
      <c r="E20" s="1"/>
      <c r="F20" s="1"/>
      <c r="G20" s="1"/>
      <c r="H20" s="1"/>
      <c r="I20" s="1"/>
      <c r="J20" s="1"/>
      <c r="K20" s="1"/>
      <c r="L20" s="1"/>
    </row>
    <row r="21" spans="2:12" s="15" customFormat="1" ht="12.75">
      <c r="B21" s="15" t="s">
        <v>18</v>
      </c>
      <c r="C21" s="15" t="s">
        <v>124</v>
      </c>
      <c r="D21" s="1"/>
      <c r="E21" s="1"/>
      <c r="F21" s="1"/>
      <c r="G21" s="1"/>
      <c r="H21" s="1"/>
      <c r="I21" s="1"/>
      <c r="J21" s="1"/>
      <c r="K21" s="1"/>
      <c r="L21" s="1"/>
    </row>
    <row r="22" spans="2:12" s="15" customFormat="1" ht="12.75">
      <c r="B22" s="15" t="s">
        <v>19</v>
      </c>
      <c r="C22" s="15" t="s">
        <v>125</v>
      </c>
      <c r="D22" s="1"/>
      <c r="E22" s="1"/>
      <c r="F22" s="1"/>
      <c r="G22" s="1"/>
      <c r="H22" s="1"/>
      <c r="I22" s="1"/>
      <c r="J22" s="1"/>
      <c r="K22" s="1"/>
      <c r="L22" s="1"/>
    </row>
    <row r="23" spans="4:12" s="15" customFormat="1" ht="12.75">
      <c r="D23" s="1"/>
      <c r="E23" s="1"/>
      <c r="F23" s="1"/>
      <c r="G23" s="1"/>
      <c r="H23" s="1"/>
      <c r="I23" s="1"/>
      <c r="J23" s="1"/>
      <c r="K23" s="1"/>
      <c r="L23" s="1"/>
    </row>
    <row r="24" spans="2:12" s="15" customFormat="1" ht="12.75">
      <c r="B24" s="44" t="s">
        <v>108</v>
      </c>
      <c r="D24" s="1"/>
      <c r="E24" s="1"/>
      <c r="F24" s="1"/>
      <c r="G24" s="1"/>
      <c r="H24" s="1"/>
      <c r="I24" s="1"/>
      <c r="J24" s="1"/>
      <c r="K24" s="1"/>
      <c r="L24" s="1"/>
    </row>
    <row r="25" ht="12.75">
      <c r="B25" s="44"/>
    </row>
    <row r="26" spans="2:12" s="17" customFormat="1" ht="12.75">
      <c r="B26" s="17" t="s">
        <v>15</v>
      </c>
      <c r="C26" s="18" t="s">
        <v>182</v>
      </c>
      <c r="D26" s="1"/>
      <c r="E26" s="1"/>
      <c r="F26" s="1"/>
      <c r="G26" s="1"/>
      <c r="H26" s="1"/>
      <c r="I26" s="1"/>
      <c r="J26" s="1"/>
      <c r="K26" s="1"/>
      <c r="L26" s="1"/>
    </row>
    <row r="27" spans="2:12" s="15" customFormat="1" ht="12.75">
      <c r="B27" s="15" t="s">
        <v>16</v>
      </c>
      <c r="C27" s="15" t="s">
        <v>101</v>
      </c>
      <c r="D27" s="1"/>
      <c r="E27" s="1"/>
      <c r="F27" s="1"/>
      <c r="G27" s="1"/>
      <c r="H27" s="1"/>
      <c r="I27" s="1"/>
      <c r="J27" s="1"/>
      <c r="K27" s="1"/>
      <c r="L27" s="1"/>
    </row>
    <row r="28" spans="2:12" s="15" customFormat="1" ht="12.75">
      <c r="B28" s="15" t="s">
        <v>17</v>
      </c>
      <c r="C28" s="15" t="s">
        <v>101</v>
      </c>
      <c r="D28" s="1"/>
      <c r="E28" s="1"/>
      <c r="F28" s="1"/>
      <c r="G28" s="1"/>
      <c r="H28" s="1"/>
      <c r="I28" s="1"/>
      <c r="J28" s="1"/>
      <c r="K28" s="1"/>
      <c r="L28" s="1"/>
    </row>
    <row r="29" spans="2:12" s="15" customFormat="1" ht="12.75">
      <c r="B29" s="15" t="s">
        <v>40</v>
      </c>
      <c r="C29" s="19" t="s">
        <v>117</v>
      </c>
      <c r="D29" s="1"/>
      <c r="E29" s="1"/>
      <c r="F29" s="1"/>
      <c r="G29" s="1"/>
      <c r="H29" s="1"/>
      <c r="I29" s="1"/>
      <c r="J29" s="1"/>
      <c r="K29" s="1"/>
      <c r="L29" s="1"/>
    </row>
    <row r="30" spans="2:12" s="15" customFormat="1" ht="12.75">
      <c r="B30" s="15" t="s">
        <v>186</v>
      </c>
      <c r="C30" s="43">
        <v>35947</v>
      </c>
      <c r="D30" s="1"/>
      <c r="E30" s="1"/>
      <c r="F30" s="1"/>
      <c r="G30" s="1"/>
      <c r="H30" s="1"/>
      <c r="I30" s="1"/>
      <c r="J30" s="1"/>
      <c r="K30" s="1"/>
      <c r="L30" s="1"/>
    </row>
    <row r="31" spans="2:12" s="15" customFormat="1" ht="12.75">
      <c r="B31" s="15" t="s">
        <v>18</v>
      </c>
      <c r="C31" s="15" t="s">
        <v>172</v>
      </c>
      <c r="D31" s="1"/>
      <c r="E31" s="1"/>
      <c r="F31" s="1"/>
      <c r="G31" s="1"/>
      <c r="H31" s="1"/>
      <c r="I31" s="1"/>
      <c r="J31" s="1"/>
      <c r="K31" s="1"/>
      <c r="L31" s="1"/>
    </row>
    <row r="32" spans="2:12" s="17" customFormat="1" ht="25.5">
      <c r="B32" s="17" t="s">
        <v>19</v>
      </c>
      <c r="C32" s="17" t="s">
        <v>132</v>
      </c>
      <c r="D32" s="1"/>
      <c r="E32" s="1"/>
      <c r="F32" s="1"/>
      <c r="G32" s="1"/>
      <c r="H32" s="1"/>
      <c r="I32" s="1"/>
      <c r="J32" s="1"/>
      <c r="K32" s="1"/>
      <c r="L32" s="1"/>
    </row>
    <row r="34" spans="2:3" ht="12.75">
      <c r="B34" s="44" t="s">
        <v>219</v>
      </c>
      <c r="C34" s="15"/>
    </row>
    <row r="35" ht="12.75">
      <c r="B35" s="44"/>
    </row>
    <row r="36" spans="2:3" ht="12.75">
      <c r="B36" s="17" t="s">
        <v>15</v>
      </c>
      <c r="C36" s="18" t="s">
        <v>220</v>
      </c>
    </row>
    <row r="37" spans="2:3" ht="12.75">
      <c r="B37" s="15" t="s">
        <v>16</v>
      </c>
      <c r="C37" s="15" t="s">
        <v>101</v>
      </c>
    </row>
    <row r="38" spans="2:3" ht="12.75">
      <c r="B38" s="15" t="s">
        <v>17</v>
      </c>
      <c r="C38" s="15" t="s">
        <v>101</v>
      </c>
    </row>
    <row r="39" spans="2:3" ht="12.75">
      <c r="B39" s="15" t="s">
        <v>40</v>
      </c>
      <c r="C39" s="19">
        <v>37402</v>
      </c>
    </row>
    <row r="40" spans="2:3" ht="12.75">
      <c r="B40" s="15" t="s">
        <v>186</v>
      </c>
      <c r="C40" s="43">
        <v>37378</v>
      </c>
    </row>
    <row r="41" spans="2:3" ht="12.75">
      <c r="B41" s="15" t="s">
        <v>18</v>
      </c>
      <c r="C41" s="15" t="s">
        <v>221</v>
      </c>
    </row>
    <row r="42" spans="2:3" ht="12.75">
      <c r="B42" s="17" t="s">
        <v>19</v>
      </c>
      <c r="C42" s="17" t="s">
        <v>222</v>
      </c>
    </row>
  </sheetData>
  <printOptions headings="1" horizontalCentered="1"/>
  <pageMargins left="0.25" right="0.25" top="0.5" bottom="0.5" header="0.25" footer="0.25"/>
  <pageSetup horizontalDpi="600" verticalDpi="600" orientation="portrait" pageOrder="overThenDown" scale="80" r:id="rId1"/>
  <headerFooter alignWithMargins="0">
    <oddFooter>&amp;C&amp;P, &amp;A, 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118"/>
  <sheetViews>
    <sheetView zoomScale="75" zoomScaleNormal="75" workbookViewId="0" topLeftCell="B57">
      <selection activeCell="C5" sqref="C5"/>
    </sheetView>
  </sheetViews>
  <sheetFormatPr defaultColWidth="9.140625" defaultRowHeight="12.75"/>
  <cols>
    <col min="1" max="1" width="4.57421875" style="5" customWidth="1"/>
    <col min="2" max="2" width="23.7109375" style="5" customWidth="1"/>
    <col min="3" max="3" width="13.140625" style="5" customWidth="1"/>
    <col min="4" max="4" width="8.421875" style="4" customWidth="1"/>
    <col min="5" max="5" width="6.421875" style="4" customWidth="1"/>
    <col min="6" max="6" width="3.00390625" style="4" customWidth="1"/>
    <col min="7" max="7" width="8.140625" style="5" customWidth="1"/>
    <col min="8" max="8" width="3.28125" style="5" customWidth="1"/>
    <col min="9" max="9" width="8.7109375" style="5" customWidth="1"/>
    <col min="10" max="10" width="3.57421875" style="5" customWidth="1"/>
    <col min="11" max="11" width="9.7109375" style="5" customWidth="1"/>
    <col min="12" max="12" width="3.421875" style="5" customWidth="1"/>
    <col min="13" max="13" width="10.140625" style="5" customWidth="1"/>
    <col min="14" max="16384" width="8.8515625" style="5" customWidth="1"/>
  </cols>
  <sheetData>
    <row r="1" spans="2:3" ht="12.75">
      <c r="B1" s="3" t="s">
        <v>50</v>
      </c>
      <c r="C1" s="3"/>
    </row>
    <row r="2" spans="2:12" ht="12.75">
      <c r="B2" s="6"/>
      <c r="C2" s="6"/>
      <c r="G2" s="6"/>
      <c r="H2" s="6"/>
      <c r="I2" s="6"/>
      <c r="J2" s="6"/>
      <c r="K2" s="6"/>
      <c r="L2" s="6"/>
    </row>
    <row r="3" spans="2:5" ht="12.75">
      <c r="B3" s="15"/>
      <c r="C3" s="15" t="s">
        <v>145</v>
      </c>
      <c r="D3" s="4" t="s">
        <v>20</v>
      </c>
      <c r="E3" s="4" t="s">
        <v>135</v>
      </c>
    </row>
    <row r="4" spans="2:3" ht="12.75">
      <c r="B4" s="15"/>
      <c r="C4" s="15"/>
    </row>
    <row r="5" spans="2:13" ht="12.75">
      <c r="B5" s="15"/>
      <c r="C5" s="15"/>
      <c r="G5" s="6"/>
      <c r="H5" s="6"/>
      <c r="I5" s="6" t="s">
        <v>131</v>
      </c>
      <c r="J5" s="6"/>
      <c r="K5" s="6"/>
      <c r="L5" s="7"/>
      <c r="M5" s="7"/>
    </row>
    <row r="6" spans="1:13" ht="12.75">
      <c r="A6" s="5">
        <v>10</v>
      </c>
      <c r="B6" s="8" t="s">
        <v>106</v>
      </c>
      <c r="C6" s="8"/>
      <c r="D6" s="5"/>
      <c r="E6" s="5"/>
      <c r="G6" s="6" t="s">
        <v>183</v>
      </c>
      <c r="H6" s="4"/>
      <c r="I6" s="6" t="s">
        <v>184</v>
      </c>
      <c r="J6" s="4"/>
      <c r="K6" s="6" t="s">
        <v>185</v>
      </c>
      <c r="L6" s="7"/>
      <c r="M6" s="6" t="s">
        <v>28</v>
      </c>
    </row>
    <row r="7" spans="2:13" ht="12.75">
      <c r="B7" s="4"/>
      <c r="C7" s="4"/>
      <c r="D7" s="15"/>
      <c r="E7" s="15"/>
      <c r="F7" s="15"/>
      <c r="G7" s="15"/>
      <c r="H7" s="15"/>
      <c r="I7" s="15"/>
      <c r="J7" s="15"/>
      <c r="K7" s="15"/>
      <c r="L7" s="7"/>
      <c r="M7" s="7"/>
    </row>
    <row r="8" spans="2:13" ht="12.75">
      <c r="B8" s="4" t="s">
        <v>21</v>
      </c>
      <c r="C8" s="4" t="s">
        <v>194</v>
      </c>
      <c r="D8" s="4" t="s">
        <v>22</v>
      </c>
      <c r="E8" s="4" t="s">
        <v>23</v>
      </c>
      <c r="G8" s="22">
        <v>0.0397</v>
      </c>
      <c r="H8" s="22"/>
      <c r="I8" s="22">
        <v>0.0982</v>
      </c>
      <c r="J8" s="22"/>
      <c r="K8" s="22">
        <v>0.0421</v>
      </c>
      <c r="L8" s="22"/>
      <c r="M8" s="22">
        <v>0.0529</v>
      </c>
    </row>
    <row r="9" spans="2:13" ht="12.75">
      <c r="B9" s="4" t="s">
        <v>153</v>
      </c>
      <c r="C9" s="4" t="s">
        <v>194</v>
      </c>
      <c r="D9" s="4" t="s">
        <v>24</v>
      </c>
      <c r="E9" s="4" t="s">
        <v>23</v>
      </c>
      <c r="G9" s="7">
        <v>0.6</v>
      </c>
      <c r="H9" s="7"/>
      <c r="I9" s="7">
        <v>31.9</v>
      </c>
      <c r="J9" s="7"/>
      <c r="K9" s="7">
        <v>0.1</v>
      </c>
      <c r="L9" s="7"/>
      <c r="M9" s="9">
        <f>AVERAGE(K9,I9,G9)</f>
        <v>10.866666666666667</v>
      </c>
    </row>
    <row r="10" spans="2:13" ht="12.75">
      <c r="B10" s="47" t="s">
        <v>207</v>
      </c>
      <c r="C10" s="4"/>
      <c r="D10" s="4" t="s">
        <v>42</v>
      </c>
      <c r="G10" s="7">
        <f>0.23/453.593</f>
        <v>0.0005070624987599015</v>
      </c>
      <c r="H10" s="7"/>
      <c r="I10" s="7">
        <f>1.92/453.593</f>
        <v>0.004232869554865264</v>
      </c>
      <c r="J10" s="7"/>
      <c r="K10" s="7">
        <f>0.38/453.593</f>
        <v>0.0008377554327337502</v>
      </c>
      <c r="L10" s="7"/>
      <c r="M10" s="48">
        <f aca="true" t="shared" si="0" ref="M10:M22">AVERAGE(K10,I10,G10)</f>
        <v>0.0018592291621196385</v>
      </c>
    </row>
    <row r="11" spans="2:13" ht="12.75">
      <c r="B11" s="4"/>
      <c r="C11" s="4"/>
      <c r="G11" s="7"/>
      <c r="H11" s="7"/>
      <c r="I11" s="7"/>
      <c r="J11" s="7"/>
      <c r="K11" s="7"/>
      <c r="L11" s="7"/>
      <c r="M11" s="9"/>
    </row>
    <row r="12" spans="2:13" ht="12.75">
      <c r="B12" s="4" t="s">
        <v>154</v>
      </c>
      <c r="C12" s="4" t="s">
        <v>21</v>
      </c>
      <c r="D12" s="4" t="s">
        <v>194</v>
      </c>
      <c r="G12" s="7"/>
      <c r="H12" s="7"/>
      <c r="I12" s="7"/>
      <c r="J12" s="7"/>
      <c r="K12" s="7"/>
      <c r="L12" s="7"/>
      <c r="M12" s="9"/>
    </row>
    <row r="13" spans="2:13" ht="12.75">
      <c r="B13" s="4" t="s">
        <v>144</v>
      </c>
      <c r="C13" s="4"/>
      <c r="D13" s="4" t="s">
        <v>25</v>
      </c>
      <c r="G13" s="4">
        <v>14050</v>
      </c>
      <c r="H13" s="7"/>
      <c r="I13" s="10">
        <v>12444</v>
      </c>
      <c r="J13" s="10"/>
      <c r="K13" s="7">
        <v>12828</v>
      </c>
      <c r="L13" s="7"/>
      <c r="M13" s="9">
        <f t="shared" si="0"/>
        <v>13107.333333333334</v>
      </c>
    </row>
    <row r="14" spans="2:13" ht="12.75">
      <c r="B14" s="4" t="s">
        <v>146</v>
      </c>
      <c r="C14" s="4"/>
      <c r="D14" s="4" t="s">
        <v>26</v>
      </c>
      <c r="G14" s="7">
        <v>4.55</v>
      </c>
      <c r="H14" s="7"/>
      <c r="I14" s="7">
        <v>5.1</v>
      </c>
      <c r="J14" s="7"/>
      <c r="K14" s="7">
        <v>4.75</v>
      </c>
      <c r="L14" s="7"/>
      <c r="M14" s="9">
        <f t="shared" si="0"/>
        <v>4.8</v>
      </c>
    </row>
    <row r="15" spans="2:13" ht="12.75">
      <c r="B15" s="4" t="s">
        <v>147</v>
      </c>
      <c r="C15" s="4"/>
      <c r="D15" s="4" t="s">
        <v>26</v>
      </c>
      <c r="G15" s="7">
        <v>15.7</v>
      </c>
      <c r="H15" s="7"/>
      <c r="I15" s="7">
        <v>19.1</v>
      </c>
      <c r="J15" s="7"/>
      <c r="K15" s="7">
        <v>18.7</v>
      </c>
      <c r="L15" s="7"/>
      <c r="M15" s="9">
        <f t="shared" si="0"/>
        <v>17.833333333333332</v>
      </c>
    </row>
    <row r="16" spans="2:13" ht="12.75">
      <c r="B16" s="4" t="s">
        <v>143</v>
      </c>
      <c r="C16" s="4"/>
      <c r="D16" s="4" t="s">
        <v>27</v>
      </c>
      <c r="G16" s="7">
        <v>791.9</v>
      </c>
      <c r="H16" s="7"/>
      <c r="I16" s="7">
        <v>802.1</v>
      </c>
      <c r="J16" s="7"/>
      <c r="K16" s="7">
        <v>806.9</v>
      </c>
      <c r="L16" s="7"/>
      <c r="M16" s="9">
        <f t="shared" si="0"/>
        <v>800.3000000000001</v>
      </c>
    </row>
    <row r="17" spans="2:13" ht="12.75">
      <c r="B17" s="4"/>
      <c r="C17" s="4"/>
      <c r="G17" s="7"/>
      <c r="H17" s="7"/>
      <c r="I17" s="7"/>
      <c r="J17" s="7"/>
      <c r="K17" s="7"/>
      <c r="L17" s="7"/>
      <c r="M17" s="9"/>
    </row>
    <row r="18" spans="2:13" ht="12.75">
      <c r="B18" s="4" t="s">
        <v>154</v>
      </c>
      <c r="C18" s="4" t="s">
        <v>173</v>
      </c>
      <c r="D18" s="4" t="s">
        <v>195</v>
      </c>
      <c r="G18" s="7"/>
      <c r="H18" s="7"/>
      <c r="I18" s="7"/>
      <c r="J18" s="7"/>
      <c r="K18" s="7"/>
      <c r="L18" s="7"/>
      <c r="M18" s="9"/>
    </row>
    <row r="19" spans="2:13" ht="12.75">
      <c r="B19" s="4" t="s">
        <v>144</v>
      </c>
      <c r="C19" s="4"/>
      <c r="D19" s="4" t="s">
        <v>25</v>
      </c>
      <c r="G19" s="7">
        <v>14069</v>
      </c>
      <c r="H19" s="7"/>
      <c r="I19" s="7">
        <v>14221</v>
      </c>
      <c r="J19" s="7"/>
      <c r="K19" s="7">
        <v>13722</v>
      </c>
      <c r="L19" s="7"/>
      <c r="M19" s="9">
        <f t="shared" si="0"/>
        <v>14004</v>
      </c>
    </row>
    <row r="20" spans="2:13" ht="12.75">
      <c r="B20" s="4" t="s">
        <v>146</v>
      </c>
      <c r="C20" s="4"/>
      <c r="D20" s="4" t="s">
        <v>26</v>
      </c>
      <c r="G20" s="7">
        <v>4.55</v>
      </c>
      <c r="H20" s="7"/>
      <c r="I20" s="7">
        <v>5.1</v>
      </c>
      <c r="J20" s="7"/>
      <c r="K20" s="7">
        <v>4.75</v>
      </c>
      <c r="L20" s="7"/>
      <c r="M20" s="9">
        <f t="shared" si="0"/>
        <v>4.8</v>
      </c>
    </row>
    <row r="21" spans="2:13" ht="12.75">
      <c r="B21" s="4" t="s">
        <v>147</v>
      </c>
      <c r="C21" s="4"/>
      <c r="D21" s="4" t="s">
        <v>26</v>
      </c>
      <c r="G21" s="7">
        <v>16.3</v>
      </c>
      <c r="H21" s="7"/>
      <c r="I21" s="7">
        <v>15</v>
      </c>
      <c r="J21" s="7"/>
      <c r="K21" s="7">
        <v>18.7</v>
      </c>
      <c r="L21" s="7"/>
      <c r="M21" s="9">
        <f t="shared" si="0"/>
        <v>16.666666666666668</v>
      </c>
    </row>
    <row r="22" spans="2:13" ht="12.75">
      <c r="B22" s="4" t="s">
        <v>143</v>
      </c>
      <c r="C22" s="4"/>
      <c r="D22" s="4" t="s">
        <v>27</v>
      </c>
      <c r="G22" s="7">
        <v>793.5</v>
      </c>
      <c r="H22" s="7"/>
      <c r="I22" s="7">
        <v>803.8</v>
      </c>
      <c r="J22" s="7"/>
      <c r="K22" s="7">
        <v>807.4</v>
      </c>
      <c r="L22" s="7"/>
      <c r="M22" s="9">
        <f t="shared" si="0"/>
        <v>801.5666666666666</v>
      </c>
    </row>
    <row r="23" spans="2:13" ht="12.75">
      <c r="B23" s="4"/>
      <c r="C23" s="4"/>
      <c r="G23" s="7"/>
      <c r="H23" s="7"/>
      <c r="I23" s="7"/>
      <c r="J23" s="7"/>
      <c r="K23" s="7"/>
      <c r="L23" s="7"/>
      <c r="M23" s="9"/>
    </row>
    <row r="24" spans="2:13" ht="12.75">
      <c r="B24" s="4"/>
      <c r="C24" s="4"/>
      <c r="G24" s="7"/>
      <c r="H24" s="7"/>
      <c r="I24" s="7"/>
      <c r="J24" s="7"/>
      <c r="K24" s="7"/>
      <c r="L24" s="7"/>
      <c r="M24" s="9"/>
    </row>
    <row r="25" spans="2:13" ht="12.75">
      <c r="B25" s="47" t="s">
        <v>207</v>
      </c>
      <c r="C25" s="4" t="s">
        <v>195</v>
      </c>
      <c r="D25" s="4" t="s">
        <v>55</v>
      </c>
      <c r="E25" s="4" t="s">
        <v>23</v>
      </c>
      <c r="G25" s="60">
        <f>0.23*35.3145</f>
        <v>8.122335000000001</v>
      </c>
      <c r="H25" s="60"/>
      <c r="I25" s="60">
        <f>1.98*35.3145</f>
        <v>69.92271000000001</v>
      </c>
      <c r="J25" s="60"/>
      <c r="K25" s="60">
        <f>0.4*35.3145</f>
        <v>14.125800000000002</v>
      </c>
      <c r="L25" s="7"/>
      <c r="M25" s="9">
        <f>AVERAGE(K25,I25,G25)</f>
        <v>30.723615000000006</v>
      </c>
    </row>
    <row r="26" spans="2:13" ht="12.75">
      <c r="B26" s="4"/>
      <c r="C26" s="4"/>
      <c r="G26" s="7"/>
      <c r="H26" s="4"/>
      <c r="I26" s="7"/>
      <c r="J26" s="4"/>
      <c r="K26" s="7"/>
      <c r="L26" s="7"/>
      <c r="M26" s="9"/>
    </row>
    <row r="27" spans="1:13" ht="12.75">
      <c r="A27" s="5">
        <v>11</v>
      </c>
      <c r="B27" s="8" t="s">
        <v>107</v>
      </c>
      <c r="C27" s="8"/>
      <c r="G27" s="6" t="s">
        <v>183</v>
      </c>
      <c r="H27" s="4"/>
      <c r="I27" s="6" t="s">
        <v>184</v>
      </c>
      <c r="J27" s="4"/>
      <c r="K27" s="6" t="s">
        <v>185</v>
      </c>
      <c r="L27" s="7"/>
      <c r="M27" s="6" t="s">
        <v>28</v>
      </c>
    </row>
    <row r="28" spans="2:13" ht="12.75">
      <c r="B28" s="4"/>
      <c r="C28" s="4"/>
      <c r="D28" s="15"/>
      <c r="E28" s="15"/>
      <c r="F28" s="15"/>
      <c r="G28" s="15"/>
      <c r="H28" s="15"/>
      <c r="I28" s="15"/>
      <c r="J28" s="15"/>
      <c r="K28" s="15"/>
      <c r="L28" s="7"/>
      <c r="M28" s="9"/>
    </row>
    <row r="29" spans="2:13" ht="12.75">
      <c r="B29" s="4" t="s">
        <v>153</v>
      </c>
      <c r="C29" s="4" t="s">
        <v>194</v>
      </c>
      <c r="D29" s="4" t="s">
        <v>24</v>
      </c>
      <c r="E29" s="4" t="s">
        <v>23</v>
      </c>
      <c r="G29" s="7">
        <v>26.37</v>
      </c>
      <c r="H29" s="7"/>
      <c r="I29" s="7">
        <v>27.47</v>
      </c>
      <c r="J29" s="7"/>
      <c r="K29" s="7">
        <v>21.86</v>
      </c>
      <c r="L29" s="7"/>
      <c r="M29" s="9">
        <f>AVERAGE(K29,I29,G29)</f>
        <v>25.233333333333334</v>
      </c>
    </row>
    <row r="30" spans="2:13" ht="12.75">
      <c r="B30" s="4"/>
      <c r="C30" s="4"/>
      <c r="G30" s="7"/>
      <c r="H30" s="7"/>
      <c r="I30" s="7"/>
      <c r="J30" s="7"/>
      <c r="K30" s="7"/>
      <c r="L30" s="7"/>
      <c r="M30" s="9"/>
    </row>
    <row r="31" spans="2:13" ht="12.75">
      <c r="B31" s="4" t="s">
        <v>154</v>
      </c>
      <c r="C31" s="4" t="s">
        <v>54</v>
      </c>
      <c r="D31" s="4" t="s">
        <v>194</v>
      </c>
      <c r="G31" s="7"/>
      <c r="H31" s="7"/>
      <c r="I31" s="7"/>
      <c r="J31" s="7"/>
      <c r="K31" s="7"/>
      <c r="L31" s="7"/>
      <c r="M31" s="9"/>
    </row>
    <row r="32" spans="2:13" ht="12.75">
      <c r="B32" s="4" t="s">
        <v>144</v>
      </c>
      <c r="C32" s="4"/>
      <c r="D32" s="4" t="s">
        <v>25</v>
      </c>
      <c r="G32" s="7">
        <v>7962</v>
      </c>
      <c r="H32" s="7"/>
      <c r="I32" s="10">
        <v>8472</v>
      </c>
      <c r="J32" s="10"/>
      <c r="K32" s="7">
        <v>8167</v>
      </c>
      <c r="L32" s="7"/>
      <c r="M32" s="9">
        <f>AVERAGE(K32,I32,G32)</f>
        <v>8200.333333333334</v>
      </c>
    </row>
    <row r="33" spans="2:13" ht="12.75">
      <c r="B33" s="4" t="s">
        <v>146</v>
      </c>
      <c r="C33" s="4"/>
      <c r="D33" s="4" t="s">
        <v>26</v>
      </c>
      <c r="G33" s="7">
        <v>10.1</v>
      </c>
      <c r="H33" s="7"/>
      <c r="I33" s="7">
        <v>10.2</v>
      </c>
      <c r="J33" s="7"/>
      <c r="K33" s="7">
        <v>10</v>
      </c>
      <c r="L33" s="7"/>
      <c r="M33" s="9">
        <f>AVERAGE(K33,I33,G33)</f>
        <v>10.1</v>
      </c>
    </row>
    <row r="34" spans="2:13" ht="12.75">
      <c r="B34" s="4" t="s">
        <v>147</v>
      </c>
      <c r="C34" s="4"/>
      <c r="D34" s="4" t="s">
        <v>26</v>
      </c>
      <c r="G34" s="7">
        <v>7.2</v>
      </c>
      <c r="H34" s="7"/>
      <c r="I34" s="7">
        <v>7.3</v>
      </c>
      <c r="J34" s="7"/>
      <c r="K34" s="7">
        <v>7.2</v>
      </c>
      <c r="M34" s="9">
        <f>AVERAGE(K34,I34,G34)</f>
        <v>7.233333333333333</v>
      </c>
    </row>
    <row r="35" spans="2:13" ht="12.75">
      <c r="B35" s="4" t="s">
        <v>143</v>
      </c>
      <c r="C35" s="4"/>
      <c r="D35" s="4" t="s">
        <v>27</v>
      </c>
      <c r="G35" s="7">
        <v>571.5</v>
      </c>
      <c r="H35" s="7"/>
      <c r="I35" s="7">
        <v>573.5</v>
      </c>
      <c r="J35" s="7"/>
      <c r="K35" s="7">
        <v>583.4</v>
      </c>
      <c r="M35" s="9">
        <f>AVERAGE(K35,I35,G35)</f>
        <v>576.1333333333333</v>
      </c>
    </row>
    <row r="37" spans="2:13" ht="12.75">
      <c r="B37" s="20" t="s">
        <v>60</v>
      </c>
      <c r="C37" s="20" t="s">
        <v>150</v>
      </c>
      <c r="D37" s="21"/>
      <c r="G37" s="7"/>
      <c r="H37" s="7"/>
      <c r="I37" s="10"/>
      <c r="J37" s="10"/>
      <c r="K37" s="7"/>
      <c r="M37" s="11"/>
    </row>
    <row r="38" spans="2:13" ht="12.75">
      <c r="B38" s="21" t="s">
        <v>29</v>
      </c>
      <c r="C38" s="21" t="s">
        <v>174</v>
      </c>
      <c r="D38" s="4" t="s">
        <v>42</v>
      </c>
      <c r="E38" s="5"/>
      <c r="F38" s="5"/>
      <c r="G38" s="11">
        <f>680400/453.593</f>
        <v>1500.023148505378</v>
      </c>
      <c r="H38" s="11"/>
      <c r="I38" s="11">
        <f>689472/453.593</f>
        <v>1520.0234571521164</v>
      </c>
      <c r="J38" s="11"/>
      <c r="K38" s="9">
        <f>680854/453.593</f>
        <v>1501.0240457855389</v>
      </c>
      <c r="M38" s="11"/>
    </row>
    <row r="39" spans="3:13" ht="12.75">
      <c r="C39" s="5" t="s">
        <v>175</v>
      </c>
      <c r="D39" s="4" t="s">
        <v>42</v>
      </c>
      <c r="E39" s="5"/>
      <c r="F39" s="5"/>
      <c r="G39" s="11">
        <f>3692/453.593</f>
        <v>8.139455414876332</v>
      </c>
      <c r="H39" s="11"/>
      <c r="I39" s="11">
        <f>3660/453.593</f>
        <v>8.06890758896191</v>
      </c>
      <c r="J39" s="11"/>
      <c r="K39" s="11">
        <f>3633/453.593</f>
        <v>8.009382860846618</v>
      </c>
      <c r="M39" s="11"/>
    </row>
    <row r="40" spans="2:13" ht="12.75">
      <c r="B40" s="21" t="s">
        <v>152</v>
      </c>
      <c r="C40" s="5" t="s">
        <v>194</v>
      </c>
      <c r="D40" s="21" t="s">
        <v>42</v>
      </c>
      <c r="F40" s="4" t="s">
        <v>32</v>
      </c>
      <c r="G40" s="7">
        <v>0.00014</v>
      </c>
      <c r="H40" s="4" t="s">
        <v>32</v>
      </c>
      <c r="I40" s="7">
        <v>0.000128</v>
      </c>
      <c r="J40" s="4" t="s">
        <v>32</v>
      </c>
      <c r="K40" s="7">
        <v>0.0001389</v>
      </c>
      <c r="M40" s="11"/>
    </row>
    <row r="41" spans="2:13" ht="12.75">
      <c r="B41" s="21" t="s">
        <v>54</v>
      </c>
      <c r="C41" s="5" t="s">
        <v>194</v>
      </c>
      <c r="D41" s="21" t="s">
        <v>26</v>
      </c>
      <c r="G41" s="7">
        <v>99.9983</v>
      </c>
      <c r="H41" s="4"/>
      <c r="I41" s="7">
        <v>99.9984</v>
      </c>
      <c r="J41" s="4"/>
      <c r="K41" s="7">
        <v>99.9983</v>
      </c>
      <c r="M41" s="11"/>
    </row>
    <row r="42" spans="2:13" ht="12.75">
      <c r="B42" s="21"/>
      <c r="C42" s="21"/>
      <c r="D42" s="21"/>
      <c r="G42" s="7"/>
      <c r="H42" s="4"/>
      <c r="I42" s="7"/>
      <c r="J42" s="4"/>
      <c r="K42" s="7"/>
      <c r="M42" s="11"/>
    </row>
    <row r="43" spans="2:12" ht="12.75">
      <c r="B43" s="5" t="s">
        <v>60</v>
      </c>
      <c r="C43" s="5" t="s">
        <v>151</v>
      </c>
      <c r="D43" s="5"/>
      <c r="G43" s="7"/>
      <c r="H43" s="4"/>
      <c r="I43" s="7"/>
      <c r="J43" s="4"/>
      <c r="K43" s="7"/>
      <c r="L43" s="7"/>
    </row>
    <row r="44" spans="2:13" ht="12.75">
      <c r="B44" s="21" t="s">
        <v>29</v>
      </c>
      <c r="C44" s="21" t="s">
        <v>174</v>
      </c>
      <c r="D44" s="5" t="s">
        <v>42</v>
      </c>
      <c r="E44" s="5"/>
      <c r="F44" s="5"/>
      <c r="G44" s="11">
        <f>680400/453.593</f>
        <v>1500.023148505378</v>
      </c>
      <c r="H44" s="11"/>
      <c r="I44" s="11">
        <f>689472/453.593</f>
        <v>1520.0234571521164</v>
      </c>
      <c r="J44" s="11"/>
      <c r="K44" s="11">
        <f>680854/453.593</f>
        <v>1501.0240457855389</v>
      </c>
      <c r="M44" s="11"/>
    </row>
    <row r="45" spans="2:13" ht="12.75">
      <c r="B45" s="21"/>
      <c r="C45" s="21" t="s">
        <v>175</v>
      </c>
      <c r="D45" s="5" t="s">
        <v>42</v>
      </c>
      <c r="E45" s="5"/>
      <c r="F45" s="5"/>
      <c r="G45" s="11">
        <f>5670/453.593</f>
        <v>12.500192904211485</v>
      </c>
      <c r="H45" s="11"/>
      <c r="I45" s="11">
        <f>5674/453.593</f>
        <v>12.509011382450787</v>
      </c>
      <c r="J45" s="11"/>
      <c r="K45" s="11">
        <f>5674/453.593</f>
        <v>12.509011382450787</v>
      </c>
      <c r="M45" s="11"/>
    </row>
    <row r="46" spans="2:13" ht="12.75">
      <c r="B46" s="21" t="s">
        <v>152</v>
      </c>
      <c r="C46" s="21" t="s">
        <v>194</v>
      </c>
      <c r="D46" s="21" t="s">
        <v>42</v>
      </c>
      <c r="F46" s="4" t="s">
        <v>32</v>
      </c>
      <c r="G46" s="49">
        <v>6E-05</v>
      </c>
      <c r="H46" s="4" t="s">
        <v>32</v>
      </c>
      <c r="I46" s="49">
        <v>4.63E-05</v>
      </c>
      <c r="J46" s="4" t="s">
        <v>32</v>
      </c>
      <c r="K46" s="49">
        <v>5.07E-05</v>
      </c>
      <c r="M46" s="11"/>
    </row>
    <row r="47" spans="2:13" ht="12.75">
      <c r="B47" s="21" t="s">
        <v>54</v>
      </c>
      <c r="C47" s="21" t="s">
        <v>194</v>
      </c>
      <c r="D47" s="21" t="s">
        <v>26</v>
      </c>
      <c r="G47" s="7">
        <v>99.9995</v>
      </c>
      <c r="H47" s="4"/>
      <c r="I47" s="7">
        <v>99.9996</v>
      </c>
      <c r="J47" s="4"/>
      <c r="K47" s="7">
        <v>99.9996</v>
      </c>
      <c r="M47" s="11"/>
    </row>
    <row r="48" spans="2:13" ht="12.75">
      <c r="B48" s="21"/>
      <c r="C48" s="21"/>
      <c r="D48" s="21"/>
      <c r="G48" s="7"/>
      <c r="H48" s="4"/>
      <c r="I48" s="7"/>
      <c r="J48" s="4"/>
      <c r="K48" s="7"/>
      <c r="M48" s="11"/>
    </row>
    <row r="49" spans="1:13" ht="12.75">
      <c r="A49" s="5">
        <v>12</v>
      </c>
      <c r="B49" s="8" t="s">
        <v>108</v>
      </c>
      <c r="C49" s="8"/>
      <c r="D49" s="8"/>
      <c r="G49" s="6" t="s">
        <v>183</v>
      </c>
      <c r="H49" s="4"/>
      <c r="I49" s="6" t="s">
        <v>184</v>
      </c>
      <c r="J49" s="4"/>
      <c r="K49" s="6" t="s">
        <v>185</v>
      </c>
      <c r="L49" s="7"/>
      <c r="M49" s="6" t="s">
        <v>28</v>
      </c>
    </row>
    <row r="50" spans="2:12" ht="12.75">
      <c r="B50" s="4"/>
      <c r="C50" s="4"/>
      <c r="G50" s="7"/>
      <c r="H50" s="7"/>
      <c r="I50" s="7"/>
      <c r="J50" s="7"/>
      <c r="K50" s="7"/>
      <c r="L50" s="7"/>
    </row>
    <row r="51" spans="2:13" ht="12.75">
      <c r="B51" s="4" t="s">
        <v>153</v>
      </c>
      <c r="C51" s="4" t="s">
        <v>194</v>
      </c>
      <c r="D51" s="4" t="s">
        <v>24</v>
      </c>
      <c r="E51" s="4" t="s">
        <v>23</v>
      </c>
      <c r="G51" s="7">
        <v>0</v>
      </c>
      <c r="H51" s="7"/>
      <c r="I51" s="7">
        <v>0</v>
      </c>
      <c r="J51" s="7"/>
      <c r="K51" s="7">
        <v>0</v>
      </c>
      <c r="L51" s="7"/>
      <c r="M51" s="9">
        <f>AVERAGE(K51,I51,G51)</f>
        <v>0</v>
      </c>
    </row>
    <row r="52" spans="2:12" ht="12.75">
      <c r="B52" s="4"/>
      <c r="C52" s="4"/>
      <c r="G52" s="7"/>
      <c r="H52" s="7"/>
      <c r="I52" s="7"/>
      <c r="J52" s="7"/>
      <c r="K52" s="7"/>
      <c r="L52" s="7"/>
    </row>
    <row r="53" spans="2:12" ht="12.75">
      <c r="B53" s="4" t="s">
        <v>154</v>
      </c>
      <c r="C53" s="4" t="s">
        <v>134</v>
      </c>
      <c r="D53" s="4" t="s">
        <v>194</v>
      </c>
      <c r="G53" s="7"/>
      <c r="H53" s="7"/>
      <c r="I53" s="7"/>
      <c r="J53" s="7"/>
      <c r="K53" s="7"/>
      <c r="L53" s="7"/>
    </row>
    <row r="54" spans="2:13" ht="12.75">
      <c r="B54" s="4" t="s">
        <v>144</v>
      </c>
      <c r="C54" s="4"/>
      <c r="D54" s="4" t="s">
        <v>25</v>
      </c>
      <c r="G54" s="7">
        <v>14125</v>
      </c>
      <c r="H54" s="7"/>
      <c r="I54" s="10">
        <v>14482</v>
      </c>
      <c r="J54" s="10"/>
      <c r="K54" s="7">
        <v>14490</v>
      </c>
      <c r="L54" s="7"/>
      <c r="M54" s="9">
        <f>AVERAGE(K54,I54,G54)</f>
        <v>14365.666666666666</v>
      </c>
    </row>
    <row r="55" spans="2:13" ht="12.75">
      <c r="B55" s="4" t="s">
        <v>146</v>
      </c>
      <c r="C55" s="4"/>
      <c r="D55" s="4" t="s">
        <v>26</v>
      </c>
      <c r="G55" s="7">
        <v>6.6</v>
      </c>
      <c r="H55" s="7"/>
      <c r="I55" s="7">
        <v>7.5</v>
      </c>
      <c r="J55" s="7"/>
      <c r="K55" s="7">
        <v>7.4</v>
      </c>
      <c r="L55" s="7"/>
      <c r="M55" s="9">
        <f>AVERAGE(K55,I55,G55)</f>
        <v>7.166666666666667</v>
      </c>
    </row>
    <row r="56" spans="2:13" ht="12.75">
      <c r="B56" s="4" t="s">
        <v>147</v>
      </c>
      <c r="C56" s="4"/>
      <c r="D56" s="4" t="s">
        <v>26</v>
      </c>
      <c r="G56" s="7">
        <v>16</v>
      </c>
      <c r="H56" s="7"/>
      <c r="I56" s="7">
        <v>15.3</v>
      </c>
      <c r="J56" s="7"/>
      <c r="K56" s="7">
        <v>15.2</v>
      </c>
      <c r="L56" s="7"/>
      <c r="M56" s="9">
        <f>AVERAGE(K56,I56,G56)</f>
        <v>15.5</v>
      </c>
    </row>
    <row r="57" spans="2:13" ht="12.75">
      <c r="B57" s="4" t="s">
        <v>143</v>
      </c>
      <c r="C57" s="4"/>
      <c r="D57" s="4" t="s">
        <v>27</v>
      </c>
      <c r="G57" s="7">
        <v>729.2</v>
      </c>
      <c r="H57" s="7"/>
      <c r="I57" s="7">
        <v>726.4</v>
      </c>
      <c r="J57" s="7"/>
      <c r="K57" s="7">
        <v>720.4</v>
      </c>
      <c r="L57" s="7"/>
      <c r="M57" s="9">
        <f>AVERAGE(K57,I57,G57)</f>
        <v>725.3333333333334</v>
      </c>
    </row>
    <row r="58" spans="2:11" ht="12.75">
      <c r="B58" s="4"/>
      <c r="C58" s="4"/>
      <c r="G58" s="7"/>
      <c r="H58" s="7"/>
      <c r="I58" s="7"/>
      <c r="J58" s="7"/>
      <c r="K58" s="7"/>
    </row>
    <row r="59" spans="2:7" ht="12.75">
      <c r="B59" s="4" t="s">
        <v>100</v>
      </c>
      <c r="C59" s="4" t="s">
        <v>148</v>
      </c>
      <c r="G59" s="7" t="s">
        <v>28</v>
      </c>
    </row>
    <row r="60" spans="2:7" ht="12.75">
      <c r="B60" s="4" t="s">
        <v>149</v>
      </c>
      <c r="C60" s="4"/>
      <c r="D60" s="4" t="s">
        <v>142</v>
      </c>
      <c r="G60" s="7">
        <v>100</v>
      </c>
    </row>
    <row r="61" spans="2:7" ht="12.75">
      <c r="B61" s="4" t="s">
        <v>109</v>
      </c>
      <c r="C61" s="4"/>
      <c r="G61" s="7">
        <v>75.3</v>
      </c>
    </row>
    <row r="62" spans="2:7" ht="12.75">
      <c r="B62" s="4" t="s">
        <v>110</v>
      </c>
      <c r="C62" s="4"/>
      <c r="G62" s="7">
        <v>74.8</v>
      </c>
    </row>
    <row r="63" spans="2:7" ht="12.75">
      <c r="B63" s="4" t="s">
        <v>111</v>
      </c>
      <c r="C63" s="4"/>
      <c r="G63" s="7">
        <v>74.1</v>
      </c>
    </row>
    <row r="64" spans="2:7" ht="12.75">
      <c r="B64" s="4" t="s">
        <v>112</v>
      </c>
      <c r="C64" s="4"/>
      <c r="G64" s="7">
        <v>72.9</v>
      </c>
    </row>
    <row r="65" spans="2:7" ht="12.75">
      <c r="B65" s="4" t="s">
        <v>113</v>
      </c>
      <c r="C65" s="4"/>
      <c r="G65" s="7">
        <v>69.6</v>
      </c>
    </row>
    <row r="66" spans="2:7" ht="12.75">
      <c r="B66" s="4" t="s">
        <v>114</v>
      </c>
      <c r="C66" s="4"/>
      <c r="G66" s="7">
        <v>58.5</v>
      </c>
    </row>
    <row r="67" spans="2:7" ht="12.75">
      <c r="B67" s="4" t="s">
        <v>115</v>
      </c>
      <c r="C67" s="4"/>
      <c r="G67" s="7">
        <v>48.9</v>
      </c>
    </row>
    <row r="68" spans="2:7" ht="12.75">
      <c r="B68" s="4" t="s">
        <v>116</v>
      </c>
      <c r="C68" s="4"/>
      <c r="G68" s="7">
        <v>44</v>
      </c>
    </row>
    <row r="69" spans="2:3" ht="12.75">
      <c r="B69" s="4"/>
      <c r="C69" s="4"/>
    </row>
    <row r="70" spans="1:13" ht="12.75">
      <c r="A70" s="5">
        <v>12</v>
      </c>
      <c r="B70" s="8" t="s">
        <v>219</v>
      </c>
      <c r="C70" s="8"/>
      <c r="D70" s="8"/>
      <c r="G70" s="6" t="s">
        <v>183</v>
      </c>
      <c r="H70" s="4"/>
      <c r="I70" s="6" t="s">
        <v>184</v>
      </c>
      <c r="J70" s="4"/>
      <c r="K70" s="6" t="s">
        <v>185</v>
      </c>
      <c r="L70" s="7"/>
      <c r="M70" s="6" t="s">
        <v>28</v>
      </c>
    </row>
    <row r="71" spans="2:12" ht="12.75">
      <c r="B71" s="4"/>
      <c r="C71" s="4"/>
      <c r="G71" s="7"/>
      <c r="H71" s="7"/>
      <c r="I71" s="7"/>
      <c r="J71" s="7"/>
      <c r="K71" s="7"/>
      <c r="L71" s="7"/>
    </row>
    <row r="72" spans="2:13" ht="12.75">
      <c r="B72" s="4" t="s">
        <v>153</v>
      </c>
      <c r="C72" s="4" t="s">
        <v>194</v>
      </c>
      <c r="D72" s="4" t="s">
        <v>24</v>
      </c>
      <c r="E72" s="4" t="s">
        <v>23</v>
      </c>
      <c r="G72" s="7">
        <v>3</v>
      </c>
      <c r="H72" s="7"/>
      <c r="I72" s="7">
        <v>2.8</v>
      </c>
      <c r="J72" s="7"/>
      <c r="K72" s="7">
        <v>17</v>
      </c>
      <c r="L72" s="7"/>
      <c r="M72" s="9">
        <f>AVERAGE(K72,I72,G72)</f>
        <v>7.6000000000000005</v>
      </c>
    </row>
    <row r="73" spans="2:13" ht="12.75">
      <c r="B73" s="4" t="s">
        <v>163</v>
      </c>
      <c r="D73" s="4" t="s">
        <v>30</v>
      </c>
      <c r="G73" s="5">
        <v>0.14</v>
      </c>
      <c r="I73" s="5">
        <v>0.3</v>
      </c>
      <c r="K73" s="5">
        <v>3.1</v>
      </c>
      <c r="M73" s="9">
        <v>0.56</v>
      </c>
    </row>
    <row r="74" spans="2:13" ht="12.75">
      <c r="B74" s="4" t="s">
        <v>207</v>
      </c>
      <c r="D74" s="4" t="s">
        <v>30</v>
      </c>
      <c r="G74" s="7">
        <v>0.046</v>
      </c>
      <c r="H74" s="7"/>
      <c r="I74" s="7">
        <v>0.22</v>
      </c>
      <c r="J74" s="7"/>
      <c r="K74" s="7">
        <v>2.46</v>
      </c>
      <c r="L74" s="7"/>
      <c r="M74" s="9">
        <v>0.41</v>
      </c>
    </row>
    <row r="75" spans="2:12" ht="12.75">
      <c r="B75" s="4"/>
      <c r="C75" s="4"/>
      <c r="G75" s="7"/>
      <c r="H75" s="7"/>
      <c r="I75" s="7"/>
      <c r="J75" s="7"/>
      <c r="K75" s="7"/>
      <c r="L75" s="7"/>
    </row>
    <row r="76" spans="2:12" ht="12.75">
      <c r="B76" s="4" t="s">
        <v>154</v>
      </c>
      <c r="C76" s="4" t="s">
        <v>134</v>
      </c>
      <c r="D76" s="4" t="s">
        <v>194</v>
      </c>
      <c r="G76" s="7"/>
      <c r="H76" s="7"/>
      <c r="I76" s="7"/>
      <c r="J76" s="7"/>
      <c r="K76" s="7"/>
      <c r="L76" s="7"/>
    </row>
    <row r="77" spans="2:13" ht="12.75">
      <c r="B77" s="4" t="s">
        <v>144</v>
      </c>
      <c r="C77" s="4"/>
      <c r="D77" s="4" t="s">
        <v>25</v>
      </c>
      <c r="G77" s="7">
        <f>974167/60</f>
        <v>16236.116666666667</v>
      </c>
      <c r="H77" s="7"/>
      <c r="I77" s="10">
        <f>979743/60</f>
        <v>16329.05</v>
      </c>
      <c r="J77" s="10"/>
      <c r="K77" s="9">
        <f>1021354/60</f>
        <v>17022.566666666666</v>
      </c>
      <c r="L77" s="7"/>
      <c r="M77" s="9">
        <f>AVERAGE(K77,I77,G77)</f>
        <v>16529.244444444445</v>
      </c>
    </row>
    <row r="78" spans="2:13" ht="12.75">
      <c r="B78" s="4" t="s">
        <v>146</v>
      </c>
      <c r="C78" s="4"/>
      <c r="D78" s="4" t="s">
        <v>26</v>
      </c>
      <c r="G78" s="7">
        <v>4.9</v>
      </c>
      <c r="H78" s="7"/>
      <c r="I78" s="7">
        <v>4.9</v>
      </c>
      <c r="J78" s="7"/>
      <c r="K78" s="7">
        <v>4.8</v>
      </c>
      <c r="L78" s="7"/>
      <c r="M78" s="9">
        <f>AVERAGE(K78,I78,G78)</f>
        <v>4.866666666666666</v>
      </c>
    </row>
    <row r="79" spans="2:13" ht="12.75">
      <c r="B79" s="4" t="s">
        <v>147</v>
      </c>
      <c r="C79" s="4"/>
      <c r="D79" s="4" t="s">
        <v>26</v>
      </c>
      <c r="G79" s="7"/>
      <c r="H79" s="7"/>
      <c r="I79" s="7"/>
      <c r="J79" s="7"/>
      <c r="K79" s="7"/>
      <c r="L79" s="7"/>
      <c r="M79" s="9"/>
    </row>
    <row r="80" spans="2:13" ht="12.75">
      <c r="B80" s="4" t="s">
        <v>143</v>
      </c>
      <c r="C80" s="4"/>
      <c r="D80" s="4" t="s">
        <v>27</v>
      </c>
      <c r="G80" s="7">
        <v>790</v>
      </c>
      <c r="H80" s="7"/>
      <c r="I80" s="7">
        <v>745</v>
      </c>
      <c r="J80" s="7"/>
      <c r="K80" s="7">
        <v>750</v>
      </c>
      <c r="L80" s="7"/>
      <c r="M80" s="9">
        <f>AVERAGE(K80,I80,G80)</f>
        <v>761.6666666666666</v>
      </c>
    </row>
    <row r="81" spans="2:3" ht="12.75">
      <c r="B81" s="4"/>
      <c r="C81" s="4"/>
    </row>
    <row r="82" spans="2:13" ht="12.75">
      <c r="B82" s="4" t="s">
        <v>163</v>
      </c>
      <c r="C82" s="4" t="s">
        <v>194</v>
      </c>
      <c r="D82" s="4" t="s">
        <v>49</v>
      </c>
      <c r="E82" s="4" t="s">
        <v>23</v>
      </c>
      <c r="G82" s="61">
        <f>G73/60/0.0283/G$77*(21-7)/(21-G$78)*1000000</f>
        <v>4.415809668944001</v>
      </c>
      <c r="H82" s="61"/>
      <c r="I82" s="61">
        <f>I73/60/0.0283/I$77*(21-7)/(21-I$78)*1000000</f>
        <v>9.408595762429908</v>
      </c>
      <c r="J82" s="61"/>
      <c r="K82" s="61">
        <f>K73/60/0.0283/K$77*(21-7)/(21-K$78)*1000000</f>
        <v>92.68554017229897</v>
      </c>
      <c r="L82" s="61"/>
      <c r="M82" s="61">
        <f>M73/60/0.0283/M$77*(21-7)/(21-M$78)*1000000</f>
        <v>17.314153661722653</v>
      </c>
    </row>
    <row r="83" spans="2:13" ht="12.75">
      <c r="B83" s="4" t="s">
        <v>207</v>
      </c>
      <c r="C83" s="4" t="s">
        <v>194</v>
      </c>
      <c r="D83" s="4" t="s">
        <v>49</v>
      </c>
      <c r="E83" s="4" t="s">
        <v>23</v>
      </c>
      <c r="G83" s="61">
        <f>G74/60/0.0283/G$77*(21-7)/(21-G$78)*1000000</f>
        <v>1.4509088912244572</v>
      </c>
      <c r="H83" s="61"/>
      <c r="I83" s="61">
        <f>I74/60/0.0283/I$77*(21-7)/(21-I$78)*1000000</f>
        <v>6.899636892448599</v>
      </c>
      <c r="J83" s="61"/>
      <c r="K83" s="61">
        <f>K74/60/0.0283/K$77*(21-7)/(21-K$78)*1000000</f>
        <v>73.55046091092113</v>
      </c>
      <c r="L83" s="61"/>
      <c r="M83" s="61">
        <f>M74/60/0.0283/M$77*(21-7)/(21-M$78)*1000000</f>
        <v>12.67643393090408</v>
      </c>
    </row>
    <row r="85" spans="2:3" ht="12.75">
      <c r="B85" s="4"/>
      <c r="C85" s="4"/>
    </row>
    <row r="86" spans="2:3" ht="12.75">
      <c r="B86" s="4"/>
      <c r="C86" s="4"/>
    </row>
    <row r="87" spans="2:3" ht="12.75">
      <c r="B87" s="4"/>
      <c r="C87" s="4"/>
    </row>
    <row r="88" spans="2:3" ht="12.75">
      <c r="B88" s="4"/>
      <c r="C88" s="4"/>
    </row>
    <row r="89" spans="2:3" ht="12.75">
      <c r="B89" s="4"/>
      <c r="C89" s="4"/>
    </row>
    <row r="92" spans="2:3" ht="12.75">
      <c r="B92" s="8"/>
      <c r="C92" s="8"/>
    </row>
    <row r="93" spans="2:5" ht="12.75">
      <c r="B93" s="4"/>
      <c r="C93" s="4"/>
      <c r="D93" s="15"/>
      <c r="E93" s="15"/>
    </row>
    <row r="94" spans="2:3" ht="12.75">
      <c r="B94" s="4"/>
      <c r="C94" s="4"/>
    </row>
    <row r="95" spans="2:3" ht="12.75">
      <c r="B95" s="4"/>
      <c r="C95" s="4"/>
    </row>
    <row r="96" spans="2:3" ht="12.75">
      <c r="B96" s="4"/>
      <c r="C96" s="4"/>
    </row>
    <row r="97" spans="2:3" ht="12.75">
      <c r="B97" s="4"/>
      <c r="C97" s="4"/>
    </row>
    <row r="98" spans="2:3" ht="12.75">
      <c r="B98" s="4"/>
      <c r="C98" s="4"/>
    </row>
    <row r="99" spans="2:3" ht="12.75">
      <c r="B99" s="4"/>
      <c r="C99" s="4"/>
    </row>
    <row r="100" spans="2:3" ht="12.75">
      <c r="B100" s="4"/>
      <c r="C100" s="4"/>
    </row>
    <row r="101" spans="2:3" ht="12.75">
      <c r="B101" s="4"/>
      <c r="C101" s="4"/>
    </row>
    <row r="102" spans="2:3" ht="12.75">
      <c r="B102" s="4"/>
      <c r="C102" s="4"/>
    </row>
    <row r="103" spans="2:3" ht="12.75">
      <c r="B103" s="4"/>
      <c r="C103" s="4"/>
    </row>
    <row r="104" spans="2:3" ht="12.75">
      <c r="B104" s="4"/>
      <c r="C104" s="4"/>
    </row>
    <row r="105" spans="2:3" ht="12.75">
      <c r="B105" s="4"/>
      <c r="C105" s="4"/>
    </row>
    <row r="106" spans="2:3" ht="12.75">
      <c r="B106" s="4"/>
      <c r="C106" s="4"/>
    </row>
    <row r="107" spans="2:3" ht="12.75">
      <c r="B107" s="4"/>
      <c r="C107" s="4"/>
    </row>
    <row r="108" spans="2:3" ht="12.75">
      <c r="B108" s="4"/>
      <c r="C108" s="4"/>
    </row>
    <row r="109" spans="2:3" ht="12.75">
      <c r="B109" s="4"/>
      <c r="C109" s="4"/>
    </row>
    <row r="110" spans="2:3" ht="12.75">
      <c r="B110" s="4"/>
      <c r="C110" s="4"/>
    </row>
    <row r="111" spans="2:3" ht="12.75">
      <c r="B111" s="4"/>
      <c r="C111" s="4"/>
    </row>
    <row r="112" spans="2:3" ht="12.75">
      <c r="B112" s="4"/>
      <c r="C112" s="4"/>
    </row>
    <row r="114" spans="2:3" ht="12.75">
      <c r="B114" s="4"/>
      <c r="C114" s="4"/>
    </row>
    <row r="115" spans="2:3" ht="12.75">
      <c r="B115" s="4"/>
      <c r="C115" s="4"/>
    </row>
    <row r="116" spans="2:3" ht="12.75">
      <c r="B116" s="4"/>
      <c r="C116" s="4"/>
    </row>
    <row r="117" spans="2:3" ht="12.75">
      <c r="B117" s="4"/>
      <c r="C117" s="4"/>
    </row>
    <row r="118" spans="2:3" ht="12.75">
      <c r="B118" s="4"/>
      <c r="C118" s="4"/>
    </row>
  </sheetData>
  <printOptions headings="1" horizontalCentered="1"/>
  <pageMargins left="0.25" right="0.25" top="0.5" bottom="0.5" header="0.25" footer="0.25"/>
  <pageSetup horizontalDpi="600" verticalDpi="600" orientation="portrait" pageOrder="overThenDown" scale="80" r:id="rId1"/>
  <headerFooter alignWithMargins="0">
    <oddFooter>&amp;C&amp;P, &amp;A, 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B140"/>
  <sheetViews>
    <sheetView zoomScale="75" zoomScaleNormal="75" workbookViewId="0" topLeftCell="B102">
      <selection activeCell="C5" sqref="C5"/>
    </sheetView>
  </sheetViews>
  <sheetFormatPr defaultColWidth="9.140625" defaultRowHeight="12.75"/>
  <cols>
    <col min="1" max="1" width="7.7109375" style="5" hidden="1" customWidth="1"/>
    <col min="2" max="2" width="18.8515625" style="4" customWidth="1"/>
    <col min="3" max="3" width="2.28125" style="4" customWidth="1"/>
    <col min="4" max="4" width="7.8515625" style="4" customWidth="1"/>
    <col min="5" max="5" width="3.8515625" style="6" customWidth="1"/>
    <col min="6" max="6" width="10.140625" style="7" bestFit="1" customWidth="1"/>
    <col min="7" max="7" width="3.8515625" style="6" customWidth="1"/>
    <col min="8" max="8" width="10.00390625" style="5" customWidth="1"/>
    <col min="9" max="9" width="3.8515625" style="5" customWidth="1"/>
    <col min="10" max="10" width="8.57421875" style="5" customWidth="1"/>
    <col min="11" max="11" width="3.8515625" style="5" customWidth="1"/>
    <col min="12" max="12" width="8.28125" style="5" customWidth="1"/>
    <col min="13" max="13" width="4.7109375" style="5" customWidth="1"/>
    <col min="14" max="14" width="8.8515625" style="5" customWidth="1"/>
    <col min="15" max="15" width="4.28125" style="5" customWidth="1"/>
    <col min="16" max="16" width="9.421875" style="5" customWidth="1"/>
    <col min="17" max="17" width="4.28125" style="5" customWidth="1"/>
    <col min="18" max="18" width="8.421875" style="5" customWidth="1"/>
    <col min="19" max="19" width="4.28125" style="5" customWidth="1"/>
    <col min="20" max="20" width="9.28125" style="5" customWidth="1"/>
    <col min="21" max="21" width="4.57421875" style="5" customWidth="1"/>
    <col min="22" max="22" width="8.8515625" style="5" customWidth="1"/>
    <col min="23" max="23" width="4.28125" style="5" customWidth="1"/>
    <col min="24" max="24" width="8.8515625" style="5" customWidth="1"/>
    <col min="25" max="25" width="4.421875" style="5" customWidth="1"/>
    <col min="26" max="26" width="8.8515625" style="5" customWidth="1"/>
    <col min="27" max="27" width="6.140625" style="5" customWidth="1"/>
    <col min="28" max="16384" width="8.8515625" style="5" customWidth="1"/>
  </cols>
  <sheetData>
    <row r="1" spans="2:3" ht="12.75">
      <c r="B1" s="8" t="s">
        <v>133</v>
      </c>
      <c r="C1" s="8"/>
    </row>
    <row r="4" spans="1:20" ht="12.75">
      <c r="A4" s="5" t="s">
        <v>165</v>
      </c>
      <c r="B4" s="8" t="s">
        <v>106</v>
      </c>
      <c r="C4" s="8"/>
      <c r="F4" s="7" t="s">
        <v>28</v>
      </c>
      <c r="H4" s="7" t="s">
        <v>28</v>
      </c>
      <c r="J4" s="7" t="s">
        <v>28</v>
      </c>
      <c r="L4" s="7" t="s">
        <v>28</v>
      </c>
      <c r="N4" s="5" t="s">
        <v>183</v>
      </c>
      <c r="P4" s="5" t="s">
        <v>184</v>
      </c>
      <c r="R4" s="5" t="s">
        <v>185</v>
      </c>
      <c r="T4" s="5" t="s">
        <v>28</v>
      </c>
    </row>
    <row r="5" spans="2:12" ht="12.75">
      <c r="B5" s="8"/>
      <c r="C5" s="8"/>
      <c r="H5" s="7"/>
      <c r="J5" s="7"/>
      <c r="L5" s="7"/>
    </row>
    <row r="6" spans="2:20" ht="12.75">
      <c r="B6" s="46" t="s">
        <v>190</v>
      </c>
      <c r="C6" s="8"/>
      <c r="F6" s="7" t="s">
        <v>209</v>
      </c>
      <c r="H6" s="7" t="s">
        <v>210</v>
      </c>
      <c r="J6" s="7" t="s">
        <v>211</v>
      </c>
      <c r="L6" s="7" t="s">
        <v>212</v>
      </c>
      <c r="N6" s="5" t="s">
        <v>213</v>
      </c>
      <c r="P6" s="5" t="s">
        <v>213</v>
      </c>
      <c r="R6" s="5" t="s">
        <v>213</v>
      </c>
      <c r="T6" s="5" t="s">
        <v>213</v>
      </c>
    </row>
    <row r="7" spans="2:20" ht="12.75">
      <c r="B7" s="46" t="s">
        <v>191</v>
      </c>
      <c r="C7" s="8"/>
      <c r="F7" s="7" t="s">
        <v>192</v>
      </c>
      <c r="H7" s="5" t="s">
        <v>193</v>
      </c>
      <c r="J7" s="5" t="s">
        <v>208</v>
      </c>
      <c r="L7" s="5" t="s">
        <v>39</v>
      </c>
      <c r="N7" s="5" t="s">
        <v>67</v>
      </c>
      <c r="P7" s="5" t="s">
        <v>67</v>
      </c>
      <c r="R7" s="5" t="s">
        <v>67</v>
      </c>
      <c r="T7" s="5" t="s">
        <v>67</v>
      </c>
    </row>
    <row r="8" spans="2:20" ht="12.75">
      <c r="B8" s="46" t="s">
        <v>214</v>
      </c>
      <c r="C8" s="8"/>
      <c r="F8" s="7" t="s">
        <v>51</v>
      </c>
      <c r="H8" s="7" t="s">
        <v>215</v>
      </c>
      <c r="L8" s="5" t="s">
        <v>39</v>
      </c>
      <c r="N8" s="5" t="s">
        <v>67</v>
      </c>
      <c r="P8" s="5" t="s">
        <v>67</v>
      </c>
      <c r="R8" s="5" t="s">
        <v>67</v>
      </c>
      <c r="T8" s="5" t="s">
        <v>67</v>
      </c>
    </row>
    <row r="9" spans="2:20" ht="12.75">
      <c r="B9" s="4" t="s">
        <v>164</v>
      </c>
      <c r="F9" s="7" t="s">
        <v>105</v>
      </c>
      <c r="H9" s="5" t="s">
        <v>118</v>
      </c>
      <c r="J9" s="5" t="s">
        <v>176</v>
      </c>
      <c r="L9" s="5" t="s">
        <v>39</v>
      </c>
      <c r="N9" s="5" t="s">
        <v>67</v>
      </c>
      <c r="P9" s="5" t="s">
        <v>67</v>
      </c>
      <c r="R9" s="5" t="s">
        <v>67</v>
      </c>
      <c r="T9" s="5" t="s">
        <v>67</v>
      </c>
    </row>
    <row r="10" spans="2:10" ht="12.75">
      <c r="B10" s="4" t="s">
        <v>168</v>
      </c>
      <c r="D10" s="4" t="s">
        <v>177</v>
      </c>
      <c r="J10" s="5">
        <v>42.81</v>
      </c>
    </row>
    <row r="11" spans="2:18" ht="12.75">
      <c r="B11" s="4" t="s">
        <v>168</v>
      </c>
      <c r="D11" s="4" t="s">
        <v>30</v>
      </c>
      <c r="F11" s="12">
        <v>2368000</v>
      </c>
      <c r="H11" s="5">
        <v>2695</v>
      </c>
      <c r="N11" s="5">
        <v>2369000</v>
      </c>
      <c r="P11" s="5">
        <v>2368000</v>
      </c>
      <c r="R11" s="5">
        <v>2368000</v>
      </c>
    </row>
    <row r="12" spans="2:18" ht="12.75">
      <c r="B12" s="4" t="s">
        <v>37</v>
      </c>
      <c r="D12" s="4" t="s">
        <v>30</v>
      </c>
      <c r="F12" s="12">
        <v>134</v>
      </c>
      <c r="H12" s="5">
        <v>261</v>
      </c>
      <c r="L12" s="5">
        <v>3449</v>
      </c>
      <c r="N12" s="5">
        <v>3819</v>
      </c>
      <c r="P12" s="5">
        <v>3910</v>
      </c>
      <c r="R12" s="5">
        <v>3804</v>
      </c>
    </row>
    <row r="13" spans="2:18" ht="12.75">
      <c r="B13" s="4" t="s">
        <v>38</v>
      </c>
      <c r="D13" s="4" t="s">
        <v>30</v>
      </c>
      <c r="E13" s="6" t="s">
        <v>32</v>
      </c>
      <c r="F13" s="5">
        <f>24</f>
        <v>24</v>
      </c>
      <c r="H13" s="5">
        <v>0.3</v>
      </c>
      <c r="M13" s="6" t="s">
        <v>32</v>
      </c>
      <c r="N13" s="5">
        <v>24</v>
      </c>
      <c r="O13" s="6" t="s">
        <v>32</v>
      </c>
      <c r="P13" s="5">
        <v>24</v>
      </c>
      <c r="Q13" s="6" t="s">
        <v>32</v>
      </c>
      <c r="R13" s="5">
        <v>24</v>
      </c>
    </row>
    <row r="14" spans="2:18" ht="12.75">
      <c r="B14" s="4" t="s">
        <v>159</v>
      </c>
      <c r="D14" s="4" t="s">
        <v>30</v>
      </c>
      <c r="E14" s="6" t="s">
        <v>32</v>
      </c>
      <c r="F14" s="5">
        <f>1.18</f>
        <v>1.18</v>
      </c>
      <c r="G14" s="6" t="s">
        <v>32</v>
      </c>
      <c r="H14" s="5">
        <v>0.001</v>
      </c>
      <c r="M14" s="6" t="s">
        <v>32</v>
      </c>
      <c r="N14" s="5">
        <v>1.18</v>
      </c>
      <c r="O14" s="6" t="s">
        <v>32</v>
      </c>
      <c r="P14" s="5">
        <v>1.18</v>
      </c>
      <c r="Q14" s="6" t="s">
        <v>32</v>
      </c>
      <c r="R14" s="5">
        <v>1.18</v>
      </c>
    </row>
    <row r="15" spans="2:18" ht="12.75">
      <c r="B15" s="4" t="s">
        <v>155</v>
      </c>
      <c r="D15" s="4" t="s">
        <v>30</v>
      </c>
      <c r="E15" s="6" t="s">
        <v>32</v>
      </c>
      <c r="F15" s="5">
        <f>0.24</f>
        <v>0.24</v>
      </c>
      <c r="G15" s="6" t="s">
        <v>32</v>
      </c>
      <c r="H15" s="5">
        <v>0.0003</v>
      </c>
      <c r="M15" s="6" t="s">
        <v>32</v>
      </c>
      <c r="N15" s="5">
        <v>0.24</v>
      </c>
      <c r="O15" s="6" t="s">
        <v>32</v>
      </c>
      <c r="P15" s="5">
        <v>0.24</v>
      </c>
      <c r="Q15" s="6" t="s">
        <v>32</v>
      </c>
      <c r="R15" s="5">
        <v>0.24</v>
      </c>
    </row>
    <row r="16" spans="2:18" ht="12.75">
      <c r="B16" s="4" t="s">
        <v>156</v>
      </c>
      <c r="D16" s="4" t="s">
        <v>30</v>
      </c>
      <c r="E16" s="6" t="s">
        <v>32</v>
      </c>
      <c r="F16" s="5">
        <v>1.24</v>
      </c>
      <c r="H16" s="5">
        <v>1.66</v>
      </c>
      <c r="M16" s="6"/>
      <c r="N16" s="5">
        <v>2.87</v>
      </c>
      <c r="O16" s="6"/>
      <c r="P16" s="5">
        <v>3.33</v>
      </c>
      <c r="Q16" s="6"/>
      <c r="R16" s="5">
        <v>2.5</v>
      </c>
    </row>
    <row r="17" spans="2:18" ht="12.75">
      <c r="B17" s="4" t="s">
        <v>157</v>
      </c>
      <c r="D17" s="4" t="s">
        <v>30</v>
      </c>
      <c r="E17" s="6" t="s">
        <v>32</v>
      </c>
      <c r="F17" s="5">
        <f>0.24</f>
        <v>0.24</v>
      </c>
      <c r="G17" s="6" t="s">
        <v>32</v>
      </c>
      <c r="H17" s="5">
        <v>0.0003</v>
      </c>
      <c r="M17" s="6" t="s">
        <v>32</v>
      </c>
      <c r="N17" s="5">
        <v>0.24</v>
      </c>
      <c r="O17" s="6" t="s">
        <v>32</v>
      </c>
      <c r="P17" s="5">
        <v>0.24</v>
      </c>
      <c r="Q17" s="6" t="s">
        <v>32</v>
      </c>
      <c r="R17" s="5">
        <v>0.24</v>
      </c>
    </row>
    <row r="18" spans="2:18" ht="12.75">
      <c r="B18" s="4" t="s">
        <v>161</v>
      </c>
      <c r="D18" s="4" t="s">
        <v>30</v>
      </c>
      <c r="E18" s="6" t="s">
        <v>32</v>
      </c>
      <c r="F18" s="5">
        <f>0.24</f>
        <v>0.24</v>
      </c>
      <c r="G18" s="6" t="s">
        <v>32</v>
      </c>
      <c r="H18" s="5">
        <v>0.0003</v>
      </c>
      <c r="M18" s="6" t="s">
        <v>32</v>
      </c>
      <c r="N18" s="5">
        <v>0.24</v>
      </c>
      <c r="O18" s="6" t="s">
        <v>32</v>
      </c>
      <c r="P18" s="5">
        <v>0.24</v>
      </c>
      <c r="Q18" s="6" t="s">
        <v>32</v>
      </c>
      <c r="R18" s="5">
        <v>0.24</v>
      </c>
    </row>
    <row r="19" spans="2:18" ht="12.75">
      <c r="B19" s="4" t="s">
        <v>163</v>
      </c>
      <c r="D19" s="4" t="s">
        <v>30</v>
      </c>
      <c r="E19" s="6" t="s">
        <v>32</v>
      </c>
      <c r="F19" s="5">
        <v>2.37</v>
      </c>
      <c r="G19" s="6" t="s">
        <v>32</v>
      </c>
      <c r="H19" s="5">
        <v>0.003</v>
      </c>
      <c r="L19" s="5">
        <v>11.29</v>
      </c>
      <c r="M19" s="6"/>
      <c r="N19" s="5">
        <v>13.36</v>
      </c>
      <c r="O19" s="6"/>
      <c r="P19" s="5">
        <v>13.34</v>
      </c>
      <c r="Q19" s="6"/>
      <c r="R19" s="5">
        <v>14.29</v>
      </c>
    </row>
    <row r="20" spans="2:18" ht="12.75">
      <c r="B20" s="4" t="s">
        <v>160</v>
      </c>
      <c r="D20" s="4" t="s">
        <v>30</v>
      </c>
      <c r="F20" s="5">
        <v>1.52</v>
      </c>
      <c r="G20" s="6" t="s">
        <v>32</v>
      </c>
      <c r="H20" s="5">
        <v>0.001</v>
      </c>
      <c r="M20" s="6"/>
      <c r="N20" s="5">
        <v>1.4</v>
      </c>
      <c r="O20" s="6"/>
      <c r="P20" s="5">
        <v>1.7</v>
      </c>
      <c r="Q20" s="6"/>
      <c r="R20" s="5">
        <v>1.47</v>
      </c>
    </row>
    <row r="21" spans="2:18" ht="12.75">
      <c r="B21" s="4" t="s">
        <v>167</v>
      </c>
      <c r="D21" s="4" t="s">
        <v>30</v>
      </c>
      <c r="E21" s="6" t="s">
        <v>32</v>
      </c>
      <c r="F21" s="5">
        <f>0.21</f>
        <v>0.21</v>
      </c>
      <c r="G21" s="6" t="s">
        <v>32</v>
      </c>
      <c r="H21" s="5">
        <v>0.0002</v>
      </c>
      <c r="M21" s="6" t="s">
        <v>32</v>
      </c>
      <c r="N21" s="5">
        <v>0.21</v>
      </c>
      <c r="O21" s="6" t="s">
        <v>32</v>
      </c>
      <c r="P21" s="5">
        <v>0.21</v>
      </c>
      <c r="Q21" s="6" t="s">
        <v>32</v>
      </c>
      <c r="R21" s="5">
        <v>0.21</v>
      </c>
    </row>
    <row r="22" spans="2:18" ht="12.75">
      <c r="B22" s="4" t="s">
        <v>162</v>
      </c>
      <c r="D22" s="4" t="s">
        <v>30</v>
      </c>
      <c r="E22" s="6" t="s">
        <v>32</v>
      </c>
      <c r="F22" s="5">
        <f>1.18</f>
        <v>1.18</v>
      </c>
      <c r="G22" s="6" t="s">
        <v>32</v>
      </c>
      <c r="H22" s="5">
        <v>0.001</v>
      </c>
      <c r="M22" s="6" t="s">
        <v>32</v>
      </c>
      <c r="N22" s="5">
        <v>1.18</v>
      </c>
      <c r="O22" s="6" t="s">
        <v>32</v>
      </c>
      <c r="P22" s="5">
        <v>1.18</v>
      </c>
      <c r="Q22" s="6" t="s">
        <v>32</v>
      </c>
      <c r="R22" s="5">
        <v>1.18</v>
      </c>
    </row>
    <row r="23" spans="2:18" ht="12.75">
      <c r="B23" s="4" t="s">
        <v>158</v>
      </c>
      <c r="D23" s="4" t="s">
        <v>30</v>
      </c>
      <c r="E23" s="6" t="s">
        <v>32</v>
      </c>
      <c r="F23" s="5">
        <f>1.18</f>
        <v>1.18</v>
      </c>
      <c r="G23" s="6" t="s">
        <v>32</v>
      </c>
      <c r="H23" s="5">
        <v>0.001</v>
      </c>
      <c r="M23" s="6" t="s">
        <v>32</v>
      </c>
      <c r="N23" s="5">
        <v>1.18</v>
      </c>
      <c r="O23" s="6" t="s">
        <v>32</v>
      </c>
      <c r="P23" s="5">
        <v>1.18</v>
      </c>
      <c r="Q23" s="6" t="s">
        <v>32</v>
      </c>
      <c r="R23" s="5">
        <v>1.18</v>
      </c>
    </row>
    <row r="25" spans="2:18" ht="12.75">
      <c r="B25" s="4" t="s">
        <v>45</v>
      </c>
      <c r="D25" s="4" t="s">
        <v>25</v>
      </c>
      <c r="F25" s="12">
        <f>emiss!M13</f>
        <v>13107.333333333334</v>
      </c>
      <c r="H25" s="12"/>
      <c r="I25" s="12"/>
      <c r="J25" s="12"/>
      <c r="N25" s="5">
        <f>emiss!G13</f>
        <v>14050</v>
      </c>
      <c r="P25" s="5">
        <f>emiss!I13</f>
        <v>12444</v>
      </c>
      <c r="R25" s="5">
        <f>emiss!K13</f>
        <v>12828</v>
      </c>
    </row>
    <row r="26" spans="2:18" ht="12.75">
      <c r="B26" s="4" t="s">
        <v>46</v>
      </c>
      <c r="D26" s="4" t="s">
        <v>26</v>
      </c>
      <c r="F26" s="12">
        <f>emiss!M14</f>
        <v>4.8</v>
      </c>
      <c r="H26" s="12"/>
      <c r="I26" s="12"/>
      <c r="J26" s="12"/>
      <c r="N26" s="5">
        <f>emiss!G14</f>
        <v>4.55</v>
      </c>
      <c r="P26" s="5">
        <f>emiss!I14</f>
        <v>5.1</v>
      </c>
      <c r="R26" s="5">
        <f>emiss!K14</f>
        <v>4.75</v>
      </c>
    </row>
    <row r="28" spans="2:10" ht="12.75">
      <c r="B28" s="4" t="s">
        <v>44</v>
      </c>
      <c r="D28" s="4" t="s">
        <v>178</v>
      </c>
      <c r="F28" s="12"/>
      <c r="J28" s="5">
        <v>1040</v>
      </c>
    </row>
    <row r="29" spans="2:20" ht="12.75">
      <c r="B29" s="4" t="s">
        <v>166</v>
      </c>
      <c r="D29" s="4" t="s">
        <v>43</v>
      </c>
      <c r="F29" s="9">
        <f>F11*9100/454/1000000</f>
        <v>47.46431718061674</v>
      </c>
      <c r="H29" s="9">
        <f>H11*9100/454/1000000</f>
        <v>0.05401872246696035</v>
      </c>
      <c r="J29" s="5">
        <f>J28*J10/1000</f>
        <v>44.522400000000005</v>
      </c>
      <c r="T29" s="11">
        <f>SUM(F29,H29,J29)</f>
        <v>92.04073590308371</v>
      </c>
    </row>
    <row r="30" spans="2:12" ht="12.75">
      <c r="B30" s="4" t="s">
        <v>47</v>
      </c>
      <c r="D30" s="4" t="s">
        <v>43</v>
      </c>
      <c r="F30" s="11"/>
      <c r="H30" s="11"/>
      <c r="I30" s="11"/>
      <c r="J30" s="11"/>
      <c r="L30" s="11">
        <f>F25/9000*(21-F26)/21*60</f>
        <v>67.40914285714287</v>
      </c>
    </row>
    <row r="31" spans="6:12" ht="12.75">
      <c r="F31" s="11"/>
      <c r="H31" s="11"/>
      <c r="I31" s="11"/>
      <c r="J31" s="11"/>
      <c r="L31" s="11"/>
    </row>
    <row r="32" spans="2:12" ht="12.75">
      <c r="B32" s="40" t="s">
        <v>137</v>
      </c>
      <c r="C32" s="40"/>
      <c r="F32" s="11"/>
      <c r="H32" s="11"/>
      <c r="I32" s="11"/>
      <c r="J32" s="11"/>
      <c r="L32" s="11"/>
    </row>
    <row r="33" spans="2:20" ht="12.75">
      <c r="B33" s="4" t="s">
        <v>37</v>
      </c>
      <c r="D33" s="4" t="s">
        <v>48</v>
      </c>
      <c r="F33" s="9">
        <f>F12/F25/60/0.0283*1000*(21-7)/(21-F26)</f>
        <v>5.203143329604754</v>
      </c>
      <c r="H33" s="9">
        <f>H12/F25/60/0.0283*1000*(21-7)/(21-F26)</f>
        <v>10.13448066437941</v>
      </c>
      <c r="I33" s="9"/>
      <c r="J33" s="9"/>
      <c r="K33" s="6"/>
      <c r="L33" s="9">
        <f>L12/F$25/60/0.0283*1000*(21-7)/(21-F$26)</f>
        <v>133.92269659557314</v>
      </c>
      <c r="N33" s="11">
        <f>N12/60/0.0283/N25*(21-7)/(21-N26)*1000</f>
        <v>136.23785009609156</v>
      </c>
      <c r="P33" s="11">
        <f>P12/60/0.0283/P25*(21-7)/(21-P26)*1000</f>
        <v>162.93334755002692</v>
      </c>
      <c r="R33" s="11">
        <f>R12/60/0.0283/R25*(21-7)/(21-R26)*1000</f>
        <v>150.4591283354832</v>
      </c>
      <c r="T33" s="11">
        <f>AVERAGE(R33,P33,N33)</f>
        <v>149.87677532720056</v>
      </c>
    </row>
    <row r="34" spans="2:20" ht="12.75">
      <c r="B34" s="4" t="s">
        <v>38</v>
      </c>
      <c r="D34" s="4" t="s">
        <v>49</v>
      </c>
      <c r="E34" s="6">
        <v>100</v>
      </c>
      <c r="F34" s="9">
        <f>F13/F$25/60/0.0283*1000000*(21-7)/(21-F$26)</f>
        <v>931.9062679889112</v>
      </c>
      <c r="H34" s="9">
        <f>H13/F$25/60/0.0283*1000000*(21-7)/(21-F$26)</f>
        <v>11.64882834986139</v>
      </c>
      <c r="I34" s="9"/>
      <c r="J34" s="9"/>
      <c r="L34" s="9">
        <f>L13/F$25/60/0.0283*1000000*(21-7)/(21-F$26)</f>
        <v>0</v>
      </c>
      <c r="M34" s="6">
        <v>100</v>
      </c>
      <c r="N34" s="11">
        <f>N13/60/0.0283/N$25*(21-7)/(21-N$26)*1000000</f>
        <v>856.1687358748881</v>
      </c>
      <c r="O34" s="6">
        <v>100</v>
      </c>
      <c r="P34" s="11">
        <f>P13/60/0.0283/P$25*(21-7)/(21-P$26)*1000000</f>
        <v>1000.1023890538735</v>
      </c>
      <c r="Q34" s="6">
        <v>100</v>
      </c>
      <c r="R34" s="11">
        <f aca="true" t="shared" si="0" ref="R34:R44">R13/60/0.0283/R$25*(21-7)/(21-R$26)*1000000</f>
        <v>949.2689484888529</v>
      </c>
      <c r="S34" s="6">
        <v>100</v>
      </c>
      <c r="T34" s="11">
        <f aca="true" t="shared" si="1" ref="T34:T44">AVERAGE(R34,P34,N34)</f>
        <v>935.1800244725382</v>
      </c>
    </row>
    <row r="35" spans="2:20" ht="12.75">
      <c r="B35" s="4" t="s">
        <v>159</v>
      </c>
      <c r="D35" s="4" t="s">
        <v>49</v>
      </c>
      <c r="E35" s="6">
        <v>100</v>
      </c>
      <c r="F35" s="9">
        <f aca="true" t="shared" si="2" ref="F35:F44">F14/F$25/60/0.0283*1000000*(21-7)/(21-F$26)</f>
        <v>45.818724842788136</v>
      </c>
      <c r="G35" s="6">
        <v>100</v>
      </c>
      <c r="H35" s="9">
        <f aca="true" t="shared" si="3" ref="H35:H44">H14/F$25/60/0.0283*1000000*(21-7)/(21-F$26)</f>
        <v>0.038829427832871306</v>
      </c>
      <c r="I35" s="9"/>
      <c r="J35" s="9"/>
      <c r="L35" s="9">
        <f aca="true" t="shared" si="4" ref="L35:L44">L14/F$25/60/0.0283*1000000*(21-7)/(21-F$26)</f>
        <v>0</v>
      </c>
      <c r="M35" s="6">
        <v>100</v>
      </c>
      <c r="N35" s="11">
        <f aca="true" t="shared" si="5" ref="N35:P44">N14/60/0.0283/N$25*(21-7)/(21-N$26)*1000000</f>
        <v>42.094962847181996</v>
      </c>
      <c r="O35" s="6">
        <v>100</v>
      </c>
      <c r="P35" s="11">
        <f t="shared" si="5"/>
        <v>49.17170079514878</v>
      </c>
      <c r="Q35" s="6">
        <v>100</v>
      </c>
      <c r="R35" s="11">
        <f t="shared" si="0"/>
        <v>46.672389967368595</v>
      </c>
      <c r="S35" s="6">
        <v>100</v>
      </c>
      <c r="T35" s="11">
        <f t="shared" si="1"/>
        <v>45.97968453656645</v>
      </c>
    </row>
    <row r="36" spans="2:20" ht="12.75">
      <c r="B36" s="4" t="s">
        <v>155</v>
      </c>
      <c r="D36" s="4" t="s">
        <v>49</v>
      </c>
      <c r="E36" s="6">
        <v>100</v>
      </c>
      <c r="F36" s="9">
        <f t="shared" si="2"/>
        <v>9.319062679889113</v>
      </c>
      <c r="G36" s="6">
        <v>100</v>
      </c>
      <c r="H36" s="9">
        <f t="shared" si="3"/>
        <v>0.01164882834986139</v>
      </c>
      <c r="I36" s="9"/>
      <c r="J36" s="9"/>
      <c r="L36" s="9">
        <f t="shared" si="4"/>
        <v>0</v>
      </c>
      <c r="M36" s="6">
        <v>100</v>
      </c>
      <c r="N36" s="11">
        <f t="shared" si="5"/>
        <v>8.56168735874888</v>
      </c>
      <c r="O36" s="6">
        <v>100</v>
      </c>
      <c r="P36" s="11">
        <f t="shared" si="5"/>
        <v>10.001023890538736</v>
      </c>
      <c r="Q36" s="6">
        <v>100</v>
      </c>
      <c r="R36" s="11">
        <f t="shared" si="0"/>
        <v>9.492689484888528</v>
      </c>
      <c r="S36" s="6">
        <v>100</v>
      </c>
      <c r="T36" s="11">
        <f t="shared" si="1"/>
        <v>9.35180024472538</v>
      </c>
    </row>
    <row r="37" spans="2:20" ht="12.75">
      <c r="B37" s="4" t="s">
        <v>156</v>
      </c>
      <c r="D37" s="4" t="s">
        <v>49</v>
      </c>
      <c r="E37" s="6">
        <v>100</v>
      </c>
      <c r="F37" s="9">
        <f t="shared" si="2"/>
        <v>48.14849051276041</v>
      </c>
      <c r="H37" s="9">
        <f t="shared" si="3"/>
        <v>64.45685020256636</v>
      </c>
      <c r="I37" s="9"/>
      <c r="J37" s="9"/>
      <c r="L37" s="9">
        <f t="shared" si="4"/>
        <v>0</v>
      </c>
      <c r="M37" s="6"/>
      <c r="N37" s="11">
        <f t="shared" si="5"/>
        <v>102.38351133170536</v>
      </c>
      <c r="O37" s="6"/>
      <c r="P37" s="11">
        <f t="shared" si="5"/>
        <v>138.764206481225</v>
      </c>
      <c r="Q37" s="6"/>
      <c r="R37" s="11">
        <f t="shared" si="0"/>
        <v>98.8821821342555</v>
      </c>
      <c r="S37" s="6"/>
      <c r="T37" s="11">
        <f t="shared" si="1"/>
        <v>113.3432999823953</v>
      </c>
    </row>
    <row r="38" spans="2:20" ht="12.75">
      <c r="B38" s="4" t="s">
        <v>157</v>
      </c>
      <c r="D38" s="4" t="s">
        <v>49</v>
      </c>
      <c r="E38" s="6">
        <v>100</v>
      </c>
      <c r="F38" s="9">
        <f t="shared" si="2"/>
        <v>9.319062679889113</v>
      </c>
      <c r="G38" s="6">
        <v>100</v>
      </c>
      <c r="H38" s="9">
        <f t="shared" si="3"/>
        <v>0.01164882834986139</v>
      </c>
      <c r="I38" s="9"/>
      <c r="J38" s="9"/>
      <c r="L38" s="9">
        <f t="shared" si="4"/>
        <v>0</v>
      </c>
      <c r="M38" s="6">
        <v>100</v>
      </c>
      <c r="N38" s="11">
        <f t="shared" si="5"/>
        <v>8.56168735874888</v>
      </c>
      <c r="O38" s="6">
        <v>100</v>
      </c>
      <c r="P38" s="11">
        <f t="shared" si="5"/>
        <v>10.001023890538736</v>
      </c>
      <c r="Q38" s="6">
        <v>100</v>
      </c>
      <c r="R38" s="11">
        <f t="shared" si="0"/>
        <v>9.492689484888528</v>
      </c>
      <c r="S38" s="6">
        <v>100</v>
      </c>
      <c r="T38" s="11">
        <f t="shared" si="1"/>
        <v>9.35180024472538</v>
      </c>
    </row>
    <row r="39" spans="2:20" ht="12.75">
      <c r="B39" s="4" t="s">
        <v>161</v>
      </c>
      <c r="D39" s="4" t="s">
        <v>49</v>
      </c>
      <c r="E39" s="6">
        <v>100</v>
      </c>
      <c r="F39" s="9">
        <f t="shared" si="2"/>
        <v>9.319062679889113</v>
      </c>
      <c r="G39" s="6">
        <v>100</v>
      </c>
      <c r="H39" s="9">
        <f t="shared" si="3"/>
        <v>0.01164882834986139</v>
      </c>
      <c r="I39" s="9"/>
      <c r="J39" s="9"/>
      <c r="L39" s="9">
        <f t="shared" si="4"/>
        <v>0</v>
      </c>
      <c r="M39" s="6">
        <v>100</v>
      </c>
      <c r="N39" s="11">
        <f t="shared" si="5"/>
        <v>8.56168735874888</v>
      </c>
      <c r="O39" s="6">
        <v>100</v>
      </c>
      <c r="P39" s="11">
        <f t="shared" si="5"/>
        <v>10.001023890538736</v>
      </c>
      <c r="Q39" s="6">
        <v>100</v>
      </c>
      <c r="R39" s="11">
        <f t="shared" si="0"/>
        <v>9.492689484888528</v>
      </c>
      <c r="S39" s="6">
        <v>100</v>
      </c>
      <c r="T39" s="11">
        <f t="shared" si="1"/>
        <v>9.35180024472538</v>
      </c>
    </row>
    <row r="40" spans="2:20" ht="12.75">
      <c r="B40" s="4" t="s">
        <v>163</v>
      </c>
      <c r="D40" s="4" t="s">
        <v>49</v>
      </c>
      <c r="E40" s="6">
        <v>100</v>
      </c>
      <c r="F40" s="9">
        <f t="shared" si="2"/>
        <v>92.02574396390499</v>
      </c>
      <c r="G40" s="6">
        <v>100</v>
      </c>
      <c r="H40" s="9">
        <f t="shared" si="3"/>
        <v>0.11648828349861391</v>
      </c>
      <c r="I40" s="9"/>
      <c r="J40" s="9"/>
      <c r="L40" s="9">
        <f t="shared" si="4"/>
        <v>438.384240233117</v>
      </c>
      <c r="M40" s="6"/>
      <c r="N40" s="11">
        <f t="shared" si="5"/>
        <v>476.60059630368767</v>
      </c>
      <c r="O40" s="6"/>
      <c r="P40" s="11">
        <f t="shared" si="5"/>
        <v>555.8902445824448</v>
      </c>
      <c r="Q40" s="6"/>
      <c r="R40" s="11">
        <f t="shared" si="0"/>
        <v>565.2105530794046</v>
      </c>
      <c r="S40" s="6"/>
      <c r="T40" s="11">
        <f t="shared" si="1"/>
        <v>532.5671313218457</v>
      </c>
    </row>
    <row r="41" spans="2:20" ht="12.75">
      <c r="B41" s="4" t="s">
        <v>160</v>
      </c>
      <c r="D41" s="4" t="s">
        <v>49</v>
      </c>
      <c r="F41" s="9">
        <f t="shared" si="2"/>
        <v>59.020730305964385</v>
      </c>
      <c r="G41" s="6">
        <v>100</v>
      </c>
      <c r="H41" s="9">
        <f t="shared" si="3"/>
        <v>0.038829427832871306</v>
      </c>
      <c r="I41" s="9"/>
      <c r="J41" s="9"/>
      <c r="L41" s="9">
        <f t="shared" si="4"/>
        <v>0</v>
      </c>
      <c r="M41" s="6"/>
      <c r="N41" s="11">
        <f t="shared" si="5"/>
        <v>49.94317625936848</v>
      </c>
      <c r="O41" s="6"/>
      <c r="P41" s="11">
        <f t="shared" si="5"/>
        <v>70.84058589131605</v>
      </c>
      <c r="Q41" s="6"/>
      <c r="R41" s="11">
        <f t="shared" si="0"/>
        <v>58.142723094942234</v>
      </c>
      <c r="S41" s="6"/>
      <c r="T41" s="11">
        <f t="shared" si="1"/>
        <v>59.64216174854226</v>
      </c>
    </row>
    <row r="42" spans="2:20" ht="12.75">
      <c r="B42" s="4" t="s">
        <v>167</v>
      </c>
      <c r="D42" s="4" t="s">
        <v>49</v>
      </c>
      <c r="E42" s="6">
        <v>100</v>
      </c>
      <c r="F42" s="9">
        <f t="shared" si="2"/>
        <v>8.154179844902972</v>
      </c>
      <c r="G42" s="6">
        <v>100</v>
      </c>
      <c r="H42" s="9">
        <f t="shared" si="3"/>
        <v>0.007765885566574262</v>
      </c>
      <c r="I42" s="9"/>
      <c r="J42" s="9"/>
      <c r="L42" s="9">
        <f t="shared" si="4"/>
        <v>0</v>
      </c>
      <c r="M42" s="6">
        <v>100</v>
      </c>
      <c r="N42" s="11">
        <f t="shared" si="5"/>
        <v>7.491476438905269</v>
      </c>
      <c r="O42" s="6">
        <v>100</v>
      </c>
      <c r="P42" s="11">
        <f t="shared" si="5"/>
        <v>8.750895904221395</v>
      </c>
      <c r="Q42" s="6">
        <v>100</v>
      </c>
      <c r="R42" s="11">
        <f t="shared" si="0"/>
        <v>8.306103299277462</v>
      </c>
      <c r="S42" s="6">
        <v>100</v>
      </c>
      <c r="T42" s="11">
        <f t="shared" si="1"/>
        <v>8.182825214134708</v>
      </c>
    </row>
    <row r="43" spans="2:20" ht="12.75">
      <c r="B43" s="4" t="s">
        <v>162</v>
      </c>
      <c r="D43" s="4" t="s">
        <v>49</v>
      </c>
      <c r="E43" s="6">
        <v>100</v>
      </c>
      <c r="F43" s="9">
        <f t="shared" si="2"/>
        <v>45.818724842788136</v>
      </c>
      <c r="G43" s="6">
        <v>100</v>
      </c>
      <c r="H43" s="9">
        <f t="shared" si="3"/>
        <v>0.038829427832871306</v>
      </c>
      <c r="I43" s="9"/>
      <c r="J43" s="9"/>
      <c r="L43" s="9">
        <f t="shared" si="4"/>
        <v>0</v>
      </c>
      <c r="M43" s="6">
        <v>100</v>
      </c>
      <c r="N43" s="11">
        <f t="shared" si="5"/>
        <v>42.094962847181996</v>
      </c>
      <c r="O43" s="6">
        <v>100</v>
      </c>
      <c r="P43" s="11">
        <f t="shared" si="5"/>
        <v>49.17170079514878</v>
      </c>
      <c r="Q43" s="6">
        <v>100</v>
      </c>
      <c r="R43" s="11">
        <f t="shared" si="0"/>
        <v>46.672389967368595</v>
      </c>
      <c r="S43" s="6">
        <v>100</v>
      </c>
      <c r="T43" s="11">
        <f t="shared" si="1"/>
        <v>45.97968453656645</v>
      </c>
    </row>
    <row r="44" spans="2:20" ht="12.75">
      <c r="B44" s="4" t="s">
        <v>158</v>
      </c>
      <c r="D44" s="4" t="s">
        <v>49</v>
      </c>
      <c r="E44" s="6">
        <v>100</v>
      </c>
      <c r="F44" s="9">
        <f t="shared" si="2"/>
        <v>45.818724842788136</v>
      </c>
      <c r="G44" s="6">
        <v>100</v>
      </c>
      <c r="H44" s="9">
        <f t="shared" si="3"/>
        <v>0.038829427832871306</v>
      </c>
      <c r="I44" s="9"/>
      <c r="J44" s="9"/>
      <c r="L44" s="9">
        <f t="shared" si="4"/>
        <v>0</v>
      </c>
      <c r="M44" s="6">
        <v>100</v>
      </c>
      <c r="N44" s="11">
        <f t="shared" si="5"/>
        <v>42.094962847181996</v>
      </c>
      <c r="O44" s="6">
        <v>100</v>
      </c>
      <c r="P44" s="11">
        <f t="shared" si="5"/>
        <v>49.17170079514878</v>
      </c>
      <c r="Q44" s="6">
        <v>100</v>
      </c>
      <c r="R44" s="11">
        <f t="shared" si="0"/>
        <v>46.672389967368595</v>
      </c>
      <c r="S44" s="6">
        <v>100</v>
      </c>
      <c r="T44" s="11">
        <f t="shared" si="1"/>
        <v>45.97968453656645</v>
      </c>
    </row>
    <row r="45" spans="6:20" ht="12.75">
      <c r="F45" s="9"/>
      <c r="G45" s="26"/>
      <c r="H45" s="9"/>
      <c r="I45" s="9"/>
      <c r="J45" s="9"/>
      <c r="L45" s="11"/>
      <c r="T45" s="11"/>
    </row>
    <row r="46" spans="2:21" ht="12.75">
      <c r="B46" s="4" t="s">
        <v>52</v>
      </c>
      <c r="D46" s="4" t="s">
        <v>49</v>
      </c>
      <c r="E46" s="6">
        <f>F39/F46*100</f>
        <v>14.634146341463413</v>
      </c>
      <c r="F46" s="11">
        <f>SUM(F41,F39/2)</f>
        <v>63.68026164590894</v>
      </c>
      <c r="G46" s="50">
        <v>100</v>
      </c>
      <c r="H46" s="11">
        <f>SUM(H41,H39/2)</f>
        <v>0.044653842007802</v>
      </c>
      <c r="I46" s="9"/>
      <c r="J46" s="9"/>
      <c r="L46" s="11">
        <f>SUM(L41,L39/2)</f>
        <v>0</v>
      </c>
      <c r="M46" s="5">
        <f>N39/N46*100</f>
        <v>14.634146341463413</v>
      </c>
      <c r="N46" s="11">
        <f>SUM(N41,N39)</f>
        <v>58.504863618117355</v>
      </c>
      <c r="O46" s="5">
        <f>P39/P46*100</f>
        <v>12.371134020618555</v>
      </c>
      <c r="P46" s="11">
        <f>SUM(P41,P39)</f>
        <v>80.84160978185479</v>
      </c>
      <c r="Q46" s="5">
        <f>R39/R46*100</f>
        <v>14.035087719298248</v>
      </c>
      <c r="R46" s="11">
        <f>SUM(R41,R39)</f>
        <v>67.63541257983076</v>
      </c>
      <c r="S46" s="5">
        <f>T39/T46*100</f>
        <v>13.554519808034682</v>
      </c>
      <c r="T46" s="11">
        <f>AVERAGE(R46,P46,N46)</f>
        <v>68.99396199326763</v>
      </c>
      <c r="U46" s="9"/>
    </row>
    <row r="47" spans="2:21" ht="12.75">
      <c r="B47" s="4" t="s">
        <v>53</v>
      </c>
      <c r="D47" s="4" t="s">
        <v>49</v>
      </c>
      <c r="E47" s="6">
        <v>100</v>
      </c>
      <c r="F47" s="11">
        <f>SUM(F40,F38/2,F36/2)</f>
        <v>101.34480664379409</v>
      </c>
      <c r="G47" s="50">
        <v>100</v>
      </c>
      <c r="H47" s="11">
        <f>SUM(H40,H38/2,H36/2)</f>
        <v>0.12813711184847532</v>
      </c>
      <c r="I47" s="9"/>
      <c r="J47" s="9"/>
      <c r="L47" s="11">
        <f>SUM(L40,L38/2,L36/2)</f>
        <v>438.384240233117</v>
      </c>
      <c r="M47" s="5">
        <f>SUM(N36,N38)/N47*100</f>
        <v>3.4682080924855496</v>
      </c>
      <c r="N47" s="11">
        <f>SUM(N40,N38,N36)</f>
        <v>493.72397102118543</v>
      </c>
      <c r="O47" s="5">
        <f>SUM(P36,P38)/P47*100</f>
        <v>3.4732272069464547</v>
      </c>
      <c r="P47" s="11">
        <f>SUM(P40,P38,P36)</f>
        <v>575.8922923635222</v>
      </c>
      <c r="Q47" s="5">
        <f>SUM(R36,R38)/R47*100</f>
        <v>3.2498307379823963</v>
      </c>
      <c r="R47" s="11">
        <f>SUM(R40,R38,R36)</f>
        <v>584.1959320491816</v>
      </c>
      <c r="S47" s="5">
        <f>SUM(T36,T38)/T47*100</f>
        <v>3.392815799960359</v>
      </c>
      <c r="T47" s="11">
        <f>AVERAGE(R47,P47,N47)</f>
        <v>551.2707318112964</v>
      </c>
      <c r="U47" s="9"/>
    </row>
    <row r="48" ht="12.75">
      <c r="P48" s="11"/>
    </row>
    <row r="49" spans="1:8" ht="12.75">
      <c r="A49" s="5" t="s">
        <v>165</v>
      </c>
      <c r="B49" s="8" t="s">
        <v>107</v>
      </c>
      <c r="C49" s="8"/>
      <c r="F49" s="7" t="s">
        <v>28</v>
      </c>
      <c r="H49" s="7" t="s">
        <v>28</v>
      </c>
    </row>
    <row r="50" spans="2:8" ht="12.75">
      <c r="B50" s="8"/>
      <c r="C50" s="8"/>
      <c r="H50" s="7"/>
    </row>
    <row r="51" spans="2:8" ht="12.75">
      <c r="B51" s="46" t="s">
        <v>190</v>
      </c>
      <c r="C51" s="8"/>
      <c r="F51" s="7" t="s">
        <v>209</v>
      </c>
      <c r="H51" s="7" t="s">
        <v>210</v>
      </c>
    </row>
    <row r="52" spans="2:8" ht="12.75">
      <c r="B52" s="46" t="s">
        <v>191</v>
      </c>
      <c r="C52" s="8"/>
      <c r="F52" s="7" t="s">
        <v>192</v>
      </c>
      <c r="H52" s="5" t="s">
        <v>208</v>
      </c>
    </row>
    <row r="53" spans="2:8" ht="12.75">
      <c r="B53" s="46" t="s">
        <v>214</v>
      </c>
      <c r="C53" s="8"/>
      <c r="H53" s="7" t="s">
        <v>208</v>
      </c>
    </row>
    <row r="54" spans="2:8" ht="12.75">
      <c r="B54" s="4" t="s">
        <v>164</v>
      </c>
      <c r="F54" s="7" t="s">
        <v>105</v>
      </c>
      <c r="H54" s="5" t="s">
        <v>176</v>
      </c>
    </row>
    <row r="55" spans="2:6" ht="12.75">
      <c r="B55" s="4" t="s">
        <v>168</v>
      </c>
      <c r="D55" s="4" t="s">
        <v>30</v>
      </c>
      <c r="F55" s="12">
        <v>683575</v>
      </c>
    </row>
    <row r="56" spans="2:8" ht="12.75">
      <c r="B56" s="4" t="s">
        <v>168</v>
      </c>
      <c r="D56" s="4" t="s">
        <v>177</v>
      </c>
      <c r="F56" s="12"/>
      <c r="H56" s="5">
        <v>13.5</v>
      </c>
    </row>
    <row r="57" spans="2:8" ht="12.75">
      <c r="B57" s="4" t="s">
        <v>44</v>
      </c>
      <c r="D57" s="4" t="s">
        <v>178</v>
      </c>
      <c r="F57" s="12"/>
      <c r="H57" s="5">
        <v>1040</v>
      </c>
    </row>
    <row r="58" spans="2:8" ht="12.75">
      <c r="B58" s="4" t="s">
        <v>166</v>
      </c>
      <c r="F58" s="12"/>
      <c r="H58" s="5">
        <f>H56*H57/1000</f>
        <v>14.04</v>
      </c>
    </row>
    <row r="59" ht="12.75">
      <c r="F59" s="12"/>
    </row>
    <row r="60" spans="2:6" ht="12.75">
      <c r="B60" s="4" t="s">
        <v>45</v>
      </c>
      <c r="D60" s="4" t="s">
        <v>25</v>
      </c>
      <c r="F60" s="11">
        <f>emiss!M32</f>
        <v>8200.333333333334</v>
      </c>
    </row>
    <row r="61" spans="2:6" ht="12.75">
      <c r="B61" s="4" t="s">
        <v>46</v>
      </c>
      <c r="D61" s="4" t="s">
        <v>26</v>
      </c>
      <c r="F61" s="5">
        <f>emiss!M33</f>
        <v>10.1</v>
      </c>
    </row>
    <row r="62" spans="2:3" ht="12.75">
      <c r="B62" s="8"/>
      <c r="C62" s="8"/>
    </row>
    <row r="63" spans="1:20" ht="12.75">
      <c r="A63" s="5" t="s">
        <v>165</v>
      </c>
      <c r="B63" s="8" t="s">
        <v>108</v>
      </c>
      <c r="C63" s="8"/>
      <c r="F63" s="7" t="s">
        <v>28</v>
      </c>
      <c r="H63" s="7" t="s">
        <v>28</v>
      </c>
      <c r="J63" s="7" t="s">
        <v>28</v>
      </c>
      <c r="L63" s="7" t="s">
        <v>28</v>
      </c>
      <c r="N63" s="5" t="s">
        <v>183</v>
      </c>
      <c r="P63" s="5" t="s">
        <v>184</v>
      </c>
      <c r="R63" s="5" t="s">
        <v>185</v>
      </c>
      <c r="T63" s="5" t="s">
        <v>28</v>
      </c>
    </row>
    <row r="64" spans="2:12" ht="12.75">
      <c r="B64" s="8"/>
      <c r="C64" s="8"/>
      <c r="H64" s="7"/>
      <c r="J64" s="7"/>
      <c r="L64" s="7"/>
    </row>
    <row r="65" spans="2:20" ht="12.75">
      <c r="B65" s="46" t="s">
        <v>190</v>
      </c>
      <c r="C65" s="8"/>
      <c r="F65" s="7" t="s">
        <v>209</v>
      </c>
      <c r="H65" s="7" t="s">
        <v>210</v>
      </c>
      <c r="J65" s="7" t="s">
        <v>211</v>
      </c>
      <c r="L65" s="7" t="s">
        <v>212</v>
      </c>
      <c r="N65" s="5" t="s">
        <v>213</v>
      </c>
      <c r="P65" s="5" t="s">
        <v>213</v>
      </c>
      <c r="R65" s="5" t="s">
        <v>213</v>
      </c>
      <c r="T65" s="5" t="s">
        <v>213</v>
      </c>
    </row>
    <row r="66" spans="2:20" ht="12.75">
      <c r="B66" s="46" t="s">
        <v>191</v>
      </c>
      <c r="F66" s="7" t="s">
        <v>192</v>
      </c>
      <c r="H66" s="5" t="s">
        <v>193</v>
      </c>
      <c r="J66" s="5" t="s">
        <v>208</v>
      </c>
      <c r="L66" s="5" t="s">
        <v>39</v>
      </c>
      <c r="N66" s="5" t="s">
        <v>67</v>
      </c>
      <c r="P66" s="5" t="s">
        <v>67</v>
      </c>
      <c r="R66" s="5" t="s">
        <v>67</v>
      </c>
      <c r="T66" s="5" t="s">
        <v>67</v>
      </c>
    </row>
    <row r="67" spans="2:20" ht="12.75">
      <c r="B67" s="46" t="s">
        <v>214</v>
      </c>
      <c r="C67" s="8"/>
      <c r="F67" s="7" t="s">
        <v>51</v>
      </c>
      <c r="H67" s="7" t="s">
        <v>215</v>
      </c>
      <c r="L67" s="5" t="s">
        <v>39</v>
      </c>
      <c r="N67" s="5" t="s">
        <v>67</v>
      </c>
      <c r="P67" s="5" t="s">
        <v>67</v>
      </c>
      <c r="R67" s="5" t="s">
        <v>67</v>
      </c>
      <c r="T67" s="5" t="s">
        <v>67</v>
      </c>
    </row>
    <row r="68" spans="2:20" ht="12.75">
      <c r="B68" s="4" t="s">
        <v>164</v>
      </c>
      <c r="F68" s="7" t="s">
        <v>105</v>
      </c>
      <c r="H68" s="7" t="s">
        <v>118</v>
      </c>
      <c r="I68" s="7"/>
      <c r="J68" s="5" t="s">
        <v>176</v>
      </c>
      <c r="L68" s="5" t="s">
        <v>39</v>
      </c>
      <c r="N68" s="5" t="s">
        <v>67</v>
      </c>
      <c r="P68" s="5" t="s">
        <v>67</v>
      </c>
      <c r="R68" s="5" t="s">
        <v>67</v>
      </c>
      <c r="T68" s="5" t="s">
        <v>67</v>
      </c>
    </row>
    <row r="69" spans="2:10" ht="12.75">
      <c r="B69" s="4" t="s">
        <v>168</v>
      </c>
      <c r="D69" s="4" t="s">
        <v>177</v>
      </c>
      <c r="H69" s="7"/>
      <c r="I69" s="7"/>
      <c r="J69" s="5">
        <v>12.05</v>
      </c>
    </row>
    <row r="70" spans="2:18" ht="12.75">
      <c r="B70" s="4" t="s">
        <v>168</v>
      </c>
      <c r="D70" s="4" t="s">
        <v>30</v>
      </c>
      <c r="F70" s="12">
        <v>2368850</v>
      </c>
      <c r="H70" s="5">
        <f>3.95*454</f>
        <v>1793.3000000000002</v>
      </c>
      <c r="N70" s="5">
        <v>2370060</v>
      </c>
      <c r="P70" s="5">
        <v>2368246</v>
      </c>
      <c r="R70" s="5">
        <v>2368246</v>
      </c>
    </row>
    <row r="71" spans="2:10" ht="12.75">
      <c r="B71" s="4" t="s">
        <v>44</v>
      </c>
      <c r="D71" s="4" t="s">
        <v>178</v>
      </c>
      <c r="F71" s="12"/>
      <c r="J71" s="5">
        <v>1040</v>
      </c>
    </row>
    <row r="72" spans="2:6" ht="12.75">
      <c r="B72" s="4" t="s">
        <v>44</v>
      </c>
      <c r="D72" s="4" t="s">
        <v>31</v>
      </c>
      <c r="F72" s="5">
        <v>10543</v>
      </c>
    </row>
    <row r="73" spans="2:6" ht="12.75">
      <c r="B73" s="4" t="s">
        <v>33</v>
      </c>
      <c r="D73" s="4" t="s">
        <v>34</v>
      </c>
      <c r="F73" s="5">
        <v>11.1</v>
      </c>
    </row>
    <row r="74" spans="2:6" ht="12.75">
      <c r="B74" s="4" t="s">
        <v>35</v>
      </c>
      <c r="D74" s="4" t="s">
        <v>36</v>
      </c>
      <c r="F74" s="13">
        <v>0.98</v>
      </c>
    </row>
    <row r="75" spans="2:18" ht="12.75">
      <c r="B75" s="4" t="s">
        <v>37</v>
      </c>
      <c r="D75" s="4" t="s">
        <v>30</v>
      </c>
      <c r="F75" s="5">
        <v>697</v>
      </c>
      <c r="H75" s="5">
        <v>176</v>
      </c>
      <c r="N75" s="5">
        <v>632</v>
      </c>
      <c r="P75" s="5">
        <v>355</v>
      </c>
      <c r="R75" s="5">
        <v>1104</v>
      </c>
    </row>
    <row r="76" spans="2:18" ht="12.75">
      <c r="B76" s="4" t="s">
        <v>38</v>
      </c>
      <c r="D76" s="4" t="s">
        <v>30</v>
      </c>
      <c r="E76" s="6" t="s">
        <v>32</v>
      </c>
      <c r="F76" s="5">
        <v>948</v>
      </c>
      <c r="G76" s="6" t="s">
        <v>32</v>
      </c>
      <c r="H76" s="5">
        <v>0.7</v>
      </c>
      <c r="M76" s="6" t="s">
        <v>32</v>
      </c>
      <c r="N76" s="5">
        <v>948</v>
      </c>
      <c r="O76" s="6" t="s">
        <v>32</v>
      </c>
      <c r="P76" s="5">
        <v>947</v>
      </c>
      <c r="Q76" s="6" t="s">
        <v>32</v>
      </c>
      <c r="R76" s="5">
        <v>947</v>
      </c>
    </row>
    <row r="77" spans="2:18" ht="12.75">
      <c r="B77" s="4" t="s">
        <v>159</v>
      </c>
      <c r="D77" s="4" t="s">
        <v>30</v>
      </c>
      <c r="E77" s="6" t="s">
        <v>32</v>
      </c>
      <c r="F77" s="13">
        <v>5</v>
      </c>
      <c r="G77" s="6" t="s">
        <v>32</v>
      </c>
      <c r="H77" s="5">
        <v>0.004</v>
      </c>
      <c r="M77" s="6" t="s">
        <v>32</v>
      </c>
      <c r="N77" s="5">
        <v>5</v>
      </c>
      <c r="O77" s="6" t="s">
        <v>32</v>
      </c>
      <c r="P77" s="5">
        <v>5</v>
      </c>
      <c r="Q77" s="6" t="s">
        <v>32</v>
      </c>
      <c r="R77" s="5">
        <v>5</v>
      </c>
    </row>
    <row r="78" spans="2:18" ht="12.75">
      <c r="B78" s="4" t="s">
        <v>155</v>
      </c>
      <c r="D78" s="4" t="s">
        <v>30</v>
      </c>
      <c r="E78" s="6" t="s">
        <v>32</v>
      </c>
      <c r="F78" s="13">
        <v>0.28</v>
      </c>
      <c r="G78" s="6" t="s">
        <v>32</v>
      </c>
      <c r="H78" s="25">
        <f>AVERAGE(0.00022,0.00021,0.00021)</f>
        <v>0.00021333333333333336</v>
      </c>
      <c r="I78" s="25"/>
      <c r="J78" s="25"/>
      <c r="M78" s="6" t="s">
        <v>32</v>
      </c>
      <c r="N78" s="5">
        <v>0.28</v>
      </c>
      <c r="O78" s="6" t="s">
        <v>32</v>
      </c>
      <c r="P78" s="5">
        <v>0.28</v>
      </c>
      <c r="Q78" s="6" t="s">
        <v>32</v>
      </c>
      <c r="R78" s="5">
        <v>0.28</v>
      </c>
    </row>
    <row r="79" spans="2:18" ht="12.75">
      <c r="B79" s="4" t="s">
        <v>156</v>
      </c>
      <c r="D79" s="4" t="s">
        <v>30</v>
      </c>
      <c r="F79" s="13">
        <f>AVERAGE(5.9/2,18,5.9/2)</f>
        <v>7.966666666666666</v>
      </c>
      <c r="H79" s="13">
        <f>AVERAGE(5.3,5.2,5.2)</f>
        <v>5.233333333333333</v>
      </c>
      <c r="I79" s="13"/>
      <c r="J79" s="13"/>
      <c r="M79" s="6" t="s">
        <v>32</v>
      </c>
      <c r="N79" s="5">
        <v>5.9</v>
      </c>
      <c r="O79" s="6"/>
      <c r="P79" s="5">
        <v>18</v>
      </c>
      <c r="Q79" s="6" t="s">
        <v>32</v>
      </c>
      <c r="R79" s="5">
        <v>5.9</v>
      </c>
    </row>
    <row r="80" spans="2:18" ht="12.75">
      <c r="B80" s="4" t="s">
        <v>157</v>
      </c>
      <c r="D80" s="4" t="s">
        <v>30</v>
      </c>
      <c r="E80" s="6" t="s">
        <v>32</v>
      </c>
      <c r="F80" s="13">
        <v>0.1</v>
      </c>
      <c r="G80" s="6" t="s">
        <v>32</v>
      </c>
      <c r="H80" s="5">
        <v>9E-05</v>
      </c>
      <c r="M80" s="6" t="s">
        <v>32</v>
      </c>
      <c r="N80" s="5">
        <v>0.1</v>
      </c>
      <c r="O80" s="6" t="s">
        <v>32</v>
      </c>
      <c r="P80" s="5">
        <v>0.1</v>
      </c>
      <c r="Q80" s="6" t="s">
        <v>32</v>
      </c>
      <c r="R80" s="5">
        <v>0.1</v>
      </c>
    </row>
    <row r="81" spans="2:18" ht="12.75">
      <c r="B81" s="4" t="s">
        <v>161</v>
      </c>
      <c r="D81" s="4" t="s">
        <v>30</v>
      </c>
      <c r="E81" s="6" t="s">
        <v>32</v>
      </c>
      <c r="F81" s="13">
        <v>0.1</v>
      </c>
      <c r="G81" s="6" t="s">
        <v>32</v>
      </c>
      <c r="H81" s="5">
        <v>9E-05</v>
      </c>
      <c r="M81" s="6" t="s">
        <v>32</v>
      </c>
      <c r="N81" s="5">
        <v>0.1</v>
      </c>
      <c r="O81" s="6" t="s">
        <v>32</v>
      </c>
      <c r="P81" s="5">
        <v>0.1</v>
      </c>
      <c r="Q81" s="6" t="s">
        <v>32</v>
      </c>
      <c r="R81" s="5">
        <v>0.1</v>
      </c>
    </row>
    <row r="82" spans="2:18" ht="12.75">
      <c r="B82" s="4" t="s">
        <v>163</v>
      </c>
      <c r="D82" s="4" t="s">
        <v>30</v>
      </c>
      <c r="F82" s="13">
        <v>2</v>
      </c>
      <c r="H82" s="5">
        <v>0.001</v>
      </c>
      <c r="M82" s="6"/>
      <c r="N82" s="5">
        <v>1</v>
      </c>
      <c r="O82" s="6"/>
      <c r="P82" s="5">
        <v>2</v>
      </c>
      <c r="Q82" s="6"/>
      <c r="R82" s="5">
        <v>2</v>
      </c>
    </row>
    <row r="83" spans="2:18" ht="12.75">
      <c r="B83" s="4" t="s">
        <v>160</v>
      </c>
      <c r="D83" s="4" t="s">
        <v>30</v>
      </c>
      <c r="E83" s="6" t="s">
        <v>32</v>
      </c>
      <c r="F83" s="13">
        <v>5</v>
      </c>
      <c r="G83" s="6" t="s">
        <v>32</v>
      </c>
      <c r="H83" s="5">
        <v>0.004</v>
      </c>
      <c r="M83" s="6" t="s">
        <v>32</v>
      </c>
      <c r="N83" s="5">
        <v>5</v>
      </c>
      <c r="O83" s="6" t="s">
        <v>32</v>
      </c>
      <c r="P83" s="5">
        <v>5</v>
      </c>
      <c r="Q83" s="6" t="s">
        <v>32</v>
      </c>
      <c r="R83" s="5">
        <v>5</v>
      </c>
    </row>
    <row r="84" spans="2:18" ht="12.75">
      <c r="B84" s="4" t="s">
        <v>167</v>
      </c>
      <c r="D84" s="4" t="s">
        <v>30</v>
      </c>
      <c r="E84" s="6" t="s">
        <v>32</v>
      </c>
      <c r="F84" s="13">
        <v>0.2</v>
      </c>
      <c r="G84" s="6" t="s">
        <v>32</v>
      </c>
      <c r="H84" s="5">
        <v>0.0002</v>
      </c>
      <c r="M84" s="6"/>
      <c r="N84" s="5">
        <v>0.2</v>
      </c>
      <c r="O84" s="6" t="s">
        <v>32</v>
      </c>
      <c r="P84" s="5">
        <v>0.2</v>
      </c>
      <c r="Q84" s="6" t="s">
        <v>32</v>
      </c>
      <c r="R84" s="5">
        <v>0.2</v>
      </c>
    </row>
    <row r="85" spans="2:18" ht="12.75">
      <c r="B85" s="4" t="s">
        <v>162</v>
      </c>
      <c r="D85" s="4" t="s">
        <v>30</v>
      </c>
      <c r="E85" s="6" t="s">
        <v>32</v>
      </c>
      <c r="F85" s="13">
        <v>5.9</v>
      </c>
      <c r="G85" s="6" t="s">
        <v>32</v>
      </c>
      <c r="H85" s="5">
        <v>0.0045</v>
      </c>
      <c r="M85" s="6" t="s">
        <v>32</v>
      </c>
      <c r="N85" s="5">
        <v>5.9</v>
      </c>
      <c r="O85" s="6" t="s">
        <v>32</v>
      </c>
      <c r="P85" s="5">
        <v>5.9</v>
      </c>
      <c r="Q85" s="6" t="s">
        <v>32</v>
      </c>
      <c r="R85" s="5">
        <v>5.9</v>
      </c>
    </row>
    <row r="86" spans="2:18" ht="12.75">
      <c r="B86" s="4" t="s">
        <v>158</v>
      </c>
      <c r="D86" s="4" t="s">
        <v>30</v>
      </c>
      <c r="E86" s="6" t="s">
        <v>32</v>
      </c>
      <c r="F86" s="13">
        <v>24</v>
      </c>
      <c r="G86" s="6" t="s">
        <v>32</v>
      </c>
      <c r="H86" s="5">
        <v>0.018</v>
      </c>
      <c r="M86" s="6" t="s">
        <v>32</v>
      </c>
      <c r="N86" s="5">
        <v>24</v>
      </c>
      <c r="O86" s="6" t="s">
        <v>32</v>
      </c>
      <c r="P86" s="5">
        <v>24</v>
      </c>
      <c r="Q86" s="6" t="s">
        <v>32</v>
      </c>
      <c r="R86" s="5">
        <v>24</v>
      </c>
    </row>
    <row r="88" spans="2:18" ht="12.75">
      <c r="B88" s="4" t="s">
        <v>45</v>
      </c>
      <c r="D88" s="4" t="s">
        <v>25</v>
      </c>
      <c r="F88" s="9">
        <f>emiss!$M$54</f>
        <v>14365.666666666666</v>
      </c>
      <c r="H88" s="9">
        <f>emiss!$M$54</f>
        <v>14365.666666666666</v>
      </c>
      <c r="I88" s="9"/>
      <c r="J88" s="9"/>
      <c r="N88" s="9">
        <f>emiss!G54</f>
        <v>14125</v>
      </c>
      <c r="P88" s="9">
        <f>emiss!I54</f>
        <v>14482</v>
      </c>
      <c r="R88" s="9">
        <f>emiss!K54</f>
        <v>14490</v>
      </c>
    </row>
    <row r="89" spans="2:18" ht="12.75">
      <c r="B89" s="4" t="s">
        <v>46</v>
      </c>
      <c r="D89" s="4" t="s">
        <v>26</v>
      </c>
      <c r="F89" s="9">
        <f>emiss!$M$55</f>
        <v>7.166666666666667</v>
      </c>
      <c r="H89" s="9">
        <f>emiss!$M$55</f>
        <v>7.166666666666667</v>
      </c>
      <c r="I89" s="9"/>
      <c r="J89" s="9"/>
      <c r="N89" s="9">
        <f>emiss!G55</f>
        <v>6.6</v>
      </c>
      <c r="P89" s="9">
        <f>emiss!I55</f>
        <v>7.5</v>
      </c>
      <c r="R89" s="9">
        <f>emiss!K55</f>
        <v>7.4</v>
      </c>
    </row>
    <row r="91" spans="2:20" ht="12.75">
      <c r="B91" s="4" t="s">
        <v>166</v>
      </c>
      <c r="D91" s="4" t="s">
        <v>43</v>
      </c>
      <c r="F91" s="9">
        <f>F72*F70/454/1000000</f>
        <v>55.01054085903083</v>
      </c>
      <c r="H91" s="9">
        <f>H72*H70/454/1000000</f>
        <v>0</v>
      </c>
      <c r="J91" s="5">
        <v>12.5</v>
      </c>
      <c r="T91" s="11">
        <f>SUM(F91,J91)</f>
        <v>67.51054085903084</v>
      </c>
    </row>
    <row r="92" spans="2:12" ht="12.75">
      <c r="B92" s="4" t="s">
        <v>47</v>
      </c>
      <c r="D92" s="4" t="s">
        <v>43</v>
      </c>
      <c r="F92" s="11"/>
      <c r="H92" s="11"/>
      <c r="I92" s="11"/>
      <c r="J92" s="11"/>
      <c r="L92" s="11">
        <f>N88/9000*(21-N89)/21*60</f>
        <v>64.57142857142858</v>
      </c>
    </row>
    <row r="93" spans="6:12" ht="12.75">
      <c r="F93" s="11"/>
      <c r="H93" s="11"/>
      <c r="I93" s="11"/>
      <c r="J93" s="11"/>
      <c r="L93" s="11"/>
    </row>
    <row r="94" spans="2:12" ht="12.75">
      <c r="B94" s="40" t="s">
        <v>137</v>
      </c>
      <c r="C94" s="40"/>
      <c r="F94" s="11"/>
      <c r="H94" s="11"/>
      <c r="I94" s="11"/>
      <c r="J94" s="11"/>
      <c r="L94" s="11"/>
    </row>
    <row r="95" spans="2:20" ht="12.75">
      <c r="B95" s="4" t="s">
        <v>37</v>
      </c>
      <c r="D95" s="4" t="s">
        <v>48</v>
      </c>
      <c r="F95" s="9">
        <f>F75/F88/60/0.0283*1000*(21-7)/(21-F89)</f>
        <v>28.91814964703445</v>
      </c>
      <c r="H95" s="9">
        <f>H75/H88/60/0.0283*1000*(21-7)/(21-H89)</f>
        <v>7.302143956783447</v>
      </c>
      <c r="I95" s="9"/>
      <c r="J95" s="9"/>
      <c r="L95" s="11"/>
      <c r="N95" s="11">
        <f>N75/60/0.0283/N88*(21-7)/(21-N89)*1000</f>
        <v>25.61866410016759</v>
      </c>
      <c r="P95" s="11">
        <f>P75/60/0.0283/P88*(21-7)/(21-P89)*1000</f>
        <v>14.97119238341883</v>
      </c>
      <c r="R95" s="11">
        <f>R75/60/0.0283/R88*(21-7)/(21-R89)*1000</f>
        <v>46.19044319730248</v>
      </c>
      <c r="T95" s="11">
        <f aca="true" t="shared" si="6" ref="T95:T103">AVERAGE(R95,P95,N95)</f>
        <v>28.9267665602963</v>
      </c>
    </row>
    <row r="96" spans="2:20" ht="12.75">
      <c r="B96" s="4" t="s">
        <v>38</v>
      </c>
      <c r="D96" s="4" t="s">
        <v>49</v>
      </c>
      <c r="E96" s="6">
        <v>100</v>
      </c>
      <c r="F96" s="9">
        <f aca="true" t="shared" si="7" ref="F96:F106">F76/F$88/60/0.0283*1000000*(21-7)/(21-F$89)</f>
        <v>39332.00267631085</v>
      </c>
      <c r="G96" s="6">
        <v>100</v>
      </c>
      <c r="H96" s="9">
        <f aca="true" t="shared" si="8" ref="H96:H106">H76/H$88/60/0.0283*1000000*(21-7)/(21-H$89)</f>
        <v>29.042618009934163</v>
      </c>
      <c r="I96" s="9"/>
      <c r="J96" s="9"/>
      <c r="L96" s="11"/>
      <c r="M96" s="6">
        <v>100</v>
      </c>
      <c r="N96" s="11">
        <f>N76/60/0.0283/N$88*(21-7)/(21-N$89)*1000000</f>
        <v>38427.99615025138</v>
      </c>
      <c r="O96" s="6">
        <v>100</v>
      </c>
      <c r="P96" s="11">
        <f>P76/60/0.0283/P$88*(21-7)/(21-P$89)*1000000</f>
        <v>39937.23714675389</v>
      </c>
      <c r="Q96" s="6">
        <v>100</v>
      </c>
      <c r="R96" s="11">
        <f aca="true" t="shared" si="9" ref="R96:R106">R76/60/0.0283/R$88*(21-7)/(21-R$89)*1000000</f>
        <v>39621.69357594696</v>
      </c>
      <c r="S96" s="6">
        <v>100</v>
      </c>
      <c r="T96" s="11">
        <f t="shared" si="6"/>
        <v>39328.97562431741</v>
      </c>
    </row>
    <row r="97" spans="2:20" ht="12.75">
      <c r="B97" s="4" t="s">
        <v>159</v>
      </c>
      <c r="D97" s="4" t="s">
        <v>49</v>
      </c>
      <c r="E97" s="6">
        <v>100</v>
      </c>
      <c r="F97" s="9">
        <f t="shared" si="7"/>
        <v>207.44727149952973</v>
      </c>
      <c r="G97" s="6">
        <v>100</v>
      </c>
      <c r="H97" s="9">
        <f t="shared" si="8"/>
        <v>0.16595781719962382</v>
      </c>
      <c r="I97" s="9"/>
      <c r="J97" s="9"/>
      <c r="L97" s="11"/>
      <c r="M97" s="6">
        <v>100</v>
      </c>
      <c r="N97" s="11">
        <f aca="true" t="shared" si="10" ref="N97:P106">N77/60/0.0283/N$88*(21-7)/(21-N$89)*1000000</f>
        <v>202.67930458993342</v>
      </c>
      <c r="O97" s="6">
        <v>100</v>
      </c>
      <c r="P97" s="11">
        <f t="shared" si="10"/>
        <v>210.86186455519473</v>
      </c>
      <c r="Q97" s="6">
        <v>100</v>
      </c>
      <c r="R97" s="11">
        <f t="shared" si="9"/>
        <v>209.1958478138699</v>
      </c>
      <c r="S97" s="6">
        <v>100</v>
      </c>
      <c r="T97" s="11">
        <f t="shared" si="6"/>
        <v>207.57900565299937</v>
      </c>
    </row>
    <row r="98" spans="2:20" ht="12.75">
      <c r="B98" s="4" t="s">
        <v>155</v>
      </c>
      <c r="D98" s="4" t="s">
        <v>49</v>
      </c>
      <c r="E98" s="6">
        <v>100</v>
      </c>
      <c r="F98" s="9">
        <f t="shared" si="7"/>
        <v>11.617047203973668</v>
      </c>
      <c r="G98" s="6">
        <v>100</v>
      </c>
      <c r="H98" s="9">
        <f t="shared" si="8"/>
        <v>0.008851083583979938</v>
      </c>
      <c r="I98" s="9"/>
      <c r="J98" s="9"/>
      <c r="L98" s="11"/>
      <c r="M98" s="6">
        <v>100</v>
      </c>
      <c r="N98" s="11">
        <f t="shared" si="10"/>
        <v>11.350041057036275</v>
      </c>
      <c r="O98" s="6">
        <v>100</v>
      </c>
      <c r="P98" s="11">
        <f t="shared" si="10"/>
        <v>11.80826441509091</v>
      </c>
      <c r="Q98" s="6">
        <v>100</v>
      </c>
      <c r="R98" s="11">
        <f t="shared" si="9"/>
        <v>11.71496747757672</v>
      </c>
      <c r="S98" s="6">
        <v>100</v>
      </c>
      <c r="T98" s="11">
        <f t="shared" si="6"/>
        <v>11.624424316567968</v>
      </c>
    </row>
    <row r="99" spans="2:20" ht="12.75">
      <c r="B99" s="4" t="s">
        <v>156</v>
      </c>
      <c r="D99" s="4" t="s">
        <v>49</v>
      </c>
      <c r="F99" s="9">
        <f t="shared" si="7"/>
        <v>330.5326525892508</v>
      </c>
      <c r="H99" s="9">
        <f t="shared" si="8"/>
        <v>217.1281441695078</v>
      </c>
      <c r="I99" s="9"/>
      <c r="J99" s="9"/>
      <c r="L99" s="11"/>
      <c r="M99" s="6">
        <v>100</v>
      </c>
      <c r="N99" s="11">
        <f t="shared" si="10"/>
        <v>239.16157941612147</v>
      </c>
      <c r="O99" s="6"/>
      <c r="P99" s="11">
        <f t="shared" si="10"/>
        <v>759.1027123987011</v>
      </c>
      <c r="Q99" s="6">
        <v>100</v>
      </c>
      <c r="R99" s="11">
        <f t="shared" si="9"/>
        <v>246.85110042036655</v>
      </c>
      <c r="S99" s="5">
        <f>SUM(R99,N99)/SUM(R99,P99,N99)*100</f>
        <v>39.03354523342728</v>
      </c>
      <c r="T99" s="11">
        <f t="shared" si="6"/>
        <v>415.0384640783964</v>
      </c>
    </row>
    <row r="100" spans="2:20" ht="12.75">
      <c r="B100" s="4" t="s">
        <v>157</v>
      </c>
      <c r="D100" s="4" t="s">
        <v>49</v>
      </c>
      <c r="E100" s="6">
        <v>100</v>
      </c>
      <c r="F100" s="9">
        <f t="shared" si="7"/>
        <v>4.1489454299905955</v>
      </c>
      <c r="G100" s="6">
        <v>100</v>
      </c>
      <c r="H100" s="9">
        <f t="shared" si="8"/>
        <v>0.0037340508869915354</v>
      </c>
      <c r="I100" s="9"/>
      <c r="J100" s="9"/>
      <c r="L100" s="11"/>
      <c r="M100" s="6">
        <v>100</v>
      </c>
      <c r="N100" s="11">
        <f t="shared" si="10"/>
        <v>4.05358609179867</v>
      </c>
      <c r="O100" s="6">
        <v>100</v>
      </c>
      <c r="P100" s="11">
        <f t="shared" si="10"/>
        <v>4.217237291103896</v>
      </c>
      <c r="Q100" s="6">
        <v>100</v>
      </c>
      <c r="R100" s="11">
        <f t="shared" si="9"/>
        <v>4.1839169562773995</v>
      </c>
      <c r="S100" s="6">
        <v>100</v>
      </c>
      <c r="T100" s="11">
        <f t="shared" si="6"/>
        <v>4.151580113059989</v>
      </c>
    </row>
    <row r="101" spans="2:20" ht="12.75">
      <c r="B101" s="4" t="s">
        <v>161</v>
      </c>
      <c r="D101" s="4" t="s">
        <v>49</v>
      </c>
      <c r="E101" s="6">
        <v>100</v>
      </c>
      <c r="F101" s="9">
        <f t="shared" si="7"/>
        <v>4.1489454299905955</v>
      </c>
      <c r="G101" s="6">
        <v>100</v>
      </c>
      <c r="H101" s="9">
        <f t="shared" si="8"/>
        <v>0.0037340508869915354</v>
      </c>
      <c r="I101" s="9"/>
      <c r="J101" s="9"/>
      <c r="L101" s="11"/>
      <c r="M101" s="6">
        <v>100</v>
      </c>
      <c r="N101" s="11">
        <f t="shared" si="10"/>
        <v>4.05358609179867</v>
      </c>
      <c r="O101" s="6">
        <v>100</v>
      </c>
      <c r="P101" s="11">
        <f t="shared" si="10"/>
        <v>4.217237291103896</v>
      </c>
      <c r="Q101" s="6">
        <v>100</v>
      </c>
      <c r="R101" s="11">
        <f t="shared" si="9"/>
        <v>4.1839169562773995</v>
      </c>
      <c r="S101" s="6">
        <v>100</v>
      </c>
      <c r="T101" s="11">
        <f t="shared" si="6"/>
        <v>4.151580113059989</v>
      </c>
    </row>
    <row r="102" spans="2:20" ht="12.75">
      <c r="B102" s="4" t="s">
        <v>163</v>
      </c>
      <c r="D102" s="4" t="s">
        <v>49</v>
      </c>
      <c r="F102" s="9">
        <f t="shared" si="7"/>
        <v>82.9789085998119</v>
      </c>
      <c r="H102" s="9">
        <f t="shared" si="8"/>
        <v>0.041489454299905956</v>
      </c>
      <c r="I102" s="9"/>
      <c r="J102" s="9"/>
      <c r="L102" s="11"/>
      <c r="M102" s="6"/>
      <c r="N102" s="11">
        <f t="shared" si="10"/>
        <v>40.535860917986675</v>
      </c>
      <c r="O102" s="6"/>
      <c r="P102" s="11">
        <f t="shared" si="10"/>
        <v>84.3447458220779</v>
      </c>
      <c r="Q102" s="6"/>
      <c r="R102" s="11">
        <f t="shared" si="9"/>
        <v>83.67833912554796</v>
      </c>
      <c r="T102" s="11">
        <f t="shared" si="6"/>
        <v>69.51964862187084</v>
      </c>
    </row>
    <row r="103" spans="2:20" ht="12.75">
      <c r="B103" s="4" t="s">
        <v>160</v>
      </c>
      <c r="D103" s="4" t="s">
        <v>49</v>
      </c>
      <c r="E103" s="6">
        <v>100</v>
      </c>
      <c r="F103" s="9">
        <f t="shared" si="7"/>
        <v>207.44727149952973</v>
      </c>
      <c r="G103" s="6">
        <v>100</v>
      </c>
      <c r="H103" s="9">
        <f t="shared" si="8"/>
        <v>0.16595781719962382</v>
      </c>
      <c r="I103" s="9"/>
      <c r="J103" s="9"/>
      <c r="L103" s="11"/>
      <c r="M103" s="6">
        <v>100</v>
      </c>
      <c r="N103" s="11">
        <f t="shared" si="10"/>
        <v>202.67930458993342</v>
      </c>
      <c r="O103" s="6">
        <v>100</v>
      </c>
      <c r="P103" s="11">
        <f t="shared" si="10"/>
        <v>210.86186455519473</v>
      </c>
      <c r="Q103" s="6">
        <v>100</v>
      </c>
      <c r="R103" s="11">
        <f t="shared" si="9"/>
        <v>209.1958478138699</v>
      </c>
      <c r="S103" s="6">
        <v>100</v>
      </c>
      <c r="T103" s="11">
        <f t="shared" si="6"/>
        <v>207.57900565299937</v>
      </c>
    </row>
    <row r="104" spans="2:20" ht="12.75">
      <c r="B104" s="4" t="s">
        <v>167</v>
      </c>
      <c r="D104" s="4" t="s">
        <v>49</v>
      </c>
      <c r="E104" s="6">
        <v>100</v>
      </c>
      <c r="F104" s="9">
        <f t="shared" si="7"/>
        <v>8.297890859981191</v>
      </c>
      <c r="G104" s="6">
        <v>100</v>
      </c>
      <c r="H104" s="9">
        <f t="shared" si="8"/>
        <v>0.008297890859981193</v>
      </c>
      <c r="I104" s="9"/>
      <c r="J104" s="9"/>
      <c r="L104" s="11"/>
      <c r="M104" s="6"/>
      <c r="N104" s="11">
        <f t="shared" si="10"/>
        <v>8.10717218359734</v>
      </c>
      <c r="O104" s="6">
        <v>100</v>
      </c>
      <c r="P104" s="11">
        <f t="shared" si="10"/>
        <v>8.434474582207791</v>
      </c>
      <c r="Q104" s="6">
        <v>100</v>
      </c>
      <c r="R104" s="11">
        <f t="shared" si="9"/>
        <v>8.367833912554799</v>
      </c>
      <c r="S104" s="5">
        <f>SUM(R104,P104)/SUM(R104,P104,N104)*100</f>
        <v>67.45346766446065</v>
      </c>
      <c r="T104" s="11">
        <f>AVERAGE(R104/2,P104/2,N104)</f>
        <v>5.502775476992878</v>
      </c>
    </row>
    <row r="105" spans="2:20" ht="12.75">
      <c r="B105" s="4" t="s">
        <v>162</v>
      </c>
      <c r="D105" s="4" t="s">
        <v>49</v>
      </c>
      <c r="E105" s="6">
        <v>100</v>
      </c>
      <c r="F105" s="9">
        <f t="shared" si="7"/>
        <v>244.78778036944516</v>
      </c>
      <c r="G105" s="6">
        <v>100</v>
      </c>
      <c r="H105" s="9">
        <f t="shared" si="8"/>
        <v>0.18670254434957675</v>
      </c>
      <c r="I105" s="9"/>
      <c r="J105" s="9"/>
      <c r="L105" s="11"/>
      <c r="M105" s="6">
        <v>100</v>
      </c>
      <c r="N105" s="11">
        <f t="shared" si="10"/>
        <v>239.16157941612147</v>
      </c>
      <c r="O105" s="6">
        <v>100</v>
      </c>
      <c r="P105" s="11">
        <f t="shared" si="10"/>
        <v>248.81700017512983</v>
      </c>
      <c r="Q105" s="6">
        <v>100</v>
      </c>
      <c r="R105" s="11">
        <f t="shared" si="9"/>
        <v>246.85110042036655</v>
      </c>
      <c r="S105" s="6">
        <v>100</v>
      </c>
      <c r="T105" s="11">
        <f>AVERAGE(R105,P105,N105)</f>
        <v>244.9432266705393</v>
      </c>
    </row>
    <row r="106" spans="2:20" ht="12.75">
      <c r="B106" s="4" t="s">
        <v>158</v>
      </c>
      <c r="D106" s="4" t="s">
        <v>49</v>
      </c>
      <c r="E106" s="6">
        <v>100</v>
      </c>
      <c r="F106" s="9">
        <f t="shared" si="7"/>
        <v>995.7469031977428</v>
      </c>
      <c r="G106" s="6">
        <v>100</v>
      </c>
      <c r="H106" s="9">
        <f t="shared" si="8"/>
        <v>0.746810177398307</v>
      </c>
      <c r="I106" s="9"/>
      <c r="J106" s="9"/>
      <c r="L106" s="11"/>
      <c r="M106" s="6">
        <v>100</v>
      </c>
      <c r="N106" s="11">
        <f t="shared" si="10"/>
        <v>972.8606620316807</v>
      </c>
      <c r="O106" s="6">
        <v>100</v>
      </c>
      <c r="P106" s="11">
        <f t="shared" si="10"/>
        <v>1012.136949864935</v>
      </c>
      <c r="Q106" s="6">
        <v>100</v>
      </c>
      <c r="R106" s="11">
        <f t="shared" si="9"/>
        <v>1004.1400695065755</v>
      </c>
      <c r="S106" s="6">
        <v>100</v>
      </c>
      <c r="T106" s="11">
        <f>AVERAGE(R106,P106,N106)/2</f>
        <v>498.1896135671985</v>
      </c>
    </row>
    <row r="107" spans="6:20" ht="12.75">
      <c r="F107" s="9"/>
      <c r="G107" s="26"/>
      <c r="H107" s="9"/>
      <c r="I107" s="9"/>
      <c r="J107" s="9"/>
      <c r="L107" s="11"/>
      <c r="M107" s="6"/>
      <c r="T107" s="11"/>
    </row>
    <row r="108" spans="2:20" ht="12.75">
      <c r="B108" s="4" t="s">
        <v>52</v>
      </c>
      <c r="D108" s="4" t="s">
        <v>49</v>
      </c>
      <c r="E108" s="6">
        <v>100</v>
      </c>
      <c r="F108" s="11">
        <f>SUM(F103,F101)</f>
        <v>211.59621692952032</v>
      </c>
      <c r="G108" s="6">
        <v>100</v>
      </c>
      <c r="H108" s="11">
        <f>SUM(H103,H101)</f>
        <v>0.16969186808661535</v>
      </c>
      <c r="I108" s="9"/>
      <c r="J108" s="9"/>
      <c r="L108" s="9"/>
      <c r="M108" s="6">
        <v>100</v>
      </c>
      <c r="N108" s="11">
        <f>SUM(N103,N101)</f>
        <v>206.7328906817321</v>
      </c>
      <c r="O108" s="6">
        <v>100</v>
      </c>
      <c r="P108" s="11">
        <f>SUM(P103,P101)</f>
        <v>215.0791018462986</v>
      </c>
      <c r="Q108" s="6">
        <v>100</v>
      </c>
      <c r="R108" s="11">
        <f>SUM(R103,R101)</f>
        <v>213.3797647701473</v>
      </c>
      <c r="S108" s="6">
        <v>100</v>
      </c>
      <c r="T108" s="11">
        <f>AVERAGE(R108,P108,N108)</f>
        <v>211.73058576605933</v>
      </c>
    </row>
    <row r="109" spans="2:20" ht="12.75">
      <c r="B109" s="4" t="s">
        <v>53</v>
      </c>
      <c r="D109" s="4" t="s">
        <v>49</v>
      </c>
      <c r="E109" s="6">
        <f>SUM(F98,F100)/F109*100</f>
        <v>15.96638655462185</v>
      </c>
      <c r="F109" s="11">
        <f>SUM(F102,F100,F98)</f>
        <v>98.74490123377616</v>
      </c>
      <c r="G109" s="6">
        <f>SUM(H98,H100)/H109*100</f>
        <v>23.273657289002557</v>
      </c>
      <c r="H109" s="11">
        <f>SUM(H102,H100,H98)</f>
        <v>0.05407458877087743</v>
      </c>
      <c r="I109" s="9"/>
      <c r="J109" s="9"/>
      <c r="L109" s="9"/>
      <c r="M109" s="6">
        <f>SUM(N98,N100)/N109*100</f>
        <v>27.536231884057983</v>
      </c>
      <c r="N109" s="11">
        <f>SUM(N102,N100,N98)</f>
        <v>55.939488066821625</v>
      </c>
      <c r="O109" s="6">
        <f>SUM(P98,P100)/P109*100</f>
        <v>15.966386554621852</v>
      </c>
      <c r="P109" s="11">
        <f>SUM(P102,P100,P98)</f>
        <v>100.3702475282727</v>
      </c>
      <c r="Q109" s="6">
        <f>SUM(R98,R100)/R109*100</f>
        <v>15.966386554621852</v>
      </c>
      <c r="R109" s="11">
        <f>SUM(R102,R100,R98)</f>
        <v>99.57722355940209</v>
      </c>
      <c r="S109" s="6">
        <f>SUM(T98,T100)/T109*100</f>
        <v>18.495672247333527</v>
      </c>
      <c r="T109" s="11">
        <f>AVERAGE(R109,P109,N109)</f>
        <v>85.2956530514988</v>
      </c>
    </row>
    <row r="111" ht="12.75">
      <c r="B111" s="4" t="s">
        <v>180</v>
      </c>
    </row>
    <row r="112" ht="12.75">
      <c r="B112" s="4" t="s">
        <v>179</v>
      </c>
    </row>
    <row r="113" spans="2:6" ht="12.75">
      <c r="B113" s="4" t="s">
        <v>38</v>
      </c>
      <c r="F113" s="7">
        <v>22099.5</v>
      </c>
    </row>
    <row r="114" spans="2:6" ht="12.75">
      <c r="B114" s="4" t="s">
        <v>159</v>
      </c>
      <c r="F114" s="7">
        <v>16574.3</v>
      </c>
    </row>
    <row r="115" spans="2:6" ht="12.75">
      <c r="B115" s="4" t="s">
        <v>156</v>
      </c>
      <c r="F115" s="7">
        <v>2762406.9</v>
      </c>
    </row>
    <row r="116" spans="2:6" ht="12.75">
      <c r="B116" s="4" t="s">
        <v>160</v>
      </c>
      <c r="F116" s="7">
        <v>4972.4</v>
      </c>
    </row>
    <row r="117" spans="2:6" ht="12.75">
      <c r="B117" s="4" t="s">
        <v>167</v>
      </c>
      <c r="F117" s="7">
        <v>4419.7</v>
      </c>
    </row>
    <row r="118" spans="2:6" ht="12.75">
      <c r="B118" s="4" t="s">
        <v>162</v>
      </c>
      <c r="F118" s="7">
        <v>165744.4</v>
      </c>
    </row>
    <row r="119" spans="2:6" ht="12.75">
      <c r="B119" s="4" t="s">
        <v>158</v>
      </c>
      <c r="F119" s="7">
        <v>16574.3</v>
      </c>
    </row>
    <row r="120" spans="2:6" ht="12.75">
      <c r="B120" s="4" t="s">
        <v>155</v>
      </c>
      <c r="F120" s="7">
        <v>18.7</v>
      </c>
    </row>
    <row r="121" spans="2:6" ht="12.75">
      <c r="B121" s="4" t="s">
        <v>157</v>
      </c>
      <c r="F121" s="7">
        <v>19.5</v>
      </c>
    </row>
    <row r="122" spans="2:6" ht="12.75">
      <c r="B122" s="4" t="s">
        <v>161</v>
      </c>
      <c r="F122" s="7">
        <v>19.5</v>
      </c>
    </row>
    <row r="124" spans="2:28" ht="12.75">
      <c r="B124" s="8" t="s">
        <v>219</v>
      </c>
      <c r="F124" s="7" t="s">
        <v>184</v>
      </c>
      <c r="H124" s="5" t="s">
        <v>185</v>
      </c>
      <c r="J124" s="5" t="s">
        <v>223</v>
      </c>
      <c r="L124" s="5" t="s">
        <v>28</v>
      </c>
      <c r="N124" s="7" t="s">
        <v>184</v>
      </c>
      <c r="O124" s="6"/>
      <c r="P124" s="5" t="s">
        <v>185</v>
      </c>
      <c r="R124" s="5" t="s">
        <v>223</v>
      </c>
      <c r="T124" s="5" t="s">
        <v>28</v>
      </c>
      <c r="V124" s="7" t="s">
        <v>184</v>
      </c>
      <c r="W124" s="6"/>
      <c r="X124" s="5" t="s">
        <v>185</v>
      </c>
      <c r="Z124" s="5" t="s">
        <v>223</v>
      </c>
      <c r="AB124" s="5" t="s">
        <v>28</v>
      </c>
    </row>
    <row r="126" ht="12.75">
      <c r="B126" s="46" t="s">
        <v>191</v>
      </c>
    </row>
    <row r="127" spans="2:28" ht="12.75">
      <c r="B127" s="46" t="s">
        <v>214</v>
      </c>
      <c r="F127" s="7" t="s">
        <v>51</v>
      </c>
      <c r="H127" s="5" t="s">
        <v>51</v>
      </c>
      <c r="J127" s="5" t="s">
        <v>51</v>
      </c>
      <c r="L127" s="5" t="s">
        <v>51</v>
      </c>
      <c r="N127" s="5" t="s">
        <v>215</v>
      </c>
      <c r="P127" s="5" t="s">
        <v>215</v>
      </c>
      <c r="R127" s="5" t="s">
        <v>215</v>
      </c>
      <c r="T127" s="5" t="s">
        <v>215</v>
      </c>
      <c r="V127" s="5" t="s">
        <v>67</v>
      </c>
      <c r="X127" s="5" t="s">
        <v>67</v>
      </c>
      <c r="Z127" s="5" t="s">
        <v>67</v>
      </c>
      <c r="AB127" s="5" t="s">
        <v>67</v>
      </c>
    </row>
    <row r="128" spans="2:28" ht="12.75">
      <c r="B128" s="4" t="s">
        <v>164</v>
      </c>
      <c r="F128" s="7" t="s">
        <v>105</v>
      </c>
      <c r="H128" s="7" t="s">
        <v>105</v>
      </c>
      <c r="J128" s="7" t="s">
        <v>105</v>
      </c>
      <c r="L128" s="7" t="s">
        <v>105</v>
      </c>
      <c r="N128" s="5" t="s">
        <v>118</v>
      </c>
      <c r="P128" s="5" t="s">
        <v>118</v>
      </c>
      <c r="R128" s="5" t="s">
        <v>118</v>
      </c>
      <c r="T128" s="5" t="s">
        <v>118</v>
      </c>
      <c r="V128" s="5" t="s">
        <v>67</v>
      </c>
      <c r="X128" s="5" t="s">
        <v>67</v>
      </c>
      <c r="Z128" s="5" t="s">
        <v>67</v>
      </c>
      <c r="AB128" s="5" t="s">
        <v>67</v>
      </c>
    </row>
    <row r="129" spans="2:4" ht="12.75">
      <c r="B129" s="4" t="s">
        <v>168</v>
      </c>
      <c r="D129" s="4" t="s">
        <v>30</v>
      </c>
    </row>
    <row r="130" spans="2:20" ht="12.75">
      <c r="B130" s="4" t="s">
        <v>163</v>
      </c>
      <c r="D130" s="4" t="s">
        <v>30</v>
      </c>
      <c r="E130" s="6" t="s">
        <v>32</v>
      </c>
      <c r="F130" s="7">
        <v>0.5</v>
      </c>
      <c r="G130" s="6" t="s">
        <v>32</v>
      </c>
      <c r="H130" s="5">
        <v>0.5</v>
      </c>
      <c r="I130" s="5" t="s">
        <v>32</v>
      </c>
      <c r="J130" s="5">
        <v>0.5</v>
      </c>
      <c r="K130" s="5" t="s">
        <v>32</v>
      </c>
      <c r="L130" s="5">
        <v>0.5</v>
      </c>
      <c r="M130" s="6" t="s">
        <v>32</v>
      </c>
      <c r="N130" s="7">
        <v>0.5</v>
      </c>
      <c r="O130" s="6" t="s">
        <v>32</v>
      </c>
      <c r="P130" s="5">
        <v>0.5</v>
      </c>
      <c r="Q130" s="5" t="s">
        <v>32</v>
      </c>
      <c r="R130" s="5">
        <v>0.5</v>
      </c>
      <c r="S130" s="5" t="s">
        <v>32</v>
      </c>
      <c r="T130" s="5">
        <v>0.5</v>
      </c>
    </row>
    <row r="132" spans="2:24" ht="12.75">
      <c r="B132" s="4" t="s">
        <v>45</v>
      </c>
      <c r="F132" s="9">
        <f>emiss!G77</f>
        <v>16236.116666666667</v>
      </c>
      <c r="G132" s="26"/>
      <c r="H132" s="9">
        <f>emiss!I77</f>
        <v>16329.05</v>
      </c>
      <c r="I132" s="11"/>
      <c r="J132" s="9">
        <f>emiss!K77</f>
        <v>17022.566666666666</v>
      </c>
      <c r="K132" s="11"/>
      <c r="L132" s="9">
        <f>emiss!M77</f>
        <v>16529.244444444445</v>
      </c>
      <c r="M132" s="11"/>
      <c r="N132" s="11">
        <f>F132</f>
        <v>16236.116666666667</v>
      </c>
      <c r="O132" s="11"/>
      <c r="P132" s="11">
        <f>H132</f>
        <v>16329.05</v>
      </c>
      <c r="Q132" s="11"/>
      <c r="R132" s="11">
        <f>J132</f>
        <v>17022.566666666666</v>
      </c>
      <c r="S132" s="11"/>
      <c r="T132" s="11">
        <f>L132</f>
        <v>16529.244444444445</v>
      </c>
      <c r="U132" s="11"/>
      <c r="V132" s="11"/>
      <c r="W132" s="11"/>
      <c r="X132" s="11"/>
    </row>
    <row r="133" spans="2:24" ht="12.75">
      <c r="B133" s="4" t="s">
        <v>46</v>
      </c>
      <c r="F133" s="9">
        <f>emiss!G78</f>
        <v>4.9</v>
      </c>
      <c r="G133" s="26"/>
      <c r="H133" s="9">
        <f>emiss!I78</f>
        <v>4.9</v>
      </c>
      <c r="I133" s="11"/>
      <c r="J133" s="9">
        <f>emiss!K78</f>
        <v>4.8</v>
      </c>
      <c r="K133" s="11"/>
      <c r="L133" s="9">
        <f>emiss!M78</f>
        <v>4.866666666666666</v>
      </c>
      <c r="M133" s="11"/>
      <c r="N133" s="11">
        <f>F133</f>
        <v>4.9</v>
      </c>
      <c r="O133" s="11"/>
      <c r="P133" s="11">
        <f>H133</f>
        <v>4.9</v>
      </c>
      <c r="Q133" s="11"/>
      <c r="R133" s="11">
        <f>J133</f>
        <v>4.8</v>
      </c>
      <c r="S133" s="11"/>
      <c r="T133" s="11">
        <f>L133</f>
        <v>4.866666666666666</v>
      </c>
      <c r="U133" s="11"/>
      <c r="V133" s="11"/>
      <c r="W133" s="11"/>
      <c r="X133" s="11"/>
    </row>
    <row r="135" ht="12.75">
      <c r="B135" s="4" t="s">
        <v>166</v>
      </c>
    </row>
    <row r="136" ht="12.75">
      <c r="B136" s="4" t="s">
        <v>47</v>
      </c>
    </row>
    <row r="138" ht="12.75">
      <c r="B138" s="40" t="s">
        <v>137</v>
      </c>
    </row>
    <row r="140" spans="2:28" ht="12.75">
      <c r="B140" s="4" t="s">
        <v>163</v>
      </c>
      <c r="D140" s="4" t="s">
        <v>49</v>
      </c>
      <c r="E140" s="6">
        <v>100</v>
      </c>
      <c r="F140" s="10">
        <f>F130/60/0.0283/F$132*(21-7)/(21-F$133)*1000000</f>
        <v>15.770748817657143</v>
      </c>
      <c r="G140" s="50">
        <v>100</v>
      </c>
      <c r="H140" s="10">
        <f>H130/60/0.0283/H$132*(21-7)/(21-H$133)*1000000</f>
        <v>15.680992937383175</v>
      </c>
      <c r="I140" s="12">
        <v>100</v>
      </c>
      <c r="J140" s="10">
        <f>J130/60/0.0283/J$132*(21-7)/(21-J$133)*1000000</f>
        <v>14.949280672951447</v>
      </c>
      <c r="K140" s="12">
        <v>100</v>
      </c>
      <c r="L140" s="12">
        <f>AVERAGE(F140,H140,J140)</f>
        <v>15.467007475997255</v>
      </c>
      <c r="M140" s="50">
        <v>100</v>
      </c>
      <c r="N140" s="10">
        <f>N130/60/0.0283/N$132*(21-7)/(21-N$133)*1000000</f>
        <v>15.770748817657143</v>
      </c>
      <c r="O140" s="50">
        <v>100</v>
      </c>
      <c r="P140" s="10">
        <f>P130/60/0.0283/P$132*(21-7)/(21-P$133)*1000000</f>
        <v>15.680992937383175</v>
      </c>
      <c r="Q140" s="12">
        <v>100</v>
      </c>
      <c r="R140" s="10">
        <f>R130/60/0.0283/R$132*(21-7)/(21-R$133)*1000000</f>
        <v>14.949280672951447</v>
      </c>
      <c r="S140" s="12">
        <v>100</v>
      </c>
      <c r="T140" s="12">
        <f>AVERAGE(N140,P140,R140)</f>
        <v>15.467007475997255</v>
      </c>
      <c r="U140" s="12">
        <v>100</v>
      </c>
      <c r="V140" s="12">
        <f>SUM(N140,F140)</f>
        <v>31.541497635314286</v>
      </c>
      <c r="W140" s="12">
        <v>100</v>
      </c>
      <c r="X140" s="12">
        <f>SUM(P140,H140)</f>
        <v>31.36198587476635</v>
      </c>
      <c r="Y140" s="12">
        <v>100</v>
      </c>
      <c r="Z140" s="12">
        <f>SUM(R140,J140)</f>
        <v>29.898561345902895</v>
      </c>
      <c r="AA140" s="12">
        <v>100</v>
      </c>
      <c r="AB140" s="12">
        <f>AVERAGE(V140,X140,Z140)</f>
        <v>30.93401495199451</v>
      </c>
    </row>
  </sheetData>
  <printOptions headings="1" horizontalCentered="1"/>
  <pageMargins left="0.25" right="0.25" top="0.5" bottom="0.5" header="0.25" footer="0.25"/>
  <pageSetup horizontalDpi="600" verticalDpi="600" orientation="landscape" pageOrder="overThenDown" scale="70" r:id="rId1"/>
  <headerFooter alignWithMargins="0">
    <oddFooter>&amp;C&amp;P, &amp;A, 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C16"/>
  <sheetViews>
    <sheetView workbookViewId="0" topLeftCell="A1">
      <selection activeCell="C5" sqref="C5"/>
    </sheetView>
  </sheetViews>
  <sheetFormatPr defaultColWidth="9.140625" defaultRowHeight="12.75"/>
  <cols>
    <col min="1" max="1" width="35.00390625" style="15" bestFit="1" customWidth="1"/>
    <col min="2" max="16384" width="9.140625" style="15" customWidth="1"/>
  </cols>
  <sheetData>
    <row r="1" ht="12.75">
      <c r="A1" s="14" t="s">
        <v>41</v>
      </c>
    </row>
    <row r="3" spans="1:3" ht="12.75">
      <c r="A3" s="14" t="s">
        <v>106</v>
      </c>
      <c r="C3" s="62" t="s">
        <v>28</v>
      </c>
    </row>
    <row r="5" spans="1:3" ht="12.75">
      <c r="A5" s="15" t="s">
        <v>129</v>
      </c>
      <c r="B5" s="15" t="s">
        <v>61</v>
      </c>
      <c r="C5" s="15">
        <v>59</v>
      </c>
    </row>
    <row r="6" spans="1:3" ht="12.75">
      <c r="A6" s="15" t="s">
        <v>130</v>
      </c>
      <c r="B6" s="15" t="s">
        <v>27</v>
      </c>
      <c r="C6" s="15">
        <v>2022</v>
      </c>
    </row>
    <row r="8" ht="12.75">
      <c r="A8" s="14" t="s">
        <v>107</v>
      </c>
    </row>
    <row r="10" spans="1:3" ht="12.75">
      <c r="A10" s="15" t="s">
        <v>129</v>
      </c>
      <c r="B10" s="15" t="s">
        <v>61</v>
      </c>
      <c r="C10" s="24">
        <v>18.71</v>
      </c>
    </row>
    <row r="11" spans="1:3" ht="12.75">
      <c r="A11" s="15" t="s">
        <v>130</v>
      </c>
      <c r="B11" s="15" t="s">
        <v>27</v>
      </c>
      <c r="C11" s="15">
        <v>1355</v>
      </c>
    </row>
    <row r="13" ht="12.75">
      <c r="A13" s="14" t="s">
        <v>108</v>
      </c>
    </row>
    <row r="15" spans="1:3" ht="12.75">
      <c r="A15" s="15" t="s">
        <v>129</v>
      </c>
      <c r="B15" s="15" t="s">
        <v>61</v>
      </c>
      <c r="C15" s="15">
        <v>45.83</v>
      </c>
    </row>
    <row r="16" spans="1:3" ht="12.75">
      <c r="A16" s="15" t="s">
        <v>130</v>
      </c>
      <c r="B16" s="15" t="s">
        <v>27</v>
      </c>
      <c r="C16" s="15">
        <v>1736</v>
      </c>
    </row>
  </sheetData>
  <printOptions headings="1" horizontalCentered="1"/>
  <pageMargins left="0.25" right="0.25" top="0.5" bottom="0.5" header="0.25" footer="0.25"/>
  <pageSetup horizontalDpi="600" verticalDpi="600" orientation="portrait" pageOrder="overThenDown" scale="80" r:id="rId1"/>
  <headerFooter alignWithMargins="0">
    <oddFooter>&amp;C&amp;P, &amp;A, 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W44"/>
  <sheetViews>
    <sheetView workbookViewId="0" topLeftCell="A1">
      <selection activeCell="C5" sqref="C5"/>
    </sheetView>
  </sheetViews>
  <sheetFormatPr defaultColWidth="9.140625" defaultRowHeight="12.75"/>
  <cols>
    <col min="1" max="1" width="1.7109375" style="27" customWidth="1"/>
    <col min="2" max="2" width="25.8515625" style="27" customWidth="1"/>
    <col min="3" max="3" width="7.8515625" style="27" customWidth="1"/>
    <col min="4" max="4" width="5.421875" style="27" customWidth="1"/>
    <col min="5" max="5" width="7.421875" style="28" customWidth="1"/>
    <col min="6" max="6" width="8.140625" style="29" customWidth="1"/>
    <col min="7" max="7" width="9.7109375" style="28" bestFit="1" customWidth="1"/>
    <col min="8" max="8" width="8.140625" style="29" customWidth="1"/>
    <col min="9" max="9" width="5.28125" style="33" customWidth="1"/>
    <col min="10" max="10" width="7.00390625" style="28" customWidth="1"/>
    <col min="11" max="11" width="8.7109375" style="28" customWidth="1"/>
    <col min="12" max="12" width="7.8515625" style="28" customWidth="1"/>
    <col min="13" max="13" width="8.7109375" style="28" customWidth="1"/>
    <col min="14" max="14" width="6.28125" style="28" customWidth="1"/>
    <col min="15" max="15" width="7.8515625" style="28" customWidth="1"/>
    <col min="16" max="16" width="10.00390625" style="28" customWidth="1"/>
    <col min="17" max="17" width="8.7109375" style="28" customWidth="1"/>
    <col min="18" max="18" width="10.00390625" style="28" customWidth="1"/>
    <col min="19" max="19" width="7.7109375" style="27" customWidth="1"/>
    <col min="20" max="20" width="7.8515625" style="27" customWidth="1"/>
    <col min="21" max="21" width="7.7109375" style="27" customWidth="1"/>
    <col min="22" max="22" width="7.00390625" style="27" customWidth="1"/>
    <col min="23" max="23" width="7.421875" style="27" customWidth="1"/>
    <col min="24" max="16384" width="10.8515625" style="27" customWidth="1"/>
  </cols>
  <sheetData>
    <row r="1" ht="12.75">
      <c r="A1" s="39" t="s">
        <v>134</v>
      </c>
    </row>
    <row r="2" ht="12.75">
      <c r="A2" s="27" t="s">
        <v>230</v>
      </c>
    </row>
    <row r="3" spans="1:3" ht="12.75">
      <c r="A3" s="27" t="s">
        <v>226</v>
      </c>
      <c r="C3" s="52" t="s">
        <v>58</v>
      </c>
    </row>
    <row r="4" spans="1:18" ht="12.75">
      <c r="A4" s="27" t="s">
        <v>227</v>
      </c>
      <c r="C4" s="53" t="s">
        <v>108</v>
      </c>
      <c r="D4" s="30"/>
      <c r="E4" s="31"/>
      <c r="F4" s="32"/>
      <c r="G4" s="31"/>
      <c r="H4" s="32"/>
      <c r="J4" s="31"/>
      <c r="K4" s="31"/>
      <c r="L4" s="31"/>
      <c r="M4" s="31"/>
      <c r="N4" s="31"/>
      <c r="O4" s="31"/>
      <c r="P4" s="31"/>
      <c r="Q4" s="31"/>
      <c r="R4" s="31"/>
    </row>
    <row r="5" spans="1:4" ht="12.75">
      <c r="A5" s="27" t="s">
        <v>228</v>
      </c>
      <c r="C5" s="52" t="s">
        <v>229</v>
      </c>
      <c r="D5" s="30"/>
    </row>
    <row r="6" spans="4:17" ht="12.75">
      <c r="D6" s="30"/>
      <c r="E6" s="33"/>
      <c r="G6" s="33"/>
      <c r="J6" s="33"/>
      <c r="L6" s="33"/>
      <c r="O6" s="33"/>
      <c r="Q6" s="33"/>
    </row>
    <row r="7" spans="2:18" ht="12.75">
      <c r="B7" s="8"/>
      <c r="C7" s="30" t="s">
        <v>62</v>
      </c>
      <c r="D7" s="30"/>
      <c r="E7" s="34" t="s">
        <v>63</v>
      </c>
      <c r="F7" s="34"/>
      <c r="G7" s="34"/>
      <c r="H7" s="34"/>
      <c r="I7" s="35"/>
      <c r="J7" s="34" t="s">
        <v>64</v>
      </c>
      <c r="K7" s="34"/>
      <c r="L7" s="34"/>
      <c r="M7" s="34"/>
      <c r="N7" s="35"/>
      <c r="O7" s="34" t="s">
        <v>65</v>
      </c>
      <c r="P7" s="34"/>
      <c r="Q7" s="34"/>
      <c r="R7" s="34"/>
    </row>
    <row r="8" spans="3:18" ht="12.75">
      <c r="C8" s="30" t="s">
        <v>66</v>
      </c>
      <c r="E8" s="33" t="s">
        <v>67</v>
      </c>
      <c r="F8" s="32" t="s">
        <v>68</v>
      </c>
      <c r="G8" s="33" t="s">
        <v>67</v>
      </c>
      <c r="H8" s="32" t="s">
        <v>68</v>
      </c>
      <c r="J8" s="33" t="s">
        <v>67</v>
      </c>
      <c r="K8" s="33" t="s">
        <v>69</v>
      </c>
      <c r="L8" s="33" t="s">
        <v>67</v>
      </c>
      <c r="M8" s="33" t="s">
        <v>69</v>
      </c>
      <c r="O8" s="33" t="s">
        <v>67</v>
      </c>
      <c r="P8" s="33" t="s">
        <v>69</v>
      </c>
      <c r="Q8" s="33" t="s">
        <v>67</v>
      </c>
      <c r="R8" s="33" t="s">
        <v>69</v>
      </c>
    </row>
    <row r="9" spans="3:18" ht="12.75">
      <c r="C9" s="30"/>
      <c r="E9" s="54" t="s">
        <v>224</v>
      </c>
      <c r="F9" s="54" t="s">
        <v>224</v>
      </c>
      <c r="G9" s="33" t="s">
        <v>126</v>
      </c>
      <c r="H9" s="32" t="s">
        <v>126</v>
      </c>
      <c r="J9" s="54" t="s">
        <v>224</v>
      </c>
      <c r="K9" s="54" t="s">
        <v>224</v>
      </c>
      <c r="L9" s="33" t="s">
        <v>126</v>
      </c>
      <c r="M9" s="32" t="s">
        <v>126</v>
      </c>
      <c r="N9" s="33"/>
      <c r="O9" s="54" t="s">
        <v>224</v>
      </c>
      <c r="P9" s="54" t="s">
        <v>224</v>
      </c>
      <c r="Q9" s="33" t="s">
        <v>126</v>
      </c>
      <c r="R9" s="32" t="s">
        <v>126</v>
      </c>
    </row>
    <row r="10" ht="13.5" customHeight="1">
      <c r="A10" s="27" t="s">
        <v>70</v>
      </c>
    </row>
    <row r="11" spans="2:18" ht="12.75">
      <c r="B11" s="27" t="s">
        <v>71</v>
      </c>
      <c r="C11" s="30">
        <v>1</v>
      </c>
      <c r="D11" s="30" t="s">
        <v>32</v>
      </c>
      <c r="E11" s="29">
        <v>0.01</v>
      </c>
      <c r="F11" s="29">
        <f>IF(E11="","",E11*$C11)</f>
        <v>0.01</v>
      </c>
      <c r="G11" s="29">
        <f>IF(E11=0,"",IF(D11="nd",E11/2,E11))</f>
        <v>0.005</v>
      </c>
      <c r="H11" s="29">
        <f>IF(G11="","",G11*$C11)</f>
        <v>0.005</v>
      </c>
      <c r="I11" s="32" t="s">
        <v>32</v>
      </c>
      <c r="J11" s="30">
        <v>0.0079</v>
      </c>
      <c r="K11" s="29">
        <f>IF(J11="","",J11*$C11)</f>
        <v>0.0079</v>
      </c>
      <c r="L11" s="29">
        <f>IF(J11=0,"",IF(I11="nd",J11/2,J11))</f>
        <v>0.00395</v>
      </c>
      <c r="M11" s="29">
        <f>IF(L11="","",L11*$C11)</f>
        <v>0.00395</v>
      </c>
      <c r="N11" s="29" t="s">
        <v>32</v>
      </c>
      <c r="O11" s="36">
        <v>0.011</v>
      </c>
      <c r="P11" s="29">
        <f>IF(O11="","",O11*$C11)</f>
        <v>0.011</v>
      </c>
      <c r="Q11" s="29">
        <f>IF(O11=0,"",IF(N11="nd",O11/2,O11))</f>
        <v>0.0055</v>
      </c>
      <c r="R11" s="29">
        <f>IF(Q11="","",Q11*$C11)</f>
        <v>0.0055</v>
      </c>
    </row>
    <row r="12" spans="2:18" ht="12.75">
      <c r="B12" s="27" t="s">
        <v>72</v>
      </c>
      <c r="C12" s="30">
        <v>0</v>
      </c>
      <c r="D12" s="30" t="str">
        <f>D11</f>
        <v>nd</v>
      </c>
      <c r="E12" s="29">
        <f>E11</f>
        <v>0.01</v>
      </c>
      <c r="F12" s="29">
        <f>IF(E12="","",E12*$C12)</f>
        <v>0</v>
      </c>
      <c r="G12" s="29">
        <f aca="true" t="shared" si="0" ref="G12:G35">IF(E12=0,"",IF(D12="nd",E12/2,E12))</f>
        <v>0.005</v>
      </c>
      <c r="H12" s="29">
        <f>IF(G12="","",G12*$C12)</f>
        <v>0</v>
      </c>
      <c r="I12" s="32" t="str">
        <f>I11</f>
        <v>nd</v>
      </c>
      <c r="J12" s="30">
        <f>J11</f>
        <v>0.0079</v>
      </c>
      <c r="K12" s="29">
        <f>IF(J12="","",J12*$C12)</f>
        <v>0</v>
      </c>
      <c r="L12" s="29">
        <f aca="true" t="shared" si="1" ref="L12:L35">IF(J12=0,"",IF(I12="nd",J12/2,J12))</f>
        <v>0.00395</v>
      </c>
      <c r="M12" s="29">
        <f>IF(L12="","",L12*$C12)</f>
        <v>0</v>
      </c>
      <c r="N12" s="29" t="str">
        <f>N11</f>
        <v>nd</v>
      </c>
      <c r="O12" s="36">
        <f>O11</f>
        <v>0.011</v>
      </c>
      <c r="P12" s="29">
        <f>IF(O12="","",O12*$C12)</f>
        <v>0</v>
      </c>
      <c r="Q12" s="29">
        <f aca="true" t="shared" si="2" ref="Q12:Q35">IF(O12=0,"",IF(N12="nd",O12/2,O12))</f>
        <v>0.0055</v>
      </c>
      <c r="R12" s="29">
        <f>IF(Q12="","",Q12*$C12)</f>
        <v>0</v>
      </c>
    </row>
    <row r="13" spans="2:18" ht="12.75">
      <c r="B13" s="27" t="s">
        <v>73</v>
      </c>
      <c r="C13" s="30">
        <v>0.5</v>
      </c>
      <c r="D13" s="30" t="s">
        <v>32</v>
      </c>
      <c r="E13" s="29">
        <v>0.01</v>
      </c>
      <c r="F13" s="29">
        <f aca="true" t="shared" si="3" ref="F13:H35">IF(E13="","",E13*$C13)</f>
        <v>0.005</v>
      </c>
      <c r="G13" s="29">
        <f t="shared" si="0"/>
        <v>0.005</v>
      </c>
      <c r="H13" s="29">
        <f t="shared" si="3"/>
        <v>0.0025</v>
      </c>
      <c r="I13" s="32" t="s">
        <v>32</v>
      </c>
      <c r="J13" s="30">
        <v>0.0084</v>
      </c>
      <c r="K13" s="29">
        <f aca="true" t="shared" si="4" ref="K13:M28">IF(J13="","",J13*$C13)</f>
        <v>0.0042</v>
      </c>
      <c r="L13" s="29">
        <f t="shared" si="1"/>
        <v>0.0042</v>
      </c>
      <c r="M13" s="29">
        <f t="shared" si="4"/>
        <v>0.0021</v>
      </c>
      <c r="N13" s="29" t="s">
        <v>32</v>
      </c>
      <c r="O13" s="36">
        <v>0.022</v>
      </c>
      <c r="P13" s="29">
        <f aca="true" t="shared" si="5" ref="P13:R28">IF(O13="","",O13*$C13)</f>
        <v>0.011</v>
      </c>
      <c r="Q13" s="29">
        <f t="shared" si="2"/>
        <v>0.011</v>
      </c>
      <c r="R13" s="29">
        <f t="shared" si="5"/>
        <v>0.0055</v>
      </c>
    </row>
    <row r="14" spans="2:18" ht="12.75">
      <c r="B14" s="27" t="s">
        <v>74</v>
      </c>
      <c r="C14" s="30">
        <v>0</v>
      </c>
      <c r="D14" s="30" t="s">
        <v>32</v>
      </c>
      <c r="E14" s="29">
        <f>E13</f>
        <v>0.01</v>
      </c>
      <c r="F14" s="29">
        <f t="shared" si="3"/>
        <v>0</v>
      </c>
      <c r="G14" s="29">
        <f t="shared" si="0"/>
        <v>0.005</v>
      </c>
      <c r="H14" s="29">
        <f t="shared" si="3"/>
        <v>0</v>
      </c>
      <c r="I14" s="32" t="s">
        <v>32</v>
      </c>
      <c r="J14" s="30">
        <f>J13</f>
        <v>0.0084</v>
      </c>
      <c r="K14" s="29">
        <f t="shared" si="4"/>
        <v>0</v>
      </c>
      <c r="L14" s="29">
        <f t="shared" si="1"/>
        <v>0.0042</v>
      </c>
      <c r="M14" s="29">
        <f t="shared" si="4"/>
        <v>0</v>
      </c>
      <c r="N14" s="29" t="s">
        <v>32</v>
      </c>
      <c r="O14" s="36">
        <f>O13</f>
        <v>0.022</v>
      </c>
      <c r="P14" s="29">
        <f t="shared" si="5"/>
        <v>0</v>
      </c>
      <c r="Q14" s="29">
        <f t="shared" si="2"/>
        <v>0.011</v>
      </c>
      <c r="R14" s="29">
        <f t="shared" si="5"/>
        <v>0</v>
      </c>
    </row>
    <row r="15" spans="2:18" ht="12.75">
      <c r="B15" s="27" t="s">
        <v>75</v>
      </c>
      <c r="C15" s="30">
        <v>0.1</v>
      </c>
      <c r="D15" s="30" t="s">
        <v>32</v>
      </c>
      <c r="E15" s="29">
        <v>0.013</v>
      </c>
      <c r="F15" s="29">
        <f t="shared" si="3"/>
        <v>0.0013</v>
      </c>
      <c r="G15" s="29">
        <f t="shared" si="0"/>
        <v>0.0065</v>
      </c>
      <c r="H15" s="29">
        <f t="shared" si="3"/>
        <v>0.00065</v>
      </c>
      <c r="I15" s="32" t="s">
        <v>32</v>
      </c>
      <c r="J15" s="30">
        <v>0.006</v>
      </c>
      <c r="K15" s="29">
        <f t="shared" si="4"/>
        <v>0.0006000000000000001</v>
      </c>
      <c r="L15" s="29">
        <f t="shared" si="1"/>
        <v>0.003</v>
      </c>
      <c r="M15" s="29">
        <f t="shared" si="4"/>
        <v>0.00030000000000000003</v>
      </c>
      <c r="N15" s="29" t="s">
        <v>32</v>
      </c>
      <c r="O15" s="36">
        <v>0.019</v>
      </c>
      <c r="P15" s="29">
        <f t="shared" si="5"/>
        <v>0.0019</v>
      </c>
      <c r="Q15" s="29">
        <f t="shared" si="2"/>
        <v>0.0095</v>
      </c>
      <c r="R15" s="29">
        <f t="shared" si="5"/>
        <v>0.00095</v>
      </c>
    </row>
    <row r="16" spans="2:18" ht="12.75">
      <c r="B16" s="27" t="s">
        <v>76</v>
      </c>
      <c r="C16" s="30">
        <v>0.1</v>
      </c>
      <c r="D16" s="30" t="s">
        <v>32</v>
      </c>
      <c r="E16" s="29">
        <v>0.012</v>
      </c>
      <c r="F16" s="29">
        <f t="shared" si="3"/>
        <v>0.0012000000000000001</v>
      </c>
      <c r="G16" s="29">
        <f t="shared" si="0"/>
        <v>0.006</v>
      </c>
      <c r="H16" s="29">
        <f t="shared" si="3"/>
        <v>0.0006000000000000001</v>
      </c>
      <c r="I16" s="32" t="s">
        <v>32</v>
      </c>
      <c r="J16" s="30">
        <v>0.0055</v>
      </c>
      <c r="K16" s="29">
        <f t="shared" si="4"/>
        <v>0.00055</v>
      </c>
      <c r="L16" s="29">
        <f t="shared" si="1"/>
        <v>0.00275</v>
      </c>
      <c r="M16" s="29">
        <f t="shared" si="4"/>
        <v>0.000275</v>
      </c>
      <c r="N16" s="29" t="s">
        <v>32</v>
      </c>
      <c r="O16" s="36">
        <v>0.017</v>
      </c>
      <c r="P16" s="29">
        <f t="shared" si="5"/>
        <v>0.0017000000000000001</v>
      </c>
      <c r="Q16" s="29">
        <f t="shared" si="2"/>
        <v>0.0085</v>
      </c>
      <c r="R16" s="29">
        <f t="shared" si="5"/>
        <v>0.0008500000000000001</v>
      </c>
    </row>
    <row r="17" spans="2:18" ht="12.75">
      <c r="B17" s="27" t="s">
        <v>77</v>
      </c>
      <c r="C17" s="30">
        <v>0.1</v>
      </c>
      <c r="D17" s="30" t="s">
        <v>32</v>
      </c>
      <c r="E17" s="29">
        <v>0.012</v>
      </c>
      <c r="F17" s="29">
        <f t="shared" si="3"/>
        <v>0.0012000000000000001</v>
      </c>
      <c r="G17" s="29">
        <f t="shared" si="0"/>
        <v>0.006</v>
      </c>
      <c r="H17" s="29">
        <f t="shared" si="3"/>
        <v>0.0006000000000000001</v>
      </c>
      <c r="I17" s="32" t="s">
        <v>32</v>
      </c>
      <c r="J17" s="30">
        <v>0.0054</v>
      </c>
      <c r="K17" s="29">
        <f t="shared" si="4"/>
        <v>0.00054</v>
      </c>
      <c r="L17" s="29">
        <f t="shared" si="1"/>
        <v>0.0027</v>
      </c>
      <c r="M17" s="29">
        <f t="shared" si="4"/>
        <v>0.00027</v>
      </c>
      <c r="N17" s="29" t="s">
        <v>32</v>
      </c>
      <c r="O17" s="36">
        <v>0.017</v>
      </c>
      <c r="P17" s="29">
        <f t="shared" si="5"/>
        <v>0.0017000000000000001</v>
      </c>
      <c r="Q17" s="29">
        <f t="shared" si="2"/>
        <v>0.0085</v>
      </c>
      <c r="R17" s="29">
        <f t="shared" si="5"/>
        <v>0.0008500000000000001</v>
      </c>
    </row>
    <row r="18" spans="2:18" ht="12.75">
      <c r="B18" s="27" t="s">
        <v>78</v>
      </c>
      <c r="C18" s="30">
        <v>0</v>
      </c>
      <c r="D18" s="30" t="s">
        <v>32</v>
      </c>
      <c r="E18" s="29">
        <f>SUM(E15:E17)</f>
        <v>0.037000000000000005</v>
      </c>
      <c r="F18" s="29">
        <f t="shared" si="3"/>
        <v>0</v>
      </c>
      <c r="G18" s="29">
        <f t="shared" si="0"/>
        <v>0.018500000000000003</v>
      </c>
      <c r="H18" s="29">
        <f t="shared" si="3"/>
        <v>0</v>
      </c>
      <c r="I18" s="32" t="s">
        <v>32</v>
      </c>
      <c r="J18" s="30">
        <f>SUM(J15:J17)</f>
        <v>0.0169</v>
      </c>
      <c r="K18" s="29">
        <f t="shared" si="4"/>
        <v>0</v>
      </c>
      <c r="L18" s="29">
        <f t="shared" si="1"/>
        <v>0.00845</v>
      </c>
      <c r="M18" s="29">
        <f t="shared" si="4"/>
        <v>0</v>
      </c>
      <c r="N18" s="29" t="s">
        <v>32</v>
      </c>
      <c r="O18" s="36">
        <f>SUM(O15:O17)</f>
        <v>0.053000000000000005</v>
      </c>
      <c r="P18" s="29">
        <f t="shared" si="5"/>
        <v>0</v>
      </c>
      <c r="Q18" s="29">
        <f t="shared" si="2"/>
        <v>0.026500000000000003</v>
      </c>
      <c r="R18" s="29">
        <f t="shared" si="5"/>
        <v>0</v>
      </c>
    </row>
    <row r="19" spans="2:18" ht="12.75">
      <c r="B19" s="27" t="s">
        <v>79</v>
      </c>
      <c r="C19" s="30">
        <v>0.01</v>
      </c>
      <c r="D19" s="30" t="s">
        <v>32</v>
      </c>
      <c r="E19" s="29">
        <v>0.017</v>
      </c>
      <c r="F19" s="29">
        <f t="shared" si="3"/>
        <v>0.00017</v>
      </c>
      <c r="G19" s="29">
        <f t="shared" si="0"/>
        <v>0.0085</v>
      </c>
      <c r="H19" s="29">
        <f t="shared" si="3"/>
        <v>8.5E-05</v>
      </c>
      <c r="I19" s="32" t="s">
        <v>32</v>
      </c>
      <c r="J19" s="30">
        <v>0.0073</v>
      </c>
      <c r="K19" s="29">
        <f t="shared" si="4"/>
        <v>7.3E-05</v>
      </c>
      <c r="L19" s="29">
        <f t="shared" si="1"/>
        <v>0.00365</v>
      </c>
      <c r="M19" s="29">
        <f t="shared" si="4"/>
        <v>3.65E-05</v>
      </c>
      <c r="N19" s="29" t="s">
        <v>32</v>
      </c>
      <c r="O19" s="36">
        <v>0.039</v>
      </c>
      <c r="P19" s="29">
        <f t="shared" si="5"/>
        <v>0.00039</v>
      </c>
      <c r="Q19" s="29">
        <f t="shared" si="2"/>
        <v>0.0195</v>
      </c>
      <c r="R19" s="29">
        <f t="shared" si="5"/>
        <v>0.000195</v>
      </c>
    </row>
    <row r="20" spans="2:18" ht="12.75">
      <c r="B20" s="27" t="s">
        <v>80</v>
      </c>
      <c r="C20" s="30">
        <v>0</v>
      </c>
      <c r="D20" s="30" t="str">
        <f>D19</f>
        <v>nd</v>
      </c>
      <c r="E20" s="29">
        <f>E19</f>
        <v>0.017</v>
      </c>
      <c r="F20" s="29">
        <f t="shared" si="3"/>
        <v>0</v>
      </c>
      <c r="G20" s="29">
        <f t="shared" si="0"/>
        <v>0.0085</v>
      </c>
      <c r="H20" s="29">
        <f t="shared" si="3"/>
        <v>0</v>
      </c>
      <c r="I20" s="32" t="str">
        <f>I19</f>
        <v>nd</v>
      </c>
      <c r="J20" s="30">
        <f>J19</f>
        <v>0.0073</v>
      </c>
      <c r="K20" s="29">
        <f t="shared" si="4"/>
        <v>0</v>
      </c>
      <c r="L20" s="29">
        <f t="shared" si="1"/>
        <v>0.00365</v>
      </c>
      <c r="M20" s="29">
        <f t="shared" si="4"/>
        <v>0</v>
      </c>
      <c r="N20" s="29" t="str">
        <f>N19</f>
        <v>nd</v>
      </c>
      <c r="O20" s="36">
        <f>O19</f>
        <v>0.039</v>
      </c>
      <c r="P20" s="29">
        <f t="shared" si="5"/>
        <v>0</v>
      </c>
      <c r="Q20" s="29">
        <f t="shared" si="2"/>
        <v>0.0195</v>
      </c>
      <c r="R20" s="29">
        <f t="shared" si="5"/>
        <v>0</v>
      </c>
    </row>
    <row r="21" spans="2:18" ht="12.75">
      <c r="B21" s="27" t="s">
        <v>81</v>
      </c>
      <c r="C21" s="30">
        <v>0.001</v>
      </c>
      <c r="D21" s="30" t="s">
        <v>32</v>
      </c>
      <c r="E21" s="29">
        <v>0.043</v>
      </c>
      <c r="F21" s="29">
        <f t="shared" si="3"/>
        <v>4.2999999999999995E-05</v>
      </c>
      <c r="G21" s="29">
        <f t="shared" si="0"/>
        <v>0.0215</v>
      </c>
      <c r="H21" s="29">
        <f t="shared" si="3"/>
        <v>2.1499999999999997E-05</v>
      </c>
      <c r="I21" s="32" t="s">
        <v>32</v>
      </c>
      <c r="J21" s="30">
        <v>0.052</v>
      </c>
      <c r="K21" s="29">
        <f t="shared" si="4"/>
        <v>5.2E-05</v>
      </c>
      <c r="L21" s="29">
        <f t="shared" si="1"/>
        <v>0.026</v>
      </c>
      <c r="M21" s="29">
        <f t="shared" si="4"/>
        <v>2.6E-05</v>
      </c>
      <c r="N21" s="29" t="s">
        <v>32</v>
      </c>
      <c r="O21" s="36">
        <v>0.17</v>
      </c>
      <c r="P21" s="29">
        <f t="shared" si="5"/>
        <v>0.00017</v>
      </c>
      <c r="Q21" s="29">
        <f t="shared" si="2"/>
        <v>0.085</v>
      </c>
      <c r="R21" s="29">
        <f t="shared" si="5"/>
        <v>8.5E-05</v>
      </c>
    </row>
    <row r="22" spans="2:18" ht="12.75">
      <c r="B22" s="27" t="s">
        <v>82</v>
      </c>
      <c r="C22" s="30">
        <v>0.1</v>
      </c>
      <c r="D22" s="30" t="s">
        <v>32</v>
      </c>
      <c r="E22" s="29">
        <v>0.014</v>
      </c>
      <c r="F22" s="29">
        <f t="shared" si="3"/>
        <v>0.0014000000000000002</v>
      </c>
      <c r="G22" s="29">
        <f t="shared" si="0"/>
        <v>0.007</v>
      </c>
      <c r="H22" s="29">
        <f t="shared" si="3"/>
        <v>0.0007000000000000001</v>
      </c>
      <c r="I22" s="32" t="s">
        <v>32</v>
      </c>
      <c r="J22" s="30">
        <v>0.014</v>
      </c>
      <c r="K22" s="29">
        <f t="shared" si="4"/>
        <v>0.0014000000000000002</v>
      </c>
      <c r="L22" s="29">
        <f t="shared" si="1"/>
        <v>0.007</v>
      </c>
      <c r="M22" s="29">
        <f t="shared" si="4"/>
        <v>0.0007000000000000001</v>
      </c>
      <c r="N22" s="29" t="s">
        <v>32</v>
      </c>
      <c r="O22" s="36">
        <v>0.014</v>
      </c>
      <c r="P22" s="29">
        <f t="shared" si="5"/>
        <v>0.0014000000000000002</v>
      </c>
      <c r="Q22" s="29">
        <f t="shared" si="2"/>
        <v>0.007</v>
      </c>
      <c r="R22" s="29">
        <f t="shared" si="5"/>
        <v>0.0007000000000000001</v>
      </c>
    </row>
    <row r="23" spans="2:18" ht="12.75">
      <c r="B23" s="27" t="s">
        <v>83</v>
      </c>
      <c r="C23" s="30">
        <v>0</v>
      </c>
      <c r="D23" s="30" t="str">
        <f>D22</f>
        <v>nd</v>
      </c>
      <c r="E23" s="29">
        <f>E22</f>
        <v>0.014</v>
      </c>
      <c r="F23" s="29">
        <f t="shared" si="3"/>
        <v>0</v>
      </c>
      <c r="G23" s="29">
        <f t="shared" si="0"/>
        <v>0.007</v>
      </c>
      <c r="H23" s="29">
        <f t="shared" si="3"/>
        <v>0</v>
      </c>
      <c r="I23" s="32" t="str">
        <f>I22</f>
        <v>nd</v>
      </c>
      <c r="J23" s="30">
        <f>J22</f>
        <v>0.014</v>
      </c>
      <c r="K23" s="29">
        <f t="shared" si="4"/>
        <v>0</v>
      </c>
      <c r="L23" s="29">
        <f t="shared" si="1"/>
        <v>0.007</v>
      </c>
      <c r="M23" s="29">
        <f t="shared" si="4"/>
        <v>0</v>
      </c>
      <c r="N23" s="29" t="str">
        <f>N22</f>
        <v>nd</v>
      </c>
      <c r="O23" s="36">
        <f>O22</f>
        <v>0.014</v>
      </c>
      <c r="P23" s="29">
        <f t="shared" si="5"/>
        <v>0</v>
      </c>
      <c r="Q23" s="29">
        <f t="shared" si="2"/>
        <v>0.007</v>
      </c>
      <c r="R23" s="29">
        <f t="shared" si="5"/>
        <v>0</v>
      </c>
    </row>
    <row r="24" spans="2:18" ht="12.75">
      <c r="B24" s="27" t="s">
        <v>84</v>
      </c>
      <c r="C24" s="30">
        <v>0.05</v>
      </c>
      <c r="D24" s="30" t="s">
        <v>32</v>
      </c>
      <c r="E24" s="29">
        <v>0.013</v>
      </c>
      <c r="F24" s="29">
        <f t="shared" si="3"/>
        <v>0.00065</v>
      </c>
      <c r="G24" s="29">
        <f t="shared" si="0"/>
        <v>0.0065</v>
      </c>
      <c r="H24" s="29">
        <f t="shared" si="3"/>
        <v>0.000325</v>
      </c>
      <c r="I24" s="32" t="s">
        <v>32</v>
      </c>
      <c r="J24" s="30">
        <v>0.0054</v>
      </c>
      <c r="K24" s="29">
        <f t="shared" si="4"/>
        <v>0.00027</v>
      </c>
      <c r="L24" s="29">
        <f t="shared" si="1"/>
        <v>0.0027</v>
      </c>
      <c r="M24" s="29">
        <f t="shared" si="4"/>
        <v>0.000135</v>
      </c>
      <c r="N24" s="29" t="s">
        <v>32</v>
      </c>
      <c r="O24" s="36">
        <v>0.03</v>
      </c>
      <c r="P24" s="29">
        <f t="shared" si="5"/>
        <v>0.0015</v>
      </c>
      <c r="Q24" s="29">
        <f t="shared" si="2"/>
        <v>0.015</v>
      </c>
      <c r="R24" s="29">
        <f t="shared" si="5"/>
        <v>0.00075</v>
      </c>
    </row>
    <row r="25" spans="2:18" ht="12.75">
      <c r="B25" s="27" t="s">
        <v>85</v>
      </c>
      <c r="C25" s="30">
        <v>0.5</v>
      </c>
      <c r="D25" s="30" t="s">
        <v>32</v>
      </c>
      <c r="E25" s="29">
        <v>0.013</v>
      </c>
      <c r="F25" s="29">
        <f t="shared" si="3"/>
        <v>0.0065</v>
      </c>
      <c r="G25" s="29">
        <f t="shared" si="0"/>
        <v>0.0065</v>
      </c>
      <c r="H25" s="29">
        <f t="shared" si="3"/>
        <v>0.00325</v>
      </c>
      <c r="I25" s="32" t="s">
        <v>32</v>
      </c>
      <c r="J25" s="30">
        <v>0.0054</v>
      </c>
      <c r="K25" s="29">
        <f t="shared" si="4"/>
        <v>0.0027</v>
      </c>
      <c r="L25" s="29">
        <f t="shared" si="1"/>
        <v>0.0027</v>
      </c>
      <c r="M25" s="29">
        <f t="shared" si="4"/>
        <v>0.00135</v>
      </c>
      <c r="N25" s="29" t="s">
        <v>32</v>
      </c>
      <c r="O25" s="36">
        <v>0.03</v>
      </c>
      <c r="P25" s="29">
        <f t="shared" si="5"/>
        <v>0.015</v>
      </c>
      <c r="Q25" s="29">
        <f t="shared" si="2"/>
        <v>0.015</v>
      </c>
      <c r="R25" s="29">
        <f t="shared" si="5"/>
        <v>0.0075</v>
      </c>
    </row>
    <row r="26" spans="2:18" ht="12.75">
      <c r="B26" s="27" t="s">
        <v>86</v>
      </c>
      <c r="C26" s="30">
        <v>0</v>
      </c>
      <c r="D26" s="30" t="s">
        <v>32</v>
      </c>
      <c r="E26" s="29">
        <f>SUM(E24:E25)</f>
        <v>0.026</v>
      </c>
      <c r="F26" s="29">
        <f t="shared" si="3"/>
        <v>0</v>
      </c>
      <c r="G26" s="29">
        <f t="shared" si="0"/>
        <v>0.013</v>
      </c>
      <c r="H26" s="29">
        <f t="shared" si="3"/>
        <v>0</v>
      </c>
      <c r="I26" s="32" t="s">
        <v>32</v>
      </c>
      <c r="J26" s="30">
        <f>SUM(J24:J25)</f>
        <v>0.0108</v>
      </c>
      <c r="K26" s="29">
        <f t="shared" si="4"/>
        <v>0</v>
      </c>
      <c r="L26" s="29">
        <f t="shared" si="1"/>
        <v>0.0054</v>
      </c>
      <c r="M26" s="29">
        <f t="shared" si="4"/>
        <v>0</v>
      </c>
      <c r="N26" s="29" t="s">
        <v>32</v>
      </c>
      <c r="O26" s="36">
        <f>SUM(O24:O25)</f>
        <v>0.06</v>
      </c>
      <c r="P26" s="29">
        <f t="shared" si="5"/>
        <v>0</v>
      </c>
      <c r="Q26" s="29">
        <f t="shared" si="2"/>
        <v>0.03</v>
      </c>
      <c r="R26" s="29">
        <f t="shared" si="5"/>
        <v>0</v>
      </c>
    </row>
    <row r="27" spans="2:18" ht="12.75">
      <c r="B27" s="27" t="s">
        <v>87</v>
      </c>
      <c r="C27" s="30">
        <v>0.1</v>
      </c>
      <c r="D27" s="30" t="s">
        <v>32</v>
      </c>
      <c r="E27" s="29">
        <v>0.0047</v>
      </c>
      <c r="F27" s="29">
        <f t="shared" si="3"/>
        <v>0.00047000000000000004</v>
      </c>
      <c r="G27" s="29">
        <f t="shared" si="0"/>
        <v>0.00235</v>
      </c>
      <c r="H27" s="29">
        <f t="shared" si="3"/>
        <v>0.00023500000000000002</v>
      </c>
      <c r="I27" s="32" t="s">
        <v>32</v>
      </c>
      <c r="J27" s="30">
        <v>0.0036</v>
      </c>
      <c r="K27" s="29">
        <f t="shared" si="4"/>
        <v>0.00036</v>
      </c>
      <c r="L27" s="29">
        <f t="shared" si="1"/>
        <v>0.0018</v>
      </c>
      <c r="M27" s="29">
        <f t="shared" si="4"/>
        <v>0.00018</v>
      </c>
      <c r="N27" s="29" t="s">
        <v>32</v>
      </c>
      <c r="O27" s="36">
        <v>0.02</v>
      </c>
      <c r="P27" s="29">
        <f t="shared" si="5"/>
        <v>0.002</v>
      </c>
      <c r="Q27" s="29">
        <f t="shared" si="2"/>
        <v>0.01</v>
      </c>
      <c r="R27" s="29">
        <f t="shared" si="5"/>
        <v>0.001</v>
      </c>
    </row>
    <row r="28" spans="2:18" ht="12.75">
      <c r="B28" s="27" t="s">
        <v>88</v>
      </c>
      <c r="C28" s="30">
        <v>0.1</v>
      </c>
      <c r="D28" s="30" t="s">
        <v>32</v>
      </c>
      <c r="E28" s="29">
        <v>0.0046</v>
      </c>
      <c r="F28" s="29">
        <f t="shared" si="3"/>
        <v>0.00046</v>
      </c>
      <c r="G28" s="29">
        <f t="shared" si="0"/>
        <v>0.0023</v>
      </c>
      <c r="H28" s="29">
        <f t="shared" si="3"/>
        <v>0.00023</v>
      </c>
      <c r="I28" s="32" t="s">
        <v>32</v>
      </c>
      <c r="J28" s="30">
        <v>0.0035</v>
      </c>
      <c r="K28" s="29">
        <f t="shared" si="4"/>
        <v>0.00035000000000000005</v>
      </c>
      <c r="L28" s="29">
        <f t="shared" si="1"/>
        <v>0.00175</v>
      </c>
      <c r="M28" s="29">
        <f t="shared" si="4"/>
        <v>0.00017500000000000003</v>
      </c>
      <c r="N28" s="29" t="s">
        <v>32</v>
      </c>
      <c r="O28" s="36">
        <v>0.011</v>
      </c>
      <c r="P28" s="29">
        <f t="shared" si="5"/>
        <v>0.0011</v>
      </c>
      <c r="Q28" s="29">
        <f t="shared" si="2"/>
        <v>0.0055</v>
      </c>
      <c r="R28" s="29">
        <f t="shared" si="5"/>
        <v>0.00055</v>
      </c>
    </row>
    <row r="29" spans="2:18" ht="12.75">
      <c r="B29" s="27" t="s">
        <v>89</v>
      </c>
      <c r="C29" s="30">
        <v>0.1</v>
      </c>
      <c r="D29" s="30" t="s">
        <v>32</v>
      </c>
      <c r="E29" s="29">
        <v>0.0049</v>
      </c>
      <c r="F29" s="29">
        <f t="shared" si="3"/>
        <v>0.00049</v>
      </c>
      <c r="G29" s="29">
        <f t="shared" si="0"/>
        <v>0.00245</v>
      </c>
      <c r="H29" s="29">
        <f t="shared" si="3"/>
        <v>0.000245</v>
      </c>
      <c r="I29" s="32" t="s">
        <v>32</v>
      </c>
      <c r="J29" s="30">
        <v>0.0037</v>
      </c>
      <c r="K29" s="29">
        <f aca="true" t="shared" si="6" ref="K29:M35">IF(J29="","",J29*$C29)</f>
        <v>0.00037000000000000005</v>
      </c>
      <c r="L29" s="29">
        <f t="shared" si="1"/>
        <v>0.00185</v>
      </c>
      <c r="M29" s="29">
        <f t="shared" si="6"/>
        <v>0.00018500000000000002</v>
      </c>
      <c r="N29" s="29" t="s">
        <v>32</v>
      </c>
      <c r="O29" s="36">
        <v>0.014</v>
      </c>
      <c r="P29" s="29">
        <f aca="true" t="shared" si="7" ref="P29:R35">IF(O29="","",O29*$C29)</f>
        <v>0.0014000000000000002</v>
      </c>
      <c r="Q29" s="29">
        <f t="shared" si="2"/>
        <v>0.007</v>
      </c>
      <c r="R29" s="29">
        <f t="shared" si="7"/>
        <v>0.0007000000000000001</v>
      </c>
    </row>
    <row r="30" spans="2:18" ht="12.75">
      <c r="B30" s="27" t="s">
        <v>90</v>
      </c>
      <c r="C30" s="30">
        <v>0.1</v>
      </c>
      <c r="D30" s="30" t="s">
        <v>32</v>
      </c>
      <c r="E30" s="29">
        <v>0.0053</v>
      </c>
      <c r="F30" s="29">
        <f t="shared" si="3"/>
        <v>0.00053</v>
      </c>
      <c r="G30" s="29">
        <f t="shared" si="0"/>
        <v>0.00265</v>
      </c>
      <c r="H30" s="29">
        <f t="shared" si="3"/>
        <v>0.000265</v>
      </c>
      <c r="I30" s="32" t="s">
        <v>32</v>
      </c>
      <c r="J30" s="30">
        <v>0.004</v>
      </c>
      <c r="K30" s="29">
        <f t="shared" si="6"/>
        <v>0.0004</v>
      </c>
      <c r="L30" s="29">
        <f t="shared" si="1"/>
        <v>0.002</v>
      </c>
      <c r="M30" s="29">
        <f t="shared" si="6"/>
        <v>0.0002</v>
      </c>
      <c r="N30" s="29" t="s">
        <v>32</v>
      </c>
      <c r="O30" s="36">
        <v>0.0073</v>
      </c>
      <c r="P30" s="29">
        <f t="shared" si="7"/>
        <v>0.0007300000000000001</v>
      </c>
      <c r="Q30" s="29">
        <f t="shared" si="2"/>
        <v>0.00365</v>
      </c>
      <c r="R30" s="29">
        <f t="shared" si="7"/>
        <v>0.00036500000000000004</v>
      </c>
    </row>
    <row r="31" spans="2:18" ht="12.75">
      <c r="B31" s="27" t="s">
        <v>91</v>
      </c>
      <c r="C31" s="30">
        <v>0</v>
      </c>
      <c r="D31" s="30" t="s">
        <v>32</v>
      </c>
      <c r="E31" s="29">
        <f>SUM(E27:E30)</f>
        <v>0.0195</v>
      </c>
      <c r="F31" s="29">
        <f t="shared" si="3"/>
        <v>0</v>
      </c>
      <c r="G31" s="29">
        <f t="shared" si="0"/>
        <v>0.00975</v>
      </c>
      <c r="H31" s="29">
        <f t="shared" si="3"/>
        <v>0</v>
      </c>
      <c r="I31" s="32" t="s">
        <v>32</v>
      </c>
      <c r="J31" s="30">
        <f>SUM(J27:J30)</f>
        <v>0.0148</v>
      </c>
      <c r="K31" s="29">
        <f t="shared" si="6"/>
        <v>0</v>
      </c>
      <c r="L31" s="29">
        <f t="shared" si="1"/>
        <v>0.0074</v>
      </c>
      <c r="M31" s="29">
        <f t="shared" si="6"/>
        <v>0</v>
      </c>
      <c r="N31" s="29" t="s">
        <v>32</v>
      </c>
      <c r="O31" s="36">
        <f>SUM(O27:O30)</f>
        <v>0.0523</v>
      </c>
      <c r="P31" s="29">
        <f t="shared" si="7"/>
        <v>0</v>
      </c>
      <c r="Q31" s="29">
        <f t="shared" si="2"/>
        <v>0.02615</v>
      </c>
      <c r="R31" s="29">
        <f t="shared" si="7"/>
        <v>0</v>
      </c>
    </row>
    <row r="32" spans="2:18" ht="12.75">
      <c r="B32" s="27" t="s">
        <v>92</v>
      </c>
      <c r="C32" s="30">
        <v>0.01</v>
      </c>
      <c r="D32" s="30" t="s">
        <v>32</v>
      </c>
      <c r="E32" s="29">
        <v>0.012</v>
      </c>
      <c r="F32" s="29">
        <f t="shared" si="3"/>
        <v>0.00012</v>
      </c>
      <c r="G32" s="29">
        <f t="shared" si="0"/>
        <v>0.006</v>
      </c>
      <c r="H32" s="29">
        <f t="shared" si="3"/>
        <v>6E-05</v>
      </c>
      <c r="I32" s="32" t="s">
        <v>32</v>
      </c>
      <c r="J32" s="30">
        <v>0.012</v>
      </c>
      <c r="K32" s="29">
        <f t="shared" si="6"/>
        <v>0.00012</v>
      </c>
      <c r="L32" s="29">
        <f t="shared" si="1"/>
        <v>0.006</v>
      </c>
      <c r="M32" s="29">
        <f t="shared" si="6"/>
        <v>6E-05</v>
      </c>
      <c r="N32" s="29" t="s">
        <v>32</v>
      </c>
      <c r="O32" s="36">
        <v>0.04</v>
      </c>
      <c r="P32" s="29">
        <f t="shared" si="7"/>
        <v>0.0004</v>
      </c>
      <c r="Q32" s="29">
        <f t="shared" si="2"/>
        <v>0.02</v>
      </c>
      <c r="R32" s="29">
        <f t="shared" si="7"/>
        <v>0.0002</v>
      </c>
    </row>
    <row r="33" spans="2:18" ht="12.75">
      <c r="B33" s="27" t="s">
        <v>93</v>
      </c>
      <c r="C33" s="30">
        <v>0.01</v>
      </c>
      <c r="D33" s="30" t="s">
        <v>32</v>
      </c>
      <c r="E33" s="29">
        <v>0.0044</v>
      </c>
      <c r="F33" s="29">
        <f t="shared" si="3"/>
        <v>4.4000000000000006E-05</v>
      </c>
      <c r="G33" s="29">
        <f t="shared" si="0"/>
        <v>0.0022</v>
      </c>
      <c r="H33" s="29">
        <f t="shared" si="3"/>
        <v>2.2000000000000003E-05</v>
      </c>
      <c r="I33" s="32" t="s">
        <v>32</v>
      </c>
      <c r="J33" s="30">
        <v>0.003</v>
      </c>
      <c r="K33" s="29">
        <f t="shared" si="6"/>
        <v>3E-05</v>
      </c>
      <c r="L33" s="29">
        <f t="shared" si="1"/>
        <v>0.0015</v>
      </c>
      <c r="M33" s="29">
        <f t="shared" si="6"/>
        <v>1.5E-05</v>
      </c>
      <c r="N33" s="29" t="s">
        <v>32</v>
      </c>
      <c r="O33" s="36">
        <v>0.0073</v>
      </c>
      <c r="P33" s="29">
        <f t="shared" si="7"/>
        <v>7.3E-05</v>
      </c>
      <c r="Q33" s="29">
        <f t="shared" si="2"/>
        <v>0.00365</v>
      </c>
      <c r="R33" s="29">
        <f t="shared" si="7"/>
        <v>3.65E-05</v>
      </c>
    </row>
    <row r="34" spans="2:18" ht="12.75">
      <c r="B34" s="27" t="s">
        <v>94</v>
      </c>
      <c r="C34" s="30">
        <v>0</v>
      </c>
      <c r="D34" s="30" t="s">
        <v>32</v>
      </c>
      <c r="E34" s="29">
        <f>SUM(E32:E33)</f>
        <v>0.0164</v>
      </c>
      <c r="F34" s="29">
        <f t="shared" si="3"/>
        <v>0</v>
      </c>
      <c r="G34" s="29">
        <f t="shared" si="0"/>
        <v>0.0082</v>
      </c>
      <c r="H34" s="29">
        <f t="shared" si="3"/>
        <v>0</v>
      </c>
      <c r="I34" s="32" t="s">
        <v>32</v>
      </c>
      <c r="J34" s="30">
        <f>SUM(J32:J33)</f>
        <v>0.015</v>
      </c>
      <c r="K34" s="29">
        <f t="shared" si="6"/>
        <v>0</v>
      </c>
      <c r="L34" s="29">
        <f t="shared" si="1"/>
        <v>0.0075</v>
      </c>
      <c r="M34" s="29">
        <f t="shared" si="6"/>
        <v>0</v>
      </c>
      <c r="N34" s="29" t="s">
        <v>32</v>
      </c>
      <c r="O34" s="36">
        <f>SUM(O32:O33)</f>
        <v>0.0473</v>
      </c>
      <c r="P34" s="29">
        <f t="shared" si="7"/>
        <v>0</v>
      </c>
      <c r="Q34" s="29">
        <f t="shared" si="2"/>
        <v>0.02365</v>
      </c>
      <c r="R34" s="29">
        <f t="shared" si="7"/>
        <v>0</v>
      </c>
    </row>
    <row r="35" spans="2:18" ht="12.75">
      <c r="B35" s="27" t="s">
        <v>95</v>
      </c>
      <c r="C35" s="30">
        <v>0.001</v>
      </c>
      <c r="D35" s="30" t="s">
        <v>32</v>
      </c>
      <c r="E35" s="29">
        <v>0.0092</v>
      </c>
      <c r="F35" s="29">
        <f t="shared" si="3"/>
        <v>9.2E-06</v>
      </c>
      <c r="G35" s="29">
        <f t="shared" si="0"/>
        <v>0.0046</v>
      </c>
      <c r="H35" s="29">
        <f t="shared" si="3"/>
        <v>4.6E-06</v>
      </c>
      <c r="I35" s="32" t="s">
        <v>32</v>
      </c>
      <c r="J35" s="30">
        <v>0.0093</v>
      </c>
      <c r="K35" s="29">
        <f t="shared" si="6"/>
        <v>9.299999999999999E-06</v>
      </c>
      <c r="L35" s="29">
        <f t="shared" si="1"/>
        <v>0.00465</v>
      </c>
      <c r="M35" s="29">
        <f t="shared" si="6"/>
        <v>4.6499999999999995E-06</v>
      </c>
      <c r="N35" s="29" t="s">
        <v>32</v>
      </c>
      <c r="O35" s="36">
        <v>0.031</v>
      </c>
      <c r="P35" s="29">
        <f t="shared" si="7"/>
        <v>3.1E-05</v>
      </c>
      <c r="Q35" s="29">
        <f t="shared" si="2"/>
        <v>0.0155</v>
      </c>
      <c r="R35" s="29">
        <f t="shared" si="7"/>
        <v>1.55E-05</v>
      </c>
    </row>
    <row r="36" spans="5:17" ht="12.75">
      <c r="E36" s="37"/>
      <c r="G36" s="37"/>
      <c r="I36" s="56"/>
      <c r="J36" s="37"/>
      <c r="K36" s="37"/>
      <c r="L36" s="37"/>
      <c r="M36" s="37"/>
      <c r="N36" s="37"/>
      <c r="O36" s="37"/>
      <c r="Q36" s="37"/>
    </row>
    <row r="37" spans="2:21" ht="12.75">
      <c r="B37" s="27" t="s">
        <v>96</v>
      </c>
      <c r="E37" s="37">
        <v>175.313</v>
      </c>
      <c r="F37" s="37">
        <f>E37</f>
        <v>175.313</v>
      </c>
      <c r="G37" s="37">
        <f>E37</f>
        <v>175.313</v>
      </c>
      <c r="H37" s="37">
        <f>E37</f>
        <v>175.313</v>
      </c>
      <c r="I37" s="56"/>
      <c r="J37" s="37">
        <v>182.231</v>
      </c>
      <c r="K37" s="37">
        <f>J37</f>
        <v>182.231</v>
      </c>
      <c r="L37" s="37">
        <f>J37</f>
        <v>182.231</v>
      </c>
      <c r="M37" s="37">
        <f>J37</f>
        <v>182.231</v>
      </c>
      <c r="N37" s="37"/>
      <c r="O37" s="37">
        <v>185.971</v>
      </c>
      <c r="P37" s="37">
        <f>O37</f>
        <v>185.971</v>
      </c>
      <c r="Q37" s="37">
        <f>O37</f>
        <v>185.971</v>
      </c>
      <c r="R37" s="37">
        <f>O37</f>
        <v>185.971</v>
      </c>
      <c r="T37" s="37"/>
      <c r="U37" s="37"/>
    </row>
    <row r="38" spans="2:21" ht="12.75">
      <c r="B38" s="27" t="s">
        <v>97</v>
      </c>
      <c r="E38" s="37">
        <v>6.6</v>
      </c>
      <c r="F38" s="37">
        <f>E38</f>
        <v>6.6</v>
      </c>
      <c r="G38" s="37">
        <f>E38</f>
        <v>6.6</v>
      </c>
      <c r="H38" s="37">
        <f>E38</f>
        <v>6.6</v>
      </c>
      <c r="I38" s="56"/>
      <c r="J38" s="37">
        <v>7.5</v>
      </c>
      <c r="K38" s="37">
        <f>J38</f>
        <v>7.5</v>
      </c>
      <c r="L38" s="37">
        <f>J38</f>
        <v>7.5</v>
      </c>
      <c r="M38" s="37">
        <f>J38</f>
        <v>7.5</v>
      </c>
      <c r="N38" s="37"/>
      <c r="O38" s="37">
        <v>7.4</v>
      </c>
      <c r="P38" s="37">
        <f>O38</f>
        <v>7.4</v>
      </c>
      <c r="Q38" s="37">
        <f>O38</f>
        <v>7.4</v>
      </c>
      <c r="R38" s="37">
        <f>O38</f>
        <v>7.4</v>
      </c>
      <c r="T38" s="37"/>
      <c r="U38" s="37"/>
    </row>
    <row r="39" spans="5:18" ht="12.75">
      <c r="E39" s="37"/>
      <c r="F39" s="36"/>
      <c r="G39" s="37"/>
      <c r="H39" s="36"/>
      <c r="I39" s="57"/>
      <c r="J39" s="37"/>
      <c r="K39" s="36"/>
      <c r="L39" s="37"/>
      <c r="M39" s="36"/>
      <c r="N39" s="37"/>
      <c r="O39" s="37"/>
      <c r="P39" s="37"/>
      <c r="Q39" s="37"/>
      <c r="R39" s="37"/>
    </row>
    <row r="40" spans="2:21" ht="12" customHeight="1">
      <c r="B40" s="27" t="s">
        <v>98</v>
      </c>
      <c r="C40" s="29"/>
      <c r="D40" s="29"/>
      <c r="E40" s="29">
        <f>SUM(E35,E34,E31,E26,E23,E21,E20,E18,E14,E12)</f>
        <v>0.20210000000000003</v>
      </c>
      <c r="F40" s="29">
        <f>SUM(F11:F35)</f>
        <v>0.029586199999999997</v>
      </c>
      <c r="G40" s="29">
        <f>SUM(G35,G34,G31,G26,G23,G21,G20,G18,G14,G12)</f>
        <v>0.10105000000000001</v>
      </c>
      <c r="H40" s="29">
        <f>SUM(H11:H35)</f>
        <v>0.014793099999999998</v>
      </c>
      <c r="I40" s="32"/>
      <c r="J40" s="29">
        <f>SUM(J35,J34,J31,J26,J23,J21,J20,J18,J14,J12)</f>
        <v>0.15639999999999998</v>
      </c>
      <c r="K40" s="29">
        <f>SUM(K11:K35)</f>
        <v>0.019924299999999995</v>
      </c>
      <c r="L40" s="29">
        <f>SUM(L35,L34,L31,L26,L23,L21,L20,L18,L14,L12)</f>
        <v>0.07819999999999999</v>
      </c>
      <c r="M40" s="29">
        <f>SUM(M11:M35)</f>
        <v>0.009962149999999998</v>
      </c>
      <c r="N40" s="29"/>
      <c r="O40" s="29">
        <f>SUM(O35,O34,O31,O26,O23,O21,O20,O18,O14,O12)</f>
        <v>0.49960000000000004</v>
      </c>
      <c r="P40" s="29">
        <f>SUM(P11:P35)</f>
        <v>0.051494</v>
      </c>
      <c r="Q40" s="29">
        <f>SUM(Q35,Q34,Q31,Q26,Q23,Q21,Q20,Q18,Q14,Q12)</f>
        <v>0.24980000000000002</v>
      </c>
      <c r="R40" s="29">
        <f>SUM(R11:R35)</f>
        <v>0.025747</v>
      </c>
      <c r="T40" s="29"/>
      <c r="U40" s="29"/>
    </row>
    <row r="41" spans="2:21" ht="12.75">
      <c r="B41" s="27" t="s">
        <v>99</v>
      </c>
      <c r="C41" s="29"/>
      <c r="D41" s="51">
        <f>(F41-H41)*2/F41*100</f>
        <v>100</v>
      </c>
      <c r="E41" s="29">
        <f>E40/E37/0.0283*(21-7)/(21-E38)</f>
        <v>0.0396032931047186</v>
      </c>
      <c r="F41" s="29">
        <f>F40/F37/0.0283*(21-7)/(21-F38)</f>
        <v>0.005797679121498393</v>
      </c>
      <c r="G41" s="29">
        <f>G40/G37/0.0283*(21-7)/(21-G38)</f>
        <v>0.0198016465523593</v>
      </c>
      <c r="H41" s="29">
        <f>H40/H37/0.0283*(21-7)/(21-H38)</f>
        <v>0.0028988395607491965</v>
      </c>
      <c r="I41" s="58">
        <f>(K41-M41)*2/K41*100</f>
        <v>100</v>
      </c>
      <c r="J41" s="29">
        <f>J40/J37/0.0283*(21-7)/(21-J38)</f>
        <v>0.03145012109578556</v>
      </c>
      <c r="K41" s="29">
        <f>K40/K37/0.0283*(21-7)/(21-K38)</f>
        <v>0.004006532274608441</v>
      </c>
      <c r="L41" s="29">
        <f>L40/L37/0.0283*(21-7)/(21-L38)</f>
        <v>0.01572506054789278</v>
      </c>
      <c r="M41" s="29">
        <f>M40/M37/0.0283*(21-7)/(21-M38)</f>
        <v>0.0020032661373042206</v>
      </c>
      <c r="N41" s="51">
        <f>(P41-R41)*2/P41*100</f>
        <v>100</v>
      </c>
      <c r="O41" s="29">
        <f>O40/O37/0.0283*(21-7)/(21-O38)</f>
        <v>0.0977191982584957</v>
      </c>
      <c r="P41" s="29">
        <f>P40/P37/0.0283*(21-7)/(21-P38)</f>
        <v>0.01007196236013406</v>
      </c>
      <c r="Q41" s="29">
        <f>Q40/Q37/0.0283*(21-7)/(21-Q38)</f>
        <v>0.04885959912924785</v>
      </c>
      <c r="R41" s="29">
        <f>R40/R37/0.0283*(21-7)/(21-R38)</f>
        <v>0.00503598118006703</v>
      </c>
      <c r="S41" s="29"/>
      <c r="T41" s="29"/>
      <c r="U41" s="29"/>
    </row>
    <row r="42" spans="5:17" ht="12.75">
      <c r="E42" s="38"/>
      <c r="G42" s="38"/>
      <c r="I42" s="59"/>
      <c r="J42" s="38"/>
      <c r="K42" s="38"/>
      <c r="L42" s="38"/>
      <c r="M42" s="38"/>
      <c r="N42" s="38"/>
      <c r="O42" s="38"/>
      <c r="Q42" s="38"/>
    </row>
    <row r="43" spans="2:23" s="37" customFormat="1" ht="12.75">
      <c r="B43" s="37" t="s">
        <v>127</v>
      </c>
      <c r="C43" s="29">
        <f>AVERAGE(H41,M41,R41)</f>
        <v>0.003312695626040149</v>
      </c>
      <c r="F43" s="29"/>
      <c r="H43" s="29"/>
      <c r="I43" s="56"/>
      <c r="P43" s="28"/>
      <c r="R43" s="28"/>
      <c r="S43" s="27"/>
      <c r="T43" s="27"/>
      <c r="U43" s="27"/>
      <c r="V43" s="27"/>
      <c r="W43" s="27"/>
    </row>
    <row r="44" spans="2:3" ht="12.75">
      <c r="B44" s="27" t="s">
        <v>128</v>
      </c>
      <c r="C44" s="29">
        <f>AVERAGE(G41,L41,Q41)</f>
        <v>0.02812876874316664</v>
      </c>
    </row>
  </sheetData>
  <printOptions headings="1" horizontalCentered="1"/>
  <pageMargins left="0.25" right="0.25" top="0.5" bottom="0.5" header="0.25" footer="0.25"/>
  <pageSetup horizontalDpi="600" verticalDpi="600" orientation="landscape" pageOrder="overThenDown" scale="80" r:id="rId1"/>
  <headerFooter alignWithMargins="0">
    <oddFooter>&amp;C&amp;P, &amp;A, 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Bruce Springsteen</dc:creator>
  <cp:keywords/>
  <dc:description/>
  <cp:lastModifiedBy>Alan Nguyen</cp:lastModifiedBy>
  <cp:lastPrinted>2004-02-24T23:50:03Z</cp:lastPrinted>
  <dcterms:created xsi:type="dcterms:W3CDTF">2000-01-10T00:44:42Z</dcterms:created>
  <dcterms:modified xsi:type="dcterms:W3CDTF">2004-02-24T23:50:25Z</dcterms:modified>
  <cp:category/>
  <cp:version/>
  <cp:contentType/>
  <cp:contentStatus/>
</cp:coreProperties>
</file>