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65371" windowWidth="12120" windowHeight="6780" activeTab="0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  <sheet name="process" sheetId="6" r:id="rId6"/>
  </sheets>
  <definedNames>
    <definedName name="_xlnm.Print_Titles" localSheetId="4">'feed'!$B:$B</definedName>
  </definedNames>
  <calcPr fullCalcOnLoad="1"/>
</workbook>
</file>

<file path=xl/sharedStrings.xml><?xml version="1.0" encoding="utf-8"?>
<sst xmlns="http://schemas.openxmlformats.org/spreadsheetml/2006/main" count="918" uniqueCount="153">
  <si>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</si>
  <si>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</si>
  <si>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</si>
  <si>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</si>
  <si>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</si>
  <si>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</si>
  <si>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</si>
  <si>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None</t>
  </si>
  <si>
    <t>Soot Blowing</t>
  </si>
  <si>
    <t>APCS Characteristics</t>
  </si>
  <si>
    <t>NA</t>
  </si>
  <si>
    <t>Stack Characteristics</t>
  </si>
  <si>
    <t xml:space="preserve">    Diameter (ft)</t>
  </si>
  <si>
    <t xml:space="preserve">    Height (ft)</t>
  </si>
  <si>
    <t>Permitting Status</t>
  </si>
  <si>
    <t xml:space="preserve">    Report Name/Date</t>
  </si>
  <si>
    <t xml:space="preserve">    Report Prepare</t>
  </si>
  <si>
    <t xml:space="preserve">    Testing Firm</t>
  </si>
  <si>
    <t xml:space="preserve">    Condition Descr</t>
  </si>
  <si>
    <t xml:space="preserve">    Content</t>
  </si>
  <si>
    <t>Units</t>
  </si>
  <si>
    <t>PM</t>
  </si>
  <si>
    <t>gr/dscf</t>
  </si>
  <si>
    <t>y</t>
  </si>
  <si>
    <t>ppmv</t>
  </si>
  <si>
    <t>dscfm</t>
  </si>
  <si>
    <t>%</t>
  </si>
  <si>
    <t>°F</t>
  </si>
  <si>
    <t>Cond Avg</t>
  </si>
  <si>
    <t>g/hr</t>
  </si>
  <si>
    <t>Btu/lb</t>
  </si>
  <si>
    <t>nd</t>
  </si>
  <si>
    <t>Ash</t>
  </si>
  <si>
    <t>Chlorine</t>
  </si>
  <si>
    <t xml:space="preserve">    Testing Dates</t>
  </si>
  <si>
    <t>METCO Environmental</t>
  </si>
  <si>
    <t>Tier I for metals and chlorine</t>
  </si>
  <si>
    <t>Sootblow</t>
  </si>
  <si>
    <t>Process Information</t>
  </si>
  <si>
    <t>MMBtu/hr</t>
  </si>
  <si>
    <t>Heating Value</t>
  </si>
  <si>
    <t>Stack Gas Flowrate</t>
  </si>
  <si>
    <t>Oxygen</t>
  </si>
  <si>
    <t>Estimated Firing Rate</t>
  </si>
  <si>
    <t>mg/dscm</t>
  </si>
  <si>
    <t>ug/dscm</t>
  </si>
  <si>
    <t>Stack Gas Emissions</t>
  </si>
  <si>
    <t>HW</t>
  </si>
  <si>
    <t>HCl</t>
  </si>
  <si>
    <t>Cl2</t>
  </si>
  <si>
    <t>SVM</t>
  </si>
  <si>
    <t>LVM</t>
  </si>
  <si>
    <t>Natural gas</t>
  </si>
  <si>
    <t>Yes, but uncharacterized</t>
  </si>
  <si>
    <t>Boiler F- 8</t>
  </si>
  <si>
    <t>PM, HCl/Cl2, &amp; CO emissions; metals, ash, &amp; chlorine in waste feedstreams</t>
  </si>
  <si>
    <t>TX</t>
  </si>
  <si>
    <t>None reported</t>
  </si>
  <si>
    <t>1017C1</t>
  </si>
  <si>
    <t>1017C2</t>
  </si>
  <si>
    <t>1017C3</t>
  </si>
  <si>
    <t>Pasadena</t>
  </si>
  <si>
    <t>Feedstreams</t>
  </si>
  <si>
    <t>Liq</t>
  </si>
  <si>
    <t>Supplemental Fuel</t>
  </si>
  <si>
    <t>Hazardous Wastes</t>
  </si>
  <si>
    <t>Haz Waste Description</t>
  </si>
  <si>
    <t>Combustor Characteristics</t>
  </si>
  <si>
    <t>CoC; max feed waste liq 2EH</t>
  </si>
  <si>
    <t>CoC; max feed for combined PA residue</t>
  </si>
  <si>
    <t>CoC; max feed waste liq 2EH and combined PA residue</t>
  </si>
  <si>
    <t>Waste liquid fuels and combined PA residues</t>
  </si>
  <si>
    <t>Source Emission Survey - Aristech Chemical Corp. - F-8 Boiler Stack (EPN 84); File No. 95-165B, September 1995</t>
  </si>
  <si>
    <t>Waste Liquid Fuels</t>
  </si>
  <si>
    <t>lb/hr</t>
  </si>
  <si>
    <t>Waste Liquid and Combined PA Residues</t>
  </si>
  <si>
    <t>Feedrate Waste Liq</t>
  </si>
  <si>
    <t>Feedrate Residues</t>
  </si>
  <si>
    <t>Heating Value Liq</t>
  </si>
  <si>
    <t>Heating Value Res</t>
  </si>
  <si>
    <t>Capacity (MMBtu/hr)</t>
  </si>
  <si>
    <t>TXD980808778</t>
  </si>
  <si>
    <t>Feedrate MTEC Calculations</t>
  </si>
  <si>
    <t>7% O2</t>
  </si>
  <si>
    <t>Phase II ID No.</t>
  </si>
  <si>
    <t>Source Description</t>
  </si>
  <si>
    <t xml:space="preserve">    Gas Velocity (ft/sec)</t>
  </si>
  <si>
    <t xml:space="preserve">    Gas Temperature (°F)</t>
  </si>
  <si>
    <t xml:space="preserve">   Temperature</t>
  </si>
  <si>
    <t xml:space="preserve">   Stack Gas Flowrate</t>
  </si>
  <si>
    <t>Comments</t>
  </si>
  <si>
    <t>PM, HCl/Cl2</t>
  </si>
  <si>
    <t xml:space="preserve">   O2</t>
  </si>
  <si>
    <t xml:space="preserve">   Moisture</t>
  </si>
  <si>
    <t>Total Chlorine</t>
  </si>
  <si>
    <t>CO (RA)</t>
  </si>
  <si>
    <t>Sampling Train</t>
  </si>
  <si>
    <t>Arsenic</t>
  </si>
  <si>
    <t>Barium</t>
  </si>
  <si>
    <t>Beryllium</t>
  </si>
  <si>
    <t>Thallium</t>
  </si>
  <si>
    <t>Antimony</t>
  </si>
  <si>
    <t>Lead</t>
  </si>
  <si>
    <t>Cadmium</t>
  </si>
  <si>
    <t>Silver</t>
  </si>
  <si>
    <t>Chromium</t>
  </si>
  <si>
    <t>Feedstream Description</t>
  </si>
  <si>
    <t>*</t>
  </si>
  <si>
    <t>Thermal Feedrate</t>
  </si>
  <si>
    <t>Mercury</t>
  </si>
  <si>
    <t>Feed Rate</t>
  </si>
  <si>
    <t>HWC Burn Status (Date if Terminated)</t>
  </si>
  <si>
    <t xml:space="preserve">    Cond Dates</t>
  </si>
  <si>
    <t>Liquid-fired boiler</t>
  </si>
  <si>
    <t>Cond Description</t>
  </si>
  <si>
    <t>R1</t>
  </si>
  <si>
    <t>R2</t>
  </si>
  <si>
    <t>R3</t>
  </si>
  <si>
    <t>Feedstream Number</t>
  </si>
  <si>
    <t>Feed Class</t>
  </si>
  <si>
    <t>Liq HW</t>
  </si>
  <si>
    <t>PM (total)</t>
  </si>
  <si>
    <t>E1</t>
  </si>
  <si>
    <t>Number of Sister Facilities</t>
  </si>
  <si>
    <t>Combustor Class</t>
  </si>
  <si>
    <t>Combustor Type</t>
  </si>
  <si>
    <t>APCS Detailed Acronym</t>
  </si>
  <si>
    <t>APCS General Class</t>
  </si>
  <si>
    <t>source</t>
  </si>
  <si>
    <t>cond</t>
  </si>
  <si>
    <t>emiss</t>
  </si>
  <si>
    <t>feed</t>
  </si>
  <si>
    <t>process</t>
  </si>
  <si>
    <t>Liquid-fired</t>
  </si>
  <si>
    <t>F1</t>
  </si>
  <si>
    <t>Total</t>
  </si>
  <si>
    <t>F2</t>
  </si>
  <si>
    <t>Feed Class 2</t>
  </si>
  <si>
    <t>Sunoco Inc. (R&amp;M) Pasadena Plant</t>
  </si>
  <si>
    <t>1017C4</t>
  </si>
  <si>
    <t>Source Emission Survey - Aristech Chemical Corp. - F-8 Boiler Stack (EPN 84); 2000</t>
  </si>
  <si>
    <t>3/1-3/2000</t>
  </si>
  <si>
    <t>Risk burn, normal operations</t>
  </si>
  <si>
    <t>HCl/Cl2, CO, D/Fs, VOC/SVOC, total organics, aldehydes/ketones, &amp; particle size emissions; metals, ash, &amp; chlorine in waste feedstreams</t>
  </si>
  <si>
    <t>1017C5</t>
  </si>
  <si>
    <t xml:space="preserve">CoC </t>
  </si>
  <si>
    <t>1017C6</t>
  </si>
  <si>
    <t>E2</t>
  </si>
  <si>
    <t>PSD</t>
  </si>
  <si>
    <t>HCl/Cl2</t>
  </si>
  <si>
    <t>F3</t>
  </si>
  <si>
    <t>PA Residue</t>
  </si>
  <si>
    <t>2-EH Waste Liq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</si>
</sst>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"/>
    <numFmt numFmtId="167" formatCode="0.000000"/>
    <numFmt numFmtId="168" formatCode="0.00000"/>
    <numFmt numFmtId="169" formatCode="0.0000"/>
    <numFmt numFmtId="170" formatCode="0.00000000"/>
    <numFmt numFmtId="171" formatCode="0.0000000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vertical="top" wrapText="1"/>
    </xf>
    <xf numFmtId="164" fontId="0" fillId="0" borderId="0" xfId="0" applyNumberFormat="1" applyFont="1" applyAlignment="1">
      <alignment vertical="top" wrapText="1"/>
    </xf>
    <xf numFmtId="166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right"/>
    </xf>
    <xf numFmtId="166" fontId="0" fillId="0" borderId="0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17" fontId="0" fillId="0" borderId="0" xfId="0" applyNumberFormat="1" applyFont="1" applyAlignment="1">
      <alignment horizontal="left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169" fontId="0" fillId="0" borderId="0" xfId="0" applyNumberFormat="1" applyFont="1" applyFill="1" applyBorder="1" applyAlignment="1">
      <alignment horizontal="right"/>
    </xf>
    <xf numFmtId="169" fontId="0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tabSelected="1" workbookViewId="0" topLeftCell="A1">
      <selection activeCell="H26" sqref="H26"/>
    </sheetView>
  </sheetViews>
  <sheetFormatPr defaultColWidth="9.140625" defaultRowHeight="12.75"/>
  <sheetData>
    <row r="1" ht="12.75">
      <c r="A1" t="s">
        <v>128</v>
      </c>
    </row>
    <row r="2" ht="12.75">
      <c r="A2" t="s">
        <v>129</v>
      </c>
    </row>
    <row r="3" ht="12.75">
      <c r="A3" t="s">
        <v>130</v>
      </c>
    </row>
    <row r="4" ht="12.75">
      <c r="A4" t="s">
        <v>131</v>
      </c>
    </row>
    <row r="5" ht="12.75">
      <c r="A5" t="s">
        <v>132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N52"/>
  <sheetViews>
    <sheetView workbookViewId="0" topLeftCell="B1">
      <selection activeCell="C1" sqref="C1"/>
    </sheetView>
  </sheetViews>
  <sheetFormatPr defaultColWidth="9.140625" defaultRowHeight="12.75"/>
  <cols>
    <col min="1" max="1" width="9.140625" style="2" hidden="1" customWidth="1"/>
    <col min="2" max="2" width="25.421875" style="2" customWidth="1"/>
    <col min="3" max="3" width="56.421875" style="2" customWidth="1"/>
    <col min="4" max="14" width="8.8515625" style="0" customWidth="1"/>
    <col min="15" max="16384" width="8.8515625" style="2" customWidth="1"/>
  </cols>
  <sheetData>
    <row r="1" ht="12.75">
      <c r="B1" s="1" t="s">
        <v>85</v>
      </c>
    </row>
    <row r="3" spans="2:3" ht="12.75">
      <c r="B3" s="2" t="s">
        <v>84</v>
      </c>
      <c r="C3" s="3">
        <v>1017</v>
      </c>
    </row>
    <row r="4" spans="2:3" ht="12.75">
      <c r="B4" s="2" t="s">
        <v>0</v>
      </c>
      <c r="C4" s="2" t="s">
        <v>81</v>
      </c>
    </row>
    <row r="5" spans="2:3" ht="12.75">
      <c r="B5" s="2" t="s">
        <v>1</v>
      </c>
      <c r="C5" s="2" t="s">
        <v>138</v>
      </c>
    </row>
    <row r="6" ht="12.75">
      <c r="B6" s="2" t="s">
        <v>2</v>
      </c>
    </row>
    <row r="7" spans="2:3" ht="12.75">
      <c r="B7" s="2" t="s">
        <v>3</v>
      </c>
      <c r="C7" s="2" t="s">
        <v>61</v>
      </c>
    </row>
    <row r="8" spans="2:3" ht="12.75">
      <c r="B8" s="2" t="s">
        <v>4</v>
      </c>
      <c r="C8" s="2" t="s">
        <v>56</v>
      </c>
    </row>
    <row r="9" spans="2:3" ht="12.75">
      <c r="B9" s="2" t="s">
        <v>5</v>
      </c>
      <c r="C9" s="2" t="s">
        <v>54</v>
      </c>
    </row>
    <row r="10" spans="2:3" ht="12.75">
      <c r="B10" s="2" t="s">
        <v>6</v>
      </c>
      <c r="C10" s="2" t="s">
        <v>7</v>
      </c>
    </row>
    <row r="11" spans="2:3" ht="12.75">
      <c r="B11" s="2" t="s">
        <v>123</v>
      </c>
      <c r="C11" s="3">
        <v>0</v>
      </c>
    </row>
    <row r="12" spans="2:3" ht="12.75">
      <c r="B12" s="2" t="s">
        <v>124</v>
      </c>
      <c r="C12" s="2" t="s">
        <v>113</v>
      </c>
    </row>
    <row r="13" spans="2:3" ht="12.75">
      <c r="B13" s="2" t="s">
        <v>125</v>
      </c>
      <c r="C13" s="2" t="s">
        <v>133</v>
      </c>
    </row>
    <row r="14" ht="12.75">
      <c r="B14" s="2" t="s">
        <v>67</v>
      </c>
    </row>
    <row r="15" spans="2:3" ht="12.75">
      <c r="B15" s="2" t="s">
        <v>80</v>
      </c>
      <c r="C15" s="3">
        <v>100</v>
      </c>
    </row>
    <row r="16" spans="2:3" ht="12.75">
      <c r="B16" s="2" t="s">
        <v>8</v>
      </c>
      <c r="C16" s="2" t="s">
        <v>53</v>
      </c>
    </row>
    <row r="17" spans="2:3" ht="12.75">
      <c r="B17" s="2" t="s">
        <v>126</v>
      </c>
      <c r="C17" s="2" t="s">
        <v>7</v>
      </c>
    </row>
    <row r="18" ht="12.75">
      <c r="B18" s="2" t="s">
        <v>127</v>
      </c>
    </row>
    <row r="19" spans="2:3" ht="12.75">
      <c r="B19" s="2" t="s">
        <v>9</v>
      </c>
      <c r="C19" s="2" t="s">
        <v>10</v>
      </c>
    </row>
    <row r="20" spans="2:3" ht="12.75">
      <c r="B20" s="2" t="s">
        <v>65</v>
      </c>
      <c r="C20" s="2" t="s">
        <v>63</v>
      </c>
    </row>
    <row r="21" spans="2:3" ht="12.75">
      <c r="B21" s="2" t="s">
        <v>66</v>
      </c>
      <c r="C21" s="2" t="s">
        <v>71</v>
      </c>
    </row>
    <row r="22" spans="2:3" ht="12.75">
      <c r="B22" s="2" t="s">
        <v>64</v>
      </c>
      <c r="C22" s="2" t="s">
        <v>52</v>
      </c>
    </row>
    <row r="23" ht="12.75" customHeight="1"/>
    <row r="24" ht="12.75">
      <c r="B24" s="2" t="s">
        <v>11</v>
      </c>
    </row>
    <row r="25" spans="2:3" ht="12.75">
      <c r="B25" s="2" t="s">
        <v>12</v>
      </c>
      <c r="C25" s="5">
        <f>77.5/12</f>
        <v>6.458333333333333</v>
      </c>
    </row>
    <row r="26" spans="2:3" ht="12.75">
      <c r="B26" s="2" t="s">
        <v>13</v>
      </c>
      <c r="C26" s="5">
        <v>75</v>
      </c>
    </row>
    <row r="27" spans="2:3" ht="12.75">
      <c r="B27" s="2" t="s">
        <v>86</v>
      </c>
      <c r="C27" s="5"/>
    </row>
    <row r="28" spans="2:3" ht="12.75">
      <c r="B28" s="2" t="s">
        <v>87</v>
      </c>
      <c r="C28" s="35">
        <f>emiss!M51</f>
        <v>304.6666666666667</v>
      </c>
    </row>
    <row r="29" ht="12.75" customHeight="1"/>
    <row r="30" spans="2:3" ht="12.75">
      <c r="B30" s="2" t="s">
        <v>14</v>
      </c>
      <c r="C30" s="2" t="s">
        <v>36</v>
      </c>
    </row>
    <row r="31" spans="2:14" s="41" customFormat="1" ht="25.5">
      <c r="B31" s="41" t="s">
        <v>111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</row>
    <row r="32" ht="12.75" customHeight="1"/>
    <row r="52" ht="12.75">
      <c r="C52" s="6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N61"/>
  <sheetViews>
    <sheetView workbookViewId="0" topLeftCell="B36">
      <selection activeCell="C1" sqref="C1"/>
    </sheetView>
  </sheetViews>
  <sheetFormatPr defaultColWidth="9.140625" defaultRowHeight="12.75"/>
  <cols>
    <col min="1" max="1" width="9.140625" style="2" hidden="1" customWidth="1"/>
    <col min="2" max="2" width="26.57421875" style="2" customWidth="1"/>
    <col min="3" max="3" width="64.140625" style="2" customWidth="1"/>
    <col min="4" max="16384" width="9.140625" style="2" customWidth="1"/>
  </cols>
  <sheetData>
    <row r="1" ht="12.75">
      <c r="B1" s="1" t="s">
        <v>114</v>
      </c>
    </row>
    <row r="3" ht="12.75">
      <c r="B3" s="40" t="s">
        <v>58</v>
      </c>
    </row>
    <row r="4" ht="12.75">
      <c r="B4" s="40"/>
    </row>
    <row r="5" spans="2:14" s="26" customFormat="1" ht="25.5">
      <c r="B5" s="26" t="s">
        <v>15</v>
      </c>
      <c r="C5" s="27" t="s">
        <v>72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3" ht="12.75">
      <c r="B6" s="2" t="s">
        <v>16</v>
      </c>
      <c r="C6" s="2" t="s">
        <v>35</v>
      </c>
    </row>
    <row r="7" spans="2:3" ht="12.75">
      <c r="B7" s="2" t="s">
        <v>17</v>
      </c>
      <c r="C7" s="2" t="s">
        <v>35</v>
      </c>
    </row>
    <row r="8" spans="2:3" ht="12.75">
      <c r="B8" s="2" t="s">
        <v>34</v>
      </c>
      <c r="C8" s="6">
        <v>34970</v>
      </c>
    </row>
    <row r="9" spans="2:3" ht="12.75">
      <c r="B9" s="2" t="s">
        <v>112</v>
      </c>
      <c r="C9" s="39">
        <v>34943</v>
      </c>
    </row>
    <row r="10" spans="2:3" ht="12.75">
      <c r="B10" s="2" t="s">
        <v>18</v>
      </c>
      <c r="C10" s="2" t="s">
        <v>68</v>
      </c>
    </row>
    <row r="11" spans="2:14" s="26" customFormat="1" ht="16.5" customHeight="1">
      <c r="B11" s="26" t="s">
        <v>19</v>
      </c>
      <c r="C11" s="26" t="s">
        <v>55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4:14" s="26" customFormat="1" ht="12.75"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ht="12.75">
      <c r="B13" s="40" t="s">
        <v>59</v>
      </c>
    </row>
    <row r="14" ht="12.75">
      <c r="B14" s="40"/>
    </row>
    <row r="15" spans="2:14" s="26" customFormat="1" ht="25.5">
      <c r="B15" s="26" t="s">
        <v>15</v>
      </c>
      <c r="C15" s="27" t="s">
        <v>72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2:3" ht="12.75">
      <c r="B16" s="2" t="s">
        <v>16</v>
      </c>
      <c r="C16" s="2" t="s">
        <v>35</v>
      </c>
    </row>
    <row r="17" spans="2:3" ht="12.75">
      <c r="B17" s="2" t="s">
        <v>17</v>
      </c>
      <c r="C17" s="2" t="s">
        <v>35</v>
      </c>
    </row>
    <row r="18" spans="2:3" ht="12.75">
      <c r="B18" s="2" t="s">
        <v>34</v>
      </c>
      <c r="C18" s="6">
        <v>34969</v>
      </c>
    </row>
    <row r="19" spans="2:3" ht="12.75">
      <c r="B19" s="2" t="s">
        <v>112</v>
      </c>
      <c r="C19" s="39">
        <v>34943</v>
      </c>
    </row>
    <row r="20" spans="2:3" ht="12.75">
      <c r="B20" s="2" t="s">
        <v>18</v>
      </c>
      <c r="C20" s="2" t="s">
        <v>70</v>
      </c>
    </row>
    <row r="21" spans="2:14" s="26" customFormat="1" ht="17.25" customHeight="1">
      <c r="B21" s="26" t="s">
        <v>19</v>
      </c>
      <c r="C21" s="26" t="s">
        <v>55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4:14" s="26" customFormat="1" ht="12.75"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ht="12.75">
      <c r="B23" s="40" t="s">
        <v>60</v>
      </c>
    </row>
    <row r="24" ht="12.75">
      <c r="B24" s="40"/>
    </row>
    <row r="25" spans="2:14" s="26" customFormat="1" ht="25.5">
      <c r="B25" s="26" t="s">
        <v>15</v>
      </c>
      <c r="C25" s="27" t="s">
        <v>72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2:3" ht="12.75">
      <c r="B26" s="2" t="s">
        <v>16</v>
      </c>
      <c r="C26" s="2" t="s">
        <v>35</v>
      </c>
    </row>
    <row r="27" spans="2:3" ht="12.75">
      <c r="B27" s="2" t="s">
        <v>17</v>
      </c>
      <c r="C27" s="2" t="s">
        <v>35</v>
      </c>
    </row>
    <row r="28" spans="2:3" ht="12.75">
      <c r="B28" s="2" t="s">
        <v>34</v>
      </c>
      <c r="C28" s="6">
        <v>34971</v>
      </c>
    </row>
    <row r="29" spans="2:3" ht="12.75">
      <c r="B29" s="2" t="s">
        <v>112</v>
      </c>
      <c r="C29" s="39">
        <v>34943</v>
      </c>
    </row>
    <row r="30" spans="2:3" ht="12.75">
      <c r="B30" s="2" t="s">
        <v>18</v>
      </c>
      <c r="C30" s="2" t="s">
        <v>69</v>
      </c>
    </row>
    <row r="31" spans="2:14" s="26" customFormat="1" ht="25.5">
      <c r="B31" s="26" t="s">
        <v>19</v>
      </c>
      <c r="C31" s="26" t="s">
        <v>55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3" ht="12.75">
      <c r="B33" s="40" t="s">
        <v>139</v>
      </c>
    </row>
    <row r="34" ht="12.75">
      <c r="B34" s="40"/>
    </row>
    <row r="35" spans="2:3" ht="25.5">
      <c r="B35" s="26" t="s">
        <v>15</v>
      </c>
      <c r="C35" s="27" t="s">
        <v>140</v>
      </c>
    </row>
    <row r="36" spans="2:3" ht="12.75">
      <c r="B36" s="2" t="s">
        <v>16</v>
      </c>
      <c r="C36" s="2" t="s">
        <v>35</v>
      </c>
    </row>
    <row r="37" spans="2:3" ht="12.75">
      <c r="B37" s="2" t="s">
        <v>17</v>
      </c>
      <c r="C37" s="2" t="s">
        <v>35</v>
      </c>
    </row>
    <row r="38" spans="2:3" ht="12.75">
      <c r="B38" s="2" t="s">
        <v>34</v>
      </c>
      <c r="C38" s="6" t="s">
        <v>141</v>
      </c>
    </row>
    <row r="39" spans="2:3" ht="12.75">
      <c r="B39" s="2" t="s">
        <v>112</v>
      </c>
      <c r="C39" s="39">
        <v>36586</v>
      </c>
    </row>
    <row r="40" spans="2:3" ht="12.75">
      <c r="B40" s="2" t="s">
        <v>18</v>
      </c>
      <c r="C40" s="2" t="s">
        <v>142</v>
      </c>
    </row>
    <row r="41" spans="2:3" ht="28.5" customHeight="1">
      <c r="B41" s="26" t="s">
        <v>19</v>
      </c>
      <c r="C41" s="26" t="s">
        <v>143</v>
      </c>
    </row>
    <row r="43" ht="12.75">
      <c r="B43" s="40" t="s">
        <v>144</v>
      </c>
    </row>
    <row r="44" ht="12.75">
      <c r="B44" s="40"/>
    </row>
    <row r="45" spans="2:3" ht="25.5">
      <c r="B45" s="26" t="s">
        <v>15</v>
      </c>
      <c r="C45" s="27" t="s">
        <v>140</v>
      </c>
    </row>
    <row r="46" spans="2:3" ht="12.75">
      <c r="B46" s="2" t="s">
        <v>16</v>
      </c>
      <c r="C46" s="2" t="s">
        <v>35</v>
      </c>
    </row>
    <row r="47" spans="2:3" ht="12.75">
      <c r="B47" s="2" t="s">
        <v>17</v>
      </c>
      <c r="C47" s="2" t="s">
        <v>35</v>
      </c>
    </row>
    <row r="48" spans="2:3" ht="12.75">
      <c r="B48" s="2" t="s">
        <v>34</v>
      </c>
      <c r="C48" s="6">
        <v>36584</v>
      </c>
    </row>
    <row r="49" spans="2:3" ht="12.75">
      <c r="B49" s="2" t="s">
        <v>112</v>
      </c>
      <c r="C49" s="39">
        <v>36557</v>
      </c>
    </row>
    <row r="50" spans="2:3" ht="12.75">
      <c r="B50" s="2" t="s">
        <v>18</v>
      </c>
      <c r="C50" s="2" t="s">
        <v>145</v>
      </c>
    </row>
    <row r="51" spans="2:3" ht="12.75">
      <c r="B51" s="26" t="s">
        <v>19</v>
      </c>
      <c r="C51" s="26" t="s">
        <v>21</v>
      </c>
    </row>
    <row r="53" ht="12.75">
      <c r="B53" s="40" t="s">
        <v>146</v>
      </c>
    </row>
    <row r="54" ht="12.75">
      <c r="B54" s="40"/>
    </row>
    <row r="55" spans="2:3" ht="25.5">
      <c r="B55" s="26" t="s">
        <v>15</v>
      </c>
      <c r="C55" s="27" t="s">
        <v>140</v>
      </c>
    </row>
    <row r="56" spans="2:3" ht="12.75">
      <c r="B56" s="2" t="s">
        <v>16</v>
      </c>
      <c r="C56" s="2" t="s">
        <v>35</v>
      </c>
    </row>
    <row r="57" spans="2:3" ht="12.75">
      <c r="B57" s="2" t="s">
        <v>17</v>
      </c>
      <c r="C57" s="2" t="s">
        <v>35</v>
      </c>
    </row>
    <row r="58" spans="2:3" ht="12.75">
      <c r="B58" s="2" t="s">
        <v>34</v>
      </c>
      <c r="C58" s="6">
        <v>36585</v>
      </c>
    </row>
    <row r="59" spans="2:3" ht="12.75">
      <c r="B59" s="2" t="s">
        <v>112</v>
      </c>
      <c r="C59" s="39">
        <v>36557</v>
      </c>
    </row>
    <row r="60" spans="2:3" ht="12.75">
      <c r="B60" s="2" t="s">
        <v>18</v>
      </c>
      <c r="C60" s="2" t="s">
        <v>145</v>
      </c>
    </row>
    <row r="61" spans="2:3" ht="12.75">
      <c r="B61" s="26" t="s">
        <v>19</v>
      </c>
      <c r="C61" s="26" t="s">
        <v>21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57"/>
  <sheetViews>
    <sheetView zoomScale="75" zoomScaleNormal="75" workbookViewId="0" topLeftCell="B49">
      <selection activeCell="C1" sqref="C1"/>
    </sheetView>
  </sheetViews>
  <sheetFormatPr defaultColWidth="9.140625" defaultRowHeight="12.75"/>
  <cols>
    <col min="1" max="1" width="6.7109375" style="9" hidden="1" customWidth="1"/>
    <col min="2" max="2" width="21.140625" style="9" customWidth="1"/>
    <col min="3" max="3" width="11.57421875" style="9" customWidth="1"/>
    <col min="4" max="4" width="8.8515625" style="8" customWidth="1"/>
    <col min="5" max="5" width="5.57421875" style="8" customWidth="1"/>
    <col min="6" max="6" width="3.00390625" style="8" customWidth="1"/>
    <col min="7" max="7" width="8.140625" style="9" customWidth="1"/>
    <col min="8" max="8" width="3.28125" style="9" customWidth="1"/>
    <col min="9" max="9" width="8.7109375" style="9" customWidth="1"/>
    <col min="10" max="10" width="3.57421875" style="9" customWidth="1"/>
    <col min="11" max="11" width="9.7109375" style="9" customWidth="1"/>
    <col min="12" max="12" width="3.00390625" style="9" customWidth="1"/>
    <col min="13" max="13" width="10.140625" style="9" customWidth="1"/>
    <col min="14" max="16384" width="8.8515625" style="9" customWidth="1"/>
  </cols>
  <sheetData>
    <row r="1" spans="2:3" ht="12.75">
      <c r="B1" s="7" t="s">
        <v>46</v>
      </c>
      <c r="C1" s="7"/>
    </row>
    <row r="2" spans="2:12" ht="12.75">
      <c r="B2" s="10"/>
      <c r="C2" s="10"/>
      <c r="G2" s="10"/>
      <c r="H2" s="10"/>
      <c r="I2" s="10"/>
      <c r="J2" s="10"/>
      <c r="K2" s="10"/>
      <c r="L2" s="10"/>
    </row>
    <row r="3" spans="2:5" ht="12.75">
      <c r="B3" s="2"/>
      <c r="C3" s="2" t="s">
        <v>90</v>
      </c>
      <c r="D3" s="8" t="s">
        <v>20</v>
      </c>
      <c r="E3" s="8" t="s">
        <v>83</v>
      </c>
    </row>
    <row r="4" spans="2:3" ht="12.75">
      <c r="B4" s="2"/>
      <c r="C4" s="2"/>
    </row>
    <row r="5" spans="2:13" ht="12.75">
      <c r="B5" s="2"/>
      <c r="C5" s="2"/>
      <c r="G5" s="10"/>
      <c r="H5" s="10"/>
      <c r="I5" s="10"/>
      <c r="J5" s="10"/>
      <c r="K5" s="10" t="s">
        <v>37</v>
      </c>
      <c r="L5" s="11"/>
      <c r="M5" s="11"/>
    </row>
    <row r="6" spans="1:13" ht="12.75">
      <c r="A6" s="9">
        <v>1</v>
      </c>
      <c r="B6" s="12" t="s">
        <v>58</v>
      </c>
      <c r="C6" s="12"/>
      <c r="G6" s="10" t="s">
        <v>115</v>
      </c>
      <c r="H6" s="10"/>
      <c r="I6" s="10" t="s">
        <v>116</v>
      </c>
      <c r="J6" s="10"/>
      <c r="K6" s="10" t="s">
        <v>117</v>
      </c>
      <c r="L6" s="11"/>
      <c r="M6" s="10" t="s">
        <v>28</v>
      </c>
    </row>
    <row r="7" spans="2:13" ht="12.75">
      <c r="B7" s="8"/>
      <c r="C7" s="8"/>
      <c r="D7" s="2"/>
      <c r="E7" s="2"/>
      <c r="F7" s="2"/>
      <c r="G7" s="2"/>
      <c r="H7" s="2"/>
      <c r="I7" s="2"/>
      <c r="J7" s="2"/>
      <c r="K7" s="2"/>
      <c r="L7" s="11"/>
      <c r="M7" s="11"/>
    </row>
    <row r="8" spans="2:13" ht="12.75">
      <c r="B8" s="8" t="s">
        <v>21</v>
      </c>
      <c r="C8" s="8" t="s">
        <v>122</v>
      </c>
      <c r="D8" s="8" t="s">
        <v>22</v>
      </c>
      <c r="E8" s="8" t="s">
        <v>23</v>
      </c>
      <c r="G8" s="11">
        <v>0.0114</v>
      </c>
      <c r="H8" s="11"/>
      <c r="I8" s="11">
        <v>0.0104</v>
      </c>
      <c r="J8" s="11"/>
      <c r="K8" s="11">
        <v>0.1344</v>
      </c>
      <c r="L8" s="11"/>
      <c r="M8" s="11">
        <v>0.0172</v>
      </c>
    </row>
    <row r="9" spans="2:13" ht="12.75">
      <c r="B9" s="8" t="s">
        <v>121</v>
      </c>
      <c r="C9" s="8" t="s">
        <v>122</v>
      </c>
      <c r="D9" s="8" t="s">
        <v>22</v>
      </c>
      <c r="E9" s="8" t="s">
        <v>23</v>
      </c>
      <c r="G9" s="11">
        <v>0.0118</v>
      </c>
      <c r="H9" s="11"/>
      <c r="I9" s="11">
        <v>0.0108</v>
      </c>
      <c r="J9" s="11"/>
      <c r="K9" s="11">
        <v>0.1347</v>
      </c>
      <c r="L9" s="11"/>
      <c r="M9" s="11">
        <v>0.0175</v>
      </c>
    </row>
    <row r="10" spans="2:13" ht="12.75">
      <c r="B10" s="9" t="s">
        <v>48</v>
      </c>
      <c r="C10" s="8" t="s">
        <v>122</v>
      </c>
      <c r="D10" s="8" t="s">
        <v>24</v>
      </c>
      <c r="E10" s="8" t="s">
        <v>23</v>
      </c>
      <c r="G10" s="36">
        <f>0.06*14/(21-$G$17)</f>
        <v>0.04719101123595505</v>
      </c>
      <c r="H10" s="36"/>
      <c r="I10" s="36">
        <f>0.07*14/(21-$I$17)</f>
        <v>0.0550561797752809</v>
      </c>
      <c r="J10" s="36"/>
      <c r="K10" s="36">
        <f>0.19*14/(21-$J$17)</f>
        <v>0.12666666666666668</v>
      </c>
      <c r="L10" s="36"/>
      <c r="M10" s="37">
        <f>AVERAGE(K10,I10,G10)</f>
        <v>0.07630461922596754</v>
      </c>
    </row>
    <row r="11" spans="2:13" ht="12.75">
      <c r="B11" s="9" t="s">
        <v>49</v>
      </c>
      <c r="C11" s="8" t="s">
        <v>122</v>
      </c>
      <c r="D11" s="8" t="s">
        <v>24</v>
      </c>
      <c r="E11" s="8" t="s">
        <v>23</v>
      </c>
      <c r="G11" s="36">
        <f>0.02*14/(21-$G$17)</f>
        <v>0.015730337078651686</v>
      </c>
      <c r="H11" s="36"/>
      <c r="I11" s="36">
        <f>0.02*14/(21-$I$17)</f>
        <v>0.015730337078651686</v>
      </c>
      <c r="J11" s="36"/>
      <c r="K11" s="36">
        <f>0.03*14/(21-$J$17)</f>
        <v>0.02</v>
      </c>
      <c r="L11" s="36"/>
      <c r="M11" s="37">
        <f>AVERAGE(K11,I11,G11)</f>
        <v>0.017153558052434455</v>
      </c>
    </row>
    <row r="12" spans="2:13" ht="12.75">
      <c r="B12" s="9" t="s">
        <v>94</v>
      </c>
      <c r="C12" s="8" t="s">
        <v>122</v>
      </c>
      <c r="D12" s="8" t="s">
        <v>24</v>
      </c>
      <c r="E12" s="8" t="s">
        <v>23</v>
      </c>
      <c r="G12" s="36">
        <f>G10+2*G11</f>
        <v>0.07865168539325842</v>
      </c>
      <c r="H12" s="36"/>
      <c r="I12" s="36">
        <f>I10+2*I11</f>
        <v>0.08651685393258426</v>
      </c>
      <c r="J12" s="36"/>
      <c r="K12" s="36">
        <f>K10+2*K11</f>
        <v>0.16666666666666669</v>
      </c>
      <c r="L12" s="36"/>
      <c r="M12" s="37">
        <f>AVERAGE(K12,I12,G12)</f>
        <v>0.11061173533083646</v>
      </c>
    </row>
    <row r="13" spans="2:13" ht="12.75">
      <c r="B13" s="8" t="s">
        <v>95</v>
      </c>
      <c r="C13" s="8" t="s">
        <v>122</v>
      </c>
      <c r="D13" s="8" t="s">
        <v>24</v>
      </c>
      <c r="E13" s="8" t="s">
        <v>23</v>
      </c>
      <c r="G13" s="11">
        <v>0.1</v>
      </c>
      <c r="H13" s="11"/>
      <c r="I13" s="11">
        <v>0.1</v>
      </c>
      <c r="J13" s="11"/>
      <c r="K13" s="11">
        <v>0.1</v>
      </c>
      <c r="L13" s="11"/>
      <c r="M13" s="28">
        <f>AVERAGE(K13,I13,G13)</f>
        <v>0.10000000000000002</v>
      </c>
    </row>
    <row r="14" spans="2:12" ht="12.75">
      <c r="B14" s="8"/>
      <c r="C14" s="8"/>
      <c r="G14" s="11"/>
      <c r="H14" s="11"/>
      <c r="I14" s="11"/>
      <c r="J14" s="11"/>
      <c r="K14" s="11"/>
      <c r="L14" s="11"/>
    </row>
    <row r="15" spans="2:12" ht="12.75">
      <c r="B15" s="8" t="s">
        <v>96</v>
      </c>
      <c r="C15" s="8" t="s">
        <v>91</v>
      </c>
      <c r="D15" s="8" t="s">
        <v>122</v>
      </c>
      <c r="G15" s="11"/>
      <c r="H15" s="11"/>
      <c r="I15" s="11"/>
      <c r="J15" s="11"/>
      <c r="K15" s="11"/>
      <c r="L15" s="11"/>
    </row>
    <row r="16" spans="2:13" ht="12.75">
      <c r="B16" s="8" t="s">
        <v>89</v>
      </c>
      <c r="C16" s="8"/>
      <c r="D16" s="8" t="s">
        <v>25</v>
      </c>
      <c r="G16" s="11">
        <v>14414</v>
      </c>
      <c r="H16" s="11"/>
      <c r="I16" s="14">
        <v>14739</v>
      </c>
      <c r="J16" s="14"/>
      <c r="K16" s="11">
        <v>14489</v>
      </c>
      <c r="L16" s="11"/>
      <c r="M16" s="13">
        <f>AVERAGE(K16,I16,G16)</f>
        <v>14547.333333333334</v>
      </c>
    </row>
    <row r="17" spans="2:13" ht="12.75">
      <c r="B17" s="8" t="s">
        <v>92</v>
      </c>
      <c r="C17" s="8"/>
      <c r="D17" s="8" t="s">
        <v>26</v>
      </c>
      <c r="G17" s="11">
        <v>3.2</v>
      </c>
      <c r="H17" s="11"/>
      <c r="I17" s="11">
        <v>3.2</v>
      </c>
      <c r="J17" s="11"/>
      <c r="K17" s="11">
        <v>3.4</v>
      </c>
      <c r="L17" s="11"/>
      <c r="M17" s="13">
        <f>AVERAGE(K17,I17,G17)</f>
        <v>3.266666666666667</v>
      </c>
    </row>
    <row r="18" spans="2:13" ht="12.75">
      <c r="B18" s="8" t="s">
        <v>93</v>
      </c>
      <c r="C18" s="8"/>
      <c r="D18" s="8" t="s">
        <v>26</v>
      </c>
      <c r="G18" s="11">
        <v>21.67</v>
      </c>
      <c r="H18" s="11"/>
      <c r="I18" s="11">
        <v>21.67</v>
      </c>
      <c r="J18" s="11"/>
      <c r="K18" s="11">
        <v>22.96</v>
      </c>
      <c r="L18" s="11"/>
      <c r="M18" s="13">
        <f>AVERAGE(K18,I18,G18)</f>
        <v>22.100000000000005</v>
      </c>
    </row>
    <row r="19" spans="2:13" ht="12.75">
      <c r="B19" s="8" t="s">
        <v>88</v>
      </c>
      <c r="C19" s="8"/>
      <c r="D19" s="8" t="s">
        <v>27</v>
      </c>
      <c r="G19" s="11">
        <v>313</v>
      </c>
      <c r="H19" s="11"/>
      <c r="I19" s="11">
        <v>314</v>
      </c>
      <c r="J19" s="11"/>
      <c r="K19" s="11">
        <v>312</v>
      </c>
      <c r="L19" s="11"/>
      <c r="M19" s="13">
        <f>AVERAGE(K19,I19,G19)</f>
        <v>313</v>
      </c>
    </row>
    <row r="20" spans="2:12" ht="12.75">
      <c r="B20" s="8"/>
      <c r="C20" s="8"/>
      <c r="G20" s="11"/>
      <c r="H20" s="11"/>
      <c r="I20" s="11"/>
      <c r="J20" s="11"/>
      <c r="K20" s="11"/>
      <c r="L20" s="11"/>
    </row>
    <row r="21" spans="2:12" ht="12.75">
      <c r="B21" s="8"/>
      <c r="C21" s="8"/>
      <c r="G21" s="11"/>
      <c r="H21" s="11"/>
      <c r="I21" s="11"/>
      <c r="J21" s="11"/>
      <c r="K21" s="10" t="s">
        <v>37</v>
      </c>
      <c r="L21" s="11"/>
    </row>
    <row r="22" spans="1:13" ht="12.75">
      <c r="A22" s="9">
        <v>2</v>
      </c>
      <c r="B22" s="12" t="s">
        <v>59</v>
      </c>
      <c r="C22" s="12"/>
      <c r="G22" s="10" t="s">
        <v>115</v>
      </c>
      <c r="H22" s="10"/>
      <c r="I22" s="10" t="s">
        <v>116</v>
      </c>
      <c r="J22" s="10"/>
      <c r="K22" s="10" t="s">
        <v>117</v>
      </c>
      <c r="L22" s="11"/>
      <c r="M22" s="10" t="s">
        <v>28</v>
      </c>
    </row>
    <row r="23" spans="2:13" ht="12.75">
      <c r="B23" s="8"/>
      <c r="C23" s="8"/>
      <c r="D23" s="2"/>
      <c r="E23" s="2"/>
      <c r="F23" s="2"/>
      <c r="G23" s="2"/>
      <c r="H23" s="2"/>
      <c r="I23" s="2"/>
      <c r="J23" s="2"/>
      <c r="L23" s="11"/>
      <c r="M23" s="11"/>
    </row>
    <row r="24" spans="2:13" ht="12.75">
      <c r="B24" s="8" t="s">
        <v>21</v>
      </c>
      <c r="C24" s="8" t="s">
        <v>122</v>
      </c>
      <c r="D24" s="8" t="s">
        <v>22</v>
      </c>
      <c r="E24" s="8" t="s">
        <v>23</v>
      </c>
      <c r="G24" s="11">
        <v>0.0195</v>
      </c>
      <c r="H24" s="11"/>
      <c r="I24" s="11">
        <v>0.0202</v>
      </c>
      <c r="J24" s="11"/>
      <c r="K24" s="11">
        <v>0.1149</v>
      </c>
      <c r="L24" s="11"/>
      <c r="M24" s="28">
        <f aca="true" t="shared" si="0" ref="M24:M29">AVERAGE(K24,I24,G24)</f>
        <v>0.05153333333333333</v>
      </c>
    </row>
    <row r="25" spans="2:13" ht="12.75">
      <c r="B25" s="8" t="s">
        <v>121</v>
      </c>
      <c r="C25" s="8" t="s">
        <v>122</v>
      </c>
      <c r="D25" s="8" t="s">
        <v>22</v>
      </c>
      <c r="E25" s="8" t="s">
        <v>23</v>
      </c>
      <c r="G25" s="9">
        <v>0.0202</v>
      </c>
      <c r="I25" s="9">
        <v>0.0208</v>
      </c>
      <c r="K25" s="9">
        <v>0.1153</v>
      </c>
      <c r="M25" s="28">
        <f t="shared" si="0"/>
        <v>0.0521</v>
      </c>
    </row>
    <row r="26" spans="2:13" ht="12.75">
      <c r="B26" s="9" t="s">
        <v>48</v>
      </c>
      <c r="C26" s="8" t="s">
        <v>122</v>
      </c>
      <c r="D26" s="8" t="s">
        <v>24</v>
      </c>
      <c r="E26" s="8" t="s">
        <v>23</v>
      </c>
      <c r="G26" s="36">
        <f>0.08*14/(21-$G$33)</f>
        <v>0.06588235294117648</v>
      </c>
      <c r="H26" s="36"/>
      <c r="I26" s="36">
        <f>0.11*14/(21-$I$33)</f>
        <v>0.09058823529411765</v>
      </c>
      <c r="J26" s="36"/>
      <c r="K26" s="36">
        <f>0.1*14/(21-$J$33)</f>
        <v>0.06666666666666668</v>
      </c>
      <c r="L26" s="36"/>
      <c r="M26" s="37">
        <f t="shared" si="0"/>
        <v>0.07437908496732028</v>
      </c>
    </row>
    <row r="27" spans="2:13" ht="12.75">
      <c r="B27" s="9" t="s">
        <v>49</v>
      </c>
      <c r="C27" s="8" t="s">
        <v>122</v>
      </c>
      <c r="D27" s="8" t="s">
        <v>24</v>
      </c>
      <c r="E27" s="8" t="s">
        <v>23</v>
      </c>
      <c r="G27" s="36">
        <f>0.04*14/(21-$G$33)</f>
        <v>0.03294117647058824</v>
      </c>
      <c r="H27" s="36"/>
      <c r="I27" s="36">
        <f>0.05*14/(21-$I$33)</f>
        <v>0.0411764705882353</v>
      </c>
      <c r="J27" s="36"/>
      <c r="K27" s="36">
        <f>0.01*14/(21-$J$33)</f>
        <v>0.006666666666666667</v>
      </c>
      <c r="L27" s="36"/>
      <c r="M27" s="37">
        <f t="shared" si="0"/>
        <v>0.0269281045751634</v>
      </c>
    </row>
    <row r="28" spans="2:13" ht="12.75">
      <c r="B28" s="9" t="s">
        <v>94</v>
      </c>
      <c r="C28" s="8" t="s">
        <v>122</v>
      </c>
      <c r="D28" s="8" t="s">
        <v>24</v>
      </c>
      <c r="E28" s="8" t="s">
        <v>23</v>
      </c>
      <c r="G28" s="36">
        <f>G26+2*G27</f>
        <v>0.13176470588235295</v>
      </c>
      <c r="H28" s="36"/>
      <c r="I28" s="36">
        <f>I26+2*I27</f>
        <v>0.17294117647058826</v>
      </c>
      <c r="J28" s="36"/>
      <c r="K28" s="36">
        <f>K26+2*K27</f>
        <v>0.08000000000000002</v>
      </c>
      <c r="L28" s="36"/>
      <c r="M28" s="37">
        <f t="shared" si="0"/>
        <v>0.1282352941176471</v>
      </c>
    </row>
    <row r="29" spans="2:13" ht="12.75">
      <c r="B29" s="8" t="s">
        <v>95</v>
      </c>
      <c r="C29" s="8" t="s">
        <v>122</v>
      </c>
      <c r="D29" s="8" t="s">
        <v>24</v>
      </c>
      <c r="E29" s="8" t="s">
        <v>23</v>
      </c>
      <c r="G29" s="11">
        <v>0.1</v>
      </c>
      <c r="H29" s="11"/>
      <c r="I29" s="11">
        <v>1.4</v>
      </c>
      <c r="J29" s="11"/>
      <c r="K29" s="11">
        <v>0.9</v>
      </c>
      <c r="L29" s="11"/>
      <c r="M29" s="13">
        <f t="shared" si="0"/>
        <v>0.7999999999999999</v>
      </c>
    </row>
    <row r="30" spans="2:13" ht="12.75">
      <c r="B30" s="8"/>
      <c r="C30" s="8"/>
      <c r="G30" s="11"/>
      <c r="H30" s="11"/>
      <c r="I30" s="11"/>
      <c r="J30" s="11"/>
      <c r="K30" s="11"/>
      <c r="L30" s="11"/>
      <c r="M30" s="11"/>
    </row>
    <row r="31" spans="2:13" ht="12.75">
      <c r="B31" s="8" t="s">
        <v>96</v>
      </c>
      <c r="C31" s="8" t="s">
        <v>91</v>
      </c>
      <c r="D31" s="8" t="s">
        <v>122</v>
      </c>
      <c r="G31" s="11"/>
      <c r="H31" s="11"/>
      <c r="I31" s="11"/>
      <c r="J31" s="11"/>
      <c r="K31" s="11"/>
      <c r="L31" s="11"/>
      <c r="M31" s="11"/>
    </row>
    <row r="32" spans="2:13" ht="12.75">
      <c r="B32" s="8" t="s">
        <v>89</v>
      </c>
      <c r="C32" s="8"/>
      <c r="D32" s="8" t="s">
        <v>25</v>
      </c>
      <c r="G32" s="11">
        <v>15473</v>
      </c>
      <c r="H32" s="11"/>
      <c r="I32" s="14">
        <v>15776</v>
      </c>
      <c r="J32" s="14"/>
      <c r="K32" s="11">
        <v>15221</v>
      </c>
      <c r="L32" s="11"/>
      <c r="M32" s="13">
        <f>AVERAGE(K32,I32,G32)</f>
        <v>15490</v>
      </c>
    </row>
    <row r="33" spans="2:13" ht="12.75">
      <c r="B33" s="8" t="s">
        <v>92</v>
      </c>
      <c r="C33" s="8"/>
      <c r="D33" s="8" t="s">
        <v>26</v>
      </c>
      <c r="G33" s="11">
        <v>4</v>
      </c>
      <c r="H33" s="11"/>
      <c r="I33" s="11">
        <v>4</v>
      </c>
      <c r="J33" s="11"/>
      <c r="K33" s="11">
        <v>3.4</v>
      </c>
      <c r="L33" s="11"/>
      <c r="M33" s="13">
        <f>AVERAGE(K33,I33,G33)</f>
        <v>3.8000000000000003</v>
      </c>
    </row>
    <row r="34" spans="2:13" ht="12.75">
      <c r="B34" s="8" t="s">
        <v>93</v>
      </c>
      <c r="C34" s="8"/>
      <c r="D34" s="8" t="s">
        <v>26</v>
      </c>
      <c r="G34" s="11">
        <v>19.04</v>
      </c>
      <c r="H34" s="11"/>
      <c r="I34" s="11">
        <v>19.17</v>
      </c>
      <c r="J34" s="11"/>
      <c r="K34" s="11">
        <v>20.56</v>
      </c>
      <c r="M34" s="13">
        <f>AVERAGE(K34,I34,G34)</f>
        <v>19.59</v>
      </c>
    </row>
    <row r="35" spans="2:13" ht="12.75">
      <c r="B35" s="8" t="s">
        <v>88</v>
      </c>
      <c r="C35" s="8"/>
      <c r="D35" s="8" t="s">
        <v>27</v>
      </c>
      <c r="G35" s="11">
        <v>333</v>
      </c>
      <c r="H35" s="11"/>
      <c r="I35" s="11">
        <v>337</v>
      </c>
      <c r="J35" s="11"/>
      <c r="K35" s="11">
        <v>335</v>
      </c>
      <c r="M35" s="13">
        <f>AVERAGE(K35,I35,G35)</f>
        <v>335</v>
      </c>
    </row>
    <row r="36" spans="2:11" ht="12.75">
      <c r="B36" s="12"/>
      <c r="C36" s="12"/>
      <c r="G36" s="10"/>
      <c r="H36" s="10"/>
      <c r="I36" s="10"/>
      <c r="J36" s="10"/>
      <c r="K36" s="10"/>
    </row>
    <row r="37" spans="2:11" ht="12.75">
      <c r="B37" s="12"/>
      <c r="C37" s="12"/>
      <c r="G37" s="10"/>
      <c r="H37" s="10"/>
      <c r="I37" s="10"/>
      <c r="J37" s="10"/>
      <c r="K37" s="10" t="s">
        <v>37</v>
      </c>
    </row>
    <row r="38" spans="1:13" ht="12.75">
      <c r="A38" s="9">
        <v>3</v>
      </c>
      <c r="B38" s="12" t="s">
        <v>60</v>
      </c>
      <c r="C38" s="12"/>
      <c r="G38" s="10" t="s">
        <v>115</v>
      </c>
      <c r="H38" s="10"/>
      <c r="I38" s="10" t="s">
        <v>116</v>
      </c>
      <c r="J38" s="10"/>
      <c r="K38" s="10" t="s">
        <v>117</v>
      </c>
      <c r="L38" s="11"/>
      <c r="M38" s="10" t="s">
        <v>28</v>
      </c>
    </row>
    <row r="39" spans="2:13" ht="12.75">
      <c r="B39" s="8"/>
      <c r="C39" s="8"/>
      <c r="D39" s="2"/>
      <c r="E39" s="2"/>
      <c r="F39" s="2"/>
      <c r="G39" s="2"/>
      <c r="H39" s="2"/>
      <c r="I39" s="2"/>
      <c r="J39" s="2"/>
      <c r="L39" s="11"/>
      <c r="M39" s="11"/>
    </row>
    <row r="40" spans="2:13" ht="12.75">
      <c r="B40" s="8" t="s">
        <v>21</v>
      </c>
      <c r="C40" s="8" t="s">
        <v>122</v>
      </c>
      <c r="D40" s="8" t="s">
        <v>22</v>
      </c>
      <c r="E40" s="8" t="s">
        <v>23</v>
      </c>
      <c r="G40" s="9">
        <v>0.0293</v>
      </c>
      <c r="H40" s="11"/>
      <c r="I40" s="11">
        <v>0.0294</v>
      </c>
      <c r="J40" s="11"/>
      <c r="K40" s="11">
        <v>0.1746</v>
      </c>
      <c r="L40" s="11"/>
      <c r="M40" s="28">
        <f aca="true" t="shared" si="1" ref="M40:M45">AVERAGE(K40,I40,G40)</f>
        <v>0.07776666666666666</v>
      </c>
    </row>
    <row r="41" spans="2:13" ht="12.75">
      <c r="B41" s="8" t="s">
        <v>121</v>
      </c>
      <c r="C41" s="8" t="s">
        <v>122</v>
      </c>
      <c r="D41" s="8" t="s">
        <v>22</v>
      </c>
      <c r="E41" s="8" t="s">
        <v>23</v>
      </c>
      <c r="G41" s="11">
        <v>0.0296</v>
      </c>
      <c r="I41" s="9">
        <v>0.0296</v>
      </c>
      <c r="K41" s="9">
        <v>0.1749</v>
      </c>
      <c r="M41" s="28">
        <f t="shared" si="1"/>
        <v>0.07803333333333334</v>
      </c>
    </row>
    <row r="42" spans="2:13" ht="12.75">
      <c r="B42" s="9" t="s">
        <v>48</v>
      </c>
      <c r="C42" s="8" t="s">
        <v>122</v>
      </c>
      <c r="D42" s="8" t="s">
        <v>24</v>
      </c>
      <c r="E42" s="8" t="s">
        <v>23</v>
      </c>
      <c r="G42" s="36">
        <f>0.03*14/(21-$G$49)</f>
        <v>0.02386363636363636</v>
      </c>
      <c r="H42" s="36"/>
      <c r="I42" s="36">
        <f>0.04*14/(21-$I$49)</f>
        <v>0.03181818181818182</v>
      </c>
      <c r="J42" s="36"/>
      <c r="K42" s="36">
        <f>0.06*14/(21-$J$49)</f>
        <v>0.04</v>
      </c>
      <c r="L42" s="36"/>
      <c r="M42" s="37">
        <f t="shared" si="1"/>
        <v>0.0318939393939394</v>
      </c>
    </row>
    <row r="43" spans="2:13" ht="12.75">
      <c r="B43" s="9" t="s">
        <v>49</v>
      </c>
      <c r="C43" s="8" t="s">
        <v>122</v>
      </c>
      <c r="D43" s="8" t="s">
        <v>24</v>
      </c>
      <c r="E43" s="8" t="s">
        <v>23</v>
      </c>
      <c r="G43" s="36">
        <f>0.03*14/(21-$G$49)</f>
        <v>0.02386363636363636</v>
      </c>
      <c r="H43" s="36"/>
      <c r="I43" s="36">
        <f>0.03*14/(21-$I$49)</f>
        <v>0.02386363636363636</v>
      </c>
      <c r="J43" s="36"/>
      <c r="K43" s="36">
        <f>0.02*14/(21-$J$49)</f>
        <v>0.013333333333333334</v>
      </c>
      <c r="L43" s="36"/>
      <c r="M43" s="37">
        <f t="shared" si="1"/>
        <v>0.02035353535353535</v>
      </c>
    </row>
    <row r="44" spans="2:13" ht="12.75">
      <c r="B44" s="9" t="s">
        <v>94</v>
      </c>
      <c r="C44" s="8" t="s">
        <v>122</v>
      </c>
      <c r="D44" s="8" t="s">
        <v>24</v>
      </c>
      <c r="E44" s="8" t="s">
        <v>23</v>
      </c>
      <c r="G44" s="36">
        <f>G42+2*G43</f>
        <v>0.07159090909090908</v>
      </c>
      <c r="H44" s="36"/>
      <c r="I44" s="36">
        <f>I42+2*I43</f>
        <v>0.07954545454545454</v>
      </c>
      <c r="J44" s="36"/>
      <c r="K44" s="36">
        <f>K42+2*K43</f>
        <v>0.06666666666666667</v>
      </c>
      <c r="L44" s="36"/>
      <c r="M44" s="37">
        <f t="shared" si="1"/>
        <v>0.0726010101010101</v>
      </c>
    </row>
    <row r="45" spans="2:13" ht="12.75">
      <c r="B45" s="8" t="s">
        <v>95</v>
      </c>
      <c r="C45" s="8" t="s">
        <v>122</v>
      </c>
      <c r="D45" s="8" t="s">
        <v>24</v>
      </c>
      <c r="E45" s="8" t="s">
        <v>23</v>
      </c>
      <c r="G45" s="11">
        <v>5.4</v>
      </c>
      <c r="H45" s="11"/>
      <c r="I45" s="11">
        <v>3.6</v>
      </c>
      <c r="J45" s="11"/>
      <c r="K45" s="11">
        <v>4.5</v>
      </c>
      <c r="L45" s="11"/>
      <c r="M45" s="13">
        <f t="shared" si="1"/>
        <v>4.5</v>
      </c>
    </row>
    <row r="46" spans="2:13" ht="12.75">
      <c r="B46" s="8"/>
      <c r="C46" s="8"/>
      <c r="G46" s="11"/>
      <c r="H46" s="11"/>
      <c r="I46" s="11"/>
      <c r="J46" s="11"/>
      <c r="K46" s="11"/>
      <c r="L46" s="11"/>
      <c r="M46" s="11"/>
    </row>
    <row r="47" spans="2:13" ht="12.75">
      <c r="B47" s="8" t="s">
        <v>96</v>
      </c>
      <c r="C47" s="8" t="s">
        <v>91</v>
      </c>
      <c r="D47" s="8" t="s">
        <v>122</v>
      </c>
      <c r="G47" s="11"/>
      <c r="H47" s="11"/>
      <c r="I47" s="11"/>
      <c r="J47" s="11"/>
      <c r="K47" s="11"/>
      <c r="L47" s="11"/>
      <c r="M47" s="11"/>
    </row>
    <row r="48" spans="2:13" ht="12.75">
      <c r="B48" s="8" t="s">
        <v>89</v>
      </c>
      <c r="C48" s="8"/>
      <c r="D48" s="8" t="s">
        <v>25</v>
      </c>
      <c r="G48" s="11">
        <v>15221</v>
      </c>
      <c r="H48" s="11"/>
      <c r="I48" s="14">
        <v>15158</v>
      </c>
      <c r="J48" s="14"/>
      <c r="K48" s="11">
        <v>14879</v>
      </c>
      <c r="L48" s="11"/>
      <c r="M48" s="14">
        <f>AVERAGE(K48,I48,G48)</f>
        <v>15086</v>
      </c>
    </row>
    <row r="49" spans="2:13" ht="12.75">
      <c r="B49" s="8" t="s">
        <v>92</v>
      </c>
      <c r="C49" s="8"/>
      <c r="D49" s="8" t="s">
        <v>26</v>
      </c>
      <c r="G49" s="11">
        <v>3.4</v>
      </c>
      <c r="H49" s="11"/>
      <c r="I49" s="11">
        <v>3.4</v>
      </c>
      <c r="J49" s="11"/>
      <c r="K49" s="11">
        <v>3.6</v>
      </c>
      <c r="L49" s="11"/>
      <c r="M49" s="13">
        <f>AVERAGE(K49,I49,G49)</f>
        <v>3.466666666666667</v>
      </c>
    </row>
    <row r="50" spans="2:13" ht="12.75">
      <c r="B50" s="8" t="s">
        <v>93</v>
      </c>
      <c r="C50" s="8"/>
      <c r="D50" s="8" t="s">
        <v>26</v>
      </c>
      <c r="G50" s="11">
        <v>18.02</v>
      </c>
      <c r="H50" s="11"/>
      <c r="I50" s="11">
        <v>18.07</v>
      </c>
      <c r="J50" s="11"/>
      <c r="K50" s="11">
        <v>19.82</v>
      </c>
      <c r="M50" s="13">
        <f>AVERAGE(K50,I50,G50)</f>
        <v>18.636666666666667</v>
      </c>
    </row>
    <row r="51" spans="2:13" ht="12.75">
      <c r="B51" s="8" t="s">
        <v>88</v>
      </c>
      <c r="C51" s="8"/>
      <c r="D51" s="8" t="s">
        <v>27</v>
      </c>
      <c r="G51" s="11">
        <v>306</v>
      </c>
      <c r="H51" s="11"/>
      <c r="I51" s="11">
        <v>304</v>
      </c>
      <c r="J51" s="11"/>
      <c r="K51" s="11">
        <v>304</v>
      </c>
      <c r="M51" s="13">
        <f>AVERAGE(K51,I51,G51)</f>
        <v>304.6666666666667</v>
      </c>
    </row>
    <row r="52" spans="2:11" ht="12.75">
      <c r="B52" s="8"/>
      <c r="C52" s="8"/>
      <c r="G52" s="11"/>
      <c r="H52" s="11"/>
      <c r="I52" s="11"/>
      <c r="J52" s="11"/>
      <c r="K52" s="11"/>
    </row>
    <row r="53" spans="7:11" ht="12.75">
      <c r="G53" s="10"/>
      <c r="H53" s="10"/>
      <c r="I53" s="10"/>
      <c r="J53" s="10"/>
      <c r="K53" s="10"/>
    </row>
    <row r="54" spans="2:13" ht="12.75">
      <c r="B54" s="12" t="s">
        <v>139</v>
      </c>
      <c r="C54" s="12"/>
      <c r="G54" s="10" t="s">
        <v>115</v>
      </c>
      <c r="H54" s="10"/>
      <c r="I54" s="10" t="s">
        <v>116</v>
      </c>
      <c r="J54" s="10"/>
      <c r="K54" s="10" t="s">
        <v>117</v>
      </c>
      <c r="L54" s="11"/>
      <c r="M54" s="10" t="s">
        <v>28</v>
      </c>
    </row>
    <row r="55" spans="2:13" ht="12.75">
      <c r="B55" s="8"/>
      <c r="C55" s="8"/>
      <c r="D55" s="2"/>
      <c r="E55" s="2"/>
      <c r="F55" s="2"/>
      <c r="G55" s="2"/>
      <c r="H55" s="2"/>
      <c r="I55" s="2"/>
      <c r="J55" s="2"/>
      <c r="L55" s="11"/>
      <c r="M55" s="11"/>
    </row>
    <row r="56" spans="2:13" ht="12.75">
      <c r="B56" s="8" t="s">
        <v>95</v>
      </c>
      <c r="C56" s="8" t="s">
        <v>122</v>
      </c>
      <c r="D56" s="8" t="s">
        <v>24</v>
      </c>
      <c r="E56" s="8" t="s">
        <v>23</v>
      </c>
      <c r="G56" s="11">
        <v>0.007</v>
      </c>
      <c r="H56" s="11"/>
      <c r="I56" s="11">
        <v>0.007</v>
      </c>
      <c r="J56" s="11"/>
      <c r="K56" s="11">
        <v>0.007</v>
      </c>
      <c r="L56" s="11"/>
      <c r="M56" s="28">
        <f>AVERAGE(K56,I56,G56)</f>
        <v>0.007</v>
      </c>
    </row>
    <row r="57" spans="2:13" ht="12.75">
      <c r="B57" s="9" t="s">
        <v>48</v>
      </c>
      <c r="C57" s="8" t="s">
        <v>122</v>
      </c>
      <c r="D57" s="8" t="s">
        <v>24</v>
      </c>
      <c r="E57" s="8" t="s">
        <v>23</v>
      </c>
      <c r="G57" s="44">
        <f>(13*35.31/1000)*(36.465/24.4)*14/(21-$G$64)</f>
        <v>0.5649455286885248</v>
      </c>
      <c r="H57" s="44"/>
      <c r="I57" s="44">
        <f>(12*35.31/1000)*(36.465/24.4)*14/(21-$I$64)</f>
        <v>0.5214881803278689</v>
      </c>
      <c r="J57" s="44"/>
      <c r="K57" s="44">
        <f>(14*35.31/1000)*(36.465/24.4)*14/(21-$K$64)</f>
        <v>0.6306615188924433</v>
      </c>
      <c r="L57" s="44"/>
      <c r="M57" s="43">
        <f>AVERAGE(K57,I57,G57)</f>
        <v>0.5723650759696123</v>
      </c>
    </row>
    <row r="58" spans="2:13" ht="12.75">
      <c r="B58" s="9" t="s">
        <v>49</v>
      </c>
      <c r="C58" s="8" t="s">
        <v>122</v>
      </c>
      <c r="D58" s="8" t="s">
        <v>24</v>
      </c>
      <c r="E58" s="8" t="s">
        <v>23</v>
      </c>
      <c r="G58" s="44">
        <f>(0.72*35.31/1000)*(70.914/24.4)*14/(21-$G$64)</f>
        <v>0.06084872533076182</v>
      </c>
      <c r="H58" s="44"/>
      <c r="I58" s="44">
        <f>(0.78*35.31/1000)*(70.914/24.4)*14/(21-$G$64)</f>
        <v>0.06591945244165864</v>
      </c>
      <c r="J58" s="44"/>
      <c r="K58" s="44">
        <f>(0.84*35.31/1000)*(70.914/24.4)*14/(21-$G$64)</f>
        <v>0.07099017955255546</v>
      </c>
      <c r="L58" s="44"/>
      <c r="M58" s="43">
        <f>AVERAGE(K58,I58,G58)</f>
        <v>0.06591945244165864</v>
      </c>
    </row>
    <row r="59" spans="2:13" ht="12.75">
      <c r="B59" s="9" t="s">
        <v>94</v>
      </c>
      <c r="C59" s="8" t="s">
        <v>122</v>
      </c>
      <c r="D59" s="8" t="s">
        <v>24</v>
      </c>
      <c r="E59" s="8" t="s">
        <v>23</v>
      </c>
      <c r="G59" s="44">
        <f>G57+2*G58</f>
        <v>0.6866429793500484</v>
      </c>
      <c r="H59" s="44"/>
      <c r="I59" s="44">
        <f>I57+2*I58</f>
        <v>0.6533270852111862</v>
      </c>
      <c r="J59" s="44"/>
      <c r="K59" s="44">
        <f>K57+2*K58</f>
        <v>0.7726418779975541</v>
      </c>
      <c r="L59" s="36"/>
      <c r="M59" s="43">
        <f>AVERAGE(K59,I59,G59)</f>
        <v>0.7042039808529296</v>
      </c>
    </row>
    <row r="61" spans="2:13" ht="12.75">
      <c r="B61" s="8"/>
      <c r="C61" s="8"/>
      <c r="G61" s="11"/>
      <c r="H61" s="11"/>
      <c r="I61" s="11"/>
      <c r="J61" s="11"/>
      <c r="K61" s="11"/>
      <c r="L61" s="11"/>
      <c r="M61" s="11"/>
    </row>
    <row r="62" spans="2:13" ht="12.75">
      <c r="B62" s="8" t="s">
        <v>96</v>
      </c>
      <c r="C62" s="8" t="s">
        <v>149</v>
      </c>
      <c r="D62" s="8" t="s">
        <v>122</v>
      </c>
      <c r="G62" s="11"/>
      <c r="H62" s="11"/>
      <c r="I62" s="11"/>
      <c r="J62" s="11"/>
      <c r="K62" s="11"/>
      <c r="L62" s="11"/>
      <c r="M62" s="11"/>
    </row>
    <row r="63" spans="2:13" ht="12.75">
      <c r="B63" s="8" t="s">
        <v>89</v>
      </c>
      <c r="C63" s="8"/>
      <c r="D63" s="8" t="s">
        <v>25</v>
      </c>
      <c r="G63" s="9">
        <v>11197</v>
      </c>
      <c r="I63" s="9">
        <v>9986</v>
      </c>
      <c r="K63" s="9">
        <v>10402</v>
      </c>
      <c r="M63" s="14">
        <f>AVERAGE(K63,I63,G63)</f>
        <v>10528.333333333334</v>
      </c>
    </row>
    <row r="64" spans="2:13" ht="12.75">
      <c r="B64" s="8" t="s">
        <v>92</v>
      </c>
      <c r="C64" s="8"/>
      <c r="D64" s="8" t="s">
        <v>26</v>
      </c>
      <c r="G64" s="9">
        <v>4</v>
      </c>
      <c r="I64" s="9">
        <v>4</v>
      </c>
      <c r="K64" s="9">
        <v>4.6</v>
      </c>
      <c r="M64" s="13">
        <f>AVERAGE(K64,I64,G64)</f>
        <v>4.2</v>
      </c>
    </row>
    <row r="65" spans="2:13" ht="12.75">
      <c r="B65" s="8" t="s">
        <v>93</v>
      </c>
      <c r="C65" s="8"/>
      <c r="D65" s="8" t="s">
        <v>26</v>
      </c>
      <c r="G65" s="9">
        <v>20.37</v>
      </c>
      <c r="I65" s="9">
        <v>19.58</v>
      </c>
      <c r="K65" s="9">
        <v>18.37</v>
      </c>
      <c r="M65" s="13">
        <f>AVERAGE(K65,I65,G65)</f>
        <v>19.44</v>
      </c>
    </row>
    <row r="66" spans="2:13" ht="12.75">
      <c r="B66" s="8" t="s">
        <v>88</v>
      </c>
      <c r="C66" s="8"/>
      <c r="D66" s="8" t="s">
        <v>27</v>
      </c>
      <c r="G66" s="9">
        <v>299</v>
      </c>
      <c r="I66" s="9">
        <v>299</v>
      </c>
      <c r="K66" s="9">
        <v>298</v>
      </c>
      <c r="M66" s="14">
        <f>AVERAGE(K66,I66,G66)</f>
        <v>298.6666666666667</v>
      </c>
    </row>
    <row r="67" spans="2:3" ht="12.75">
      <c r="B67" s="8"/>
      <c r="C67" s="8"/>
    </row>
    <row r="68" spans="2:13" ht="12.75">
      <c r="B68" s="8" t="s">
        <v>96</v>
      </c>
      <c r="C68" s="9" t="s">
        <v>148</v>
      </c>
      <c r="D68" s="8" t="s">
        <v>147</v>
      </c>
      <c r="L68" s="11"/>
      <c r="M68" s="11"/>
    </row>
    <row r="69" spans="2:13" ht="12.75">
      <c r="B69" s="8" t="s">
        <v>89</v>
      </c>
      <c r="C69" s="8"/>
      <c r="D69" s="8" t="s">
        <v>25</v>
      </c>
      <c r="G69" s="11">
        <v>10159</v>
      </c>
      <c r="H69" s="11"/>
      <c r="I69" s="11">
        <v>9856</v>
      </c>
      <c r="J69" s="11"/>
      <c r="K69" s="11">
        <v>9974</v>
      </c>
      <c r="L69" s="11"/>
      <c r="M69" s="14">
        <f>AVERAGE(K69,I69,G69)</f>
        <v>9996.333333333334</v>
      </c>
    </row>
    <row r="70" spans="2:13" ht="12.75">
      <c r="B70" s="8" t="s">
        <v>92</v>
      </c>
      <c r="C70" s="8"/>
      <c r="D70" s="8" t="s">
        <v>26</v>
      </c>
      <c r="G70" s="11">
        <v>4</v>
      </c>
      <c r="H70" s="11"/>
      <c r="I70" s="11">
        <v>3.8</v>
      </c>
      <c r="J70" s="11"/>
      <c r="K70" s="11">
        <v>4.6</v>
      </c>
      <c r="L70" s="11"/>
      <c r="M70" s="13">
        <f>AVERAGE(K70,I70,G70)</f>
        <v>4.133333333333333</v>
      </c>
    </row>
    <row r="71" spans="2:13" ht="12.75">
      <c r="B71" s="8" t="s">
        <v>93</v>
      </c>
      <c r="C71" s="8"/>
      <c r="D71" s="8" t="s">
        <v>26</v>
      </c>
      <c r="G71" s="13">
        <v>21.05</v>
      </c>
      <c r="H71" s="13"/>
      <c r="I71" s="13">
        <v>22.01</v>
      </c>
      <c r="J71" s="13"/>
      <c r="K71" s="13">
        <v>24.06</v>
      </c>
      <c r="M71" s="13">
        <f>AVERAGE(K71,I71,G71)</f>
        <v>22.373333333333335</v>
      </c>
    </row>
    <row r="72" spans="2:13" ht="12.75">
      <c r="B72" s="8" t="s">
        <v>88</v>
      </c>
      <c r="C72" s="8"/>
      <c r="D72" s="8" t="s">
        <v>27</v>
      </c>
      <c r="G72" s="11">
        <v>300</v>
      </c>
      <c r="H72" s="11"/>
      <c r="I72" s="11">
        <v>298</v>
      </c>
      <c r="J72" s="11"/>
      <c r="K72" s="11">
        <v>299</v>
      </c>
      <c r="M72" s="14">
        <f>AVERAGE(K72,I72,G72)</f>
        <v>299</v>
      </c>
    </row>
    <row r="73" spans="2:3" ht="12.75">
      <c r="B73" s="8"/>
      <c r="C73" s="8"/>
    </row>
    <row r="74" spans="2:3" ht="12.75">
      <c r="B74" s="8"/>
      <c r="C74" s="8"/>
    </row>
    <row r="75" spans="2:3" ht="12.75">
      <c r="B75" s="8"/>
      <c r="C75" s="8"/>
    </row>
    <row r="76" spans="2:3" ht="12.75">
      <c r="B76" s="8"/>
      <c r="C76" s="8"/>
    </row>
    <row r="77" spans="2:13" ht="12.75">
      <c r="B77" s="12" t="s">
        <v>144</v>
      </c>
      <c r="C77" s="12"/>
      <c r="G77" s="10" t="s">
        <v>115</v>
      </c>
      <c r="H77" s="10"/>
      <c r="I77" s="10" t="s">
        <v>116</v>
      </c>
      <c r="J77" s="10"/>
      <c r="K77" s="10" t="s">
        <v>117</v>
      </c>
      <c r="L77" s="11"/>
      <c r="M77" s="10" t="s">
        <v>28</v>
      </c>
    </row>
    <row r="78" spans="2:13" ht="12.75">
      <c r="B78" s="8"/>
      <c r="C78" s="8"/>
      <c r="D78" s="2"/>
      <c r="E78" s="2"/>
      <c r="F78" s="2"/>
      <c r="G78" s="2"/>
      <c r="H78" s="2"/>
      <c r="I78" s="2"/>
      <c r="J78" s="2"/>
      <c r="L78" s="11"/>
      <c r="M78" s="11"/>
    </row>
    <row r="79" spans="2:13" ht="12.75">
      <c r="B79" s="8" t="s">
        <v>21</v>
      </c>
      <c r="C79" s="8" t="s">
        <v>122</v>
      </c>
      <c r="D79" s="8" t="s">
        <v>22</v>
      </c>
      <c r="E79" s="8" t="s">
        <v>23</v>
      </c>
      <c r="G79" s="9">
        <v>0.0172</v>
      </c>
      <c r="H79" s="11"/>
      <c r="I79" s="11">
        <v>0.0117</v>
      </c>
      <c r="J79" s="11"/>
      <c r="K79" s="11">
        <v>0.0267</v>
      </c>
      <c r="L79" s="11"/>
      <c r="M79" s="43">
        <f>AVERAGE(K79,I79,G79)</f>
        <v>0.018533333333333336</v>
      </c>
    </row>
    <row r="80" spans="2:13" ht="12.75">
      <c r="B80" s="8"/>
      <c r="C80" s="8"/>
      <c r="G80" s="11"/>
      <c r="H80" s="11"/>
      <c r="I80" s="11"/>
      <c r="J80" s="11"/>
      <c r="K80" s="11"/>
      <c r="L80" s="11"/>
      <c r="M80" s="11"/>
    </row>
    <row r="81" spans="2:13" ht="12.75">
      <c r="B81" s="8" t="s">
        <v>96</v>
      </c>
      <c r="C81" s="8" t="s">
        <v>21</v>
      </c>
      <c r="D81" s="8" t="s">
        <v>122</v>
      </c>
      <c r="G81" s="11"/>
      <c r="H81" s="11"/>
      <c r="I81" s="11"/>
      <c r="J81" s="11"/>
      <c r="K81" s="11"/>
      <c r="L81" s="11"/>
      <c r="M81" s="11"/>
    </row>
    <row r="82" spans="2:13" ht="12.75">
      <c r="B82" s="8" t="s">
        <v>89</v>
      </c>
      <c r="C82" s="8"/>
      <c r="D82" s="8" t="s">
        <v>25</v>
      </c>
      <c r="G82" s="11">
        <v>16824</v>
      </c>
      <c r="H82" s="11"/>
      <c r="I82" s="14">
        <v>13638</v>
      </c>
      <c r="J82" s="14"/>
      <c r="K82" s="11">
        <v>14369</v>
      </c>
      <c r="L82" s="11"/>
      <c r="M82" s="14">
        <f>AVERAGE(K82,I82,G82)</f>
        <v>14943.666666666666</v>
      </c>
    </row>
    <row r="83" spans="2:13" ht="12.75">
      <c r="B83" s="8" t="s">
        <v>92</v>
      </c>
      <c r="C83" s="8"/>
      <c r="D83" s="8" t="s">
        <v>26</v>
      </c>
      <c r="G83" s="11">
        <v>6</v>
      </c>
      <c r="H83" s="11"/>
      <c r="I83" s="11">
        <v>4.8</v>
      </c>
      <c r="J83" s="11"/>
      <c r="K83" s="11">
        <v>4.6</v>
      </c>
      <c r="L83" s="11"/>
      <c r="M83" s="13">
        <f>AVERAGE(K83,I83,G83)</f>
        <v>5.133333333333333</v>
      </c>
    </row>
    <row r="84" spans="2:13" ht="12.75">
      <c r="B84" s="8" t="s">
        <v>93</v>
      </c>
      <c r="C84" s="8"/>
      <c r="D84" s="8" t="s">
        <v>26</v>
      </c>
      <c r="G84" s="13">
        <v>15.59</v>
      </c>
      <c r="H84" s="13"/>
      <c r="I84" s="13">
        <v>16.92</v>
      </c>
      <c r="J84" s="13"/>
      <c r="K84" s="13">
        <v>18.42</v>
      </c>
      <c r="M84" s="13">
        <f>AVERAGE(K84,I84,G84)</f>
        <v>16.97666666666667</v>
      </c>
    </row>
    <row r="85" spans="2:13" ht="12.75">
      <c r="B85" s="8" t="s">
        <v>88</v>
      </c>
      <c r="C85" s="8"/>
      <c r="D85" s="8" t="s">
        <v>27</v>
      </c>
      <c r="G85" s="11">
        <v>364</v>
      </c>
      <c r="H85" s="11"/>
      <c r="I85" s="11">
        <v>346</v>
      </c>
      <c r="J85" s="11"/>
      <c r="K85" s="11">
        <v>345</v>
      </c>
      <c r="M85" s="13">
        <f>AVERAGE(K85,I85,G85)</f>
        <v>351.6666666666667</v>
      </c>
    </row>
    <row r="86" spans="2:3" ht="12.75">
      <c r="B86" s="8"/>
      <c r="C86" s="8"/>
    </row>
    <row r="87" spans="2:13" ht="12.75">
      <c r="B87" s="8"/>
      <c r="C87" s="8"/>
      <c r="G87" s="11"/>
      <c r="H87" s="11"/>
      <c r="I87" s="11"/>
      <c r="J87" s="11"/>
      <c r="K87" s="11"/>
      <c r="L87" s="11"/>
      <c r="M87" s="11"/>
    </row>
    <row r="88" spans="2:13" ht="12.75">
      <c r="B88" s="8"/>
      <c r="C88" s="8"/>
      <c r="G88" s="11"/>
      <c r="H88" s="11"/>
      <c r="I88" s="14"/>
      <c r="J88" s="14"/>
      <c r="K88" s="11"/>
      <c r="L88" s="11"/>
      <c r="M88" s="14"/>
    </row>
    <row r="89" spans="2:13" ht="12.75">
      <c r="B89" s="12" t="s">
        <v>146</v>
      </c>
      <c r="C89" s="12"/>
      <c r="G89" s="10" t="s">
        <v>115</v>
      </c>
      <c r="H89" s="10"/>
      <c r="I89" s="10" t="s">
        <v>116</v>
      </c>
      <c r="J89" s="10"/>
      <c r="K89" s="10" t="s">
        <v>117</v>
      </c>
      <c r="L89" s="11"/>
      <c r="M89" s="10" t="s">
        <v>28</v>
      </c>
    </row>
    <row r="90" spans="2:13" ht="12.75">
      <c r="B90" s="8"/>
      <c r="C90" s="8"/>
      <c r="D90" s="2"/>
      <c r="E90" s="2"/>
      <c r="F90" s="2"/>
      <c r="G90" s="2"/>
      <c r="H90" s="2"/>
      <c r="I90" s="2"/>
      <c r="J90" s="2"/>
      <c r="L90" s="11"/>
      <c r="M90" s="11"/>
    </row>
    <row r="91" spans="2:13" ht="12.75">
      <c r="B91" s="8" t="s">
        <v>21</v>
      </c>
      <c r="C91" s="8" t="s">
        <v>122</v>
      </c>
      <c r="D91" s="8" t="s">
        <v>22</v>
      </c>
      <c r="E91" s="8" t="s">
        <v>23</v>
      </c>
      <c r="G91" s="9">
        <v>0.011</v>
      </c>
      <c r="H91" s="11"/>
      <c r="I91" s="11">
        <v>0.0136</v>
      </c>
      <c r="J91" s="11"/>
      <c r="K91" s="11">
        <v>0.0237</v>
      </c>
      <c r="L91" s="11"/>
      <c r="M91" s="43">
        <f>AVERAGE(K91,I91,G91)</f>
        <v>0.0161</v>
      </c>
    </row>
    <row r="92" spans="2:13" ht="12.75">
      <c r="B92" s="8"/>
      <c r="C92" s="8"/>
      <c r="G92" s="11"/>
      <c r="H92" s="11"/>
      <c r="I92" s="11"/>
      <c r="J92" s="11"/>
      <c r="K92" s="11"/>
      <c r="L92" s="11"/>
      <c r="M92" s="11"/>
    </row>
    <row r="93" spans="2:13" ht="12.75">
      <c r="B93" s="8" t="s">
        <v>96</v>
      </c>
      <c r="C93" s="8" t="s">
        <v>21</v>
      </c>
      <c r="D93" s="8" t="s">
        <v>122</v>
      </c>
      <c r="G93" s="11"/>
      <c r="H93" s="11"/>
      <c r="I93" s="11"/>
      <c r="J93" s="11"/>
      <c r="K93" s="11"/>
      <c r="L93" s="11"/>
      <c r="M93" s="11"/>
    </row>
    <row r="94" spans="2:13" ht="12.75">
      <c r="B94" s="8" t="s">
        <v>89</v>
      </c>
      <c r="C94" s="8"/>
      <c r="D94" s="8" t="s">
        <v>25</v>
      </c>
      <c r="G94" s="11">
        <v>16050</v>
      </c>
      <c r="H94" s="11"/>
      <c r="I94" s="14">
        <v>14202</v>
      </c>
      <c r="J94" s="14"/>
      <c r="K94" s="11">
        <v>15205</v>
      </c>
      <c r="L94" s="11"/>
      <c r="M94" s="14">
        <f>AVERAGE(K94,I94,G94)</f>
        <v>15152.333333333334</v>
      </c>
    </row>
    <row r="95" spans="2:13" ht="12.75">
      <c r="B95" s="8" t="s">
        <v>92</v>
      </c>
      <c r="C95" s="8"/>
      <c r="D95" s="8" t="s">
        <v>26</v>
      </c>
      <c r="G95" s="11">
        <v>4.8</v>
      </c>
      <c r="H95" s="11"/>
      <c r="I95" s="11">
        <v>4.8</v>
      </c>
      <c r="J95" s="11"/>
      <c r="K95" s="11">
        <v>4.7</v>
      </c>
      <c r="L95" s="11"/>
      <c r="M95" s="13">
        <f>AVERAGE(K95,I95,G95)</f>
        <v>4.766666666666667</v>
      </c>
    </row>
    <row r="96" spans="2:13" ht="12.75">
      <c r="B96" s="8" t="s">
        <v>93</v>
      </c>
      <c r="C96" s="8"/>
      <c r="D96" s="8" t="s">
        <v>26</v>
      </c>
      <c r="G96" s="13">
        <v>20.33</v>
      </c>
      <c r="H96" s="13"/>
      <c r="I96" s="13">
        <v>19.43</v>
      </c>
      <c r="J96" s="13"/>
      <c r="K96" s="13">
        <v>20.67</v>
      </c>
      <c r="M96" s="13">
        <f>AVERAGE(K96,I96,G96)</f>
        <v>20.143333333333334</v>
      </c>
    </row>
    <row r="97" spans="2:13" ht="12.75">
      <c r="B97" s="8" t="s">
        <v>88</v>
      </c>
      <c r="C97" s="8"/>
      <c r="D97" s="8" t="s">
        <v>27</v>
      </c>
      <c r="G97" s="11">
        <v>341</v>
      </c>
      <c r="H97" s="11"/>
      <c r="I97" s="11">
        <v>343</v>
      </c>
      <c r="J97" s="11"/>
      <c r="K97" s="11">
        <v>348</v>
      </c>
      <c r="M97" s="13">
        <f>AVERAGE(K97,I97,G97)</f>
        <v>344</v>
      </c>
    </row>
    <row r="98" spans="2:11" ht="12.75">
      <c r="B98" s="8"/>
      <c r="C98" s="8"/>
      <c r="G98" s="8"/>
      <c r="H98" s="8"/>
      <c r="I98" s="15"/>
      <c r="J98" s="15"/>
      <c r="K98" s="15"/>
    </row>
    <row r="99" spans="2:11" ht="12.75">
      <c r="B99" s="8"/>
      <c r="C99" s="8"/>
      <c r="G99" s="8"/>
      <c r="H99" s="8"/>
      <c r="I99" s="15"/>
      <c r="J99" s="15"/>
      <c r="K99" s="15"/>
    </row>
    <row r="102" spans="2:3" ht="12.75">
      <c r="B102" s="12"/>
      <c r="C102" s="12"/>
    </row>
    <row r="103" spans="2:5" ht="12.75">
      <c r="B103" s="8"/>
      <c r="C103" s="8"/>
      <c r="D103" s="2"/>
      <c r="E103" s="2"/>
    </row>
    <row r="104" spans="2:3" ht="12.75">
      <c r="B104" s="8"/>
      <c r="C104" s="8"/>
    </row>
    <row r="105" spans="2:3" ht="12.75">
      <c r="B105" s="8"/>
      <c r="C105" s="8"/>
    </row>
    <row r="106" spans="2:3" ht="12.75">
      <c r="B106" s="8"/>
      <c r="C106" s="8"/>
    </row>
    <row r="107" spans="2:3" ht="12.75">
      <c r="B107" s="8"/>
      <c r="C107" s="8"/>
    </row>
    <row r="108" spans="2:3" ht="12.75">
      <c r="B108" s="8"/>
      <c r="C108" s="8"/>
    </row>
    <row r="109" spans="2:3" ht="12.75">
      <c r="B109" s="8"/>
      <c r="C109" s="8"/>
    </row>
    <row r="110" spans="2:3" ht="12.75">
      <c r="B110" s="8"/>
      <c r="C110" s="8"/>
    </row>
    <row r="111" spans="2:3" ht="12.75">
      <c r="B111" s="8"/>
      <c r="C111" s="8"/>
    </row>
    <row r="112" spans="2:3" ht="12.75">
      <c r="B112" s="8"/>
      <c r="C112" s="8"/>
    </row>
    <row r="113" spans="2:3" ht="12.75">
      <c r="B113" s="8"/>
      <c r="C113" s="8"/>
    </row>
    <row r="114" spans="2:3" ht="12.75">
      <c r="B114" s="8"/>
      <c r="C114" s="8"/>
    </row>
    <row r="115" spans="2:3" ht="12.75">
      <c r="B115" s="8"/>
      <c r="C115" s="8"/>
    </row>
    <row r="116" spans="2:3" ht="12.75">
      <c r="B116" s="8"/>
      <c r="C116" s="8"/>
    </row>
    <row r="117" spans="2:3" ht="12.75">
      <c r="B117" s="8"/>
      <c r="C117" s="8"/>
    </row>
    <row r="118" spans="2:3" ht="12.75">
      <c r="B118" s="8"/>
      <c r="C118" s="8"/>
    </row>
    <row r="119" spans="2:3" ht="12.75">
      <c r="B119" s="8"/>
      <c r="C119" s="8"/>
    </row>
    <row r="120" spans="2:3" ht="12.75">
      <c r="B120" s="8"/>
      <c r="C120" s="8"/>
    </row>
    <row r="121" spans="2:3" ht="12.75">
      <c r="B121" s="8"/>
      <c r="C121" s="8"/>
    </row>
    <row r="122" spans="2:3" ht="12.75">
      <c r="B122" s="8"/>
      <c r="C122" s="8"/>
    </row>
    <row r="124" spans="2:3" ht="12.75">
      <c r="B124" s="8"/>
      <c r="C124" s="8"/>
    </row>
    <row r="125" spans="2:3" ht="12.75">
      <c r="B125" s="8"/>
      <c r="C125" s="8"/>
    </row>
    <row r="126" spans="2:3" ht="12.75">
      <c r="B126" s="8"/>
      <c r="C126" s="8"/>
    </row>
    <row r="127" spans="2:3" ht="12.75">
      <c r="B127" s="8"/>
      <c r="C127" s="8"/>
    </row>
    <row r="128" spans="2:3" ht="12.75">
      <c r="B128" s="8"/>
      <c r="C128" s="8"/>
    </row>
    <row r="131" spans="2:3" ht="12.75">
      <c r="B131" s="12"/>
      <c r="C131" s="12"/>
    </row>
    <row r="132" spans="2:5" ht="12.75">
      <c r="B132" s="8"/>
      <c r="C132" s="8"/>
      <c r="D132" s="2"/>
      <c r="E132" s="2"/>
    </row>
    <row r="133" spans="2:3" ht="12.75">
      <c r="B133" s="8"/>
      <c r="C133" s="8"/>
    </row>
    <row r="134" spans="2:3" ht="12.75">
      <c r="B134" s="8"/>
      <c r="C134" s="8"/>
    </row>
    <row r="135" spans="2:3" ht="12.75">
      <c r="B135" s="8"/>
      <c r="C135" s="8"/>
    </row>
    <row r="136" spans="2:3" ht="12.75">
      <c r="B136" s="8"/>
      <c r="C136" s="8"/>
    </row>
    <row r="137" spans="2:3" ht="12.75">
      <c r="B137" s="8"/>
      <c r="C137" s="8"/>
    </row>
    <row r="138" spans="2:3" ht="12.75">
      <c r="B138" s="8"/>
      <c r="C138" s="8"/>
    </row>
    <row r="139" spans="2:3" ht="12.75">
      <c r="B139" s="8"/>
      <c r="C139" s="8"/>
    </row>
    <row r="140" spans="2:3" ht="12.75">
      <c r="B140" s="8"/>
      <c r="C140" s="8"/>
    </row>
    <row r="141" spans="2:3" ht="12.75">
      <c r="B141" s="8"/>
      <c r="C141" s="8"/>
    </row>
    <row r="142" spans="2:3" ht="12.75">
      <c r="B142" s="8"/>
      <c r="C142" s="8"/>
    </row>
    <row r="143" spans="2:3" ht="12.75">
      <c r="B143" s="8"/>
      <c r="C143" s="8"/>
    </row>
    <row r="144" spans="2:3" ht="12.75">
      <c r="B144" s="8"/>
      <c r="C144" s="8"/>
    </row>
    <row r="145" spans="2:3" ht="12.75">
      <c r="B145" s="8"/>
      <c r="C145" s="8"/>
    </row>
    <row r="146" spans="2:3" ht="12.75">
      <c r="B146" s="8"/>
      <c r="C146" s="8"/>
    </row>
    <row r="147" spans="2:3" ht="12.75">
      <c r="B147" s="8"/>
      <c r="C147" s="8"/>
    </row>
    <row r="148" spans="2:3" ht="12.75">
      <c r="B148" s="8"/>
      <c r="C148" s="8"/>
    </row>
    <row r="149" spans="2:3" ht="12.75">
      <c r="B149" s="8"/>
      <c r="C149" s="8"/>
    </row>
    <row r="150" spans="2:3" ht="12.75">
      <c r="B150" s="8"/>
      <c r="C150" s="8"/>
    </row>
    <row r="151" spans="2:3" ht="12.75">
      <c r="B151" s="8"/>
      <c r="C151" s="8"/>
    </row>
    <row r="153" spans="2:3" ht="12.75">
      <c r="B153" s="8"/>
      <c r="C153" s="8"/>
    </row>
    <row r="154" spans="2:3" ht="12.75">
      <c r="B154" s="8"/>
      <c r="C154" s="8"/>
    </row>
    <row r="155" spans="2:3" ht="12.75">
      <c r="B155" s="8"/>
      <c r="C155" s="8"/>
    </row>
    <row r="156" spans="2:3" ht="12.75">
      <c r="B156" s="8"/>
      <c r="C156" s="8"/>
    </row>
    <row r="157" spans="2:3" ht="12.75">
      <c r="B157" s="8"/>
      <c r="C157" s="8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J180"/>
  <sheetViews>
    <sheetView zoomScale="75" zoomScaleNormal="75" workbookViewId="0" topLeftCell="B142">
      <selection activeCell="C1" sqref="C1"/>
    </sheetView>
  </sheetViews>
  <sheetFormatPr defaultColWidth="9.140625" defaultRowHeight="12.75"/>
  <cols>
    <col min="1" max="1" width="15.421875" style="19" hidden="1" customWidth="1"/>
    <col min="2" max="2" width="19.00390625" style="17" customWidth="1"/>
    <col min="3" max="3" width="2.00390625" style="17" customWidth="1"/>
    <col min="4" max="4" width="8.57421875" style="17" customWidth="1"/>
    <col min="5" max="5" width="4.7109375" style="4" customWidth="1"/>
    <col min="6" max="6" width="11.28125" style="18" customWidth="1"/>
    <col min="7" max="7" width="4.421875" style="19" customWidth="1"/>
    <col min="8" max="8" width="12.00390625" style="19" customWidth="1"/>
    <col min="9" max="9" width="4.28125" style="19" customWidth="1"/>
    <col min="10" max="10" width="11.7109375" style="19" customWidth="1"/>
    <col min="11" max="11" width="4.28125" style="19" customWidth="1"/>
    <col min="12" max="12" width="8.8515625" style="19" customWidth="1"/>
    <col min="13" max="13" width="4.28125" style="19" customWidth="1"/>
    <col min="14" max="14" width="8.421875" style="19" customWidth="1"/>
    <col min="15" max="15" width="4.7109375" style="19" customWidth="1"/>
    <col min="16" max="16" width="8.8515625" style="19" customWidth="1"/>
    <col min="17" max="17" width="4.28125" style="19" customWidth="1"/>
    <col min="18" max="18" width="8.8515625" style="19" customWidth="1"/>
    <col min="19" max="19" width="5.00390625" style="19" customWidth="1"/>
    <col min="20" max="20" width="8.8515625" style="19" customWidth="1"/>
    <col min="21" max="21" width="4.57421875" style="19" customWidth="1"/>
    <col min="22" max="22" width="8.8515625" style="19" customWidth="1"/>
    <col min="23" max="23" width="5.00390625" style="19" customWidth="1"/>
    <col min="24" max="24" width="8.8515625" style="19" customWidth="1"/>
    <col min="25" max="25" width="3.7109375" style="19" customWidth="1"/>
    <col min="26" max="26" width="8.8515625" style="19" customWidth="1"/>
    <col min="27" max="27" width="4.421875" style="19" customWidth="1"/>
    <col min="28" max="28" width="8.8515625" style="19" customWidth="1"/>
    <col min="29" max="29" width="4.421875" style="19" customWidth="1"/>
    <col min="30" max="30" width="8.8515625" style="19" customWidth="1"/>
    <col min="31" max="31" width="4.421875" style="19" customWidth="1"/>
    <col min="32" max="32" width="11.28125" style="19" customWidth="1"/>
    <col min="33" max="33" width="3.7109375" style="19" customWidth="1"/>
    <col min="34" max="34" width="11.7109375" style="19" customWidth="1"/>
    <col min="35" max="35" width="3.7109375" style="19" customWidth="1"/>
    <col min="36" max="16384" width="8.8515625" style="19" customWidth="1"/>
  </cols>
  <sheetData>
    <row r="1" spans="2:3" ht="12.75">
      <c r="B1" s="16" t="s">
        <v>62</v>
      </c>
      <c r="C1" s="16"/>
    </row>
    <row r="3" spans="1:20" ht="12.75">
      <c r="A3" s="19" t="s">
        <v>107</v>
      </c>
      <c r="B3" s="16" t="s">
        <v>58</v>
      </c>
      <c r="C3" s="16"/>
      <c r="F3" s="18" t="s">
        <v>115</v>
      </c>
      <c r="G3" s="18"/>
      <c r="H3" s="18" t="s">
        <v>116</v>
      </c>
      <c r="I3" s="18"/>
      <c r="J3" s="18" t="s">
        <v>117</v>
      </c>
      <c r="L3" s="18" t="s">
        <v>28</v>
      </c>
      <c r="M3" s="18"/>
      <c r="N3" s="18" t="s">
        <v>115</v>
      </c>
      <c r="O3" s="18"/>
      <c r="P3" s="18" t="s">
        <v>116</v>
      </c>
      <c r="Q3" s="18"/>
      <c r="R3" s="18" t="s">
        <v>117</v>
      </c>
      <c r="T3" s="18" t="s">
        <v>28</v>
      </c>
    </row>
    <row r="4" spans="2:13" ht="12.75">
      <c r="B4" s="16"/>
      <c r="C4" s="16"/>
      <c r="G4" s="18"/>
      <c r="H4" s="18"/>
      <c r="I4" s="18"/>
      <c r="J4" s="18"/>
      <c r="L4" s="18"/>
      <c r="M4" s="18"/>
    </row>
    <row r="5" spans="2:20" ht="12.75">
      <c r="B5" s="17" t="s">
        <v>118</v>
      </c>
      <c r="C5" s="16"/>
      <c r="F5" s="18" t="s">
        <v>134</v>
      </c>
      <c r="G5" s="18"/>
      <c r="H5" s="18" t="s">
        <v>134</v>
      </c>
      <c r="I5" s="18"/>
      <c r="J5" s="18" t="s">
        <v>134</v>
      </c>
      <c r="L5" s="18" t="s">
        <v>134</v>
      </c>
      <c r="M5" s="18"/>
      <c r="N5" s="19" t="s">
        <v>136</v>
      </c>
      <c r="P5" s="19" t="s">
        <v>136</v>
      </c>
      <c r="R5" s="19" t="s">
        <v>136</v>
      </c>
      <c r="T5" s="19" t="s">
        <v>136</v>
      </c>
    </row>
    <row r="6" spans="2:20" ht="12.75">
      <c r="B6" s="17" t="s">
        <v>119</v>
      </c>
      <c r="F6" s="18" t="s">
        <v>120</v>
      </c>
      <c r="H6" s="18" t="s">
        <v>120</v>
      </c>
      <c r="J6" s="18" t="s">
        <v>120</v>
      </c>
      <c r="L6" s="18" t="s">
        <v>120</v>
      </c>
      <c r="M6" s="18"/>
      <c r="N6" s="19" t="s">
        <v>135</v>
      </c>
      <c r="P6" s="19" t="s">
        <v>135</v>
      </c>
      <c r="R6" s="19" t="s">
        <v>135</v>
      </c>
      <c r="T6" s="19" t="s">
        <v>135</v>
      </c>
    </row>
    <row r="7" spans="2:20" ht="12.75">
      <c r="B7" s="17" t="s">
        <v>137</v>
      </c>
      <c r="F7" s="18" t="s">
        <v>47</v>
      </c>
      <c r="H7" s="18" t="s">
        <v>47</v>
      </c>
      <c r="J7" s="18" t="s">
        <v>47</v>
      </c>
      <c r="L7" s="18" t="s">
        <v>47</v>
      </c>
      <c r="M7" s="18"/>
      <c r="N7" s="19" t="s">
        <v>135</v>
      </c>
      <c r="P7" s="19" t="s">
        <v>135</v>
      </c>
      <c r="R7" s="19" t="s">
        <v>135</v>
      </c>
      <c r="T7" s="19" t="s">
        <v>135</v>
      </c>
    </row>
    <row r="8" spans="2:20" ht="12.75">
      <c r="B8" s="17" t="s">
        <v>106</v>
      </c>
      <c r="F8" s="19" t="s">
        <v>73</v>
      </c>
      <c r="H8" s="19" t="s">
        <v>73</v>
      </c>
      <c r="J8" s="19" t="s">
        <v>73</v>
      </c>
      <c r="K8" s="18"/>
      <c r="L8" s="19" t="s">
        <v>73</v>
      </c>
      <c r="N8" s="19" t="s">
        <v>135</v>
      </c>
      <c r="P8" s="19" t="s">
        <v>135</v>
      </c>
      <c r="R8" s="19" t="s">
        <v>135</v>
      </c>
      <c r="T8" s="19" t="s">
        <v>135</v>
      </c>
    </row>
    <row r="9" spans="2:10" ht="12.75">
      <c r="B9" s="17" t="s">
        <v>110</v>
      </c>
      <c r="D9" s="17" t="s">
        <v>74</v>
      </c>
      <c r="F9" s="19">
        <v>2518</v>
      </c>
      <c r="H9" s="19">
        <v>2472</v>
      </c>
      <c r="J9" s="19">
        <v>2418</v>
      </c>
    </row>
    <row r="10" spans="2:10" ht="12.75">
      <c r="B10" s="17" t="s">
        <v>40</v>
      </c>
      <c r="D10" s="17" t="s">
        <v>30</v>
      </c>
      <c r="F10" s="23">
        <v>17000</v>
      </c>
      <c r="G10" s="23"/>
      <c r="H10" s="23">
        <v>18000</v>
      </c>
      <c r="I10" s="23"/>
      <c r="J10" s="23">
        <v>15700</v>
      </c>
    </row>
    <row r="11" spans="2:13" ht="12.75">
      <c r="B11" s="17" t="s">
        <v>32</v>
      </c>
      <c r="D11" s="17" t="s">
        <v>29</v>
      </c>
      <c r="E11" s="4" t="s">
        <v>31</v>
      </c>
      <c r="F11" s="25">
        <f>571.122</f>
        <v>571.122</v>
      </c>
      <c r="G11" s="32" t="s">
        <v>31</v>
      </c>
      <c r="H11" s="23">
        <f>560.84</f>
        <v>560.84</v>
      </c>
      <c r="I11" s="32" t="s">
        <v>31</v>
      </c>
      <c r="J11" s="25">
        <f>548.52</f>
        <v>548.52</v>
      </c>
      <c r="L11" s="23"/>
      <c r="M11" s="23"/>
    </row>
    <row r="12" spans="2:13" ht="12.75">
      <c r="B12" s="17" t="s">
        <v>33</v>
      </c>
      <c r="D12" s="17" t="s">
        <v>29</v>
      </c>
      <c r="F12" s="25">
        <v>121.078</v>
      </c>
      <c r="G12" s="32"/>
      <c r="H12" s="23">
        <v>162.643</v>
      </c>
      <c r="I12" s="32"/>
      <c r="J12" s="25">
        <v>140.241</v>
      </c>
      <c r="L12" s="23"/>
      <c r="M12" s="23"/>
    </row>
    <row r="13" spans="2:13" ht="12.75">
      <c r="B13" s="17" t="s">
        <v>101</v>
      </c>
      <c r="D13" s="17" t="s">
        <v>29</v>
      </c>
      <c r="E13" s="4" t="s">
        <v>31</v>
      </c>
      <c r="F13" s="29">
        <f>2.284</f>
        <v>2.284</v>
      </c>
      <c r="G13" s="30" t="s">
        <v>31</v>
      </c>
      <c r="H13" s="24">
        <f>2.243</f>
        <v>2.243</v>
      </c>
      <c r="I13" s="30" t="s">
        <v>31</v>
      </c>
      <c r="J13" s="29">
        <f>2.194</f>
        <v>2.194</v>
      </c>
      <c r="L13" s="24"/>
      <c r="M13" s="24"/>
    </row>
    <row r="14" spans="2:10" ht="12.75">
      <c r="B14" s="17" t="s">
        <v>97</v>
      </c>
      <c r="D14" s="17" t="s">
        <v>29</v>
      </c>
      <c r="F14" s="18">
        <v>0.114</v>
      </c>
      <c r="G14" s="4"/>
      <c r="H14" s="19">
        <v>2.356</v>
      </c>
      <c r="I14" s="4" t="s">
        <v>31</v>
      </c>
      <c r="J14" s="18">
        <f>0.088</f>
        <v>0.088</v>
      </c>
    </row>
    <row r="15" spans="2:10" ht="12.75">
      <c r="B15" s="17" t="s">
        <v>98</v>
      </c>
      <c r="D15" s="17" t="s">
        <v>29</v>
      </c>
      <c r="E15" s="4" t="s">
        <v>31</v>
      </c>
      <c r="F15" s="33">
        <f>0.057</f>
        <v>0.057</v>
      </c>
      <c r="G15" s="34"/>
      <c r="H15" s="21">
        <v>0.079</v>
      </c>
      <c r="I15" s="34" t="s">
        <v>31</v>
      </c>
      <c r="J15" s="33">
        <f>0.055</f>
        <v>0.055</v>
      </c>
    </row>
    <row r="16" spans="2:13" ht="12.75">
      <c r="B16" s="17" t="s">
        <v>99</v>
      </c>
      <c r="D16" s="17" t="s">
        <v>29</v>
      </c>
      <c r="E16" s="4" t="s">
        <v>31</v>
      </c>
      <c r="F16" s="33">
        <f>0.011</f>
        <v>0.011</v>
      </c>
      <c r="G16" s="34" t="s">
        <v>31</v>
      </c>
      <c r="H16" s="21">
        <f>0.011</f>
        <v>0.011</v>
      </c>
      <c r="I16" s="34" t="s">
        <v>31</v>
      </c>
      <c r="J16" s="33">
        <f>0.011</f>
        <v>0.011</v>
      </c>
      <c r="L16" s="21"/>
      <c r="M16" s="21"/>
    </row>
    <row r="17" spans="2:10" ht="12.75">
      <c r="B17" s="17" t="s">
        <v>103</v>
      </c>
      <c r="D17" s="17" t="s">
        <v>29</v>
      </c>
      <c r="E17" s="4" t="s">
        <v>31</v>
      </c>
      <c r="F17" s="33">
        <f>0.011</f>
        <v>0.011</v>
      </c>
      <c r="G17" s="34"/>
      <c r="H17" s="21">
        <v>0.022</v>
      </c>
      <c r="I17" s="34" t="s">
        <v>31</v>
      </c>
      <c r="J17" s="33">
        <f>0.011</f>
        <v>0.011</v>
      </c>
    </row>
    <row r="18" spans="2:13" ht="12.75">
      <c r="B18" s="17" t="s">
        <v>105</v>
      </c>
      <c r="D18" s="17" t="s">
        <v>29</v>
      </c>
      <c r="F18" s="33">
        <v>0.126</v>
      </c>
      <c r="G18" s="34"/>
      <c r="H18" s="21">
        <v>0.146</v>
      </c>
      <c r="I18" s="34"/>
      <c r="J18" s="33">
        <v>0.132</v>
      </c>
      <c r="L18" s="21"/>
      <c r="M18" s="21"/>
    </row>
    <row r="19" spans="2:13" ht="12.75">
      <c r="B19" s="17" t="s">
        <v>102</v>
      </c>
      <c r="D19" s="17" t="s">
        <v>29</v>
      </c>
      <c r="E19" s="4" t="s">
        <v>31</v>
      </c>
      <c r="F19" s="33">
        <f>1.713</f>
        <v>1.713</v>
      </c>
      <c r="G19" s="34" t="s">
        <v>31</v>
      </c>
      <c r="H19" s="21">
        <f>1.683</f>
        <v>1.683</v>
      </c>
      <c r="I19" s="34" t="s">
        <v>31</v>
      </c>
      <c r="J19" s="33">
        <f>1.646</f>
        <v>1.646</v>
      </c>
      <c r="L19" s="21"/>
      <c r="M19" s="21"/>
    </row>
    <row r="20" spans="2:13" ht="12.75">
      <c r="B20" s="17" t="s">
        <v>109</v>
      </c>
      <c r="D20" s="17" t="s">
        <v>29</v>
      </c>
      <c r="F20" s="33">
        <v>0.023</v>
      </c>
      <c r="G20" s="34"/>
      <c r="H20" s="21">
        <v>5.16</v>
      </c>
      <c r="I20" s="34" t="s">
        <v>31</v>
      </c>
      <c r="J20" s="33">
        <f>0.022</f>
        <v>0.022</v>
      </c>
      <c r="L20" s="21"/>
      <c r="M20" s="21"/>
    </row>
    <row r="21" spans="2:10" ht="12.75">
      <c r="B21" s="17" t="s">
        <v>104</v>
      </c>
      <c r="D21" s="17" t="s">
        <v>29</v>
      </c>
      <c r="E21" s="4" t="s">
        <v>31</v>
      </c>
      <c r="F21" s="33">
        <f>0.263</f>
        <v>0.263</v>
      </c>
      <c r="G21" s="34" t="s">
        <v>31</v>
      </c>
      <c r="H21" s="21">
        <f>0.247</f>
        <v>0.247</v>
      </c>
      <c r="I21" s="34" t="s">
        <v>31</v>
      </c>
      <c r="J21" s="33">
        <f>0.252</f>
        <v>0.252</v>
      </c>
    </row>
    <row r="22" spans="2:14" ht="12.75">
      <c r="B22" s="17" t="s">
        <v>100</v>
      </c>
      <c r="D22" s="17" t="s">
        <v>29</v>
      </c>
      <c r="E22" s="4" t="s">
        <v>31</v>
      </c>
      <c r="F22" s="29">
        <f>10.166</f>
        <v>10.166</v>
      </c>
      <c r="G22" s="30" t="s">
        <v>31</v>
      </c>
      <c r="H22" s="24">
        <f>9.871</f>
        <v>9.871</v>
      </c>
      <c r="I22" s="30" t="s">
        <v>31</v>
      </c>
      <c r="J22" s="29">
        <f>9.764</f>
        <v>9.764</v>
      </c>
      <c r="K22" s="24"/>
      <c r="L22" s="24"/>
      <c r="M22" s="24"/>
      <c r="N22" s="24"/>
    </row>
    <row r="23" spans="7:10" ht="12.75">
      <c r="G23" s="4"/>
      <c r="I23" s="4"/>
      <c r="J23" s="18"/>
    </row>
    <row r="24" spans="2:13" ht="12.75">
      <c r="B24" s="17" t="s">
        <v>41</v>
      </c>
      <c r="D24" s="17" t="s">
        <v>25</v>
      </c>
      <c r="F24" s="18">
        <f>emiss!G16</f>
        <v>14414</v>
      </c>
      <c r="G24" s="4"/>
      <c r="H24" s="18">
        <f>emiss!I16</f>
        <v>14739</v>
      </c>
      <c r="I24" s="4"/>
      <c r="J24" s="18">
        <f>emiss!K16</f>
        <v>14489</v>
      </c>
      <c r="L24" s="25">
        <f>emiss!M16</f>
        <v>14547.333333333334</v>
      </c>
      <c r="M24" s="25"/>
    </row>
    <row r="25" spans="2:13" ht="12.75">
      <c r="B25" s="17" t="s">
        <v>42</v>
      </c>
      <c r="D25" s="17" t="s">
        <v>26</v>
      </c>
      <c r="F25" s="18">
        <f>emiss!G17</f>
        <v>3.2</v>
      </c>
      <c r="G25" s="4"/>
      <c r="H25" s="18">
        <f>emiss!I17</f>
        <v>3.2</v>
      </c>
      <c r="I25" s="4"/>
      <c r="J25" s="18">
        <f>emiss!K17</f>
        <v>3.4</v>
      </c>
      <c r="L25" s="22">
        <f>emiss!M17</f>
        <v>3.266666666666667</v>
      </c>
      <c r="M25" s="29"/>
    </row>
    <row r="26" spans="7:13" ht="12.75">
      <c r="G26" s="4"/>
      <c r="I26" s="4"/>
      <c r="J26" s="18"/>
      <c r="L26" s="24"/>
      <c r="M26" s="24"/>
    </row>
    <row r="27" spans="2:20" ht="12.75">
      <c r="B27" s="17" t="s">
        <v>108</v>
      </c>
      <c r="D27" s="17" t="s">
        <v>39</v>
      </c>
      <c r="F27" s="22">
        <f>F9*F10/1000000</f>
        <v>42.806</v>
      </c>
      <c r="G27" s="4"/>
      <c r="H27" s="22">
        <f>H9*H10/1000000</f>
        <v>44.496</v>
      </c>
      <c r="I27" s="4"/>
      <c r="J27" s="22">
        <f>J9*J10/1000000</f>
        <v>37.9626</v>
      </c>
      <c r="L27" s="20">
        <f>AVERAGE(J27,H27,F27)</f>
        <v>41.754866666666665</v>
      </c>
      <c r="M27" s="20"/>
      <c r="N27" s="19">
        <v>42.806</v>
      </c>
      <c r="P27" s="20">
        <v>44.496</v>
      </c>
      <c r="Q27" s="20"/>
      <c r="R27" s="20">
        <v>37.9626</v>
      </c>
      <c r="S27" s="20"/>
      <c r="T27" s="20">
        <v>41.754866666666665</v>
      </c>
    </row>
    <row r="28" spans="2:13" ht="12.75">
      <c r="B28" s="17" t="s">
        <v>43</v>
      </c>
      <c r="D28" s="17" t="s">
        <v>39</v>
      </c>
      <c r="F28" s="19"/>
      <c r="G28" s="4"/>
      <c r="I28" s="4"/>
      <c r="J28" s="18"/>
      <c r="L28" s="22">
        <f>L24/9000*(21-L25)/21*60</f>
        <v>81.89609876543211</v>
      </c>
      <c r="M28" s="22"/>
    </row>
    <row r="29" spans="6:13" ht="12.75">
      <c r="F29" s="19"/>
      <c r="G29" s="4"/>
      <c r="I29" s="4"/>
      <c r="J29" s="18"/>
      <c r="L29" s="22"/>
      <c r="M29" s="22"/>
    </row>
    <row r="30" spans="2:13" ht="12.75">
      <c r="B30" s="38" t="s">
        <v>82</v>
      </c>
      <c r="C30" s="38"/>
      <c r="F30" s="19"/>
      <c r="G30" s="4"/>
      <c r="I30" s="4"/>
      <c r="J30" s="18"/>
      <c r="L30" s="22"/>
      <c r="M30" s="22"/>
    </row>
    <row r="31" spans="2:20" ht="12.75">
      <c r="B31" s="17" t="s">
        <v>32</v>
      </c>
      <c r="D31" s="17" t="s">
        <v>44</v>
      </c>
      <c r="E31" s="4">
        <v>100</v>
      </c>
      <c r="F31" s="22">
        <f>F11/F24/60/0.0283*1000*(21-7)/(21-F25)</f>
        <v>18.353323495188693</v>
      </c>
      <c r="G31" s="4">
        <v>100</v>
      </c>
      <c r="H31" s="22">
        <f>H11/H24/60/0.0283*1000*(21-7)/(21-H25)</f>
        <v>17.62549445389233</v>
      </c>
      <c r="I31" s="4">
        <v>100</v>
      </c>
      <c r="J31" s="22">
        <f>J11/J24/60/0.0283*1000*(21-7)/(21-J25)</f>
        <v>17.73502221752594</v>
      </c>
      <c r="K31" s="19">
        <v>100</v>
      </c>
      <c r="L31" s="20">
        <f>AVERAGE(J31,H31,F31)</f>
        <v>17.904613388868984</v>
      </c>
      <c r="M31" s="4">
        <v>100</v>
      </c>
      <c r="N31" s="20">
        <f>F31</f>
        <v>18.353323495188693</v>
      </c>
      <c r="O31" s="4">
        <v>100</v>
      </c>
      <c r="P31" s="20">
        <f>H31</f>
        <v>17.62549445389233</v>
      </c>
      <c r="Q31" s="4">
        <v>100</v>
      </c>
      <c r="R31" s="20">
        <f>J31</f>
        <v>17.73502221752594</v>
      </c>
      <c r="S31" s="19">
        <v>100</v>
      </c>
      <c r="T31" s="23">
        <f aca="true" t="shared" si="0" ref="T31:T42">L31</f>
        <v>17.904613388868984</v>
      </c>
    </row>
    <row r="32" spans="2:20" ht="12.75">
      <c r="B32" s="17" t="s">
        <v>33</v>
      </c>
      <c r="D32" s="17" t="s">
        <v>45</v>
      </c>
      <c r="F32" s="25">
        <f aca="true" t="shared" si="1" ref="F32:H42">F12/F$24/60/0.0283*1000000*(21-7)/(21-F$25)</f>
        <v>3890.908951415734</v>
      </c>
      <c r="G32" s="32"/>
      <c r="H32" s="25">
        <f t="shared" si="1"/>
        <v>5111.374535454694</v>
      </c>
      <c r="I32" s="32"/>
      <c r="J32" s="25">
        <f aca="true" t="shared" si="2" ref="J32:J42">J12/J$24/60/0.0283*1000000*(21-7)/(21-J$25)</f>
        <v>4534.3419580107475</v>
      </c>
      <c r="K32" s="23"/>
      <c r="L32" s="20">
        <f aca="true" t="shared" si="3" ref="L32:L42">AVERAGE(J32,H32,F32)</f>
        <v>4512.208481627058</v>
      </c>
      <c r="M32" s="4"/>
      <c r="N32" s="20">
        <f aca="true" t="shared" si="4" ref="N32:R42">F32</f>
        <v>3890.908951415734</v>
      </c>
      <c r="O32" s="32"/>
      <c r="P32" s="20">
        <f t="shared" si="4"/>
        <v>5111.374535454694</v>
      </c>
      <c r="Q32" s="32"/>
      <c r="R32" s="20">
        <f t="shared" si="4"/>
        <v>4534.3419580107475</v>
      </c>
      <c r="S32" s="23"/>
      <c r="T32" s="23">
        <f t="shared" si="0"/>
        <v>4512.208481627058</v>
      </c>
    </row>
    <row r="33" spans="2:20" ht="12.75">
      <c r="B33" s="17" t="s">
        <v>101</v>
      </c>
      <c r="D33" s="17" t="s">
        <v>45</v>
      </c>
      <c r="E33" s="4">
        <v>100</v>
      </c>
      <c r="F33" s="22">
        <f t="shared" si="1"/>
        <v>73.39761182901546</v>
      </c>
      <c r="G33" s="4">
        <v>100</v>
      </c>
      <c r="H33" s="22">
        <f t="shared" si="1"/>
        <v>70.49066411111991</v>
      </c>
      <c r="I33" s="4">
        <v>100</v>
      </c>
      <c r="J33" s="22">
        <f t="shared" si="2"/>
        <v>70.93750227020331</v>
      </c>
      <c r="K33" s="19">
        <v>100</v>
      </c>
      <c r="L33" s="20">
        <f t="shared" si="3"/>
        <v>71.60859273677956</v>
      </c>
      <c r="M33" s="4">
        <v>100</v>
      </c>
      <c r="N33" s="20">
        <f t="shared" si="4"/>
        <v>73.39761182901546</v>
      </c>
      <c r="O33" s="4">
        <v>100</v>
      </c>
      <c r="P33" s="20">
        <f t="shared" si="4"/>
        <v>70.49066411111991</v>
      </c>
      <c r="Q33" s="4">
        <v>100</v>
      </c>
      <c r="R33" s="20">
        <f t="shared" si="4"/>
        <v>70.93750227020331</v>
      </c>
      <c r="S33" s="19">
        <v>100</v>
      </c>
      <c r="T33" s="23">
        <f t="shared" si="0"/>
        <v>71.60859273677956</v>
      </c>
    </row>
    <row r="34" spans="2:20" ht="12.75">
      <c r="B34" s="17" t="s">
        <v>97</v>
      </c>
      <c r="D34" s="17" t="s">
        <v>45</v>
      </c>
      <c r="F34" s="22">
        <f t="shared" si="1"/>
        <v>3.6634534800822087</v>
      </c>
      <c r="G34" s="4"/>
      <c r="H34" s="22">
        <f t="shared" si="1"/>
        <v>74.04191022995921</v>
      </c>
      <c r="I34" s="4">
        <v>100</v>
      </c>
      <c r="J34" s="22">
        <f t="shared" si="2"/>
        <v>2.845259890509521</v>
      </c>
      <c r="K34" s="19">
        <f>J34/SUM(F34,H34,J34)*100</f>
        <v>3.5322630208539567</v>
      </c>
      <c r="L34" s="20">
        <f t="shared" si="3"/>
        <v>26.850207866850315</v>
      </c>
      <c r="M34" s="4"/>
      <c r="N34" s="20">
        <f t="shared" si="4"/>
        <v>3.6634534800822087</v>
      </c>
      <c r="O34" s="4"/>
      <c r="P34" s="20">
        <f t="shared" si="4"/>
        <v>74.04191022995921</v>
      </c>
      <c r="Q34" s="4">
        <v>100</v>
      </c>
      <c r="R34" s="20">
        <f t="shared" si="4"/>
        <v>2.845259890509521</v>
      </c>
      <c r="S34" s="19">
        <f>R34/SUM(N34,P34,R34)*100</f>
        <v>3.5322630208539567</v>
      </c>
      <c r="T34" s="23">
        <f t="shared" si="0"/>
        <v>26.850207866850315</v>
      </c>
    </row>
    <row r="35" spans="2:20" ht="12.75">
      <c r="B35" s="17" t="s">
        <v>98</v>
      </c>
      <c r="D35" s="17" t="s">
        <v>45</v>
      </c>
      <c r="E35" s="4">
        <v>100</v>
      </c>
      <c r="F35" s="22">
        <f t="shared" si="1"/>
        <v>1.8317267400411044</v>
      </c>
      <c r="G35" s="4"/>
      <c r="H35" s="22">
        <f t="shared" si="1"/>
        <v>2.4827295875071216</v>
      </c>
      <c r="I35" s="4">
        <v>100</v>
      </c>
      <c r="J35" s="22">
        <f t="shared" si="2"/>
        <v>1.778287431568451</v>
      </c>
      <c r="K35" s="19">
        <f>SUM(J35,F35)/SUM(F35,H35,J35)*100</f>
        <v>59.25104213036745</v>
      </c>
      <c r="L35" s="20">
        <f t="shared" si="3"/>
        <v>2.0309145863722255</v>
      </c>
      <c r="M35" s="4">
        <v>100</v>
      </c>
      <c r="N35" s="20">
        <f t="shared" si="4"/>
        <v>1.8317267400411044</v>
      </c>
      <c r="O35" s="4"/>
      <c r="P35" s="20">
        <f t="shared" si="4"/>
        <v>2.4827295875071216</v>
      </c>
      <c r="Q35" s="4">
        <v>100</v>
      </c>
      <c r="R35" s="20">
        <f t="shared" si="4"/>
        <v>1.778287431568451</v>
      </c>
      <c r="S35" s="19">
        <f>SUM(R35,N35)/SUM(N35,P35,R35)*100</f>
        <v>59.25104213036745</v>
      </c>
      <c r="T35" s="23">
        <f t="shared" si="0"/>
        <v>2.0309145863722255</v>
      </c>
    </row>
    <row r="36" spans="2:20" ht="12.75">
      <c r="B36" s="17" t="s">
        <v>99</v>
      </c>
      <c r="D36" s="17" t="s">
        <v>45</v>
      </c>
      <c r="E36" s="4">
        <v>100</v>
      </c>
      <c r="F36" s="22">
        <f t="shared" si="1"/>
        <v>0.3534911252710903</v>
      </c>
      <c r="G36" s="4">
        <v>100</v>
      </c>
      <c r="H36" s="22">
        <f t="shared" si="1"/>
        <v>0.34569652484276375</v>
      </c>
      <c r="I36" s="4">
        <v>100</v>
      </c>
      <c r="J36" s="22">
        <f t="shared" si="2"/>
        <v>0.35565748631369015</v>
      </c>
      <c r="K36" s="19">
        <v>100</v>
      </c>
      <c r="L36" s="20">
        <f t="shared" si="3"/>
        <v>0.35161504547584804</v>
      </c>
      <c r="M36" s="4">
        <v>100</v>
      </c>
      <c r="N36" s="20">
        <f t="shared" si="4"/>
        <v>0.3534911252710903</v>
      </c>
      <c r="O36" s="4">
        <v>100</v>
      </c>
      <c r="P36" s="20">
        <f t="shared" si="4"/>
        <v>0.34569652484276375</v>
      </c>
      <c r="Q36" s="4">
        <v>100</v>
      </c>
      <c r="R36" s="20">
        <f t="shared" si="4"/>
        <v>0.35565748631369015</v>
      </c>
      <c r="S36" s="19">
        <v>100</v>
      </c>
      <c r="T36" s="23">
        <f t="shared" si="0"/>
        <v>0.35161504547584804</v>
      </c>
    </row>
    <row r="37" spans="2:20" ht="12.75">
      <c r="B37" s="17" t="s">
        <v>103</v>
      </c>
      <c r="D37" s="17" t="s">
        <v>45</v>
      </c>
      <c r="E37" s="4">
        <v>100</v>
      </c>
      <c r="F37" s="22">
        <f t="shared" si="1"/>
        <v>0.3534911252710903</v>
      </c>
      <c r="G37" s="4"/>
      <c r="H37" s="22">
        <f t="shared" si="1"/>
        <v>0.6913930496855275</v>
      </c>
      <c r="I37" s="4">
        <v>100</v>
      </c>
      <c r="J37" s="22">
        <f t="shared" si="2"/>
        <v>0.35565748631369015</v>
      </c>
      <c r="K37" s="19">
        <f>SUM(J37,F37)/SUM(F37,H37,J37)*100</f>
        <v>50.63388196118167</v>
      </c>
      <c r="L37" s="20">
        <f t="shared" si="3"/>
        <v>0.46684722042343596</v>
      </c>
      <c r="M37" s="4">
        <v>100</v>
      </c>
      <c r="N37" s="20">
        <f t="shared" si="4"/>
        <v>0.3534911252710903</v>
      </c>
      <c r="O37" s="4"/>
      <c r="P37" s="20">
        <f t="shared" si="4"/>
        <v>0.6913930496855275</v>
      </c>
      <c r="Q37" s="4">
        <v>100</v>
      </c>
      <c r="R37" s="20">
        <f t="shared" si="4"/>
        <v>0.35565748631369015</v>
      </c>
      <c r="S37" s="19">
        <f>SUM(R37,N37)/SUM(N37,P37,R37)*100</f>
        <v>50.63388196118167</v>
      </c>
      <c r="T37" s="23">
        <f t="shared" si="0"/>
        <v>0.46684722042343596</v>
      </c>
    </row>
    <row r="38" spans="2:20" ht="12.75">
      <c r="B38" s="17" t="s">
        <v>105</v>
      </c>
      <c r="D38" s="17" t="s">
        <v>45</v>
      </c>
      <c r="F38" s="22">
        <f t="shared" si="1"/>
        <v>4.049080162196125</v>
      </c>
      <c r="G38" s="4"/>
      <c r="H38" s="22">
        <f t="shared" si="1"/>
        <v>4.588335693367592</v>
      </c>
      <c r="I38" s="4"/>
      <c r="J38" s="22">
        <f t="shared" si="2"/>
        <v>4.267889835764282</v>
      </c>
      <c r="L38" s="20">
        <f t="shared" si="3"/>
        <v>4.301768563775999</v>
      </c>
      <c r="M38" s="4"/>
      <c r="N38" s="20">
        <f t="shared" si="4"/>
        <v>4.049080162196125</v>
      </c>
      <c r="O38" s="4"/>
      <c r="P38" s="20">
        <f t="shared" si="4"/>
        <v>4.588335693367592</v>
      </c>
      <c r="Q38" s="4"/>
      <c r="R38" s="20">
        <f t="shared" si="4"/>
        <v>4.267889835764282</v>
      </c>
      <c r="T38" s="23">
        <f t="shared" si="0"/>
        <v>4.301768563775999</v>
      </c>
    </row>
    <row r="39" spans="2:20" ht="12.75">
      <c r="B39" s="17" t="s">
        <v>102</v>
      </c>
      <c r="D39" s="17" t="s">
        <v>45</v>
      </c>
      <c r="E39" s="4">
        <v>100</v>
      </c>
      <c r="F39" s="22">
        <f t="shared" si="1"/>
        <v>55.04820887176161</v>
      </c>
      <c r="G39" s="4">
        <v>100</v>
      </c>
      <c r="H39" s="22">
        <f t="shared" si="1"/>
        <v>52.89156830094285</v>
      </c>
      <c r="I39" s="4">
        <v>100</v>
      </c>
      <c r="J39" s="22">
        <f t="shared" si="2"/>
        <v>53.219292952030365</v>
      </c>
      <c r="K39" s="19">
        <v>100</v>
      </c>
      <c r="L39" s="20">
        <f t="shared" si="3"/>
        <v>53.719690041578275</v>
      </c>
      <c r="M39" s="4">
        <v>100</v>
      </c>
      <c r="N39" s="20">
        <f t="shared" si="4"/>
        <v>55.04820887176161</v>
      </c>
      <c r="O39" s="4">
        <v>100</v>
      </c>
      <c r="P39" s="20">
        <f t="shared" si="4"/>
        <v>52.89156830094285</v>
      </c>
      <c r="Q39" s="4">
        <v>100</v>
      </c>
      <c r="R39" s="20">
        <f t="shared" si="4"/>
        <v>53.219292952030365</v>
      </c>
      <c r="S39" s="19">
        <v>100</v>
      </c>
      <c r="T39" s="23">
        <f t="shared" si="0"/>
        <v>53.719690041578275</v>
      </c>
    </row>
    <row r="40" spans="2:20" ht="12.75">
      <c r="B40" s="17" t="s">
        <v>109</v>
      </c>
      <c r="D40" s="17" t="s">
        <v>45</v>
      </c>
      <c r="F40" s="22">
        <f t="shared" si="1"/>
        <v>0.7391178073850069</v>
      </c>
      <c r="G40" s="4"/>
      <c r="H40" s="22">
        <f t="shared" si="1"/>
        <v>162.1630971080601</v>
      </c>
      <c r="I40" s="4">
        <v>100</v>
      </c>
      <c r="J40" s="22">
        <f t="shared" si="2"/>
        <v>0.7113149726273803</v>
      </c>
      <c r="K40" s="19">
        <f>J40/SUM(F40,H40,J40)*100</f>
        <v>0.4347531485409481</v>
      </c>
      <c r="L40" s="20">
        <f t="shared" si="3"/>
        <v>54.537843296024164</v>
      </c>
      <c r="M40" s="4"/>
      <c r="N40" s="20">
        <f t="shared" si="4"/>
        <v>0.7391178073850069</v>
      </c>
      <c r="O40" s="4"/>
      <c r="P40" s="20">
        <f t="shared" si="4"/>
        <v>162.1630971080601</v>
      </c>
      <c r="Q40" s="4">
        <v>100</v>
      </c>
      <c r="R40" s="20">
        <f t="shared" si="4"/>
        <v>0.7113149726273803</v>
      </c>
      <c r="S40" s="19">
        <f>R40/SUM(N40,P40,R40)*100</f>
        <v>0.4347531485409481</v>
      </c>
      <c r="T40" s="23">
        <f t="shared" si="0"/>
        <v>54.537843296024164</v>
      </c>
    </row>
    <row r="41" spans="2:20" ht="12.75">
      <c r="B41" s="17" t="s">
        <v>104</v>
      </c>
      <c r="D41" s="17" t="s">
        <v>45</v>
      </c>
      <c r="E41" s="4">
        <v>100</v>
      </c>
      <c r="F41" s="22">
        <f t="shared" si="1"/>
        <v>8.451651449663341</v>
      </c>
      <c r="G41" s="4">
        <v>100</v>
      </c>
      <c r="H41" s="22">
        <f t="shared" si="1"/>
        <v>7.762458330560242</v>
      </c>
      <c r="I41" s="4">
        <v>100</v>
      </c>
      <c r="J41" s="22">
        <f t="shared" si="2"/>
        <v>8.147789686459085</v>
      </c>
      <c r="K41" s="19">
        <v>100</v>
      </c>
      <c r="L41" s="20">
        <f t="shared" si="3"/>
        <v>8.12063315556089</v>
      </c>
      <c r="M41" s="4">
        <v>100</v>
      </c>
      <c r="N41" s="20">
        <f t="shared" si="4"/>
        <v>8.451651449663341</v>
      </c>
      <c r="O41" s="4">
        <v>100</v>
      </c>
      <c r="P41" s="20">
        <f t="shared" si="4"/>
        <v>7.762458330560242</v>
      </c>
      <c r="Q41" s="4">
        <v>100</v>
      </c>
      <c r="R41" s="20">
        <f t="shared" si="4"/>
        <v>8.147789686459085</v>
      </c>
      <c r="S41" s="19">
        <v>100</v>
      </c>
      <c r="T41" s="23">
        <f t="shared" si="0"/>
        <v>8.12063315556089</v>
      </c>
    </row>
    <row r="42" spans="2:20" ht="12.75">
      <c r="B42" s="17" t="s">
        <v>100</v>
      </c>
      <c r="D42" s="17" t="s">
        <v>45</v>
      </c>
      <c r="E42" s="4">
        <v>100</v>
      </c>
      <c r="F42" s="22">
        <f t="shared" si="1"/>
        <v>326.6900708641731</v>
      </c>
      <c r="G42" s="4">
        <v>100</v>
      </c>
      <c r="H42" s="22">
        <f t="shared" si="1"/>
        <v>310.21549061117463</v>
      </c>
      <c r="I42" s="4">
        <v>100</v>
      </c>
      <c r="J42" s="22">
        <f t="shared" si="2"/>
        <v>315.69451785153376</v>
      </c>
      <c r="K42" s="19">
        <v>100</v>
      </c>
      <c r="L42" s="20">
        <f t="shared" si="3"/>
        <v>317.53335977562716</v>
      </c>
      <c r="M42" s="4">
        <v>100</v>
      </c>
      <c r="N42" s="20">
        <f t="shared" si="4"/>
        <v>326.6900708641731</v>
      </c>
      <c r="O42" s="4">
        <v>100</v>
      </c>
      <c r="P42" s="20">
        <f t="shared" si="4"/>
        <v>310.21549061117463</v>
      </c>
      <c r="Q42" s="4">
        <v>100</v>
      </c>
      <c r="R42" s="20">
        <f t="shared" si="4"/>
        <v>315.69451785153376</v>
      </c>
      <c r="S42" s="19">
        <v>100</v>
      </c>
      <c r="T42" s="23">
        <f t="shared" si="0"/>
        <v>317.53335977562716</v>
      </c>
    </row>
    <row r="43" spans="6:17" ht="12.75">
      <c r="F43" s="22"/>
      <c r="G43" s="4"/>
      <c r="I43" s="4"/>
      <c r="J43" s="22"/>
      <c r="M43" s="4"/>
      <c r="O43" s="4"/>
      <c r="Q43" s="4"/>
    </row>
    <row r="44" spans="2:20" ht="12.75">
      <c r="B44" s="17" t="s">
        <v>50</v>
      </c>
      <c r="D44" s="17" t="s">
        <v>45</v>
      </c>
      <c r="E44" s="4">
        <v>100</v>
      </c>
      <c r="F44" s="22">
        <f>F39+F37</f>
        <v>55.4016999970327</v>
      </c>
      <c r="G44" s="4">
        <f>H39/2/H44*100</f>
        <v>49.354838709677416</v>
      </c>
      <c r="H44" s="22">
        <f>H39+H37</f>
        <v>53.58296135062838</v>
      </c>
      <c r="I44" s="4">
        <v>100</v>
      </c>
      <c r="J44" s="22">
        <f>J39+J37</f>
        <v>53.574950438344054</v>
      </c>
      <c r="K44" s="19">
        <f>AVERAGE(F44,J44,(H44*G44/100))/L44*100</f>
        <v>83.30632258406193</v>
      </c>
      <c r="L44" s="20">
        <f>AVERAGE(F44,H44,J44)</f>
        <v>54.18653726200171</v>
      </c>
      <c r="M44" s="4">
        <v>100</v>
      </c>
      <c r="N44" s="23">
        <f aca="true" t="shared" si="5" ref="N44:T45">F44</f>
        <v>55.4016999970327</v>
      </c>
      <c r="O44" s="4">
        <f>P39/2/P44*100</f>
        <v>49.354838709677416</v>
      </c>
      <c r="P44" s="23">
        <f t="shared" si="5"/>
        <v>53.58296135062838</v>
      </c>
      <c r="Q44" s="4">
        <v>100</v>
      </c>
      <c r="R44" s="23">
        <f t="shared" si="5"/>
        <v>53.574950438344054</v>
      </c>
      <c r="S44" s="19">
        <f>AVERAGE(N44,R44,(P44*O44/100))/T44*100</f>
        <v>83.30632258406193</v>
      </c>
      <c r="T44" s="23">
        <f t="shared" si="5"/>
        <v>54.18653726200171</v>
      </c>
    </row>
    <row r="45" spans="2:20" ht="12.75">
      <c r="B45" s="17" t="s">
        <v>51</v>
      </c>
      <c r="D45" s="17" t="s">
        <v>45</v>
      </c>
      <c r="E45" s="4">
        <f>F36/F45*100</f>
        <v>4.382470119521913</v>
      </c>
      <c r="F45" s="22">
        <f>F34+F36+F38</f>
        <v>8.066024767549424</v>
      </c>
      <c r="G45" s="4">
        <f>H36/H45*100</f>
        <v>0.4377238360525269</v>
      </c>
      <c r="H45" s="22">
        <f>H34+H36+H38</f>
        <v>78.97594244816958</v>
      </c>
      <c r="I45" s="31">
        <f>SUM(J34,J36)/J45*100</f>
        <v>42.857142857142854</v>
      </c>
      <c r="J45" s="22">
        <f>J34+J36+J38</f>
        <v>7.468807212587493</v>
      </c>
      <c r="K45" s="19">
        <f>AVERAGE((F45*E45/100),(J45*G45/100),(H45*G45/100))/L45*100</f>
        <v>0.7743883213097001</v>
      </c>
      <c r="L45" s="20">
        <f>AVERAGE(F45,H45,J45)</f>
        <v>31.503591476102162</v>
      </c>
      <c r="M45" s="4">
        <f>N36/N45*100</f>
        <v>4.382470119521913</v>
      </c>
      <c r="N45" s="23">
        <f t="shared" si="5"/>
        <v>8.066024767549424</v>
      </c>
      <c r="O45" s="4">
        <f>P36/P45*100</f>
        <v>0.4377238360525269</v>
      </c>
      <c r="P45" s="23">
        <f t="shared" si="5"/>
        <v>78.97594244816958</v>
      </c>
      <c r="Q45" s="31">
        <f>SUM(R34,R36)/R45*100</f>
        <v>42.857142857142854</v>
      </c>
      <c r="R45" s="23">
        <f t="shared" si="5"/>
        <v>7.468807212587493</v>
      </c>
      <c r="S45" s="19">
        <f>AVERAGE((N45*M45/100),(R45*O45/100),(P45*O45/100))/T45*100</f>
        <v>0.7743883213097001</v>
      </c>
      <c r="T45" s="23">
        <f t="shared" si="5"/>
        <v>31.503591476102162</v>
      </c>
    </row>
    <row r="46" spans="7:10" ht="12.75">
      <c r="G46" s="4"/>
      <c r="I46" s="4"/>
      <c r="J46" s="4"/>
    </row>
    <row r="47" spans="1:20" ht="12.75">
      <c r="A47" s="19" t="s">
        <v>107</v>
      </c>
      <c r="B47" s="16" t="s">
        <v>59</v>
      </c>
      <c r="C47" s="16"/>
      <c r="F47" s="18" t="s">
        <v>115</v>
      </c>
      <c r="G47" s="18"/>
      <c r="H47" s="18" t="s">
        <v>116</v>
      </c>
      <c r="I47" s="18"/>
      <c r="J47" s="18" t="s">
        <v>117</v>
      </c>
      <c r="L47" s="18" t="s">
        <v>28</v>
      </c>
      <c r="M47" s="18"/>
      <c r="N47" s="18" t="s">
        <v>115</v>
      </c>
      <c r="O47" s="18"/>
      <c r="P47" s="18" t="s">
        <v>116</v>
      </c>
      <c r="Q47" s="18"/>
      <c r="R47" s="18" t="s">
        <v>117</v>
      </c>
      <c r="T47" s="18" t="s">
        <v>28</v>
      </c>
    </row>
    <row r="48" spans="2:13" ht="15.75" customHeight="1">
      <c r="B48" s="16"/>
      <c r="C48" s="16"/>
      <c r="G48" s="18"/>
      <c r="H48" s="18"/>
      <c r="I48" s="18"/>
      <c r="J48" s="18"/>
      <c r="L48" s="18"/>
      <c r="M48" s="18"/>
    </row>
    <row r="49" spans="2:20" ht="12.75">
      <c r="B49" s="17" t="s">
        <v>118</v>
      </c>
      <c r="C49" s="16"/>
      <c r="F49" s="18" t="s">
        <v>134</v>
      </c>
      <c r="G49" s="18"/>
      <c r="H49" s="18" t="s">
        <v>134</v>
      </c>
      <c r="I49" s="18"/>
      <c r="J49" s="18" t="s">
        <v>134</v>
      </c>
      <c r="L49" s="18" t="s">
        <v>134</v>
      </c>
      <c r="M49" s="18"/>
      <c r="N49" s="19" t="s">
        <v>136</v>
      </c>
      <c r="P49" s="19" t="s">
        <v>136</v>
      </c>
      <c r="R49" s="19" t="s">
        <v>136</v>
      </c>
      <c r="T49" s="19" t="s">
        <v>136</v>
      </c>
    </row>
    <row r="50" spans="2:20" ht="12.75">
      <c r="B50" s="17" t="s">
        <v>119</v>
      </c>
      <c r="F50" s="18" t="s">
        <v>120</v>
      </c>
      <c r="H50" s="18" t="s">
        <v>120</v>
      </c>
      <c r="J50" s="18" t="s">
        <v>120</v>
      </c>
      <c r="L50" s="18" t="s">
        <v>120</v>
      </c>
      <c r="M50" s="18"/>
      <c r="N50" s="19" t="s">
        <v>135</v>
      </c>
      <c r="P50" s="19" t="s">
        <v>135</v>
      </c>
      <c r="R50" s="19" t="s">
        <v>135</v>
      </c>
      <c r="T50" s="19" t="s">
        <v>135</v>
      </c>
    </row>
    <row r="51" spans="2:20" ht="12.75">
      <c r="B51" s="17" t="s">
        <v>137</v>
      </c>
      <c r="F51" s="18" t="s">
        <v>47</v>
      </c>
      <c r="H51" s="18" t="s">
        <v>47</v>
      </c>
      <c r="J51" s="18" t="s">
        <v>47</v>
      </c>
      <c r="L51" s="18" t="s">
        <v>47</v>
      </c>
      <c r="M51" s="18"/>
      <c r="N51" s="19" t="s">
        <v>135</v>
      </c>
      <c r="P51" s="19" t="s">
        <v>135</v>
      </c>
      <c r="R51" s="19" t="s">
        <v>135</v>
      </c>
      <c r="T51" s="19" t="s">
        <v>135</v>
      </c>
    </row>
    <row r="52" spans="2:20" ht="12.75">
      <c r="B52" s="17" t="s">
        <v>106</v>
      </c>
      <c r="F52" s="19" t="s">
        <v>75</v>
      </c>
      <c r="G52" s="18"/>
      <c r="H52" s="19" t="s">
        <v>75</v>
      </c>
      <c r="I52" s="18"/>
      <c r="J52" s="19" t="s">
        <v>75</v>
      </c>
      <c r="K52" s="18"/>
      <c r="L52" s="19" t="s">
        <v>75</v>
      </c>
      <c r="N52" s="19" t="s">
        <v>135</v>
      </c>
      <c r="P52" s="19" t="s">
        <v>135</v>
      </c>
      <c r="R52" s="19" t="s">
        <v>135</v>
      </c>
      <c r="T52" s="19" t="s">
        <v>135</v>
      </c>
    </row>
    <row r="53" spans="2:10" ht="12.75">
      <c r="B53" s="17" t="s">
        <v>76</v>
      </c>
      <c r="D53" s="17" t="s">
        <v>74</v>
      </c>
      <c r="F53" s="19">
        <v>1224</v>
      </c>
      <c r="H53" s="19">
        <v>1255</v>
      </c>
      <c r="J53" s="19">
        <v>1257</v>
      </c>
    </row>
    <row r="54" spans="2:10" ht="12.75">
      <c r="B54" s="17" t="s">
        <v>77</v>
      </c>
      <c r="D54" s="17" t="s">
        <v>74</v>
      </c>
      <c r="F54" s="19">
        <v>2047</v>
      </c>
      <c r="H54" s="19">
        <v>1924</v>
      </c>
      <c r="J54" s="19">
        <v>2011</v>
      </c>
    </row>
    <row r="55" spans="2:10" ht="12.75">
      <c r="B55" s="17" t="s">
        <v>78</v>
      </c>
      <c r="D55" s="17" t="s">
        <v>30</v>
      </c>
      <c r="F55" s="23">
        <v>17800</v>
      </c>
      <c r="H55" s="19">
        <v>15600</v>
      </c>
      <c r="J55" s="23">
        <v>15900</v>
      </c>
    </row>
    <row r="56" spans="2:10" ht="12.75">
      <c r="B56" s="17" t="s">
        <v>79</v>
      </c>
      <c r="D56" s="17" t="s">
        <v>30</v>
      </c>
      <c r="F56" s="23">
        <v>13400</v>
      </c>
      <c r="H56" s="19">
        <v>10300</v>
      </c>
      <c r="J56" s="23">
        <v>13600</v>
      </c>
    </row>
    <row r="57" spans="2:10" ht="12.75">
      <c r="B57" s="17" t="s">
        <v>32</v>
      </c>
      <c r="D57" s="17" t="s">
        <v>29</v>
      </c>
      <c r="E57" s="4" t="s">
        <v>31</v>
      </c>
      <c r="F57" s="25">
        <f>2134.72</f>
        <v>2134.72</v>
      </c>
      <c r="G57" s="32" t="s">
        <v>31</v>
      </c>
      <c r="H57" s="23">
        <f>2729.4</f>
        <v>2729.4</v>
      </c>
      <c r="I57" s="32" t="s">
        <v>31</v>
      </c>
      <c r="J57" s="25">
        <f>2931.37</f>
        <v>2931.37</v>
      </c>
    </row>
    <row r="58" spans="2:10" ht="12.75">
      <c r="B58" s="17" t="s">
        <v>33</v>
      </c>
      <c r="D58" s="17" t="s">
        <v>29</v>
      </c>
      <c r="E58" s="4" t="s">
        <v>31</v>
      </c>
      <c r="F58" s="25">
        <f>192.241</f>
        <v>192.241</v>
      </c>
      <c r="G58" s="32" t="s">
        <v>31</v>
      </c>
      <c r="H58" s="23">
        <f>144.24</f>
        <v>144.24</v>
      </c>
      <c r="I58" s="32" t="s">
        <v>31</v>
      </c>
      <c r="J58" s="25">
        <f>175.672</f>
        <v>175.672</v>
      </c>
    </row>
    <row r="59" spans="2:10" ht="12.75">
      <c r="B59" s="17" t="s">
        <v>101</v>
      </c>
      <c r="D59" s="17" t="s">
        <v>29</v>
      </c>
      <c r="E59" s="4" t="s">
        <v>31</v>
      </c>
      <c r="F59" s="29">
        <f>3.023</f>
        <v>3.023</v>
      </c>
      <c r="G59" s="30" t="s">
        <v>31</v>
      </c>
      <c r="H59" s="24">
        <f>2.885</f>
        <v>2.885</v>
      </c>
      <c r="I59" s="30" t="s">
        <v>31</v>
      </c>
      <c r="J59" s="29">
        <f>3.057</f>
        <v>3.057</v>
      </c>
    </row>
    <row r="60" spans="2:10" ht="12.75">
      <c r="B60" s="17" t="s">
        <v>97</v>
      </c>
      <c r="D60" s="17" t="s">
        <v>29</v>
      </c>
      <c r="E60" s="4" t="s">
        <v>31</v>
      </c>
      <c r="F60" s="29">
        <f>0.202</f>
        <v>0.202</v>
      </c>
      <c r="G60" s="4" t="s">
        <v>31</v>
      </c>
      <c r="H60" s="19">
        <f>0.116</f>
        <v>0.116</v>
      </c>
      <c r="I60" s="4" t="s">
        <v>31</v>
      </c>
      <c r="J60" s="29">
        <f>0.228</f>
        <v>0.228</v>
      </c>
    </row>
    <row r="61" spans="2:10" ht="12.75">
      <c r="B61" s="17" t="s">
        <v>98</v>
      </c>
      <c r="D61" s="17" t="s">
        <v>29</v>
      </c>
      <c r="E61" s="4" t="s">
        <v>31</v>
      </c>
      <c r="F61" s="29">
        <f>0.121</f>
        <v>0.121</v>
      </c>
      <c r="G61" s="34" t="s">
        <v>31</v>
      </c>
      <c r="H61" s="21">
        <f>0.194</f>
        <v>0.194</v>
      </c>
      <c r="I61" s="34" t="s">
        <v>31</v>
      </c>
      <c r="J61" s="29">
        <f>0.093</f>
        <v>0.093</v>
      </c>
    </row>
    <row r="62" spans="2:10" ht="12.75">
      <c r="B62" s="17" t="s">
        <v>99</v>
      </c>
      <c r="D62" s="17" t="s">
        <v>29</v>
      </c>
      <c r="E62" s="4" t="s">
        <v>31</v>
      </c>
      <c r="F62" s="29">
        <f>0.015</f>
        <v>0.015</v>
      </c>
      <c r="G62" s="34" t="s">
        <v>31</v>
      </c>
      <c r="H62" s="21">
        <f>0.015</f>
        <v>0.015</v>
      </c>
      <c r="I62" s="34" t="s">
        <v>31</v>
      </c>
      <c r="J62" s="29">
        <f>0.015</f>
        <v>0.015</v>
      </c>
    </row>
    <row r="63" spans="2:10" ht="12.75">
      <c r="B63" s="17" t="s">
        <v>103</v>
      </c>
      <c r="D63" s="17" t="s">
        <v>29</v>
      </c>
      <c r="E63" s="4" t="s">
        <v>31</v>
      </c>
      <c r="F63" s="29">
        <f>0.015</f>
        <v>0.015</v>
      </c>
      <c r="G63" s="34" t="s">
        <v>31</v>
      </c>
      <c r="H63" s="21">
        <f>0.015</f>
        <v>0.015</v>
      </c>
      <c r="I63" s="34" t="s">
        <v>31</v>
      </c>
      <c r="J63" s="29">
        <f>0.015</f>
        <v>0.015</v>
      </c>
    </row>
    <row r="64" spans="2:10" ht="12.75">
      <c r="B64" s="17" t="s">
        <v>105</v>
      </c>
      <c r="D64" s="17" t="s">
        <v>29</v>
      </c>
      <c r="F64" s="29">
        <v>0.336</v>
      </c>
      <c r="G64" s="34"/>
      <c r="H64" s="21">
        <v>0.258</v>
      </c>
      <c r="I64" s="34"/>
      <c r="J64" s="29">
        <v>0.256</v>
      </c>
    </row>
    <row r="65" spans="2:10" ht="12.75">
      <c r="B65" s="17" t="s">
        <v>102</v>
      </c>
      <c r="D65" s="17" t="s">
        <v>29</v>
      </c>
      <c r="E65" s="4" t="s">
        <v>31</v>
      </c>
      <c r="F65" s="29">
        <f>2.281</f>
        <v>2.281</v>
      </c>
      <c r="G65" s="34" t="s">
        <v>31</v>
      </c>
      <c r="H65" s="21">
        <f>2.164</f>
        <v>2.164</v>
      </c>
      <c r="I65" s="34" t="s">
        <v>31</v>
      </c>
      <c r="J65" s="29">
        <f>2.316</f>
        <v>2.316</v>
      </c>
    </row>
    <row r="66" spans="2:10" ht="12.75">
      <c r="B66" s="17" t="s">
        <v>109</v>
      </c>
      <c r="D66" s="17" t="s">
        <v>29</v>
      </c>
      <c r="E66" s="4" t="s">
        <v>31</v>
      </c>
      <c r="F66" s="29">
        <f>0.025</f>
        <v>0.025</v>
      </c>
      <c r="G66" s="34" t="s">
        <v>31</v>
      </c>
      <c r="H66" s="21">
        <v>0.032</v>
      </c>
      <c r="I66" s="34" t="s">
        <v>31</v>
      </c>
      <c r="J66" s="29">
        <f>0.066</f>
        <v>0.066</v>
      </c>
    </row>
    <row r="67" spans="2:10" ht="12.75">
      <c r="B67" s="17" t="s">
        <v>104</v>
      </c>
      <c r="D67" s="17" t="s">
        <v>29</v>
      </c>
      <c r="E67" s="4" t="s">
        <v>31</v>
      </c>
      <c r="F67" s="29">
        <f>0.342</f>
        <v>0.342</v>
      </c>
      <c r="G67" s="34" t="s">
        <v>31</v>
      </c>
      <c r="H67" s="21">
        <f>0.332</f>
        <v>0.332</v>
      </c>
      <c r="I67" s="34" t="s">
        <v>31</v>
      </c>
      <c r="J67" s="29">
        <f>0.335</f>
        <v>0.335</v>
      </c>
    </row>
    <row r="68" spans="2:13" ht="12.75">
      <c r="B68" s="17" t="s">
        <v>100</v>
      </c>
      <c r="D68" s="17" t="s">
        <v>29</v>
      </c>
      <c r="E68" s="4" t="s">
        <v>31</v>
      </c>
      <c r="F68" s="29">
        <f>13.168</f>
        <v>13.168</v>
      </c>
      <c r="G68" s="30" t="s">
        <v>31</v>
      </c>
      <c r="H68" s="24">
        <f>12.837</f>
        <v>12.837</v>
      </c>
      <c r="I68" s="30" t="s">
        <v>31</v>
      </c>
      <c r="J68" s="29">
        <f>13.175</f>
        <v>13.175</v>
      </c>
      <c r="K68" s="24"/>
      <c r="L68" s="24"/>
      <c r="M68" s="24"/>
    </row>
    <row r="69" spans="7:13" ht="12.75">
      <c r="G69" s="4"/>
      <c r="I69" s="4"/>
      <c r="J69" s="18"/>
      <c r="L69" s="24"/>
      <c r="M69" s="24"/>
    </row>
    <row r="70" spans="2:13" ht="12.75">
      <c r="B70" s="17" t="s">
        <v>41</v>
      </c>
      <c r="D70" s="17" t="s">
        <v>25</v>
      </c>
      <c r="F70" s="18">
        <f>emiss!G32</f>
        <v>15473</v>
      </c>
      <c r="G70" s="4"/>
      <c r="H70" s="18">
        <f>emiss!I32</f>
        <v>15776</v>
      </c>
      <c r="I70" s="4"/>
      <c r="J70" s="18">
        <f>emiss!K32</f>
        <v>15221</v>
      </c>
      <c r="L70" s="23">
        <f>AVERAGE(F70,H70,J70)</f>
        <v>15490</v>
      </c>
      <c r="M70" s="23"/>
    </row>
    <row r="71" spans="2:13" ht="12.75">
      <c r="B71" s="17" t="s">
        <v>42</v>
      </c>
      <c r="D71" s="17" t="s">
        <v>26</v>
      </c>
      <c r="F71" s="18">
        <f>emiss!G33</f>
        <v>4</v>
      </c>
      <c r="G71" s="4"/>
      <c r="H71" s="18">
        <f>emiss!I33</f>
        <v>4</v>
      </c>
      <c r="I71" s="4"/>
      <c r="J71" s="18">
        <f>emiss!K33</f>
        <v>3.4</v>
      </c>
      <c r="L71" s="24">
        <f>AVERAGE(F71,H71,J71)</f>
        <v>3.8000000000000003</v>
      </c>
      <c r="M71" s="24"/>
    </row>
    <row r="72" spans="7:10" ht="12.75">
      <c r="G72" s="4"/>
      <c r="I72" s="4"/>
      <c r="J72" s="18"/>
    </row>
    <row r="73" spans="2:20" ht="12.75">
      <c r="B73" s="17" t="s">
        <v>108</v>
      </c>
      <c r="D73" s="17" t="s">
        <v>39</v>
      </c>
      <c r="F73" s="22">
        <f>(F53*F55+F54*F56)/1000000</f>
        <v>49.217</v>
      </c>
      <c r="G73" s="4"/>
      <c r="H73" s="22">
        <f>(H53*H55+H54*H56)/1000000</f>
        <v>39.3952</v>
      </c>
      <c r="I73" s="4"/>
      <c r="J73" s="22">
        <f>(J53*J55+J54*J56)/1000000</f>
        <v>47.3359</v>
      </c>
      <c r="L73" s="20">
        <f>AVERAGE(F73,H73,J73)</f>
        <v>45.31603333333334</v>
      </c>
      <c r="M73" s="20"/>
      <c r="N73" s="20">
        <v>49.217</v>
      </c>
      <c r="O73" s="20"/>
      <c r="P73" s="20">
        <v>39.3952</v>
      </c>
      <c r="Q73" s="20"/>
      <c r="R73" s="20">
        <v>47.3359</v>
      </c>
      <c r="S73" s="20"/>
      <c r="T73" s="20">
        <v>45.31603333333334</v>
      </c>
    </row>
    <row r="74" spans="2:13" ht="12.75">
      <c r="B74" s="17" t="s">
        <v>43</v>
      </c>
      <c r="D74" s="17" t="s">
        <v>39</v>
      </c>
      <c r="F74" s="22">
        <f>F70/9000*(21-F71)/21*60</f>
        <v>83.50507936507937</v>
      </c>
      <c r="G74" s="4"/>
      <c r="H74" s="22">
        <f>H70/9000*(21-H71)/21*60</f>
        <v>85.14031746031746</v>
      </c>
      <c r="I74" s="4"/>
      <c r="J74" s="22">
        <f>J70/9000*(21-J71)/21*60</f>
        <v>85.04431746031746</v>
      </c>
      <c r="L74" s="22">
        <f>L70/9000*(21-L71)/21*60</f>
        <v>84.58031746031746</v>
      </c>
      <c r="M74" s="22"/>
    </row>
    <row r="75" spans="6:13" ht="12.75">
      <c r="F75" s="19"/>
      <c r="G75" s="4"/>
      <c r="I75" s="4"/>
      <c r="J75" s="18"/>
      <c r="L75" s="22"/>
      <c r="M75" s="22"/>
    </row>
    <row r="76" spans="2:13" ht="12.75">
      <c r="B76" s="38" t="s">
        <v>82</v>
      </c>
      <c r="C76" s="38"/>
      <c r="F76" s="19"/>
      <c r="G76" s="4"/>
      <c r="I76" s="4"/>
      <c r="J76" s="18"/>
      <c r="L76" s="22"/>
      <c r="M76" s="22"/>
    </row>
    <row r="77" spans="2:22" ht="12.75">
      <c r="B77" s="17" t="s">
        <v>32</v>
      </c>
      <c r="D77" s="17" t="s">
        <v>44</v>
      </c>
      <c r="E77" s="4">
        <v>100</v>
      </c>
      <c r="F77" s="22">
        <f>F57/F70/60/0.0283*1000*(21-7)/(21-F71)</f>
        <v>66.91258711772302</v>
      </c>
      <c r="G77" s="4">
        <v>100</v>
      </c>
      <c r="H77" s="22">
        <f>H57/H70/60/0.0283*1000*(21-7)/(21-H71)</f>
        <v>83.90961298545466</v>
      </c>
      <c r="I77" s="4">
        <v>100</v>
      </c>
      <c r="J77" s="22">
        <f>J57/J70/60/0.0283*1000*(21-7)/(21-J71)</f>
        <v>90.22048032598828</v>
      </c>
      <c r="K77" s="4">
        <v>100</v>
      </c>
      <c r="L77" s="20">
        <f>AVERAGE(F77,H77,J77)</f>
        <v>80.34756014305532</v>
      </c>
      <c r="M77" s="4">
        <v>100</v>
      </c>
      <c r="N77" s="20">
        <f>F77/2</f>
        <v>33.45629355886151</v>
      </c>
      <c r="O77" s="4">
        <v>100</v>
      </c>
      <c r="P77" s="20">
        <f>H77/2</f>
        <v>41.95480649272733</v>
      </c>
      <c r="Q77" s="4">
        <v>100</v>
      </c>
      <c r="R77" s="20">
        <f>J77/2</f>
        <v>45.11024016299414</v>
      </c>
      <c r="S77" s="4">
        <v>100</v>
      </c>
      <c r="T77" s="23">
        <f aca="true" t="shared" si="6" ref="T77:T88">L77</f>
        <v>80.34756014305532</v>
      </c>
      <c r="V77" s="23"/>
    </row>
    <row r="78" spans="2:22" ht="12.75">
      <c r="B78" s="17" t="s">
        <v>33</v>
      </c>
      <c r="D78" s="17" t="s">
        <v>45</v>
      </c>
      <c r="E78" s="4">
        <v>100</v>
      </c>
      <c r="F78" s="25">
        <f>F58/F$70/60/0.0283*1000000*(21-7)/(21-F$71)</f>
        <v>6025.775118094265</v>
      </c>
      <c r="G78" s="4">
        <v>100</v>
      </c>
      <c r="H78" s="25">
        <f aca="true" t="shared" si="7" ref="H78:H88">H58/H$70/60/0.0283*1000000*(21-7)/(21-H$71)</f>
        <v>4434.352816377951</v>
      </c>
      <c r="I78" s="4">
        <v>100</v>
      </c>
      <c r="J78" s="25">
        <f aca="true" t="shared" si="8" ref="J78:J88">J58/J$70/60/0.0283*1000000*(21-7)/(21-J$71)</f>
        <v>5406.759371838769</v>
      </c>
      <c r="K78" s="4">
        <v>100</v>
      </c>
      <c r="L78" s="20">
        <f aca="true" t="shared" si="9" ref="L78:L88">AVERAGE(F78,H78,J78)</f>
        <v>5288.962435436995</v>
      </c>
      <c r="M78" s="4">
        <v>100</v>
      </c>
      <c r="N78" s="23">
        <f aca="true" t="shared" si="10" ref="N78:N83">F78</f>
        <v>6025.775118094265</v>
      </c>
      <c r="O78" s="4">
        <v>100</v>
      </c>
      <c r="P78" s="23">
        <f aca="true" t="shared" si="11" ref="P78:P83">H78</f>
        <v>4434.352816377951</v>
      </c>
      <c r="Q78" s="4">
        <v>100</v>
      </c>
      <c r="R78" s="23">
        <f aca="true" t="shared" si="12" ref="R78:R83">J78</f>
        <v>5406.759371838769</v>
      </c>
      <c r="S78" s="4">
        <v>100</v>
      </c>
      <c r="T78" s="23">
        <f t="shared" si="6"/>
        <v>5288.962435436995</v>
      </c>
      <c r="V78" s="23"/>
    </row>
    <row r="79" spans="2:20" ht="12.75">
      <c r="B79" s="17" t="s">
        <v>101</v>
      </c>
      <c r="D79" s="17" t="s">
        <v>45</v>
      </c>
      <c r="E79" s="4">
        <v>100</v>
      </c>
      <c r="F79" s="25">
        <f aca="true" t="shared" si="13" ref="F79:F88">F59/F$70/60/0.0283*1000000*(21-7)/(21-F$71)</f>
        <v>94.75563580089037</v>
      </c>
      <c r="G79" s="4">
        <v>100</v>
      </c>
      <c r="H79" s="25">
        <f t="shared" si="7"/>
        <v>88.69320490328887</v>
      </c>
      <c r="I79" s="4">
        <v>100</v>
      </c>
      <c r="J79" s="25">
        <f t="shared" si="8"/>
        <v>94.08706794316178</v>
      </c>
      <c r="K79" s="4">
        <v>100</v>
      </c>
      <c r="L79" s="20">
        <f t="shared" si="9"/>
        <v>92.51196954911369</v>
      </c>
      <c r="M79" s="4">
        <v>100</v>
      </c>
      <c r="N79" s="23">
        <f t="shared" si="10"/>
        <v>94.75563580089037</v>
      </c>
      <c r="O79" s="4">
        <v>100</v>
      </c>
      <c r="P79" s="23">
        <f t="shared" si="11"/>
        <v>88.69320490328887</v>
      </c>
      <c r="Q79" s="4">
        <v>100</v>
      </c>
      <c r="R79" s="23">
        <f t="shared" si="12"/>
        <v>94.08706794316178</v>
      </c>
      <c r="S79" s="4">
        <v>100</v>
      </c>
      <c r="T79" s="23">
        <f t="shared" si="6"/>
        <v>92.51196954911369</v>
      </c>
    </row>
    <row r="80" spans="2:20" ht="12.75">
      <c r="B80" s="17" t="s">
        <v>97</v>
      </c>
      <c r="D80" s="17" t="s">
        <v>45</v>
      </c>
      <c r="E80" s="4">
        <v>100</v>
      </c>
      <c r="F80" s="29">
        <f t="shared" si="13"/>
        <v>6.331670007204716</v>
      </c>
      <c r="G80" s="4">
        <v>100</v>
      </c>
      <c r="H80" s="29">
        <f t="shared" si="7"/>
        <v>3.5661739233211476</v>
      </c>
      <c r="I80" s="4">
        <v>100</v>
      </c>
      <c r="J80" s="29">
        <f t="shared" si="8"/>
        <v>7.017288678783409</v>
      </c>
      <c r="K80" s="4">
        <v>100</v>
      </c>
      <c r="L80" s="20">
        <f t="shared" si="9"/>
        <v>5.6383775364364235</v>
      </c>
      <c r="M80" s="4">
        <v>100</v>
      </c>
      <c r="N80" s="23">
        <f t="shared" si="10"/>
        <v>6.331670007204716</v>
      </c>
      <c r="O80" s="4">
        <v>100</v>
      </c>
      <c r="P80" s="23">
        <f t="shared" si="11"/>
        <v>3.5661739233211476</v>
      </c>
      <c r="Q80" s="4">
        <v>100</v>
      </c>
      <c r="R80" s="23">
        <f t="shared" si="12"/>
        <v>7.017288678783409</v>
      </c>
      <c r="S80" s="4">
        <v>100</v>
      </c>
      <c r="T80" s="23">
        <f t="shared" si="6"/>
        <v>5.6383775364364235</v>
      </c>
    </row>
    <row r="81" spans="2:20" ht="12.75">
      <c r="B81" s="17" t="s">
        <v>98</v>
      </c>
      <c r="D81" s="17" t="s">
        <v>45</v>
      </c>
      <c r="E81" s="4">
        <v>100</v>
      </c>
      <c r="F81" s="29">
        <f t="shared" si="13"/>
        <v>3.7927330241176755</v>
      </c>
      <c r="G81" s="4">
        <v>100</v>
      </c>
      <c r="H81" s="29">
        <f t="shared" si="7"/>
        <v>5.964118457968125</v>
      </c>
      <c r="I81" s="4">
        <v>100</v>
      </c>
      <c r="J81" s="29">
        <f t="shared" si="8"/>
        <v>2.8623151189774436</v>
      </c>
      <c r="K81" s="4">
        <v>100</v>
      </c>
      <c r="L81" s="20">
        <f t="shared" si="9"/>
        <v>4.206388867021081</v>
      </c>
      <c r="M81" s="4">
        <v>100</v>
      </c>
      <c r="N81" s="23">
        <f t="shared" si="10"/>
        <v>3.7927330241176755</v>
      </c>
      <c r="O81" s="4">
        <v>100</v>
      </c>
      <c r="P81" s="23">
        <f t="shared" si="11"/>
        <v>5.964118457968125</v>
      </c>
      <c r="Q81" s="4">
        <v>100</v>
      </c>
      <c r="R81" s="23">
        <f t="shared" si="12"/>
        <v>2.8623151189774436</v>
      </c>
      <c r="S81" s="4">
        <v>100</v>
      </c>
      <c r="T81" s="23">
        <f t="shared" si="6"/>
        <v>4.206388867021081</v>
      </c>
    </row>
    <row r="82" spans="2:20" ht="12.75">
      <c r="B82" s="17" t="s">
        <v>99</v>
      </c>
      <c r="D82" s="17" t="s">
        <v>45</v>
      </c>
      <c r="E82" s="4">
        <v>100</v>
      </c>
      <c r="F82" s="29">
        <f t="shared" si="13"/>
        <v>0.4701735153864887</v>
      </c>
      <c r="G82" s="4">
        <v>100</v>
      </c>
      <c r="H82" s="29">
        <f t="shared" si="7"/>
        <v>0.4611431797398036</v>
      </c>
      <c r="I82" s="4">
        <v>100</v>
      </c>
      <c r="J82" s="29">
        <f t="shared" si="8"/>
        <v>0.46166372886732965</v>
      </c>
      <c r="K82" s="4">
        <v>100</v>
      </c>
      <c r="L82" s="20">
        <f t="shared" si="9"/>
        <v>0.464326807997874</v>
      </c>
      <c r="M82" s="4">
        <v>100</v>
      </c>
      <c r="N82" s="23">
        <f t="shared" si="10"/>
        <v>0.4701735153864887</v>
      </c>
      <c r="O82" s="4">
        <v>100</v>
      </c>
      <c r="P82" s="23">
        <f t="shared" si="11"/>
        <v>0.4611431797398036</v>
      </c>
      <c r="Q82" s="4">
        <v>100</v>
      </c>
      <c r="R82" s="23">
        <f t="shared" si="12"/>
        <v>0.46166372886732965</v>
      </c>
      <c r="S82" s="4">
        <v>100</v>
      </c>
      <c r="T82" s="23">
        <f t="shared" si="6"/>
        <v>0.464326807997874</v>
      </c>
    </row>
    <row r="83" spans="2:20" ht="12.75">
      <c r="B83" s="17" t="s">
        <v>103</v>
      </c>
      <c r="D83" s="17" t="s">
        <v>45</v>
      </c>
      <c r="E83" s="4">
        <v>100</v>
      </c>
      <c r="F83" s="29">
        <f t="shared" si="13"/>
        <v>0.4701735153864887</v>
      </c>
      <c r="G83" s="4">
        <v>100</v>
      </c>
      <c r="H83" s="29">
        <f t="shared" si="7"/>
        <v>0.4611431797398036</v>
      </c>
      <c r="I83" s="4">
        <v>100</v>
      </c>
      <c r="J83" s="29">
        <f t="shared" si="8"/>
        <v>0.46166372886732965</v>
      </c>
      <c r="K83" s="4">
        <v>100</v>
      </c>
      <c r="L83" s="20">
        <f t="shared" si="9"/>
        <v>0.464326807997874</v>
      </c>
      <c r="M83" s="4">
        <v>100</v>
      </c>
      <c r="N83" s="23">
        <f t="shared" si="10"/>
        <v>0.4701735153864887</v>
      </c>
      <c r="O83" s="4">
        <v>100</v>
      </c>
      <c r="P83" s="23">
        <f t="shared" si="11"/>
        <v>0.4611431797398036</v>
      </c>
      <c r="Q83" s="4">
        <v>100</v>
      </c>
      <c r="R83" s="23">
        <f t="shared" si="12"/>
        <v>0.46166372886732965</v>
      </c>
      <c r="S83" s="4">
        <v>100</v>
      </c>
      <c r="T83" s="23">
        <f t="shared" si="6"/>
        <v>0.464326807997874</v>
      </c>
    </row>
    <row r="84" spans="2:20" ht="12.75">
      <c r="B84" s="17" t="s">
        <v>105</v>
      </c>
      <c r="D84" s="17" t="s">
        <v>45</v>
      </c>
      <c r="F84" s="29">
        <f t="shared" si="13"/>
        <v>10.53188674465735</v>
      </c>
      <c r="G84" s="4"/>
      <c r="H84" s="29">
        <f t="shared" si="7"/>
        <v>7.93166269152462</v>
      </c>
      <c r="I84" s="4"/>
      <c r="J84" s="29">
        <f t="shared" si="8"/>
        <v>7.879060972669094</v>
      </c>
      <c r="K84" s="4"/>
      <c r="L84" s="20">
        <f t="shared" si="9"/>
        <v>8.780870136283689</v>
      </c>
      <c r="M84" s="4"/>
      <c r="N84" s="24">
        <f>F84/2</f>
        <v>5.265943372328675</v>
      </c>
      <c r="O84" s="30"/>
      <c r="P84" s="24">
        <f>H84/2</f>
        <v>3.96583134576231</v>
      </c>
      <c r="Q84" s="30"/>
      <c r="R84" s="24">
        <f>J84/2</f>
        <v>3.939530486334547</v>
      </c>
      <c r="S84" s="4"/>
      <c r="T84" s="23">
        <f t="shared" si="6"/>
        <v>8.780870136283689</v>
      </c>
    </row>
    <row r="85" spans="2:20" ht="12.75">
      <c r="B85" s="17" t="s">
        <v>102</v>
      </c>
      <c r="D85" s="17" t="s">
        <v>45</v>
      </c>
      <c r="E85" s="4">
        <v>100</v>
      </c>
      <c r="F85" s="22">
        <f t="shared" si="13"/>
        <v>71.49771923977207</v>
      </c>
      <c r="G85" s="4">
        <v>100</v>
      </c>
      <c r="H85" s="22">
        <f t="shared" si="7"/>
        <v>66.52758939712898</v>
      </c>
      <c r="I85" s="4">
        <v>100</v>
      </c>
      <c r="J85" s="22">
        <f t="shared" si="8"/>
        <v>71.28087973711568</v>
      </c>
      <c r="K85" s="4">
        <v>100</v>
      </c>
      <c r="L85" s="20">
        <f t="shared" si="9"/>
        <v>69.76872945800558</v>
      </c>
      <c r="M85" s="4">
        <v>100</v>
      </c>
      <c r="N85" s="23">
        <f>F85</f>
        <v>71.49771923977207</v>
      </c>
      <c r="O85" s="4">
        <v>100</v>
      </c>
      <c r="P85" s="23">
        <f>H85</f>
        <v>66.52758939712898</v>
      </c>
      <c r="Q85" s="4">
        <v>100</v>
      </c>
      <c r="R85" s="23">
        <f>J85</f>
        <v>71.28087973711568</v>
      </c>
      <c r="S85" s="4">
        <v>100</v>
      </c>
      <c r="T85" s="23">
        <f t="shared" si="6"/>
        <v>69.76872945800558</v>
      </c>
    </row>
    <row r="86" spans="2:22" ht="12.75">
      <c r="B86" s="17" t="s">
        <v>109</v>
      </c>
      <c r="D86" s="17" t="s">
        <v>45</v>
      </c>
      <c r="E86" s="4">
        <v>100</v>
      </c>
      <c r="F86" s="29">
        <f t="shared" si="13"/>
        <v>0.7836225256441479</v>
      </c>
      <c r="G86" s="4">
        <v>100</v>
      </c>
      <c r="H86" s="29">
        <f t="shared" si="7"/>
        <v>0.9837721167782476</v>
      </c>
      <c r="I86" s="4">
        <v>100</v>
      </c>
      <c r="J86" s="29">
        <f t="shared" si="8"/>
        <v>2.0313204070162505</v>
      </c>
      <c r="K86" s="4">
        <v>100</v>
      </c>
      <c r="L86" s="20">
        <f t="shared" si="9"/>
        <v>1.266238349812882</v>
      </c>
      <c r="M86" s="4">
        <v>100</v>
      </c>
      <c r="N86" s="21">
        <f>F86/2</f>
        <v>0.39181126282207396</v>
      </c>
      <c r="O86" s="4">
        <v>100</v>
      </c>
      <c r="P86" s="21">
        <f>H86/2</f>
        <v>0.4918860583891238</v>
      </c>
      <c r="Q86" s="4">
        <v>100</v>
      </c>
      <c r="R86" s="21">
        <f>J86/2</f>
        <v>1.0156602035081252</v>
      </c>
      <c r="S86" s="4">
        <v>100</v>
      </c>
      <c r="T86" s="23">
        <f t="shared" si="6"/>
        <v>1.266238349812882</v>
      </c>
      <c r="V86" s="23"/>
    </row>
    <row r="87" spans="2:20" ht="12.75">
      <c r="B87" s="17" t="s">
        <v>104</v>
      </c>
      <c r="D87" s="17" t="s">
        <v>45</v>
      </c>
      <c r="E87" s="4">
        <v>100</v>
      </c>
      <c r="F87" s="29">
        <f t="shared" si="13"/>
        <v>10.719956150811946</v>
      </c>
      <c r="G87" s="4">
        <v>100</v>
      </c>
      <c r="H87" s="29">
        <f t="shared" si="7"/>
        <v>10.20663571157432</v>
      </c>
      <c r="I87" s="4">
        <v>100</v>
      </c>
      <c r="J87" s="29">
        <f t="shared" si="8"/>
        <v>10.310489944703694</v>
      </c>
      <c r="K87" s="4">
        <v>100</v>
      </c>
      <c r="L87" s="20">
        <f t="shared" si="9"/>
        <v>10.41236060236332</v>
      </c>
      <c r="M87" s="4">
        <v>100</v>
      </c>
      <c r="N87" s="23">
        <f>F87</f>
        <v>10.719956150811946</v>
      </c>
      <c r="O87" s="4">
        <v>100</v>
      </c>
      <c r="P87" s="23">
        <f>H87</f>
        <v>10.20663571157432</v>
      </c>
      <c r="Q87" s="4">
        <v>100</v>
      </c>
      <c r="R87" s="23">
        <f>J87</f>
        <v>10.310489944703694</v>
      </c>
      <c r="S87" s="4">
        <v>100</v>
      </c>
      <c r="T87" s="23">
        <f t="shared" si="6"/>
        <v>10.41236060236332</v>
      </c>
    </row>
    <row r="88" spans="2:20" ht="12.75">
      <c r="B88" s="17" t="s">
        <v>100</v>
      </c>
      <c r="D88" s="17" t="s">
        <v>45</v>
      </c>
      <c r="E88" s="4">
        <v>100</v>
      </c>
      <c r="F88" s="25">
        <f t="shared" si="13"/>
        <v>412.7496567072855</v>
      </c>
      <c r="G88" s="4">
        <v>100</v>
      </c>
      <c r="H88" s="25">
        <f t="shared" si="7"/>
        <v>394.64633322132386</v>
      </c>
      <c r="I88" s="4">
        <v>100</v>
      </c>
      <c r="J88" s="25">
        <f t="shared" si="8"/>
        <v>405.49464185513784</v>
      </c>
      <c r="K88" s="4">
        <v>100</v>
      </c>
      <c r="L88" s="20">
        <f t="shared" si="9"/>
        <v>404.2968772612491</v>
      </c>
      <c r="M88" s="4">
        <v>100</v>
      </c>
      <c r="N88" s="23">
        <f>F88</f>
        <v>412.7496567072855</v>
      </c>
      <c r="O88" s="4">
        <v>100</v>
      </c>
      <c r="P88" s="23">
        <f>H88</f>
        <v>394.64633322132386</v>
      </c>
      <c r="Q88" s="4">
        <v>100</v>
      </c>
      <c r="R88" s="23">
        <f>J88</f>
        <v>405.49464185513784</v>
      </c>
      <c r="S88" s="4">
        <v>100</v>
      </c>
      <c r="T88" s="23">
        <f t="shared" si="6"/>
        <v>404.2968772612491</v>
      </c>
    </row>
    <row r="89" spans="6:10" ht="12.75">
      <c r="F89" s="22"/>
      <c r="G89" s="4"/>
      <c r="I89" s="4"/>
      <c r="J89" s="22"/>
    </row>
    <row r="90" spans="2:22" ht="12.75">
      <c r="B90" s="17" t="s">
        <v>50</v>
      </c>
      <c r="D90" s="17" t="s">
        <v>45</v>
      </c>
      <c r="E90" s="4">
        <v>100</v>
      </c>
      <c r="F90" s="22">
        <f>F85+F83</f>
        <v>71.96789275515856</v>
      </c>
      <c r="G90" s="4">
        <v>100</v>
      </c>
      <c r="H90" s="22">
        <f>H85+H83</f>
        <v>66.98873257686878</v>
      </c>
      <c r="I90" s="4">
        <v>100</v>
      </c>
      <c r="J90" s="22">
        <f>J85+J83</f>
        <v>71.74254346598302</v>
      </c>
      <c r="K90" s="4">
        <v>100</v>
      </c>
      <c r="L90" s="20">
        <f>AVERAGE(F90,H90,J90)</f>
        <v>70.23305626600346</v>
      </c>
      <c r="M90" s="4">
        <v>100</v>
      </c>
      <c r="N90" s="23">
        <f>F90</f>
        <v>71.96789275515856</v>
      </c>
      <c r="O90" s="4">
        <v>100</v>
      </c>
      <c r="P90" s="23">
        <f>H90</f>
        <v>66.98873257686878</v>
      </c>
      <c r="Q90" s="4">
        <v>100</v>
      </c>
      <c r="R90" s="23">
        <f>J90</f>
        <v>71.74254346598302</v>
      </c>
      <c r="S90" s="4">
        <v>100</v>
      </c>
      <c r="T90" s="23">
        <f>L90</f>
        <v>70.23305626600346</v>
      </c>
      <c r="V90" s="23"/>
    </row>
    <row r="91" spans="2:22" ht="12.75">
      <c r="B91" s="17" t="s">
        <v>51</v>
      </c>
      <c r="D91" s="17" t="s">
        <v>45</v>
      </c>
      <c r="E91" s="4">
        <f>SUM(F80,F82)/F91*100</f>
        <v>28.342723021720424</v>
      </c>
      <c r="F91" s="22">
        <f>F80/+F82+F84</f>
        <v>23.998553411324018</v>
      </c>
      <c r="G91" s="4">
        <f>SUM(H80,H82)/H91*100</f>
        <v>25.709020906677633</v>
      </c>
      <c r="H91" s="22">
        <f>H80/+H82+H84</f>
        <v>15.664996024857953</v>
      </c>
      <c r="I91" s="4">
        <f>SUM(J80,J82)/J91*100</f>
        <v>32.40579162431061</v>
      </c>
      <c r="J91" s="22">
        <f>J80/+J82+J84</f>
        <v>23.07906097266909</v>
      </c>
      <c r="K91" s="4">
        <f>SUM(L80,L82)/L91*100</f>
        <v>29.179712023457956</v>
      </c>
      <c r="L91" s="20">
        <f>AVERAGE(F91,H91,J91)</f>
        <v>20.914203469617018</v>
      </c>
      <c r="M91" s="4">
        <f>SUM(N80,N82)/N91*100</f>
        <v>28.342723021720424</v>
      </c>
      <c r="N91" s="23">
        <f>F91</f>
        <v>23.998553411324018</v>
      </c>
      <c r="O91" s="4">
        <f>SUM(P80,P82)/P91*100</f>
        <v>25.709020906677633</v>
      </c>
      <c r="P91" s="23">
        <f>H91</f>
        <v>15.664996024857953</v>
      </c>
      <c r="Q91" s="4">
        <f>SUM(R80,R82)/R91*100</f>
        <v>32.40579162431061</v>
      </c>
      <c r="R91" s="23">
        <f>J91</f>
        <v>23.07906097266909</v>
      </c>
      <c r="S91" s="4">
        <f>SUM(T80,T82)/T91*100</f>
        <v>29.179712023457956</v>
      </c>
      <c r="T91" s="23">
        <f>L91</f>
        <v>20.914203469617018</v>
      </c>
      <c r="V91" s="23"/>
    </row>
    <row r="92" spans="2:3" ht="12.75">
      <c r="B92" s="16"/>
      <c r="C92" s="16"/>
    </row>
    <row r="93" spans="2:3" ht="12.75">
      <c r="B93" s="16"/>
      <c r="C93" s="16"/>
    </row>
    <row r="94" spans="1:20" ht="12.75">
      <c r="A94" s="19" t="s">
        <v>107</v>
      </c>
      <c r="B94" s="16" t="s">
        <v>60</v>
      </c>
      <c r="C94" s="16"/>
      <c r="F94" s="18" t="s">
        <v>115</v>
      </c>
      <c r="G94" s="18"/>
      <c r="H94" s="18" t="s">
        <v>116</v>
      </c>
      <c r="I94" s="18"/>
      <c r="J94" s="18" t="s">
        <v>117</v>
      </c>
      <c r="L94" s="18" t="s">
        <v>28</v>
      </c>
      <c r="M94" s="18"/>
      <c r="N94" s="18" t="s">
        <v>115</v>
      </c>
      <c r="O94" s="18"/>
      <c r="P94" s="18" t="s">
        <v>116</v>
      </c>
      <c r="Q94" s="18"/>
      <c r="R94" s="18" t="s">
        <v>117</v>
      </c>
      <c r="T94" s="18" t="s">
        <v>28</v>
      </c>
    </row>
    <row r="95" spans="2:13" ht="12.75">
      <c r="B95" s="16"/>
      <c r="C95" s="16"/>
      <c r="G95" s="18"/>
      <c r="H95" s="18"/>
      <c r="I95" s="18"/>
      <c r="J95" s="18"/>
      <c r="L95" s="18"/>
      <c r="M95" s="18"/>
    </row>
    <row r="96" spans="2:20" ht="12.75">
      <c r="B96" s="17" t="s">
        <v>118</v>
      </c>
      <c r="C96" s="16"/>
      <c r="F96" s="18" t="s">
        <v>134</v>
      </c>
      <c r="G96" s="18"/>
      <c r="H96" s="18" t="s">
        <v>134</v>
      </c>
      <c r="I96" s="18"/>
      <c r="J96" s="18" t="s">
        <v>134</v>
      </c>
      <c r="L96" s="18" t="s">
        <v>134</v>
      </c>
      <c r="M96" s="18"/>
      <c r="N96" s="19" t="s">
        <v>136</v>
      </c>
      <c r="P96" s="19" t="s">
        <v>136</v>
      </c>
      <c r="R96" s="19" t="s">
        <v>136</v>
      </c>
      <c r="T96" s="19" t="s">
        <v>136</v>
      </c>
    </row>
    <row r="97" spans="2:20" ht="12.75">
      <c r="B97" s="17" t="s">
        <v>119</v>
      </c>
      <c r="F97" s="18" t="s">
        <v>120</v>
      </c>
      <c r="H97" s="18" t="s">
        <v>120</v>
      </c>
      <c r="J97" s="18" t="s">
        <v>120</v>
      </c>
      <c r="L97" s="18" t="s">
        <v>120</v>
      </c>
      <c r="M97" s="18"/>
      <c r="N97" s="19" t="s">
        <v>135</v>
      </c>
      <c r="P97" s="19" t="s">
        <v>135</v>
      </c>
      <c r="R97" s="19" t="s">
        <v>135</v>
      </c>
      <c r="T97" s="19" t="s">
        <v>135</v>
      </c>
    </row>
    <row r="98" spans="2:20" ht="12.75">
      <c r="B98" s="17" t="s">
        <v>137</v>
      </c>
      <c r="F98" s="18" t="s">
        <v>47</v>
      </c>
      <c r="H98" s="18" t="s">
        <v>47</v>
      </c>
      <c r="J98" s="18" t="s">
        <v>47</v>
      </c>
      <c r="L98" s="18" t="s">
        <v>47</v>
      </c>
      <c r="M98" s="18"/>
      <c r="N98" s="19" t="s">
        <v>135</v>
      </c>
      <c r="P98" s="19" t="s">
        <v>135</v>
      </c>
      <c r="R98" s="19" t="s">
        <v>135</v>
      </c>
      <c r="T98" s="19" t="s">
        <v>135</v>
      </c>
    </row>
    <row r="99" spans="2:20" ht="12.75">
      <c r="B99" s="17" t="s">
        <v>106</v>
      </c>
      <c r="F99" s="19" t="s">
        <v>75</v>
      </c>
      <c r="G99" s="18"/>
      <c r="H99" s="19" t="s">
        <v>75</v>
      </c>
      <c r="I99" s="18"/>
      <c r="J99" s="19" t="s">
        <v>75</v>
      </c>
      <c r="K99" s="18"/>
      <c r="L99" s="19" t="s">
        <v>75</v>
      </c>
      <c r="N99" s="19" t="s">
        <v>135</v>
      </c>
      <c r="P99" s="19" t="s">
        <v>135</v>
      </c>
      <c r="R99" s="19" t="s">
        <v>135</v>
      </c>
      <c r="T99" s="19" t="s">
        <v>135</v>
      </c>
    </row>
    <row r="100" spans="2:10" ht="12.75">
      <c r="B100" s="17" t="s">
        <v>110</v>
      </c>
      <c r="D100" s="17" t="s">
        <v>74</v>
      </c>
      <c r="F100" s="19">
        <v>2041</v>
      </c>
      <c r="H100" s="19">
        <v>2071</v>
      </c>
      <c r="J100" s="19">
        <v>1876</v>
      </c>
    </row>
    <row r="101" spans="2:10" ht="12.75">
      <c r="B101" s="17" t="s">
        <v>40</v>
      </c>
      <c r="D101" s="17" t="s">
        <v>30</v>
      </c>
      <c r="F101" s="23">
        <v>13400</v>
      </c>
      <c r="H101" s="19">
        <v>10400</v>
      </c>
      <c r="J101" s="23">
        <v>14400</v>
      </c>
    </row>
    <row r="102" spans="2:13" ht="12.75">
      <c r="B102" s="17" t="s">
        <v>32</v>
      </c>
      <c r="D102" s="17" t="s">
        <v>29</v>
      </c>
      <c r="F102" s="25">
        <v>2315.2</v>
      </c>
      <c r="G102" s="32"/>
      <c r="H102" s="23">
        <v>2819.1</v>
      </c>
      <c r="I102" s="32"/>
      <c r="J102" s="25">
        <v>2808.9</v>
      </c>
      <c r="L102" s="23"/>
      <c r="M102" s="23"/>
    </row>
    <row r="103" spans="2:13" ht="12.75">
      <c r="B103" s="17" t="s">
        <v>33</v>
      </c>
      <c r="D103" s="17" t="s">
        <v>29</v>
      </c>
      <c r="E103" s="4" t="s">
        <v>31</v>
      </c>
      <c r="F103" s="25">
        <f>92.6</f>
        <v>92.6</v>
      </c>
      <c r="G103" s="32" t="s">
        <v>31</v>
      </c>
      <c r="H103" s="23">
        <f>93.97</f>
        <v>93.97</v>
      </c>
      <c r="I103" s="32" t="s">
        <v>31</v>
      </c>
      <c r="J103" s="25">
        <f>85.11</f>
        <v>85.11</v>
      </c>
      <c r="L103" s="20"/>
      <c r="M103" s="20"/>
    </row>
    <row r="104" spans="2:13" ht="12.75">
      <c r="B104" s="17" t="s">
        <v>101</v>
      </c>
      <c r="D104" s="17" t="s">
        <v>29</v>
      </c>
      <c r="E104" s="4" t="s">
        <v>31</v>
      </c>
      <c r="F104" s="29">
        <f>1.852</f>
        <v>1.852</v>
      </c>
      <c r="G104" s="30" t="s">
        <v>31</v>
      </c>
      <c r="H104" s="24">
        <f>1.879</f>
        <v>1.879</v>
      </c>
      <c r="I104" s="30" t="s">
        <v>31</v>
      </c>
      <c r="J104" s="29">
        <f>1.702</f>
        <v>1.702</v>
      </c>
      <c r="L104" s="21"/>
      <c r="M104" s="21"/>
    </row>
    <row r="105" spans="2:10" ht="12.75">
      <c r="B105" s="17" t="s">
        <v>97</v>
      </c>
      <c r="D105" s="17" t="s">
        <v>29</v>
      </c>
      <c r="F105" s="18">
        <v>0.157</v>
      </c>
      <c r="G105" s="4"/>
      <c r="H105" s="19">
        <v>0.16</v>
      </c>
      <c r="I105" s="4" t="s">
        <v>31</v>
      </c>
      <c r="J105" s="18">
        <f>0.068</f>
        <v>0.068</v>
      </c>
    </row>
    <row r="106" spans="2:13" ht="12.75">
      <c r="B106" s="17" t="s">
        <v>98</v>
      </c>
      <c r="D106" s="17" t="s">
        <v>29</v>
      </c>
      <c r="E106" s="4" t="s">
        <v>31</v>
      </c>
      <c r="F106" s="33">
        <f>0.046</f>
        <v>0.046</v>
      </c>
      <c r="G106" s="34" t="s">
        <v>31</v>
      </c>
      <c r="H106" s="21">
        <f>0.047</f>
        <v>0.047</v>
      </c>
      <c r="I106" s="34" t="s">
        <v>31</v>
      </c>
      <c r="J106" s="33">
        <f>0.043</f>
        <v>0.043</v>
      </c>
      <c r="L106" s="21"/>
      <c r="M106" s="21"/>
    </row>
    <row r="107" spans="2:13" ht="12.75">
      <c r="B107" s="17" t="s">
        <v>99</v>
      </c>
      <c r="D107" s="17" t="s">
        <v>29</v>
      </c>
      <c r="E107" s="4" t="s">
        <v>31</v>
      </c>
      <c r="F107" s="33">
        <f>0.009</f>
        <v>0.009</v>
      </c>
      <c r="G107" s="34" t="s">
        <v>31</v>
      </c>
      <c r="H107" s="21">
        <f>0.009</f>
        <v>0.009</v>
      </c>
      <c r="I107" s="34" t="s">
        <v>31</v>
      </c>
      <c r="J107" s="33">
        <f>0.009</f>
        <v>0.009</v>
      </c>
      <c r="L107" s="21"/>
      <c r="M107" s="21"/>
    </row>
    <row r="108" spans="2:13" ht="12.75">
      <c r="B108" s="17" t="s">
        <v>103</v>
      </c>
      <c r="D108" s="17" t="s">
        <v>29</v>
      </c>
      <c r="F108" s="33">
        <v>0.009</v>
      </c>
      <c r="G108" s="34"/>
      <c r="H108" s="21">
        <v>0.009</v>
      </c>
      <c r="I108" s="34" t="s">
        <v>31</v>
      </c>
      <c r="J108" s="33">
        <f>0.009</f>
        <v>0.009</v>
      </c>
      <c r="L108" s="21"/>
      <c r="M108" s="21"/>
    </row>
    <row r="109" spans="2:13" ht="12.75">
      <c r="B109" s="17" t="s">
        <v>105</v>
      </c>
      <c r="D109" s="17" t="s">
        <v>29</v>
      </c>
      <c r="F109" s="33">
        <v>0.056</v>
      </c>
      <c r="G109" s="34"/>
      <c r="H109" s="21">
        <v>0.028</v>
      </c>
      <c r="I109" s="34"/>
      <c r="J109" s="33">
        <v>0.043</v>
      </c>
      <c r="L109" s="21"/>
      <c r="M109" s="21"/>
    </row>
    <row r="110" spans="2:13" ht="12.75">
      <c r="B110" s="17" t="s">
        <v>102</v>
      </c>
      <c r="D110" s="17" t="s">
        <v>29</v>
      </c>
      <c r="E110" s="4" t="s">
        <v>31</v>
      </c>
      <c r="F110" s="33">
        <f>1.389</f>
        <v>1.389</v>
      </c>
      <c r="G110" s="34" t="s">
        <v>31</v>
      </c>
      <c r="H110" s="21">
        <f>1.41</f>
        <v>1.41</v>
      </c>
      <c r="I110" s="34" t="s">
        <v>31</v>
      </c>
      <c r="J110" s="33">
        <f>1.277</f>
        <v>1.277</v>
      </c>
      <c r="L110" s="21"/>
      <c r="M110" s="21"/>
    </row>
    <row r="111" spans="2:13" ht="12.75">
      <c r="B111" s="17" t="s">
        <v>109</v>
      </c>
      <c r="D111" s="17" t="s">
        <v>29</v>
      </c>
      <c r="F111" s="33">
        <v>0.083</v>
      </c>
      <c r="G111" s="34" t="s">
        <v>31</v>
      </c>
      <c r="H111" s="21">
        <f>0.009</f>
        <v>0.009</v>
      </c>
      <c r="I111" s="34" t="s">
        <v>31</v>
      </c>
      <c r="J111" s="33">
        <f>0.009</f>
        <v>0.009</v>
      </c>
      <c r="L111" s="21"/>
      <c r="M111" s="21"/>
    </row>
    <row r="112" spans="2:13" ht="12.75">
      <c r="B112" s="17" t="s">
        <v>104</v>
      </c>
      <c r="D112" s="17" t="s">
        <v>29</v>
      </c>
      <c r="E112" s="4" t="s">
        <v>31</v>
      </c>
      <c r="F112" s="33">
        <f>0.204</f>
        <v>0.204</v>
      </c>
      <c r="G112" s="34" t="s">
        <v>31</v>
      </c>
      <c r="H112" s="21">
        <f>0.216</f>
        <v>0.216</v>
      </c>
      <c r="I112" s="34" t="s">
        <v>31</v>
      </c>
      <c r="J112" s="33">
        <f>0.196</f>
        <v>0.196</v>
      </c>
      <c r="L112" s="21"/>
      <c r="M112" s="21"/>
    </row>
    <row r="113" spans="2:13" ht="12.75">
      <c r="B113" s="17" t="s">
        <v>100</v>
      </c>
      <c r="D113" s="17" t="s">
        <v>29</v>
      </c>
      <c r="E113" s="4" t="s">
        <v>31</v>
      </c>
      <c r="F113" s="29">
        <f>8.15</f>
        <v>8.15</v>
      </c>
      <c r="G113" s="30" t="s">
        <v>31</v>
      </c>
      <c r="H113" s="24">
        <f>8.363</f>
        <v>8.363</v>
      </c>
      <c r="I113" s="30" t="s">
        <v>31</v>
      </c>
      <c r="J113" s="29">
        <f>7.49</f>
        <v>7.49</v>
      </c>
      <c r="K113" s="24"/>
      <c r="L113" s="24"/>
      <c r="M113" s="24"/>
    </row>
    <row r="114" spans="7:13" ht="12.75">
      <c r="G114" s="4"/>
      <c r="I114" s="4"/>
      <c r="J114" s="18"/>
      <c r="L114" s="24"/>
      <c r="M114" s="24"/>
    </row>
    <row r="115" spans="2:13" ht="12.75">
      <c r="B115" s="17" t="s">
        <v>41</v>
      </c>
      <c r="D115" s="17" t="s">
        <v>25</v>
      </c>
      <c r="F115" s="18">
        <f>emiss!G48</f>
        <v>15221</v>
      </c>
      <c r="G115" s="4"/>
      <c r="H115" s="25">
        <f>emiss!I48</f>
        <v>15158</v>
      </c>
      <c r="I115" s="4"/>
      <c r="J115" s="18">
        <f>emiss!K48</f>
        <v>14879</v>
      </c>
      <c r="L115" s="23">
        <f>AVERAGE(F115,H115,J115)</f>
        <v>15086</v>
      </c>
      <c r="M115" s="23"/>
    </row>
    <row r="116" spans="2:13" ht="12.75">
      <c r="B116" s="17" t="s">
        <v>42</v>
      </c>
      <c r="D116" s="17" t="s">
        <v>26</v>
      </c>
      <c r="F116" s="18">
        <f>emiss!G49</f>
        <v>3.4</v>
      </c>
      <c r="G116" s="4"/>
      <c r="H116" s="18">
        <f>emiss!I49</f>
        <v>3.4</v>
      </c>
      <c r="I116" s="4"/>
      <c r="J116" s="18">
        <f>emiss!K49</f>
        <v>3.6</v>
      </c>
      <c r="L116" s="24">
        <f>AVERAGE(F116,H116,J116)</f>
        <v>3.466666666666667</v>
      </c>
      <c r="M116" s="24"/>
    </row>
    <row r="117" spans="7:10" ht="12.75">
      <c r="G117" s="4"/>
      <c r="I117" s="4"/>
      <c r="J117" s="18"/>
    </row>
    <row r="118" spans="2:20" ht="12.75">
      <c r="B118" s="17" t="s">
        <v>108</v>
      </c>
      <c r="D118" s="17" t="s">
        <v>39</v>
      </c>
      <c r="F118" s="22">
        <f>F101*F100/1000000</f>
        <v>27.3494</v>
      </c>
      <c r="G118" s="4"/>
      <c r="H118" s="22">
        <f>H101*H100/1000000</f>
        <v>21.5384</v>
      </c>
      <c r="I118" s="4"/>
      <c r="J118" s="22">
        <f>J101*J100/1000000</f>
        <v>27.0144</v>
      </c>
      <c r="L118" s="20">
        <f>AVERAGE(F118,H118,J118)</f>
        <v>25.30073333333333</v>
      </c>
      <c r="M118" s="20"/>
      <c r="N118" s="20">
        <f>F118</f>
        <v>27.3494</v>
      </c>
      <c r="P118" s="20">
        <f>H118</f>
        <v>21.5384</v>
      </c>
      <c r="R118" s="20">
        <f>J118</f>
        <v>27.0144</v>
      </c>
      <c r="T118" s="20">
        <f>L118</f>
        <v>25.30073333333333</v>
      </c>
    </row>
    <row r="119" spans="2:13" ht="12.75">
      <c r="B119" s="17" t="s">
        <v>43</v>
      </c>
      <c r="D119" s="17" t="s">
        <v>39</v>
      </c>
      <c r="F119" s="19"/>
      <c r="G119" s="4"/>
      <c r="I119" s="4"/>
      <c r="J119" s="18"/>
      <c r="L119" s="22">
        <f>L115/9000*(21-L116)/21*60</f>
        <v>83.97075132275131</v>
      </c>
      <c r="M119" s="22"/>
    </row>
    <row r="120" spans="6:13" ht="12.75">
      <c r="F120" s="19"/>
      <c r="G120" s="4"/>
      <c r="I120" s="4"/>
      <c r="J120" s="18"/>
      <c r="L120" s="22"/>
      <c r="M120" s="22"/>
    </row>
    <row r="121" spans="2:13" ht="12.75">
      <c r="B121" s="38" t="s">
        <v>82</v>
      </c>
      <c r="C121" s="38"/>
      <c r="F121" s="19"/>
      <c r="G121" s="4"/>
      <c r="I121" s="4"/>
      <c r="J121" s="18"/>
      <c r="L121" s="22"/>
      <c r="M121" s="22"/>
    </row>
    <row r="122" spans="2:20" ht="12.75">
      <c r="B122" s="17" t="s">
        <v>32</v>
      </c>
      <c r="D122" s="17" t="s">
        <v>44</v>
      </c>
      <c r="F122" s="22">
        <f>F102/F115/60/0.0283*1000*(21-7)/(21-F116)</f>
        <v>71.2562576715761</v>
      </c>
      <c r="G122" s="4"/>
      <c r="H122" s="22">
        <f>H102/H115/60/0.0283*1000*(21-7)/(21-H116)</f>
        <v>87.12569606780735</v>
      </c>
      <c r="I122" s="4"/>
      <c r="J122" s="22">
        <f>J102/J115/60/0.0283*1000*(21-7)/(21-J116)</f>
        <v>89.4547972711566</v>
      </c>
      <c r="L122" s="20">
        <f>AVERAGE(F122,H122,J122)</f>
        <v>82.61225033684669</v>
      </c>
      <c r="M122" s="20"/>
      <c r="N122" s="20">
        <f>F122/2</f>
        <v>35.62812883578805</v>
      </c>
      <c r="P122" s="20">
        <f>H122/2</f>
        <v>43.56284803390368</v>
      </c>
      <c r="R122" s="20">
        <f>J122/2</f>
        <v>44.7273986355783</v>
      </c>
      <c r="T122" s="23">
        <f aca="true" t="shared" si="14" ref="T122:T133">L122</f>
        <v>82.61225033684669</v>
      </c>
    </row>
    <row r="123" spans="2:20" ht="12.75">
      <c r="B123" s="17" t="s">
        <v>33</v>
      </c>
      <c r="D123" s="17" t="s">
        <v>45</v>
      </c>
      <c r="E123" s="4">
        <v>100</v>
      </c>
      <c r="F123" s="25">
        <f>F103/F$115/60/0.0283*1000000*(21-7)/(21-F$116)</f>
        <v>2850.0040862076476</v>
      </c>
      <c r="G123" s="4">
        <v>100</v>
      </c>
      <c r="H123" s="25">
        <f>H103/H$115/60/0.0283*1000000*(21-7)/(21-H$116)</f>
        <v>2904.1898689269115</v>
      </c>
      <c r="I123" s="4">
        <v>100</v>
      </c>
      <c r="J123" s="25">
        <f>J103/J$115/60/0.0283*1000000*(21-7)/(21-J$116)</f>
        <v>2710.4908667977274</v>
      </c>
      <c r="K123" s="19">
        <v>100</v>
      </c>
      <c r="L123" s="20">
        <f aca="true" t="shared" si="15" ref="L123:L133">AVERAGE(F123,H123,J123)</f>
        <v>2821.5616073107617</v>
      </c>
      <c r="M123" s="4">
        <v>100</v>
      </c>
      <c r="N123" s="23">
        <f>F123</f>
        <v>2850.0040862076476</v>
      </c>
      <c r="O123" s="4">
        <v>100</v>
      </c>
      <c r="P123" s="23">
        <f>H123</f>
        <v>2904.1898689269115</v>
      </c>
      <c r="Q123" s="4">
        <v>100</v>
      </c>
      <c r="R123" s="23">
        <f>J123</f>
        <v>2710.4908667977274</v>
      </c>
      <c r="S123" s="19">
        <v>100</v>
      </c>
      <c r="T123" s="23">
        <f t="shared" si="14"/>
        <v>2821.5616073107617</v>
      </c>
    </row>
    <row r="124" spans="2:20" ht="12.75">
      <c r="B124" s="17" t="s">
        <v>101</v>
      </c>
      <c r="D124" s="17" t="s">
        <v>45</v>
      </c>
      <c r="E124" s="4">
        <v>100</v>
      </c>
      <c r="F124" s="22">
        <f aca="true" t="shared" si="16" ref="F124:F133">F104/F$115/60/0.0283*1000000*(21-7)/(21-F$116)</f>
        <v>57.000081724152956</v>
      </c>
      <c r="G124" s="4">
        <v>100</v>
      </c>
      <c r="H124" s="22">
        <f aca="true" t="shared" si="17" ref="H124:H133">H104/H$115/60/0.0283*1000000*(21-7)/(21-H$116)</f>
        <v>58.07143517839383</v>
      </c>
      <c r="I124" s="4">
        <v>100</v>
      </c>
      <c r="J124" s="22">
        <f aca="true" t="shared" si="18" ref="J124:J133">J104/J$115/60/0.0283*1000000*(21-7)/(21-J$116)</f>
        <v>54.203447953116346</v>
      </c>
      <c r="K124" s="19">
        <v>100</v>
      </c>
      <c r="L124" s="20">
        <f t="shared" si="15"/>
        <v>56.42498828522105</v>
      </c>
      <c r="M124" s="4">
        <v>100</v>
      </c>
      <c r="N124" s="23">
        <f>F124</f>
        <v>57.000081724152956</v>
      </c>
      <c r="O124" s="4">
        <v>100</v>
      </c>
      <c r="P124" s="23">
        <f>H124</f>
        <v>58.07143517839383</v>
      </c>
      <c r="Q124" s="4">
        <v>100</v>
      </c>
      <c r="R124" s="23">
        <f>J124</f>
        <v>54.203447953116346</v>
      </c>
      <c r="S124" s="19">
        <v>100</v>
      </c>
      <c r="T124" s="23">
        <f t="shared" si="14"/>
        <v>56.42498828522105</v>
      </c>
    </row>
    <row r="125" spans="2:20" ht="12.75">
      <c r="B125" s="17" t="s">
        <v>97</v>
      </c>
      <c r="D125" s="17" t="s">
        <v>45</v>
      </c>
      <c r="F125" s="29">
        <f t="shared" si="16"/>
        <v>4.832080362144716</v>
      </c>
      <c r="G125" s="30"/>
      <c r="H125" s="29">
        <f t="shared" si="17"/>
        <v>4.944880057766372</v>
      </c>
      <c r="I125" s="4">
        <v>100</v>
      </c>
      <c r="J125" s="29">
        <f t="shared" si="18"/>
        <v>2.1655901649893723</v>
      </c>
      <c r="K125" s="19">
        <f>J125/SUM(F125,H125,J125)*100</f>
        <v>18.133397464754573</v>
      </c>
      <c r="L125" s="20">
        <f t="shared" si="15"/>
        <v>3.98085019496682</v>
      </c>
      <c r="M125" s="4"/>
      <c r="N125" s="24">
        <f>F125/2</f>
        <v>2.416040181072358</v>
      </c>
      <c r="O125" s="30"/>
      <c r="P125" s="24">
        <f>H125/2</f>
        <v>2.472440028883186</v>
      </c>
      <c r="Q125" s="4">
        <v>100</v>
      </c>
      <c r="R125" s="24">
        <f>J125/2</f>
        <v>1.0827950824946861</v>
      </c>
      <c r="S125" s="19">
        <f>R125/SUM(N125,P125,R125)*100</f>
        <v>18.133397464754573</v>
      </c>
      <c r="T125" s="23">
        <f t="shared" si="14"/>
        <v>3.98085019496682</v>
      </c>
    </row>
    <row r="126" spans="2:20" ht="12.75">
      <c r="B126" s="17" t="s">
        <v>98</v>
      </c>
      <c r="D126" s="17" t="s">
        <v>45</v>
      </c>
      <c r="E126" s="4">
        <v>100</v>
      </c>
      <c r="F126" s="29">
        <f t="shared" si="16"/>
        <v>1.4157687685264773</v>
      </c>
      <c r="G126" s="4">
        <v>100</v>
      </c>
      <c r="H126" s="29">
        <f t="shared" si="17"/>
        <v>1.4525585169688713</v>
      </c>
      <c r="I126" s="4">
        <v>100</v>
      </c>
      <c r="J126" s="29">
        <f t="shared" si="18"/>
        <v>1.3694173102138678</v>
      </c>
      <c r="K126" s="19">
        <v>100</v>
      </c>
      <c r="L126" s="20">
        <f t="shared" si="15"/>
        <v>1.4125815319030721</v>
      </c>
      <c r="M126" s="4">
        <v>100</v>
      </c>
      <c r="N126" s="23">
        <f>F126</f>
        <v>1.4157687685264773</v>
      </c>
      <c r="O126" s="4">
        <v>100</v>
      </c>
      <c r="P126" s="23">
        <f>H126</f>
        <v>1.4525585169688713</v>
      </c>
      <c r="Q126" s="4">
        <v>100</v>
      </c>
      <c r="R126" s="23">
        <f>J126</f>
        <v>1.3694173102138678</v>
      </c>
      <c r="S126" s="19">
        <v>100</v>
      </c>
      <c r="T126" s="23">
        <f t="shared" si="14"/>
        <v>1.4125815319030721</v>
      </c>
    </row>
    <row r="127" spans="2:20" ht="12.75">
      <c r="B127" s="17" t="s">
        <v>99</v>
      </c>
      <c r="D127" s="17" t="s">
        <v>45</v>
      </c>
      <c r="E127" s="4">
        <v>100</v>
      </c>
      <c r="F127" s="29">
        <f t="shared" si="16"/>
        <v>0.2769982373203978</v>
      </c>
      <c r="G127" s="4">
        <v>100</v>
      </c>
      <c r="H127" s="29">
        <f t="shared" si="17"/>
        <v>0.27814950324935833</v>
      </c>
      <c r="I127" s="4">
        <v>100</v>
      </c>
      <c r="J127" s="29">
        <f t="shared" si="18"/>
        <v>0.28662222771918167</v>
      </c>
      <c r="K127" s="19">
        <v>100</v>
      </c>
      <c r="L127" s="20">
        <f t="shared" si="15"/>
        <v>0.2805899894296459</v>
      </c>
      <c r="M127" s="4">
        <v>100</v>
      </c>
      <c r="N127" s="23">
        <f>F127</f>
        <v>0.2769982373203978</v>
      </c>
      <c r="O127" s="4">
        <v>100</v>
      </c>
      <c r="P127" s="23">
        <f>H127</f>
        <v>0.27814950324935833</v>
      </c>
      <c r="Q127" s="4">
        <v>100</v>
      </c>
      <c r="R127" s="23">
        <f>J127</f>
        <v>0.28662222771918167</v>
      </c>
      <c r="S127" s="19">
        <v>100</v>
      </c>
      <c r="T127" s="23">
        <f t="shared" si="14"/>
        <v>0.2805899894296459</v>
      </c>
    </row>
    <row r="128" spans="2:20" ht="12.75">
      <c r="B128" s="17" t="s">
        <v>103</v>
      </c>
      <c r="D128" s="17" t="s">
        <v>45</v>
      </c>
      <c r="F128" s="29">
        <f t="shared" si="16"/>
        <v>0.2769982373203978</v>
      </c>
      <c r="G128" s="30"/>
      <c r="H128" s="29">
        <f t="shared" si="17"/>
        <v>0.27814950324935833</v>
      </c>
      <c r="I128" s="4">
        <v>100</v>
      </c>
      <c r="J128" s="29">
        <f t="shared" si="18"/>
        <v>0.28662222771918167</v>
      </c>
      <c r="K128" s="19">
        <f>J128/SUM(F128,H128,J128)*100</f>
        <v>34.04994695900086</v>
      </c>
      <c r="L128" s="20">
        <f t="shared" si="15"/>
        <v>0.2805899894296459</v>
      </c>
      <c r="M128" s="4"/>
      <c r="N128" s="21">
        <f>F128/2</f>
        <v>0.1384991186601989</v>
      </c>
      <c r="O128" s="30"/>
      <c r="P128" s="21">
        <f>H128/2</f>
        <v>0.13907475162467917</v>
      </c>
      <c r="Q128" s="4">
        <v>100</v>
      </c>
      <c r="R128" s="21">
        <f>J128/2</f>
        <v>0.14331111385959083</v>
      </c>
      <c r="S128" s="19">
        <f>R128/SUM(N128,P128,R128)*100</f>
        <v>34.04994695900086</v>
      </c>
      <c r="T128" s="23">
        <f t="shared" si="14"/>
        <v>0.2805899894296459</v>
      </c>
    </row>
    <row r="129" spans="2:20" ht="12.75">
      <c r="B129" s="17" t="s">
        <v>105</v>
      </c>
      <c r="D129" s="17" t="s">
        <v>45</v>
      </c>
      <c r="F129" s="29">
        <f t="shared" si="16"/>
        <v>1.723544587771364</v>
      </c>
      <c r="G129" s="30"/>
      <c r="H129" s="29">
        <f t="shared" si="17"/>
        <v>0.8653540101091151</v>
      </c>
      <c r="I129" s="30"/>
      <c r="J129" s="29">
        <f t="shared" si="18"/>
        <v>1.3694173102138678</v>
      </c>
      <c r="L129" s="20">
        <f t="shared" si="15"/>
        <v>1.319438636031449</v>
      </c>
      <c r="M129" s="4"/>
      <c r="N129" s="21">
        <f>F129/2</f>
        <v>0.861772293885682</v>
      </c>
      <c r="O129" s="30"/>
      <c r="P129" s="21">
        <f>H129/2</f>
        <v>0.43267700505455753</v>
      </c>
      <c r="Q129" s="30"/>
      <c r="R129" s="21">
        <f>J129/2</f>
        <v>0.6847086551069339</v>
      </c>
      <c r="T129" s="23">
        <f t="shared" si="14"/>
        <v>1.319438636031449</v>
      </c>
    </row>
    <row r="130" spans="2:20" ht="12.75">
      <c r="B130" s="17" t="s">
        <v>102</v>
      </c>
      <c r="D130" s="17" t="s">
        <v>45</v>
      </c>
      <c r="E130" s="4">
        <v>100</v>
      </c>
      <c r="F130" s="22">
        <f t="shared" si="16"/>
        <v>42.75006129311472</v>
      </c>
      <c r="G130" s="4">
        <v>100</v>
      </c>
      <c r="H130" s="22">
        <f t="shared" si="17"/>
        <v>43.57675550906614</v>
      </c>
      <c r="I130" s="4">
        <v>100</v>
      </c>
      <c r="J130" s="22">
        <f t="shared" si="18"/>
        <v>40.66850942193276</v>
      </c>
      <c r="K130" s="19">
        <v>100</v>
      </c>
      <c r="L130" s="20">
        <f t="shared" si="15"/>
        <v>42.33177540803788</v>
      </c>
      <c r="M130" s="4">
        <v>100</v>
      </c>
      <c r="N130" s="23">
        <f>F130</f>
        <v>42.75006129311472</v>
      </c>
      <c r="O130" s="4">
        <v>100</v>
      </c>
      <c r="P130" s="23">
        <f>H130</f>
        <v>43.57675550906614</v>
      </c>
      <c r="Q130" s="4">
        <v>100</v>
      </c>
      <c r="R130" s="23">
        <f>J130</f>
        <v>40.66850942193276</v>
      </c>
      <c r="S130" s="19">
        <v>100</v>
      </c>
      <c r="T130" s="23">
        <f t="shared" si="14"/>
        <v>42.33177540803788</v>
      </c>
    </row>
    <row r="131" spans="2:20" ht="12.75">
      <c r="B131" s="17" t="s">
        <v>109</v>
      </c>
      <c r="D131" s="17" t="s">
        <v>45</v>
      </c>
      <c r="F131" s="22">
        <f t="shared" si="16"/>
        <v>2.5545392997325576</v>
      </c>
      <c r="G131" s="4">
        <v>100</v>
      </c>
      <c r="H131" s="29">
        <f t="shared" si="17"/>
        <v>0.27814950324935833</v>
      </c>
      <c r="I131" s="4">
        <v>100</v>
      </c>
      <c r="J131" s="29">
        <f t="shared" si="18"/>
        <v>0.28662222771918167</v>
      </c>
      <c r="K131" s="19">
        <f>SUM(J131,H131)/SUM(F131,H131,J131)*100</f>
        <v>18.105656198112495</v>
      </c>
      <c r="L131" s="20">
        <f t="shared" si="15"/>
        <v>1.0397703435670325</v>
      </c>
      <c r="M131" s="4"/>
      <c r="N131" s="24">
        <f>F131/2</f>
        <v>1.2772696498662788</v>
      </c>
      <c r="O131" s="4">
        <v>100</v>
      </c>
      <c r="P131" s="21">
        <f>H131/2</f>
        <v>0.13907475162467917</v>
      </c>
      <c r="Q131" s="4">
        <v>100</v>
      </c>
      <c r="R131" s="21">
        <f>J131/2</f>
        <v>0.14331111385959083</v>
      </c>
      <c r="S131" s="19">
        <f>SUM(R131,P131)/SUM(N131,P131,R131)*100</f>
        <v>18.105656198112495</v>
      </c>
      <c r="T131" s="23">
        <f t="shared" si="14"/>
        <v>1.0397703435670325</v>
      </c>
    </row>
    <row r="132" spans="2:20" ht="12.75">
      <c r="B132" s="17" t="s">
        <v>104</v>
      </c>
      <c r="D132" s="17" t="s">
        <v>45</v>
      </c>
      <c r="E132" s="4">
        <v>100</v>
      </c>
      <c r="F132" s="22">
        <f t="shared" si="16"/>
        <v>6.278626712595682</v>
      </c>
      <c r="G132" s="4">
        <v>100</v>
      </c>
      <c r="H132" s="29">
        <f t="shared" si="17"/>
        <v>6.6755880779846</v>
      </c>
      <c r="I132" s="4">
        <v>100</v>
      </c>
      <c r="J132" s="29">
        <f t="shared" si="18"/>
        <v>6.241995181439955</v>
      </c>
      <c r="K132" s="19">
        <v>100</v>
      </c>
      <c r="L132" s="20">
        <f t="shared" si="15"/>
        <v>6.39873665734008</v>
      </c>
      <c r="M132" s="4">
        <v>100</v>
      </c>
      <c r="N132" s="23">
        <f>F132</f>
        <v>6.278626712595682</v>
      </c>
      <c r="O132" s="4">
        <v>100</v>
      </c>
      <c r="P132" s="23">
        <f>H132</f>
        <v>6.6755880779846</v>
      </c>
      <c r="Q132" s="4">
        <v>100</v>
      </c>
      <c r="R132" s="23">
        <f>J132</f>
        <v>6.241995181439955</v>
      </c>
      <c r="S132" s="19">
        <v>100</v>
      </c>
      <c r="T132" s="23">
        <f t="shared" si="14"/>
        <v>6.39873665734008</v>
      </c>
    </row>
    <row r="133" spans="2:20" ht="12.75">
      <c r="B133" s="17" t="s">
        <v>100</v>
      </c>
      <c r="D133" s="17" t="s">
        <v>45</v>
      </c>
      <c r="E133" s="4">
        <v>100</v>
      </c>
      <c r="F133" s="25">
        <f t="shared" si="16"/>
        <v>250.83729268458242</v>
      </c>
      <c r="G133" s="4">
        <v>100</v>
      </c>
      <c r="H133" s="25">
        <f t="shared" si="17"/>
        <v>258.462699519376</v>
      </c>
      <c r="I133" s="4">
        <v>100</v>
      </c>
      <c r="J133" s="25">
        <f t="shared" si="18"/>
        <v>238.5333872907411</v>
      </c>
      <c r="K133" s="19">
        <v>100</v>
      </c>
      <c r="L133" s="20">
        <f t="shared" si="15"/>
        <v>249.2777931648998</v>
      </c>
      <c r="M133" s="4">
        <v>100</v>
      </c>
      <c r="N133" s="23">
        <f>F133</f>
        <v>250.83729268458242</v>
      </c>
      <c r="O133" s="4">
        <v>100</v>
      </c>
      <c r="P133" s="23">
        <f>H133</f>
        <v>258.462699519376</v>
      </c>
      <c r="Q133" s="4">
        <v>100</v>
      </c>
      <c r="R133" s="23">
        <f>J133</f>
        <v>238.5333872907411</v>
      </c>
      <c r="S133" s="19">
        <v>100</v>
      </c>
      <c r="T133" s="23">
        <f t="shared" si="14"/>
        <v>249.2777931648998</v>
      </c>
    </row>
    <row r="134" spans="6:17" ht="12.75">
      <c r="F134" s="22"/>
      <c r="G134" s="4"/>
      <c r="I134" s="4"/>
      <c r="J134" s="22"/>
      <c r="M134" s="4"/>
      <c r="O134" s="4"/>
      <c r="Q134" s="4"/>
    </row>
    <row r="135" spans="2:20" ht="12.75">
      <c r="B135" s="17" t="s">
        <v>50</v>
      </c>
      <c r="D135" s="17" t="s">
        <v>45</v>
      </c>
      <c r="E135" s="4">
        <f>F130/F135*100</f>
        <v>99.35622317596567</v>
      </c>
      <c r="F135" s="22">
        <f>F130+F128</f>
        <v>43.02705953043512</v>
      </c>
      <c r="G135" s="4">
        <f>H130/H135*100</f>
        <v>99.36575052854121</v>
      </c>
      <c r="H135" s="22">
        <f>H130+H128</f>
        <v>43.8549050123155</v>
      </c>
      <c r="I135" s="4">
        <f>J130/J135*100</f>
        <v>99.30015552099533</v>
      </c>
      <c r="J135" s="22">
        <f>J130+J128</f>
        <v>40.955131649651946</v>
      </c>
      <c r="K135" s="4">
        <f>L130/L135*100</f>
        <v>99.34152918568955</v>
      </c>
      <c r="L135" s="20">
        <f>AVERAGE(F135,H135,J135)</f>
        <v>42.61236539746752</v>
      </c>
      <c r="M135" s="4">
        <f>N130/N135*100</f>
        <v>99.35622317596567</v>
      </c>
      <c r="N135" s="23">
        <f>F135</f>
        <v>43.02705953043512</v>
      </c>
      <c r="O135" s="4">
        <f>P130/P135*100</f>
        <v>99.36575052854121</v>
      </c>
      <c r="P135" s="23">
        <f>H135</f>
        <v>43.8549050123155</v>
      </c>
      <c r="Q135" s="4">
        <f>R130/R135*100</f>
        <v>99.30015552099533</v>
      </c>
      <c r="R135" s="23">
        <f>J135</f>
        <v>40.955131649651946</v>
      </c>
      <c r="S135" s="4">
        <f>T130/T135*100</f>
        <v>99.34152918568955</v>
      </c>
      <c r="T135" s="23">
        <f>L135</f>
        <v>42.61236539746752</v>
      </c>
    </row>
    <row r="136" spans="2:20" ht="12.75">
      <c r="B136" s="17" t="s">
        <v>51</v>
      </c>
      <c r="D136" s="17" t="s">
        <v>45</v>
      </c>
      <c r="E136" s="4">
        <f>F127/F136*100</f>
        <v>4.054054054054054</v>
      </c>
      <c r="F136" s="22">
        <f>F125+F127+F129</f>
        <v>6.832623187236479</v>
      </c>
      <c r="G136" s="4">
        <f>H127/H136*100</f>
        <v>4.568527918781724</v>
      </c>
      <c r="H136" s="22">
        <f>H125+H127+H129</f>
        <v>6.0883835711248455</v>
      </c>
      <c r="I136" s="4">
        <f>J127/J136*100</f>
        <v>7.500000000000001</v>
      </c>
      <c r="J136" s="22">
        <f>J125+J127+J129</f>
        <v>3.8216297029224218</v>
      </c>
      <c r="K136" s="4">
        <f>L127/L136*100</f>
        <v>5.027702597709005</v>
      </c>
      <c r="L136" s="20">
        <f>AVERAGE(F136,H136,J136)</f>
        <v>5.580878820427915</v>
      </c>
      <c r="M136" s="4">
        <f>N127/N136*100</f>
        <v>4.054054054054054</v>
      </c>
      <c r="N136" s="23">
        <f>F136</f>
        <v>6.832623187236479</v>
      </c>
      <c r="O136" s="4">
        <f>P127/P136*100</f>
        <v>4.568527918781724</v>
      </c>
      <c r="P136" s="23">
        <f>H136</f>
        <v>6.0883835711248455</v>
      </c>
      <c r="Q136" s="4">
        <f>R127/R136*100</f>
        <v>7.500000000000001</v>
      </c>
      <c r="R136" s="23">
        <f>J136</f>
        <v>3.8216297029224218</v>
      </c>
      <c r="S136" s="4">
        <f>T127/T136*100</f>
        <v>5.027702597709005</v>
      </c>
      <c r="T136" s="23">
        <f>L136</f>
        <v>5.580878820427915</v>
      </c>
    </row>
    <row r="138" spans="1:36" ht="12.75">
      <c r="A138" s="19" t="s">
        <v>107</v>
      </c>
      <c r="B138" s="16" t="s">
        <v>139</v>
      </c>
      <c r="C138" s="16"/>
      <c r="F138" s="18" t="s">
        <v>115</v>
      </c>
      <c r="G138" s="18"/>
      <c r="H138" s="18" t="s">
        <v>116</v>
      </c>
      <c r="I138" s="18"/>
      <c r="J138" s="18" t="s">
        <v>117</v>
      </c>
      <c r="L138" s="18" t="s">
        <v>28</v>
      </c>
      <c r="M138" s="18"/>
      <c r="N138" s="18" t="s">
        <v>115</v>
      </c>
      <c r="O138" s="18"/>
      <c r="P138" s="18" t="s">
        <v>116</v>
      </c>
      <c r="Q138" s="18"/>
      <c r="R138" s="18" t="s">
        <v>117</v>
      </c>
      <c r="T138" s="18" t="s">
        <v>28</v>
      </c>
      <c r="V138" s="18" t="s">
        <v>115</v>
      </c>
      <c r="W138" s="18"/>
      <c r="X138" s="18" t="s">
        <v>116</v>
      </c>
      <c r="Y138" s="18"/>
      <c r="Z138" s="18" t="s">
        <v>117</v>
      </c>
      <c r="AB138" s="18" t="s">
        <v>28</v>
      </c>
      <c r="AC138" s="18"/>
      <c r="AD138" s="18" t="s">
        <v>115</v>
      </c>
      <c r="AE138" s="18"/>
      <c r="AF138" s="18" t="s">
        <v>116</v>
      </c>
      <c r="AG138" s="18"/>
      <c r="AH138" s="18" t="s">
        <v>117</v>
      </c>
      <c r="AJ138" s="18" t="s">
        <v>28</v>
      </c>
    </row>
    <row r="139" spans="2:13" ht="12.75">
      <c r="B139" s="16"/>
      <c r="C139" s="16"/>
      <c r="G139" s="18"/>
      <c r="H139" s="18"/>
      <c r="I139" s="18"/>
      <c r="J139" s="18"/>
      <c r="L139" s="18"/>
      <c r="M139" s="18"/>
    </row>
    <row r="140" spans="2:36" ht="12.75">
      <c r="B140" s="17" t="s">
        <v>118</v>
      </c>
      <c r="C140" s="16"/>
      <c r="F140" s="18" t="s">
        <v>134</v>
      </c>
      <c r="G140" s="18"/>
      <c r="H140" s="18" t="s">
        <v>134</v>
      </c>
      <c r="I140" s="18"/>
      <c r="J140" s="18" t="s">
        <v>134</v>
      </c>
      <c r="L140" s="18" t="s">
        <v>134</v>
      </c>
      <c r="M140" s="18"/>
      <c r="N140" s="19" t="s">
        <v>136</v>
      </c>
      <c r="P140" s="19" t="s">
        <v>136</v>
      </c>
      <c r="R140" s="19" t="s">
        <v>136</v>
      </c>
      <c r="T140" s="19" t="s">
        <v>136</v>
      </c>
      <c r="AD140" s="19" t="s">
        <v>150</v>
      </c>
      <c r="AF140" s="19" t="s">
        <v>150</v>
      </c>
      <c r="AH140" s="19" t="s">
        <v>150</v>
      </c>
      <c r="AJ140" s="19" t="s">
        <v>150</v>
      </c>
    </row>
    <row r="141" spans="2:36" ht="12.75">
      <c r="B141" s="17" t="s">
        <v>119</v>
      </c>
      <c r="F141" s="18" t="s">
        <v>120</v>
      </c>
      <c r="H141" s="18" t="s">
        <v>120</v>
      </c>
      <c r="J141" s="18" t="s">
        <v>120</v>
      </c>
      <c r="L141" s="18" t="s">
        <v>120</v>
      </c>
      <c r="M141" s="18"/>
      <c r="N141" s="18" t="s">
        <v>120</v>
      </c>
      <c r="P141" s="18" t="s">
        <v>120</v>
      </c>
      <c r="R141" s="18" t="s">
        <v>120</v>
      </c>
      <c r="T141" s="18" t="s">
        <v>120</v>
      </c>
      <c r="AD141" s="19" t="s">
        <v>135</v>
      </c>
      <c r="AF141" s="19" t="s">
        <v>135</v>
      </c>
      <c r="AH141" s="19" t="s">
        <v>135</v>
      </c>
      <c r="AJ141" s="19" t="s">
        <v>135</v>
      </c>
    </row>
    <row r="142" spans="2:36" ht="12.75">
      <c r="B142" s="17" t="s">
        <v>137</v>
      </c>
      <c r="H142" s="18"/>
      <c r="J142" s="18"/>
      <c r="L142" s="18"/>
      <c r="M142" s="18"/>
      <c r="N142" s="18"/>
      <c r="P142" s="18"/>
      <c r="R142" s="18"/>
      <c r="T142" s="18"/>
      <c r="V142" s="19" t="s">
        <v>47</v>
      </c>
      <c r="X142" s="19" t="s">
        <v>47</v>
      </c>
      <c r="Z142" s="19" t="s">
        <v>47</v>
      </c>
      <c r="AB142" s="19" t="s">
        <v>47</v>
      </c>
      <c r="AD142" s="19" t="s">
        <v>135</v>
      </c>
      <c r="AF142" s="19" t="s">
        <v>135</v>
      </c>
      <c r="AH142" s="19" t="s">
        <v>135</v>
      </c>
      <c r="AJ142" s="19" t="s">
        <v>135</v>
      </c>
    </row>
    <row r="143" spans="2:36" ht="12.75">
      <c r="B143" s="17" t="s">
        <v>106</v>
      </c>
      <c r="F143" s="19" t="s">
        <v>151</v>
      </c>
      <c r="G143" s="18"/>
      <c r="H143" s="19" t="s">
        <v>151</v>
      </c>
      <c r="I143" s="18"/>
      <c r="J143" s="19" t="s">
        <v>151</v>
      </c>
      <c r="K143" s="18"/>
      <c r="L143" s="19" t="s">
        <v>151</v>
      </c>
      <c r="N143" s="19" t="s">
        <v>152</v>
      </c>
      <c r="P143" s="19" t="s">
        <v>152</v>
      </c>
      <c r="R143" s="19" t="s">
        <v>152</v>
      </c>
      <c r="T143" s="19" t="s">
        <v>152</v>
      </c>
      <c r="AD143" s="19" t="s">
        <v>135</v>
      </c>
      <c r="AF143" s="19" t="s">
        <v>135</v>
      </c>
      <c r="AH143" s="19" t="s">
        <v>135</v>
      </c>
      <c r="AJ143" s="19" t="s">
        <v>135</v>
      </c>
    </row>
    <row r="144" spans="2:36" ht="12.75">
      <c r="B144" s="17" t="s">
        <v>110</v>
      </c>
      <c r="D144" s="17" t="s">
        <v>74</v>
      </c>
      <c r="F144" s="23">
        <f>1*60*1.388*8.33</f>
        <v>693.7224</v>
      </c>
      <c r="H144" s="23">
        <f>1*60*1.386*8.33</f>
        <v>692.7228</v>
      </c>
      <c r="J144" s="23">
        <f>1*60*1.389*8.33</f>
        <v>694.2222</v>
      </c>
      <c r="L144" s="23">
        <f aca="true" t="shared" si="19" ref="L144:L157">AVERAGE(F144,H144,J144)</f>
        <v>693.5558000000001</v>
      </c>
      <c r="N144" s="23">
        <f>2*60*0.87*8.33</f>
        <v>869.652</v>
      </c>
      <c r="P144" s="23">
        <f>2*60*0.869*8.33</f>
        <v>868.6524000000001</v>
      </c>
      <c r="R144" s="23">
        <f>2*60*0.869*8.33</f>
        <v>868.6524000000001</v>
      </c>
      <c r="T144" s="23">
        <f aca="true" t="shared" si="20" ref="T144:T157">AVERAGE(N144,P144,R144)</f>
        <v>868.9856</v>
      </c>
      <c r="AD144" s="23"/>
      <c r="AF144" s="23"/>
      <c r="AH144" s="23"/>
      <c r="AJ144" s="23"/>
    </row>
    <row r="145" spans="2:36" ht="12.75">
      <c r="B145" s="17" t="s">
        <v>40</v>
      </c>
      <c r="D145" s="17" t="s">
        <v>30</v>
      </c>
      <c r="F145" s="23">
        <v>11418</v>
      </c>
      <c r="H145" s="19">
        <v>11321</v>
      </c>
      <c r="J145" s="23">
        <v>11308</v>
      </c>
      <c r="L145" s="23">
        <f t="shared" si="19"/>
        <v>11349</v>
      </c>
      <c r="N145" s="19">
        <v>16014</v>
      </c>
      <c r="P145" s="19">
        <v>15866</v>
      </c>
      <c r="R145" s="19">
        <v>15922</v>
      </c>
      <c r="T145" s="23">
        <f t="shared" si="20"/>
        <v>15934</v>
      </c>
      <c r="AD145" s="23"/>
      <c r="AF145" s="23"/>
      <c r="AH145" s="23"/>
      <c r="AJ145" s="23"/>
    </row>
    <row r="146" spans="2:36" ht="12.75">
      <c r="B146" s="17" t="s">
        <v>32</v>
      </c>
      <c r="D146" s="17" t="s">
        <v>29</v>
      </c>
      <c r="F146" s="22">
        <f>0.0009*F144</f>
        <v>0.62435016</v>
      </c>
      <c r="G146" s="31"/>
      <c r="H146" s="22">
        <f>0.0009*H144</f>
        <v>0.62345052</v>
      </c>
      <c r="I146" s="31"/>
      <c r="J146" s="22">
        <f>0.0009*J144</f>
        <v>0.62479998</v>
      </c>
      <c r="L146" s="20">
        <f t="shared" si="19"/>
        <v>0.6242002200000001</v>
      </c>
      <c r="M146" s="23" t="s">
        <v>31</v>
      </c>
      <c r="N146" s="29">
        <f>0.0001*N144/2</f>
        <v>0.0434826</v>
      </c>
      <c r="O146" s="19" t="s">
        <v>31</v>
      </c>
      <c r="P146" s="29">
        <f>0.0001*P144/2</f>
        <v>0.043432620000000005</v>
      </c>
      <c r="Q146" s="19" t="s">
        <v>31</v>
      </c>
      <c r="R146" s="29">
        <f>0.0001*R144/2</f>
        <v>0.043432620000000005</v>
      </c>
      <c r="T146" s="23">
        <f t="shared" si="20"/>
        <v>0.04344928000000001</v>
      </c>
      <c r="AD146" s="24"/>
      <c r="AF146" s="24"/>
      <c r="AH146" s="24"/>
      <c r="AJ146" s="23"/>
    </row>
    <row r="147" spans="2:36" ht="12.75">
      <c r="B147" s="17" t="s">
        <v>33</v>
      </c>
      <c r="D147" s="17" t="s">
        <v>29</v>
      </c>
      <c r="E147" s="4" t="s">
        <v>31</v>
      </c>
      <c r="F147" s="22">
        <f>0.0002*F144/2</f>
        <v>0.06937224</v>
      </c>
      <c r="G147" s="32" t="s">
        <v>31</v>
      </c>
      <c r="H147" s="22">
        <f>0.0002*H144/2</f>
        <v>0.06927228</v>
      </c>
      <c r="I147" s="32" t="s">
        <v>31</v>
      </c>
      <c r="J147" s="22">
        <f>0.0002*J144/2</f>
        <v>0.06942222</v>
      </c>
      <c r="L147" s="20">
        <f t="shared" si="19"/>
        <v>0.06935558</v>
      </c>
      <c r="M147" s="23" t="s">
        <v>31</v>
      </c>
      <c r="N147" s="29">
        <f>0.0002*N144/2</f>
        <v>0.0869652</v>
      </c>
      <c r="O147" s="19" t="s">
        <v>31</v>
      </c>
      <c r="P147" s="29">
        <f>0.0002*P144/2</f>
        <v>0.08686524000000001</v>
      </c>
      <c r="Q147" s="19" t="s">
        <v>31</v>
      </c>
      <c r="R147" s="29">
        <f>0.0001*R145/2</f>
        <v>0.7961</v>
      </c>
      <c r="T147" s="23">
        <f t="shared" si="20"/>
        <v>0.3233101466666667</v>
      </c>
      <c r="AD147" s="24"/>
      <c r="AF147" s="24"/>
      <c r="AH147" s="24"/>
      <c r="AJ147" s="23"/>
    </row>
    <row r="148" spans="2:36" ht="12.75">
      <c r="B148" s="17" t="s">
        <v>101</v>
      </c>
      <c r="D148" s="17" t="s">
        <v>29</v>
      </c>
      <c r="F148" s="29">
        <f>0.00000089*F$144*453.6</f>
        <v>0.2800585077696</v>
      </c>
      <c r="G148" s="30"/>
      <c r="H148" s="29">
        <f>0.00000077*H144*453.6</f>
        <v>0.24194867780160004</v>
      </c>
      <c r="I148" s="30" t="s">
        <v>31</v>
      </c>
      <c r="J148" s="29">
        <f>0.00000074*J144*453.6</f>
        <v>0.23302540054080004</v>
      </c>
      <c r="L148" s="23">
        <f t="shared" si="19"/>
        <v>0.251677528704</v>
      </c>
      <c r="M148" s="21"/>
      <c r="N148" s="29">
        <f>0.0000015*N$144*453.6</f>
        <v>0.5917112208000002</v>
      </c>
      <c r="P148" s="29">
        <f>0.0000011*P$144*453.6</f>
        <v>0.43342280150400003</v>
      </c>
      <c r="Q148" s="19" t="s">
        <v>31</v>
      </c>
      <c r="R148" s="29">
        <f>0.00000078*R$144*453.6</f>
        <v>0.3073361683392001</v>
      </c>
      <c r="T148" s="23">
        <f t="shared" si="20"/>
        <v>0.44415673021440005</v>
      </c>
      <c r="AD148" s="24"/>
      <c r="AF148" s="24"/>
      <c r="AH148" s="24"/>
      <c r="AJ148" s="23"/>
    </row>
    <row r="149" spans="2:36" ht="12.75">
      <c r="B149" s="17" t="s">
        <v>97</v>
      </c>
      <c r="D149" s="17" t="s">
        <v>29</v>
      </c>
      <c r="F149" s="29">
        <f>0.0000021*F144*453.6</f>
        <v>0.660812209344</v>
      </c>
      <c r="G149" s="4"/>
      <c r="H149" s="29">
        <f>0.0000015*H144*453.6</f>
        <v>0.4713285931200001</v>
      </c>
      <c r="I149" s="4"/>
      <c r="J149" s="29">
        <f>0.0000019*J144*453.6</f>
        <v>0.598308460848</v>
      </c>
      <c r="L149" s="23">
        <f t="shared" si="19"/>
        <v>0.576816421104</v>
      </c>
      <c r="N149" s="29">
        <f>0.0000042*N144*453.6</f>
        <v>1.65679141824</v>
      </c>
      <c r="P149" s="29">
        <f>0.0000045*P144*453.6</f>
        <v>1.77309327888</v>
      </c>
      <c r="R149" s="29">
        <f>0.0000035*R144*453.6</f>
        <v>1.37907255024</v>
      </c>
      <c r="T149" s="23">
        <f t="shared" si="20"/>
        <v>1.6029857491200001</v>
      </c>
      <c r="AD149" s="24"/>
      <c r="AF149" s="24"/>
      <c r="AH149" s="24"/>
      <c r="AJ149" s="23"/>
    </row>
    <row r="150" spans="2:36" ht="12.75">
      <c r="B150" s="17" t="s">
        <v>98</v>
      </c>
      <c r="D150" s="17" t="s">
        <v>29</v>
      </c>
      <c r="F150" s="29">
        <f>0.000000078*F$144*453.6</f>
        <v>0.024544453489919998</v>
      </c>
      <c r="G150" s="34" t="s">
        <v>31</v>
      </c>
      <c r="H150" s="29">
        <f>0.00000019*H144*453.6</f>
        <v>0.0597016217952</v>
      </c>
      <c r="I150" s="34"/>
      <c r="J150" s="29">
        <f>0.00000014*J144*453.6</f>
        <v>0.044085886588800006</v>
      </c>
      <c r="L150" s="23">
        <f t="shared" si="19"/>
        <v>0.04277732062464001</v>
      </c>
      <c r="M150" s="21"/>
      <c r="N150" s="29">
        <f>0.00000011*N$144*453.6</f>
        <v>0.04339215619200001</v>
      </c>
      <c r="P150" s="29">
        <f>0.0000001*P$144*453.6</f>
        <v>0.03940207286400001</v>
      </c>
      <c r="R150" s="29">
        <f>0.00000012*R$144*453.6</f>
        <v>0.047282487436800004</v>
      </c>
      <c r="T150" s="23">
        <f t="shared" si="20"/>
        <v>0.0433589054976</v>
      </c>
      <c r="AD150" s="24"/>
      <c r="AF150" s="24"/>
      <c r="AH150" s="24"/>
      <c r="AJ150" s="23"/>
    </row>
    <row r="151" spans="2:36" ht="12.75">
      <c r="B151" s="17" t="s">
        <v>99</v>
      </c>
      <c r="D151" s="17" t="s">
        <v>29</v>
      </c>
      <c r="F151" s="29">
        <f>0.000000072*F144*453.6</f>
        <v>0.02265641860608</v>
      </c>
      <c r="G151" s="34"/>
      <c r="H151" s="29">
        <f>0.000000051*H$144*453.6</f>
        <v>0.01602517216608</v>
      </c>
      <c r="I151" s="34" t="s">
        <v>31</v>
      </c>
      <c r="J151" s="29">
        <f>0.000000033*J$144*453.6</f>
        <v>0.01039167326736</v>
      </c>
      <c r="L151" s="23">
        <f t="shared" si="19"/>
        <v>0.016357754679840002</v>
      </c>
      <c r="M151" s="21"/>
      <c r="N151" s="29">
        <f>0.0000001*N$144*453.6</f>
        <v>0.039447414720000004</v>
      </c>
      <c r="P151" s="29">
        <f>0.00000014*P$144*453.6</f>
        <v>0.05516290200960001</v>
      </c>
      <c r="R151" s="29">
        <f>0.000000083*R$144*453.6</f>
        <v>0.03270372047712001</v>
      </c>
      <c r="T151" s="23">
        <f t="shared" si="20"/>
        <v>0.04243801240224001</v>
      </c>
      <c r="AD151" s="24"/>
      <c r="AF151" s="24"/>
      <c r="AH151" s="24"/>
      <c r="AJ151" s="23"/>
    </row>
    <row r="152" spans="2:36" ht="12.75">
      <c r="B152" s="17" t="s">
        <v>103</v>
      </c>
      <c r="D152" s="17" t="s">
        <v>29</v>
      </c>
      <c r="F152" s="29">
        <f>0.00000014*F144*453.6</f>
        <v>0.044054147289600006</v>
      </c>
      <c r="G152" s="34"/>
      <c r="H152" s="29">
        <f>0.000000017*H$144*453.6</f>
        <v>0.00534172405536</v>
      </c>
      <c r="I152" s="34" t="s">
        <v>31</v>
      </c>
      <c r="J152" s="29">
        <f>0.000000067*J$144*453.6</f>
        <v>0.021098245724640002</v>
      </c>
      <c r="L152" s="23">
        <f t="shared" si="19"/>
        <v>0.023498039023200006</v>
      </c>
      <c r="M152" s="21"/>
      <c r="N152" s="29">
        <f>0.00000027*N$144*453.6</f>
        <v>0.10650801974400002</v>
      </c>
      <c r="P152" s="29">
        <f>0.00000019*P$144*453.6</f>
        <v>0.07486393844160001</v>
      </c>
      <c r="R152" s="29">
        <f>0.00000014*R$144*453.6</f>
        <v>0.05516290200960001</v>
      </c>
      <c r="T152" s="23">
        <f t="shared" si="20"/>
        <v>0.07884495339840002</v>
      </c>
      <c r="AD152" s="24"/>
      <c r="AF152" s="24"/>
      <c r="AH152" s="24"/>
      <c r="AJ152" s="23"/>
    </row>
    <row r="153" spans="2:36" ht="12.75">
      <c r="B153" s="17" t="s">
        <v>105</v>
      </c>
      <c r="D153" s="17" t="s">
        <v>29</v>
      </c>
      <c r="F153" s="29">
        <f>0.00000058*F$144*453.6</f>
        <v>0.18251003877119998</v>
      </c>
      <c r="G153" s="34"/>
      <c r="H153" s="29">
        <f>0.000002*H$144*453.6</f>
        <v>0.62843812416</v>
      </c>
      <c r="I153" s="34"/>
      <c r="J153" s="29">
        <f>0.0000018*J$144*453.6</f>
        <v>0.566818541856</v>
      </c>
      <c r="L153" s="23">
        <f t="shared" si="19"/>
        <v>0.4592555682624</v>
      </c>
      <c r="M153" s="21"/>
      <c r="N153" s="29">
        <f>0.00000055*N$144*453.6</f>
        <v>0.21696078096000002</v>
      </c>
      <c r="O153" s="19" t="s">
        <v>31</v>
      </c>
      <c r="P153" s="29">
        <f>0.00000015*P$144*453.6</f>
        <v>0.05910310929600001</v>
      </c>
      <c r="R153" s="29">
        <f>0.00000034*R$144*453.6</f>
        <v>0.13396704773760001</v>
      </c>
      <c r="T153" s="23">
        <f t="shared" si="20"/>
        <v>0.13667697933120002</v>
      </c>
      <c r="AD153" s="24"/>
      <c r="AF153" s="24"/>
      <c r="AH153" s="24"/>
      <c r="AJ153" s="23"/>
    </row>
    <row r="154" spans="2:36" ht="12.75">
      <c r="B154" s="17" t="s">
        <v>102</v>
      </c>
      <c r="D154" s="17" t="s">
        <v>29</v>
      </c>
      <c r="F154" s="29">
        <f>0.0000016*F$144*453.6</f>
        <v>0.503475969024</v>
      </c>
      <c r="G154" s="34"/>
      <c r="H154" s="29">
        <f>0.0000013*H$144*453.6</f>
        <v>0.408484780704</v>
      </c>
      <c r="I154" s="34"/>
      <c r="J154" s="29">
        <f>0.0000017*J$144*453.6</f>
        <v>0.5353286228640001</v>
      </c>
      <c r="L154" s="23">
        <f t="shared" si="19"/>
        <v>0.482429790864</v>
      </c>
      <c r="M154" s="21"/>
      <c r="N154" s="29">
        <f>0.0000013*N$144*453.6</f>
        <v>0.5128163913600001</v>
      </c>
      <c r="P154" s="29">
        <f>0.0000019*P$144*453.6</f>
        <v>0.7486393844160001</v>
      </c>
      <c r="R154" s="29">
        <f>0.0000013*R$144*453.6</f>
        <v>0.5122269472320001</v>
      </c>
      <c r="T154" s="23">
        <f t="shared" si="20"/>
        <v>0.591227574336</v>
      </c>
      <c r="AD154" s="24"/>
      <c r="AF154" s="24"/>
      <c r="AH154" s="24"/>
      <c r="AJ154" s="23"/>
    </row>
    <row r="155" spans="2:36" ht="12.75">
      <c r="B155" s="17" t="s">
        <v>109</v>
      </c>
      <c r="D155" s="17" t="s">
        <v>29</v>
      </c>
      <c r="F155" s="29">
        <f>0.000000014*F$144*453.6</f>
        <v>0.00440541472896</v>
      </c>
      <c r="G155" s="34" t="s">
        <v>31</v>
      </c>
      <c r="H155" s="29">
        <f>0.000000016*H$144*453.6</f>
        <v>0.005027504993280001</v>
      </c>
      <c r="I155" s="34" t="s">
        <v>31</v>
      </c>
      <c r="J155" s="29">
        <f>0.000000016*J$144*453.6</f>
        <v>0.005038387038720001</v>
      </c>
      <c r="L155" s="23">
        <f t="shared" si="19"/>
        <v>0.004823768920320001</v>
      </c>
      <c r="M155" s="21"/>
      <c r="N155" s="29">
        <f>0.000000075*N$144*453.6</f>
        <v>0.029585561040000003</v>
      </c>
      <c r="P155" s="29">
        <f>0.00000011*P$144*453.6</f>
        <v>0.04334228015040001</v>
      </c>
      <c r="R155" s="29">
        <f>0.000000077*R$144*453.6</f>
        <v>0.030339596105280007</v>
      </c>
      <c r="T155" s="23">
        <f t="shared" si="20"/>
        <v>0.034422479098560006</v>
      </c>
      <c r="AD155" s="24"/>
      <c r="AF155" s="24"/>
      <c r="AH155" s="24"/>
      <c r="AJ155" s="23"/>
    </row>
    <row r="156" spans="2:36" ht="12.75">
      <c r="B156" s="17" t="s">
        <v>104</v>
      </c>
      <c r="D156" s="17" t="s">
        <v>29</v>
      </c>
      <c r="F156" s="29">
        <f>0.00000026*F$144*453.6</f>
        <v>0.0818148449664</v>
      </c>
      <c r="G156" s="34"/>
      <c r="H156" s="29">
        <f>0.00000048*H$144*453.6</f>
        <v>0.15082514979839998</v>
      </c>
      <c r="I156" s="34"/>
      <c r="J156" s="29">
        <f>0.00000031*J$144*453.6</f>
        <v>0.09761874887520001</v>
      </c>
      <c r="L156" s="23">
        <f t="shared" si="19"/>
        <v>0.11008624787999999</v>
      </c>
      <c r="M156" s="21"/>
      <c r="N156" s="29">
        <f>0.00000066*N$144*453.6</f>
        <v>0.26035293715200003</v>
      </c>
      <c r="O156" s="19" t="s">
        <v>31</v>
      </c>
      <c r="P156" s="29">
        <f>0.00000016*P$144*453.6</f>
        <v>0.06304331658240002</v>
      </c>
      <c r="R156" s="29">
        <f>0.00000036*R$144*453.6</f>
        <v>0.14184746231040002</v>
      </c>
      <c r="T156" s="23">
        <f t="shared" si="20"/>
        <v>0.15508123868160004</v>
      </c>
      <c r="AD156" s="24"/>
      <c r="AF156" s="24"/>
      <c r="AH156" s="24"/>
      <c r="AJ156" s="23"/>
    </row>
    <row r="157" spans="2:36" ht="12.75">
      <c r="B157" s="17" t="s">
        <v>100</v>
      </c>
      <c r="D157" s="17" t="s">
        <v>29</v>
      </c>
      <c r="E157" s="4" t="s">
        <v>31</v>
      </c>
      <c r="F157" s="29">
        <f>0.0000009*F$144*453.6</f>
        <v>0.283205232576</v>
      </c>
      <c r="G157" s="30" t="s">
        <v>31</v>
      </c>
      <c r="H157" s="29">
        <f>0.000006*H$144*453.6</f>
        <v>1.8853143724800003</v>
      </c>
      <c r="I157" s="30" t="s">
        <v>31</v>
      </c>
      <c r="J157" s="29">
        <f>0.000007*J$144*453.6</f>
        <v>2.20429432944</v>
      </c>
      <c r="K157" s="24"/>
      <c r="L157" s="23">
        <f t="shared" si="19"/>
        <v>1.4576046448320001</v>
      </c>
      <c r="M157" s="30" t="s">
        <v>31</v>
      </c>
      <c r="N157" s="29">
        <f>0.000007*N$144*453.6</f>
        <v>2.7613190304</v>
      </c>
      <c r="O157" s="30" t="s">
        <v>31</v>
      </c>
      <c r="P157" s="29">
        <f>0.000007*P$144*453.6</f>
        <v>2.75814510048</v>
      </c>
      <c r="Q157" s="30" t="s">
        <v>31</v>
      </c>
      <c r="R157" s="29">
        <f>0.000007*R$144*453.6</f>
        <v>2.75814510048</v>
      </c>
      <c r="T157" s="23">
        <f t="shared" si="20"/>
        <v>2.75920307712</v>
      </c>
      <c r="AD157" s="24"/>
      <c r="AF157" s="24"/>
      <c r="AH157" s="24"/>
      <c r="AJ157" s="23"/>
    </row>
    <row r="158" spans="7:36" ht="12.75">
      <c r="G158" s="4"/>
      <c r="I158" s="4"/>
      <c r="J158" s="18"/>
      <c r="L158" s="24"/>
      <c r="M158" s="24"/>
      <c r="T158" s="23"/>
      <c r="AD158" s="24"/>
      <c r="AF158" s="23"/>
      <c r="AH158" s="23"/>
      <c r="AJ158" s="23">
        <f>L158+T158</f>
        <v>0</v>
      </c>
    </row>
    <row r="159" spans="2:36" ht="12.75">
      <c r="B159" s="17" t="s">
        <v>41</v>
      </c>
      <c r="D159" s="17" t="s">
        <v>25</v>
      </c>
      <c r="F159" s="9">
        <v>11197</v>
      </c>
      <c r="G159" s="9"/>
      <c r="H159" s="9">
        <v>9986</v>
      </c>
      <c r="I159" s="9"/>
      <c r="J159" s="9">
        <v>10402</v>
      </c>
      <c r="K159" s="9"/>
      <c r="L159" s="14">
        <f>AVERAGE(J159,H159,F159)</f>
        <v>10528.333333333334</v>
      </c>
      <c r="M159" s="23"/>
      <c r="N159" s="9">
        <v>11197</v>
      </c>
      <c r="O159" s="9"/>
      <c r="P159" s="9">
        <v>9986</v>
      </c>
      <c r="Q159" s="9"/>
      <c r="R159" s="9">
        <v>10402</v>
      </c>
      <c r="S159" s="9"/>
      <c r="T159" s="14">
        <f>AVERAGE(R159,P159,N159)</f>
        <v>10528.333333333334</v>
      </c>
      <c r="AD159" s="9">
        <v>11197</v>
      </c>
      <c r="AE159" s="9"/>
      <c r="AF159" s="9">
        <v>9986</v>
      </c>
      <c r="AG159" s="9"/>
      <c r="AH159" s="9">
        <v>10402</v>
      </c>
      <c r="AI159" s="9"/>
      <c r="AJ159" s="14">
        <f>AVERAGE(AH159,AF159,AD159)</f>
        <v>10528.333333333334</v>
      </c>
    </row>
    <row r="160" spans="2:36" ht="12.75">
      <c r="B160" s="17" t="s">
        <v>42</v>
      </c>
      <c r="D160" s="17" t="s">
        <v>26</v>
      </c>
      <c r="F160" s="9">
        <v>4</v>
      </c>
      <c r="G160" s="9"/>
      <c r="H160" s="9">
        <v>4</v>
      </c>
      <c r="I160" s="9"/>
      <c r="J160" s="9">
        <v>4.6</v>
      </c>
      <c r="K160" s="9"/>
      <c r="L160" s="13">
        <f>AVERAGE(J160,H160,F160)</f>
        <v>4.2</v>
      </c>
      <c r="M160" s="24"/>
      <c r="N160" s="9">
        <v>4</v>
      </c>
      <c r="O160" s="9"/>
      <c r="P160" s="9">
        <v>4</v>
      </c>
      <c r="Q160" s="9"/>
      <c r="R160" s="9">
        <v>4.6</v>
      </c>
      <c r="S160" s="9"/>
      <c r="T160" s="13">
        <f>AVERAGE(R160,P160,N160)</f>
        <v>4.2</v>
      </c>
      <c r="AD160" s="9">
        <v>4</v>
      </c>
      <c r="AE160" s="9"/>
      <c r="AF160" s="9">
        <v>4</v>
      </c>
      <c r="AG160" s="9"/>
      <c r="AH160" s="9">
        <v>4.6</v>
      </c>
      <c r="AI160" s="9"/>
      <c r="AJ160" s="13">
        <f>AVERAGE(AH160,AF160,AD160)</f>
        <v>4.2</v>
      </c>
    </row>
    <row r="161" spans="7:36" ht="12.75">
      <c r="G161" s="4"/>
      <c r="I161" s="4"/>
      <c r="J161" s="18"/>
      <c r="T161" s="23"/>
      <c r="AD161" s="23"/>
      <c r="AF161" s="9">
        <v>4</v>
      </c>
      <c r="AH161" s="23">
        <f>J161+R161</f>
        <v>0</v>
      </c>
      <c r="AJ161" s="23">
        <f>L161+T161</f>
        <v>0</v>
      </c>
    </row>
    <row r="162" spans="2:36" ht="12.75">
      <c r="B162" s="17" t="s">
        <v>108</v>
      </c>
      <c r="D162" s="17" t="s">
        <v>39</v>
      </c>
      <c r="F162" s="22">
        <f>F145*F144/1000000</f>
        <v>7.9209223632</v>
      </c>
      <c r="G162" s="4"/>
      <c r="H162" s="22">
        <f>H145*H144/1000000</f>
        <v>7.8423148188</v>
      </c>
      <c r="I162" s="4"/>
      <c r="J162" s="22">
        <f>J145*J144/1000000</f>
        <v>7.850264637600001</v>
      </c>
      <c r="L162" s="20">
        <f>AVERAGE(F162,H162,J162)</f>
        <v>7.871167273200001</v>
      </c>
      <c r="M162" s="20"/>
      <c r="N162" s="22">
        <f>N145*N144/1000000</f>
        <v>13.926607128</v>
      </c>
      <c r="P162" s="22">
        <f>P145*P144/1000000</f>
        <v>13.782038978400001</v>
      </c>
      <c r="R162" s="22">
        <f>R145*R144/1000000</f>
        <v>13.8306835128</v>
      </c>
      <c r="T162" s="23">
        <f>AVERAGE(N162,P162,R162)</f>
        <v>13.846443206400002</v>
      </c>
      <c r="V162" s="20">
        <f>SUM(F162,N162)</f>
        <v>21.8475294912</v>
      </c>
      <c r="X162" s="20">
        <f>SUM(H162,P162)</f>
        <v>21.6243537972</v>
      </c>
      <c r="Z162" s="20">
        <f>SUM(J162,R162)</f>
        <v>21.680948150400003</v>
      </c>
      <c r="AB162" s="20">
        <f>SUM(L162,T162)</f>
        <v>21.717610479600005</v>
      </c>
      <c r="AD162" s="23">
        <f>F162+N162</f>
        <v>21.8475294912</v>
      </c>
      <c r="AE162" s="23"/>
      <c r="AF162" s="23">
        <f>H162+P162</f>
        <v>21.6243537972</v>
      </c>
      <c r="AH162" s="23">
        <f>J162+R162</f>
        <v>21.680948150400003</v>
      </c>
      <c r="AJ162" s="13">
        <f>AVERAGE(AH162,AF162,AD162)</f>
        <v>21.7176104796</v>
      </c>
    </row>
    <row r="163" spans="6:29" ht="12.75">
      <c r="F163" s="19"/>
      <c r="G163" s="4"/>
      <c r="I163" s="4"/>
      <c r="J163" s="18"/>
      <c r="L163" s="22"/>
      <c r="M163" s="22"/>
      <c r="T163" s="23"/>
      <c r="V163" s="23"/>
      <c r="X163" s="23"/>
      <c r="Z163" s="23"/>
      <c r="AB163" s="23"/>
      <c r="AC163" s="23"/>
    </row>
    <row r="164" spans="6:26" ht="12.75">
      <c r="F164" s="19"/>
      <c r="G164" s="4"/>
      <c r="I164" s="4"/>
      <c r="J164" s="18"/>
      <c r="L164" s="22"/>
      <c r="M164" s="22"/>
      <c r="V164" s="23"/>
      <c r="X164" s="23"/>
      <c r="Z164" s="23"/>
    </row>
    <row r="165" spans="2:26" ht="12.75">
      <c r="B165" s="38" t="s">
        <v>82</v>
      </c>
      <c r="C165" s="38"/>
      <c r="F165" s="19"/>
      <c r="G165" s="4"/>
      <c r="I165" s="4"/>
      <c r="J165" s="18"/>
      <c r="L165" s="22"/>
      <c r="M165" s="22"/>
      <c r="V165" s="23"/>
      <c r="X165" s="23"/>
      <c r="Z165" s="23"/>
    </row>
    <row r="166" spans="2:36" ht="12.75">
      <c r="B166" s="17" t="s">
        <v>32</v>
      </c>
      <c r="D166" s="17" t="s">
        <v>44</v>
      </c>
      <c r="F166" s="29">
        <f>F146/F159/60/0.0283*1000*(21-7)/(21-F160)</f>
        <v>0.027043816317533307</v>
      </c>
      <c r="G166" s="4"/>
      <c r="H166" s="29">
        <f>H146/H159/60/0.0283*1000*(21-7)/(21-H160)</f>
        <v>0.03027972023023046</v>
      </c>
      <c r="I166" s="4"/>
      <c r="J166" s="29">
        <f>J146/J159/60/0.0283*1000*(21-7)/(21-J160)</f>
        <v>0.030197477006515122</v>
      </c>
      <c r="L166" s="24">
        <f>AVERAGE(F166,H166,J166)</f>
        <v>0.029173671184759626</v>
      </c>
      <c r="M166" s="23">
        <v>100</v>
      </c>
      <c r="N166" s="33">
        <f>N146/N159/60/0.0283*1000*(21-7)/(21-N160)/2</f>
        <v>0.0009417275134587728</v>
      </c>
      <c r="O166" s="23">
        <v>100</v>
      </c>
      <c r="P166" s="33">
        <f>P146/P159/60/0.0283*1000*(21-7)/(21-P160)/2</f>
        <v>0.0010547168863263695</v>
      </c>
      <c r="Q166" s="23">
        <v>100</v>
      </c>
      <c r="R166" s="33">
        <f>R146/R159/60/0.0283*1000*(21-7)/(21-R160)/2</f>
        <v>0.0010495803343197202</v>
      </c>
      <c r="S166" s="19">
        <v>100</v>
      </c>
      <c r="T166" s="21">
        <f aca="true" t="shared" si="21" ref="T166:T177">AVERAGE(N166,P166,R166)</f>
        <v>0.0010153415780349542</v>
      </c>
      <c r="U166" s="23">
        <f>(E166*F166+M166*N166)/V166</f>
        <v>3.3650498955674175</v>
      </c>
      <c r="V166" s="24">
        <f>F166+N166</f>
        <v>0.02798554383099208</v>
      </c>
      <c r="W166" s="23">
        <f>(G166*H166+O166*P166)/X166</f>
        <v>3.365999147848317</v>
      </c>
      <c r="X166" s="24">
        <f>H166+P166</f>
        <v>0.031334437116556826</v>
      </c>
      <c r="Y166" s="23">
        <f>(I166*J166+Q166*R166)/Z166</f>
        <v>3.3589733678636318</v>
      </c>
      <c r="Z166" s="24">
        <f>J166+R166</f>
        <v>0.03124705734083484</v>
      </c>
      <c r="AA166" s="23">
        <f>(K166*L166+S166*T166)/AB166</f>
        <v>3.363281820484959</v>
      </c>
      <c r="AB166" s="24">
        <f>AVERAGE(V166,X166,Z166)</f>
        <v>0.030189012762794582</v>
      </c>
      <c r="AC166" s="23">
        <f aca="true" t="shared" si="22" ref="AC166:AJ166">U166</f>
        <v>3.3650498955674175</v>
      </c>
      <c r="AD166" s="24">
        <f t="shared" si="22"/>
        <v>0.02798554383099208</v>
      </c>
      <c r="AE166" s="23">
        <f t="shared" si="22"/>
        <v>3.365999147848317</v>
      </c>
      <c r="AF166" s="24">
        <f t="shared" si="22"/>
        <v>0.031334437116556826</v>
      </c>
      <c r="AG166" s="23">
        <f t="shared" si="22"/>
        <v>3.3589733678636318</v>
      </c>
      <c r="AH166" s="24">
        <f t="shared" si="22"/>
        <v>0.03124705734083484</v>
      </c>
      <c r="AI166" s="23">
        <f t="shared" si="22"/>
        <v>3.363281820484959</v>
      </c>
      <c r="AJ166" s="24">
        <f t="shared" si="22"/>
        <v>0.030189012762794582</v>
      </c>
    </row>
    <row r="167" spans="2:36" ht="12.75">
      <c r="B167" s="17" t="s">
        <v>33</v>
      </c>
      <c r="D167" s="17" t="s">
        <v>45</v>
      </c>
      <c r="E167" s="4">
        <v>100</v>
      </c>
      <c r="F167" s="25">
        <f aca="true" t="shared" si="23" ref="F167:F177">F147/F$159/60/0.0283*1000000*(21-7)/(21-F$160)</f>
        <v>3.004868479725924</v>
      </c>
      <c r="G167" s="32">
        <v>100</v>
      </c>
      <c r="H167" s="25">
        <f aca="true" t="shared" si="24" ref="H167:H177">H147/H$159/60/0.0283*1000000*(21-7)/(21-H$160)</f>
        <v>3.3644133589144953</v>
      </c>
      <c r="I167" s="32">
        <v>100</v>
      </c>
      <c r="J167" s="25">
        <f aca="true" t="shared" si="25" ref="J167:J177">J147/J$159/60/0.0283*1000000*(21-7)/(21-J$160)</f>
        <v>3.355275222946124</v>
      </c>
      <c r="K167" s="19">
        <v>100</v>
      </c>
      <c r="L167" s="20">
        <f aca="true" t="shared" si="26" ref="L167:L177">AVERAGE(F167,H167,J167)</f>
        <v>3.2415190205288478</v>
      </c>
      <c r="M167" s="23">
        <v>100</v>
      </c>
      <c r="N167" s="25">
        <f>N147/N$159/60/0.0283*1000000*(21-7)/(21-N$160)/2</f>
        <v>1.8834550269175456</v>
      </c>
      <c r="O167" s="23">
        <v>100</v>
      </c>
      <c r="P167" s="25">
        <f>P147/P$159/60/0.0283*1000000*(21-7)/(21-P$160)/2</f>
        <v>2.1094337726527392</v>
      </c>
      <c r="Q167" s="23">
        <v>100</v>
      </c>
      <c r="R167" s="25">
        <f>R147/R$159/60/0.0283*1000000*(21-7)/(21-R$160)/2</f>
        <v>19.238326035867264</v>
      </c>
      <c r="S167" s="19">
        <v>100</v>
      </c>
      <c r="T167" s="20">
        <f t="shared" si="21"/>
        <v>7.743738278479182</v>
      </c>
      <c r="U167" s="23">
        <f aca="true" t="shared" si="27" ref="U167:AA177">(E167*F167+M167*N167)/V167</f>
        <v>99.99999999999999</v>
      </c>
      <c r="V167" s="23">
        <f aca="true" t="shared" si="28" ref="V167:Z177">F167+N167</f>
        <v>4.88832350664347</v>
      </c>
      <c r="W167" s="23">
        <f t="shared" si="27"/>
        <v>99.99999999999999</v>
      </c>
      <c r="X167" s="23">
        <f t="shared" si="28"/>
        <v>5.473847131567235</v>
      </c>
      <c r="Y167" s="23">
        <f t="shared" si="27"/>
        <v>100</v>
      </c>
      <c r="Z167" s="23">
        <f t="shared" si="28"/>
        <v>22.593601258813386</v>
      </c>
      <c r="AA167" s="23">
        <f t="shared" si="27"/>
        <v>99.99999999999999</v>
      </c>
      <c r="AB167" s="23">
        <f aca="true" t="shared" si="29" ref="AB167:AB180">AVERAGE(V167,X167,Z167)</f>
        <v>10.985257299008031</v>
      </c>
      <c r="AC167" s="23">
        <f aca="true" t="shared" si="30" ref="AC167:AC177">U167</f>
        <v>99.99999999999999</v>
      </c>
      <c r="AD167" s="23">
        <f aca="true" t="shared" si="31" ref="AD167:AD177">V167</f>
        <v>4.88832350664347</v>
      </c>
      <c r="AE167" s="23">
        <f aca="true" t="shared" si="32" ref="AE167:AE177">W167</f>
        <v>99.99999999999999</v>
      </c>
      <c r="AF167" s="23">
        <f aca="true" t="shared" si="33" ref="AF167:AF177">X167</f>
        <v>5.473847131567235</v>
      </c>
      <c r="AG167" s="23">
        <f aca="true" t="shared" si="34" ref="AG167:AG177">Y167</f>
        <v>100</v>
      </c>
      <c r="AH167" s="23">
        <f aca="true" t="shared" si="35" ref="AH167:AH177">Z167</f>
        <v>22.593601258813386</v>
      </c>
      <c r="AI167" s="23">
        <f aca="true" t="shared" si="36" ref="AI167:AI177">AA167</f>
        <v>99.99999999999999</v>
      </c>
      <c r="AJ167" s="23">
        <f aca="true" t="shared" si="37" ref="AJ167:AJ177">AB167</f>
        <v>10.985257299008031</v>
      </c>
    </row>
    <row r="168" spans="2:36" ht="12.75">
      <c r="B168" s="17" t="s">
        <v>101</v>
      </c>
      <c r="D168" s="17" t="s">
        <v>45</v>
      </c>
      <c r="F168" s="25">
        <f t="shared" si="23"/>
        <v>12.130774247392743</v>
      </c>
      <c r="G168" s="30"/>
      <c r="H168" s="25">
        <f t="shared" si="24"/>
        <v>11.750953826947834</v>
      </c>
      <c r="I168" s="32">
        <v>100</v>
      </c>
      <c r="J168" s="25">
        <f t="shared" si="25"/>
        <v>11.262451024349879</v>
      </c>
      <c r="K168" s="19">
        <f>(J168)/3/L168*100</f>
        <v>32.046419387754426</v>
      </c>
      <c r="L168" s="20">
        <f t="shared" si="26"/>
        <v>11.714726366230153</v>
      </c>
      <c r="M168" s="21"/>
      <c r="N168" s="25">
        <f aca="true" t="shared" si="38" ref="N168:N176">N148/N$159/60/0.0283*1000000*(21-7)/(21-N$160)</f>
        <v>25.630056006293973</v>
      </c>
      <c r="P168" s="25">
        <f>P148/P$159/60/0.0283*1000000*(21-7)/(21-P$160)</f>
        <v>21.05046150405621</v>
      </c>
      <c r="Q168" s="23">
        <v>100</v>
      </c>
      <c r="R168" s="25">
        <f>R148/R$159/60/0.0283*1000000*(21-7)/(21-R$160)/2</f>
        <v>7.426998378499832</v>
      </c>
      <c r="S168" s="23">
        <f>(R168)/3/T168*100</f>
        <v>13.726371016101885</v>
      </c>
      <c r="T168" s="20">
        <f t="shared" si="21"/>
        <v>18.035838629616674</v>
      </c>
      <c r="U168" s="23">
        <f t="shared" si="27"/>
        <v>0</v>
      </c>
      <c r="V168" s="23">
        <f t="shared" si="28"/>
        <v>37.76083025368672</v>
      </c>
      <c r="W168" s="23">
        <f t="shared" si="27"/>
        <v>0</v>
      </c>
      <c r="X168" s="23">
        <f t="shared" si="28"/>
        <v>32.801415331004044</v>
      </c>
      <c r="Y168" s="23">
        <f t="shared" si="27"/>
        <v>100</v>
      </c>
      <c r="Z168" s="23">
        <f t="shared" si="28"/>
        <v>18.68944940284971</v>
      </c>
      <c r="AA168" s="23">
        <f t="shared" si="27"/>
        <v>20.94016187082918</v>
      </c>
      <c r="AB168" s="23">
        <f t="shared" si="29"/>
        <v>29.750564995846826</v>
      </c>
      <c r="AC168" s="23">
        <f t="shared" si="30"/>
        <v>0</v>
      </c>
      <c r="AD168" s="23">
        <f t="shared" si="31"/>
        <v>37.76083025368672</v>
      </c>
      <c r="AE168" s="23">
        <f t="shared" si="32"/>
        <v>0</v>
      </c>
      <c r="AF168" s="23">
        <f t="shared" si="33"/>
        <v>32.801415331004044</v>
      </c>
      <c r="AG168" s="23">
        <f t="shared" si="34"/>
        <v>100</v>
      </c>
      <c r="AH168" s="23">
        <f t="shared" si="35"/>
        <v>18.68944940284971</v>
      </c>
      <c r="AI168" s="23">
        <f t="shared" si="36"/>
        <v>20.94016187082918</v>
      </c>
      <c r="AJ168" s="23">
        <f t="shared" si="37"/>
        <v>29.750564995846826</v>
      </c>
    </row>
    <row r="169" spans="2:36" ht="12.75">
      <c r="B169" s="17" t="s">
        <v>97</v>
      </c>
      <c r="D169" s="17" t="s">
        <v>45</v>
      </c>
      <c r="F169" s="25">
        <f t="shared" si="23"/>
        <v>28.623175190477255</v>
      </c>
      <c r="G169" s="4"/>
      <c r="H169" s="25">
        <f t="shared" si="24"/>
        <v>22.891468494054223</v>
      </c>
      <c r="I169" s="4"/>
      <c r="J169" s="25">
        <f t="shared" si="25"/>
        <v>28.91710398143888</v>
      </c>
      <c r="L169" s="20">
        <f t="shared" si="26"/>
        <v>26.810582555323453</v>
      </c>
      <c r="N169" s="25">
        <f t="shared" si="38"/>
        <v>71.76415681762309</v>
      </c>
      <c r="O169" s="20"/>
      <c r="P169" s="25">
        <f>P149/P$159/60/0.0283*1000000*(21-7)/(21-P$160)</f>
        <v>86.1155243347754</v>
      </c>
      <c r="Q169" s="20"/>
      <c r="R169" s="25">
        <f aca="true" t="shared" si="39" ref="R169:R176">R149/R$159/60/0.0283*1000000*(21-7)/(21-R$160)</f>
        <v>66.6525495506395</v>
      </c>
      <c r="T169" s="20">
        <f t="shared" si="21"/>
        <v>74.84407690101267</v>
      </c>
      <c r="U169" s="23">
        <f t="shared" si="27"/>
        <v>0</v>
      </c>
      <c r="V169" s="23">
        <f t="shared" si="28"/>
        <v>100.38733200810034</v>
      </c>
      <c r="W169" s="23">
        <f t="shared" si="27"/>
        <v>0</v>
      </c>
      <c r="X169" s="23">
        <f t="shared" si="28"/>
        <v>109.00699282882962</v>
      </c>
      <c r="Y169" s="23">
        <f t="shared" si="27"/>
        <v>0</v>
      </c>
      <c r="Z169" s="23">
        <f t="shared" si="28"/>
        <v>95.56965353207839</v>
      </c>
      <c r="AA169" s="23">
        <f t="shared" si="27"/>
        <v>0</v>
      </c>
      <c r="AB169" s="23">
        <f t="shared" si="29"/>
        <v>101.65465945633612</v>
      </c>
      <c r="AC169" s="23">
        <f t="shared" si="30"/>
        <v>0</v>
      </c>
      <c r="AD169" s="23">
        <f t="shared" si="31"/>
        <v>100.38733200810034</v>
      </c>
      <c r="AE169" s="23">
        <f t="shared" si="32"/>
        <v>0</v>
      </c>
      <c r="AF169" s="23">
        <f t="shared" si="33"/>
        <v>109.00699282882962</v>
      </c>
      <c r="AG169" s="23">
        <f t="shared" si="34"/>
        <v>0</v>
      </c>
      <c r="AH169" s="23">
        <f t="shared" si="35"/>
        <v>95.56965353207839</v>
      </c>
      <c r="AI169" s="23">
        <f t="shared" si="36"/>
        <v>0</v>
      </c>
      <c r="AJ169" s="23">
        <f t="shared" si="37"/>
        <v>101.65465945633612</v>
      </c>
    </row>
    <row r="170" spans="2:36" ht="12.75">
      <c r="B170" s="17" t="s">
        <v>98</v>
      </c>
      <c r="D170" s="17" t="s">
        <v>45</v>
      </c>
      <c r="F170" s="25">
        <f t="shared" si="23"/>
        <v>1.0631465070748698</v>
      </c>
      <c r="G170" s="32">
        <v>100</v>
      </c>
      <c r="H170" s="25">
        <f t="shared" si="24"/>
        <v>2.899586009246868</v>
      </c>
      <c r="I170" s="34"/>
      <c r="J170" s="25">
        <f t="shared" si="25"/>
        <v>2.130733977579707</v>
      </c>
      <c r="K170" s="19">
        <f>(H170)/3/L170*100</f>
        <v>47.5851637511895</v>
      </c>
      <c r="L170" s="20">
        <f t="shared" si="26"/>
        <v>2.0311554979671484</v>
      </c>
      <c r="M170" s="21"/>
      <c r="N170" s="25">
        <f t="shared" si="38"/>
        <v>1.8795374404615572</v>
      </c>
      <c r="P170" s="25">
        <f>P150/P$159/60/0.0283*1000000*(21-7)/(21-P$160)</f>
        <v>1.913678318550565</v>
      </c>
      <c r="R170" s="25">
        <f t="shared" si="39"/>
        <v>2.2852302703076406</v>
      </c>
      <c r="T170" s="20">
        <f t="shared" si="21"/>
        <v>2.026148676439921</v>
      </c>
      <c r="U170" s="23">
        <f t="shared" si="27"/>
        <v>0</v>
      </c>
      <c r="V170" s="23">
        <f t="shared" si="28"/>
        <v>2.942683947536427</v>
      </c>
      <c r="W170" s="23">
        <f t="shared" si="27"/>
        <v>60.24157020634121</v>
      </c>
      <c r="X170" s="23">
        <f t="shared" si="28"/>
        <v>4.813264327797433</v>
      </c>
      <c r="Y170" s="23">
        <f t="shared" si="27"/>
        <v>0</v>
      </c>
      <c r="Z170" s="23">
        <f t="shared" si="28"/>
        <v>4.415964247887348</v>
      </c>
      <c r="AA170" s="23">
        <f t="shared" si="27"/>
        <v>23.82194255598802</v>
      </c>
      <c r="AB170" s="23">
        <f t="shared" si="29"/>
        <v>4.0573041744070695</v>
      </c>
      <c r="AC170" s="23">
        <f t="shared" si="30"/>
        <v>0</v>
      </c>
      <c r="AD170" s="23">
        <f t="shared" si="31"/>
        <v>2.942683947536427</v>
      </c>
      <c r="AE170" s="23">
        <f t="shared" si="32"/>
        <v>60.24157020634121</v>
      </c>
      <c r="AF170" s="23">
        <f t="shared" si="33"/>
        <v>4.813264327797433</v>
      </c>
      <c r="AG170" s="23">
        <f t="shared" si="34"/>
        <v>0</v>
      </c>
      <c r="AH170" s="23">
        <f t="shared" si="35"/>
        <v>4.415964247887348</v>
      </c>
      <c r="AI170" s="23">
        <f t="shared" si="36"/>
        <v>23.82194255598802</v>
      </c>
      <c r="AJ170" s="23">
        <f t="shared" si="37"/>
        <v>4.0573041744070695</v>
      </c>
    </row>
    <row r="171" spans="2:36" ht="12.75">
      <c r="B171" s="17" t="s">
        <v>99</v>
      </c>
      <c r="D171" s="17" t="s">
        <v>45</v>
      </c>
      <c r="F171" s="25">
        <f t="shared" si="23"/>
        <v>0.9813660065306491</v>
      </c>
      <c r="G171" s="34"/>
      <c r="H171" s="25">
        <f t="shared" si="24"/>
        <v>0.7783099287978436</v>
      </c>
      <c r="I171" s="32">
        <v>100</v>
      </c>
      <c r="J171" s="25">
        <f t="shared" si="25"/>
        <v>0.5022444375723594</v>
      </c>
      <c r="K171" s="19">
        <f>(J171)/3/L171*100</f>
        <v>22.204337676495854</v>
      </c>
      <c r="L171" s="20">
        <f t="shared" si="26"/>
        <v>0.7539734576336173</v>
      </c>
      <c r="M171" s="21"/>
      <c r="N171" s="25">
        <f t="shared" si="38"/>
        <v>1.7086704004195976</v>
      </c>
      <c r="P171" s="25">
        <f>P151/P$159/60/0.0283*1000000*(21-7)/(21-P$160)</f>
        <v>2.679149645970791</v>
      </c>
      <c r="R171" s="25">
        <f t="shared" si="39"/>
        <v>1.5806176036294515</v>
      </c>
      <c r="T171" s="20">
        <f t="shared" si="21"/>
        <v>1.9894792166732798</v>
      </c>
      <c r="U171" s="23">
        <f t="shared" si="27"/>
        <v>0</v>
      </c>
      <c r="V171" s="23">
        <f t="shared" si="28"/>
        <v>2.690036406950247</v>
      </c>
      <c r="W171" s="23">
        <f t="shared" si="27"/>
        <v>0</v>
      </c>
      <c r="X171" s="23">
        <f t="shared" si="28"/>
        <v>3.4574595747686345</v>
      </c>
      <c r="Y171" s="23">
        <f t="shared" si="27"/>
        <v>24.113187894219077</v>
      </c>
      <c r="Z171" s="23">
        <f t="shared" si="28"/>
        <v>2.082862041201811</v>
      </c>
      <c r="AA171" s="23">
        <f t="shared" si="27"/>
        <v>6.102340094728088</v>
      </c>
      <c r="AB171" s="23">
        <f t="shared" si="29"/>
        <v>2.7434526743068974</v>
      </c>
      <c r="AC171" s="23">
        <f t="shared" si="30"/>
        <v>0</v>
      </c>
      <c r="AD171" s="23">
        <f t="shared" si="31"/>
        <v>2.690036406950247</v>
      </c>
      <c r="AE171" s="23">
        <f t="shared" si="32"/>
        <v>0</v>
      </c>
      <c r="AF171" s="23">
        <f t="shared" si="33"/>
        <v>3.4574595747686345</v>
      </c>
      <c r="AG171" s="23">
        <f t="shared" si="34"/>
        <v>24.113187894219077</v>
      </c>
      <c r="AH171" s="23">
        <f t="shared" si="35"/>
        <v>2.082862041201811</v>
      </c>
      <c r="AI171" s="23">
        <f t="shared" si="36"/>
        <v>6.102340094728088</v>
      </c>
      <c r="AJ171" s="23">
        <f t="shared" si="37"/>
        <v>2.7434526743068974</v>
      </c>
    </row>
    <row r="172" spans="2:36" ht="12.75">
      <c r="B172" s="17" t="s">
        <v>103</v>
      </c>
      <c r="D172" s="17" t="s">
        <v>45</v>
      </c>
      <c r="F172" s="25">
        <f t="shared" si="23"/>
        <v>1.908211679365151</v>
      </c>
      <c r="G172" s="34"/>
      <c r="H172" s="25">
        <f t="shared" si="24"/>
        <v>0.2594366429326145</v>
      </c>
      <c r="I172" s="32">
        <v>100</v>
      </c>
      <c r="J172" s="25">
        <f t="shared" si="25"/>
        <v>1.0197084035560027</v>
      </c>
      <c r="K172" s="19">
        <f>(J172)/3/L172*100</f>
        <v>31.992289889763214</v>
      </c>
      <c r="L172" s="20">
        <f t="shared" si="26"/>
        <v>1.0624522419512559</v>
      </c>
      <c r="M172" s="21"/>
      <c r="N172" s="25">
        <f t="shared" si="38"/>
        <v>4.613410081132915</v>
      </c>
      <c r="O172" s="24"/>
      <c r="P172" s="25">
        <f>P152/P$159/60/0.0283*1000000*(21-7)/(21-P$160)</f>
        <v>3.6359888052460736</v>
      </c>
      <c r="Q172" s="24"/>
      <c r="R172" s="25">
        <f t="shared" si="39"/>
        <v>2.6661019820255802</v>
      </c>
      <c r="T172" s="20">
        <f t="shared" si="21"/>
        <v>3.638500289468189</v>
      </c>
      <c r="U172" s="23">
        <f t="shared" si="27"/>
        <v>0</v>
      </c>
      <c r="V172" s="23">
        <f t="shared" si="28"/>
        <v>6.521621760498066</v>
      </c>
      <c r="W172" s="23">
        <f t="shared" si="27"/>
        <v>0</v>
      </c>
      <c r="X172" s="23">
        <f t="shared" si="28"/>
        <v>3.8954254481786883</v>
      </c>
      <c r="Y172" s="23">
        <f t="shared" si="27"/>
        <v>27.665785726389267</v>
      </c>
      <c r="Z172" s="23">
        <f t="shared" si="28"/>
        <v>3.6858103855815827</v>
      </c>
      <c r="AA172" s="23">
        <f t="shared" si="27"/>
        <v>7.230509113069071</v>
      </c>
      <c r="AB172" s="23">
        <f t="shared" si="29"/>
        <v>4.700952531419445</v>
      </c>
      <c r="AC172" s="23">
        <f t="shared" si="30"/>
        <v>0</v>
      </c>
      <c r="AD172" s="23">
        <f t="shared" si="31"/>
        <v>6.521621760498066</v>
      </c>
      <c r="AE172" s="23">
        <f t="shared" si="32"/>
        <v>0</v>
      </c>
      <c r="AF172" s="23">
        <f t="shared" si="33"/>
        <v>3.8954254481786883</v>
      </c>
      <c r="AG172" s="23">
        <f t="shared" si="34"/>
        <v>27.665785726389267</v>
      </c>
      <c r="AH172" s="23">
        <f t="shared" si="35"/>
        <v>3.6858103855815827</v>
      </c>
      <c r="AI172" s="23">
        <f t="shared" si="36"/>
        <v>7.230509113069071</v>
      </c>
      <c r="AJ172" s="23">
        <f t="shared" si="37"/>
        <v>4.700952531419445</v>
      </c>
    </row>
    <row r="173" spans="2:36" ht="12.75">
      <c r="B173" s="17" t="s">
        <v>105</v>
      </c>
      <c r="D173" s="17" t="s">
        <v>45</v>
      </c>
      <c r="F173" s="25">
        <f t="shared" si="23"/>
        <v>7.9054483859413365</v>
      </c>
      <c r="G173" s="34"/>
      <c r="H173" s="25">
        <f t="shared" si="24"/>
        <v>30.521957992072295</v>
      </c>
      <c r="I173" s="34"/>
      <c r="J173" s="25">
        <f t="shared" si="25"/>
        <v>27.395151140310514</v>
      </c>
      <c r="L173" s="20">
        <f t="shared" si="26"/>
        <v>21.940852506108047</v>
      </c>
      <c r="M173" s="21"/>
      <c r="N173" s="25">
        <f t="shared" si="38"/>
        <v>9.397687202307786</v>
      </c>
      <c r="O173" s="23">
        <v>100</v>
      </c>
      <c r="P173" s="25">
        <f>P153/P$159/60/0.0283*1000000*(21-7)/(21-P$160)/2</f>
        <v>1.4352587389129232</v>
      </c>
      <c r="Q173" s="24"/>
      <c r="R173" s="25">
        <f t="shared" si="39"/>
        <v>6.4748190992049794</v>
      </c>
      <c r="S173" s="23">
        <f>(P173)/3/T173*100</f>
        <v>8.292571198884398</v>
      </c>
      <c r="T173" s="20">
        <f t="shared" si="21"/>
        <v>5.76925501347523</v>
      </c>
      <c r="U173" s="23">
        <f t="shared" si="27"/>
        <v>0</v>
      </c>
      <c r="V173" s="23">
        <f t="shared" si="28"/>
        <v>17.303135588249123</v>
      </c>
      <c r="W173" s="23">
        <f t="shared" si="27"/>
        <v>4.491188175099488</v>
      </c>
      <c r="X173" s="23">
        <f t="shared" si="28"/>
        <v>31.95721673098522</v>
      </c>
      <c r="Y173" s="23">
        <f t="shared" si="27"/>
        <v>0</v>
      </c>
      <c r="Z173" s="23">
        <f t="shared" si="28"/>
        <v>33.869970239515496</v>
      </c>
      <c r="AA173" s="23">
        <f t="shared" si="27"/>
        <v>1.7265165041295223</v>
      </c>
      <c r="AB173" s="23">
        <f t="shared" si="29"/>
        <v>27.71010751958328</v>
      </c>
      <c r="AC173" s="23">
        <f t="shared" si="30"/>
        <v>0</v>
      </c>
      <c r="AD173" s="23">
        <f t="shared" si="31"/>
        <v>17.303135588249123</v>
      </c>
      <c r="AE173" s="23">
        <f t="shared" si="32"/>
        <v>4.491188175099488</v>
      </c>
      <c r="AF173" s="23">
        <f t="shared" si="33"/>
        <v>31.95721673098522</v>
      </c>
      <c r="AG173" s="23">
        <f t="shared" si="34"/>
        <v>0</v>
      </c>
      <c r="AH173" s="23">
        <f t="shared" si="35"/>
        <v>33.869970239515496</v>
      </c>
      <c r="AI173" s="23">
        <f t="shared" si="36"/>
        <v>1.7265165041295223</v>
      </c>
      <c r="AJ173" s="23">
        <f t="shared" si="37"/>
        <v>27.71010751958328</v>
      </c>
    </row>
    <row r="174" spans="2:36" ht="12.75">
      <c r="B174" s="17" t="s">
        <v>102</v>
      </c>
      <c r="D174" s="17" t="s">
        <v>45</v>
      </c>
      <c r="F174" s="25">
        <f t="shared" si="23"/>
        <v>21.808133478458867</v>
      </c>
      <c r="G174" s="34"/>
      <c r="H174" s="25">
        <f t="shared" si="24"/>
        <v>19.839272694846994</v>
      </c>
      <c r="I174" s="34"/>
      <c r="J174" s="25">
        <f t="shared" si="25"/>
        <v>25.873198299182157</v>
      </c>
      <c r="L174" s="20">
        <f t="shared" si="26"/>
        <v>22.506868157496005</v>
      </c>
      <c r="M174" s="21"/>
      <c r="N174" s="25">
        <f t="shared" si="38"/>
        <v>22.21271520545477</v>
      </c>
      <c r="P174" s="25">
        <f>P154/P$159/60/0.0283*1000000*(21-7)/(21-P$160)</f>
        <v>36.35988805246073</v>
      </c>
      <c r="R174" s="25">
        <f t="shared" si="39"/>
        <v>24.756661261666107</v>
      </c>
      <c r="T174" s="20">
        <f t="shared" si="21"/>
        <v>27.776421506527203</v>
      </c>
      <c r="U174" s="23">
        <f t="shared" si="27"/>
        <v>0</v>
      </c>
      <c r="V174" s="23">
        <f t="shared" si="28"/>
        <v>44.02084868391364</v>
      </c>
      <c r="W174" s="23">
        <f t="shared" si="27"/>
        <v>0</v>
      </c>
      <c r="X174" s="23">
        <f t="shared" si="28"/>
        <v>56.19916074730773</v>
      </c>
      <c r="Y174" s="23">
        <f t="shared" si="27"/>
        <v>0</v>
      </c>
      <c r="Z174" s="23">
        <f t="shared" si="28"/>
        <v>50.62985956084826</v>
      </c>
      <c r="AA174" s="23">
        <f t="shared" si="27"/>
        <v>0</v>
      </c>
      <c r="AB174" s="23">
        <f t="shared" si="29"/>
        <v>50.28328966402321</v>
      </c>
      <c r="AC174" s="23">
        <f t="shared" si="30"/>
        <v>0</v>
      </c>
      <c r="AD174" s="23">
        <f t="shared" si="31"/>
        <v>44.02084868391364</v>
      </c>
      <c r="AE174" s="23">
        <f t="shared" si="32"/>
        <v>0</v>
      </c>
      <c r="AF174" s="23">
        <f t="shared" si="33"/>
        <v>56.19916074730773</v>
      </c>
      <c r="AG174" s="23">
        <f t="shared" si="34"/>
        <v>0</v>
      </c>
      <c r="AH174" s="23">
        <f t="shared" si="35"/>
        <v>50.62985956084826</v>
      </c>
      <c r="AI174" s="23">
        <f t="shared" si="36"/>
        <v>0</v>
      </c>
      <c r="AJ174" s="23">
        <f t="shared" si="37"/>
        <v>50.28328966402321</v>
      </c>
    </row>
    <row r="175" spans="2:36" ht="12.75">
      <c r="B175" s="17" t="s">
        <v>109</v>
      </c>
      <c r="D175" s="17" t="s">
        <v>45</v>
      </c>
      <c r="F175" s="25">
        <f t="shared" si="23"/>
        <v>0.19082116793651505</v>
      </c>
      <c r="G175" s="32">
        <v>100</v>
      </c>
      <c r="H175" s="25">
        <f t="shared" si="24"/>
        <v>0.2441756639365785</v>
      </c>
      <c r="I175" s="32">
        <v>100</v>
      </c>
      <c r="J175" s="25">
        <f t="shared" si="25"/>
        <v>0.24351245458053797</v>
      </c>
      <c r="K175" s="19">
        <f>(H175+J175)/3/L175*100</f>
        <v>71.87641027967632</v>
      </c>
      <c r="L175" s="20">
        <f t="shared" si="26"/>
        <v>0.2261697621512105</v>
      </c>
      <c r="M175" s="21"/>
      <c r="N175" s="25">
        <f t="shared" si="38"/>
        <v>1.2815028003146984</v>
      </c>
      <c r="O175" s="24"/>
      <c r="P175" s="25">
        <f>P155/P$159/60/0.0283*1000000*(21-7)/(21-P$160)</f>
        <v>2.1050461504056215</v>
      </c>
      <c r="Q175" s="24"/>
      <c r="R175" s="25">
        <f t="shared" si="39"/>
        <v>1.466356090114069</v>
      </c>
      <c r="T175" s="20">
        <f t="shared" si="21"/>
        <v>1.617635013611463</v>
      </c>
      <c r="U175" s="23">
        <f t="shared" si="27"/>
        <v>0</v>
      </c>
      <c r="V175" s="23">
        <f t="shared" si="28"/>
        <v>1.4723239682512135</v>
      </c>
      <c r="W175" s="23">
        <f t="shared" si="27"/>
        <v>10.39389564858734</v>
      </c>
      <c r="X175" s="23">
        <f t="shared" si="28"/>
        <v>2.3492218143422</v>
      </c>
      <c r="Y175" s="23">
        <f t="shared" si="27"/>
        <v>14.241589234219802</v>
      </c>
      <c r="Z175" s="23">
        <f t="shared" si="28"/>
        <v>1.7098685446946071</v>
      </c>
      <c r="AA175" s="23">
        <f t="shared" si="27"/>
        <v>8.816698400465393</v>
      </c>
      <c r="AB175" s="23">
        <f t="shared" si="29"/>
        <v>1.8438047757626734</v>
      </c>
      <c r="AC175" s="23">
        <f t="shared" si="30"/>
        <v>0</v>
      </c>
      <c r="AD175" s="23">
        <f t="shared" si="31"/>
        <v>1.4723239682512135</v>
      </c>
      <c r="AE175" s="23">
        <f t="shared" si="32"/>
        <v>10.39389564858734</v>
      </c>
      <c r="AF175" s="23">
        <f t="shared" si="33"/>
        <v>2.3492218143422</v>
      </c>
      <c r="AG175" s="23">
        <f t="shared" si="34"/>
        <v>14.241589234219802</v>
      </c>
      <c r="AH175" s="23">
        <f t="shared" si="35"/>
        <v>1.7098685446946071</v>
      </c>
      <c r="AI175" s="23">
        <f t="shared" si="36"/>
        <v>8.816698400465393</v>
      </c>
      <c r="AJ175" s="23">
        <f t="shared" si="37"/>
        <v>1.8438047757626734</v>
      </c>
    </row>
    <row r="176" spans="2:36" ht="12.75">
      <c r="B176" s="17" t="s">
        <v>104</v>
      </c>
      <c r="D176" s="17" t="s">
        <v>45</v>
      </c>
      <c r="F176" s="25">
        <f t="shared" si="23"/>
        <v>3.543821690249566</v>
      </c>
      <c r="G176" s="34"/>
      <c r="H176" s="25">
        <f t="shared" si="24"/>
        <v>7.325269918097351</v>
      </c>
      <c r="I176" s="34"/>
      <c r="J176" s="25">
        <f t="shared" si="25"/>
        <v>4.718053807497922</v>
      </c>
      <c r="L176" s="20">
        <f t="shared" si="26"/>
        <v>5.195715138614946</v>
      </c>
      <c r="M176" s="21"/>
      <c r="N176" s="25">
        <f t="shared" si="38"/>
        <v>11.277224642769344</v>
      </c>
      <c r="O176" s="23">
        <v>100</v>
      </c>
      <c r="P176" s="25">
        <f>P156/P$159/60/0.0283*1000000*(21-7)/(21-P$160)/2</f>
        <v>1.530942654840452</v>
      </c>
      <c r="R176" s="25">
        <f t="shared" si="39"/>
        <v>6.855690810922919</v>
      </c>
      <c r="S176" s="23">
        <f>(P176)/3/T176*100</f>
        <v>7.7855660185837685</v>
      </c>
      <c r="T176" s="20">
        <f t="shared" si="21"/>
        <v>6.554619369510905</v>
      </c>
      <c r="U176" s="23">
        <f t="shared" si="27"/>
        <v>0</v>
      </c>
      <c r="V176" s="23">
        <f t="shared" si="28"/>
        <v>14.82104633301891</v>
      </c>
      <c r="W176" s="23">
        <f t="shared" si="27"/>
        <v>17.286652078774623</v>
      </c>
      <c r="X176" s="23">
        <f t="shared" si="28"/>
        <v>8.856212572937803</v>
      </c>
      <c r="Y176" s="23">
        <f t="shared" si="27"/>
        <v>0</v>
      </c>
      <c r="Z176" s="23">
        <f t="shared" si="28"/>
        <v>11.573744618420841</v>
      </c>
      <c r="AA176" s="23">
        <f t="shared" si="27"/>
        <v>4.342976090827431</v>
      </c>
      <c r="AB176" s="23">
        <f t="shared" si="29"/>
        <v>11.750334508125851</v>
      </c>
      <c r="AC176" s="23">
        <f t="shared" si="30"/>
        <v>0</v>
      </c>
      <c r="AD176" s="23">
        <f t="shared" si="31"/>
        <v>14.82104633301891</v>
      </c>
      <c r="AE176" s="23">
        <f t="shared" si="32"/>
        <v>17.286652078774623</v>
      </c>
      <c r="AF176" s="23">
        <f t="shared" si="33"/>
        <v>8.856212572937803</v>
      </c>
      <c r="AG176" s="23">
        <f t="shared" si="34"/>
        <v>0</v>
      </c>
      <c r="AH176" s="23">
        <f t="shared" si="35"/>
        <v>11.573744618420841</v>
      </c>
      <c r="AI176" s="23">
        <f t="shared" si="36"/>
        <v>4.342976090827431</v>
      </c>
      <c r="AJ176" s="23">
        <f t="shared" si="37"/>
        <v>11.750334508125851</v>
      </c>
    </row>
    <row r="177" spans="2:36" ht="12.75">
      <c r="B177" s="17" t="s">
        <v>100</v>
      </c>
      <c r="D177" s="17" t="s">
        <v>45</v>
      </c>
      <c r="E177" s="32">
        <v>100</v>
      </c>
      <c r="F177" s="25">
        <f t="shared" si="23"/>
        <v>12.26707508163311</v>
      </c>
      <c r="G177" s="32">
        <v>100</v>
      </c>
      <c r="H177" s="25">
        <f t="shared" si="24"/>
        <v>91.56587397621689</v>
      </c>
      <c r="I177" s="32">
        <v>100</v>
      </c>
      <c r="J177" s="25">
        <f t="shared" si="25"/>
        <v>106.53669887898536</v>
      </c>
      <c r="K177" s="32">
        <v>100</v>
      </c>
      <c r="L177" s="20">
        <f t="shared" si="26"/>
        <v>70.12321597894511</v>
      </c>
      <c r="M177" s="23">
        <v>100</v>
      </c>
      <c r="N177" s="25">
        <f>N157/N$159/60/0.0283*1000000*(21-7)/(21-N$160)/2</f>
        <v>59.80346401468592</v>
      </c>
      <c r="O177" s="23">
        <v>100</v>
      </c>
      <c r="P177" s="25">
        <f>P157/P$159/60/0.0283*1000000*(21-7)/(21-P$160)/2</f>
        <v>66.97874114926975</v>
      </c>
      <c r="Q177" s="23">
        <v>100</v>
      </c>
      <c r="R177" s="25">
        <f>R157/R$159/60/0.0283*1000000*(21-7)/(21-R$160)/2</f>
        <v>66.6525495506395</v>
      </c>
      <c r="S177" s="19">
        <v>100</v>
      </c>
      <c r="T177" s="20">
        <f t="shared" si="21"/>
        <v>64.47825157153171</v>
      </c>
      <c r="U177" s="23">
        <f t="shared" si="27"/>
        <v>100</v>
      </c>
      <c r="V177" s="23">
        <f t="shared" si="28"/>
        <v>72.07053909631904</v>
      </c>
      <c r="W177" s="23">
        <f t="shared" si="27"/>
        <v>100</v>
      </c>
      <c r="X177" s="23">
        <f t="shared" si="28"/>
        <v>158.54461512548664</v>
      </c>
      <c r="Y177" s="23">
        <f t="shared" si="27"/>
        <v>100</v>
      </c>
      <c r="Z177" s="23">
        <f t="shared" si="28"/>
        <v>173.18924842962485</v>
      </c>
      <c r="AA177" s="23">
        <f t="shared" si="27"/>
        <v>99.99999999999999</v>
      </c>
      <c r="AB177" s="23">
        <f t="shared" si="29"/>
        <v>134.60146755047685</v>
      </c>
      <c r="AC177" s="23">
        <f t="shared" si="30"/>
        <v>100</v>
      </c>
      <c r="AD177" s="23">
        <f t="shared" si="31"/>
        <v>72.07053909631904</v>
      </c>
      <c r="AE177" s="23">
        <f t="shared" si="32"/>
        <v>100</v>
      </c>
      <c r="AF177" s="23">
        <f t="shared" si="33"/>
        <v>158.54461512548664</v>
      </c>
      <c r="AG177" s="23">
        <f t="shared" si="34"/>
        <v>100</v>
      </c>
      <c r="AH177" s="23">
        <f t="shared" si="35"/>
        <v>173.18924842962485</v>
      </c>
      <c r="AI177" s="23">
        <f t="shared" si="36"/>
        <v>99.99999999999999</v>
      </c>
      <c r="AJ177" s="23">
        <f t="shared" si="37"/>
        <v>134.60146755047685</v>
      </c>
    </row>
    <row r="178" spans="6:26" ht="12.75">
      <c r="F178" s="22"/>
      <c r="G178" s="4"/>
      <c r="I178" s="4"/>
      <c r="J178" s="22"/>
      <c r="T178" s="21"/>
      <c r="V178" s="23"/>
      <c r="X178" s="23"/>
      <c r="Z178" s="23"/>
    </row>
    <row r="179" spans="2:36" ht="12.75">
      <c r="B179" s="17" t="s">
        <v>50</v>
      </c>
      <c r="D179" s="17" t="s">
        <v>45</v>
      </c>
      <c r="F179" s="22">
        <f>F174+F172</f>
        <v>23.71634515782402</v>
      </c>
      <c r="G179" s="4"/>
      <c r="H179" s="22">
        <f>H174+H172</f>
        <v>20.098709337779606</v>
      </c>
      <c r="I179" s="4"/>
      <c r="J179" s="22">
        <f>J174+J172</f>
        <v>26.89290670273816</v>
      </c>
      <c r="L179" s="20">
        <f>AVERAGE(F179,H179,J179)</f>
        <v>23.569320399447264</v>
      </c>
      <c r="M179" s="20"/>
      <c r="N179" s="22">
        <f>N174+N172</f>
        <v>26.826125286587686</v>
      </c>
      <c r="P179" s="22">
        <f>P174+P172</f>
        <v>39.995876857706804</v>
      </c>
      <c r="R179" s="22">
        <f>R174+R172</f>
        <v>27.422763243691687</v>
      </c>
      <c r="T179" s="20">
        <f>AVERAGE(N179,P179,R179)</f>
        <v>31.414921795995394</v>
      </c>
      <c r="V179" s="23">
        <f>F179+N179</f>
        <v>50.542470444411705</v>
      </c>
      <c r="X179" s="23">
        <f>H179+P179</f>
        <v>60.094586195486414</v>
      </c>
      <c r="Z179" s="23">
        <f>J179+R179</f>
        <v>54.31566994642985</v>
      </c>
      <c r="AB179" s="23">
        <f t="shared" si="29"/>
        <v>54.984242195442654</v>
      </c>
      <c r="AC179" s="23"/>
      <c r="AD179" s="23">
        <f>V179</f>
        <v>50.542470444411705</v>
      </c>
      <c r="AF179" s="23">
        <f>X179</f>
        <v>60.094586195486414</v>
      </c>
      <c r="AH179" s="23">
        <f>Z179</f>
        <v>54.31566994642985</v>
      </c>
      <c r="AJ179" s="23">
        <f>AB179</f>
        <v>54.984242195442654</v>
      </c>
    </row>
    <row r="180" spans="2:36" ht="12.75">
      <c r="B180" s="17" t="s">
        <v>51</v>
      </c>
      <c r="D180" s="17" t="s">
        <v>45</v>
      </c>
      <c r="F180" s="22">
        <f>F169+F171+F173</f>
        <v>37.50998958294924</v>
      </c>
      <c r="G180" s="4"/>
      <c r="H180" s="22">
        <f>H169+H171+H173</f>
        <v>54.191736414924364</v>
      </c>
      <c r="I180" s="4"/>
      <c r="J180" s="22">
        <f>J169+J171+J173</f>
        <v>56.81449955932175</v>
      </c>
      <c r="L180" s="20">
        <f>AVERAGE(F180,H180,J180)</f>
        <v>49.50540851906512</v>
      </c>
      <c r="M180" s="20"/>
      <c r="N180" s="22">
        <f>N169+N171+N173</f>
        <v>82.87051442035047</v>
      </c>
      <c r="P180" s="22">
        <f>P169+P171+P173</f>
        <v>90.22993271965912</v>
      </c>
      <c r="R180" s="22">
        <f>R169+R171+R173</f>
        <v>74.70798625347393</v>
      </c>
      <c r="T180" s="20">
        <f>AVERAGE(N180,P180,R180)</f>
        <v>82.60281113116118</v>
      </c>
      <c r="V180" s="23">
        <f>F180+N180</f>
        <v>120.3805040032997</v>
      </c>
      <c r="X180" s="23">
        <f>H180+P180</f>
        <v>144.42166913458348</v>
      </c>
      <c r="Z180" s="23">
        <f>J180+R180</f>
        <v>131.52248581279568</v>
      </c>
      <c r="AB180" s="23">
        <f t="shared" si="29"/>
        <v>132.1082196502263</v>
      </c>
      <c r="AC180" s="23"/>
      <c r="AD180" s="23">
        <f>V180</f>
        <v>120.3805040032997</v>
      </c>
      <c r="AF180" s="23">
        <f>X180</f>
        <v>144.42166913458348</v>
      </c>
      <c r="AH180" s="23">
        <f>Z180</f>
        <v>131.52248581279568</v>
      </c>
      <c r="AJ180" s="23">
        <f>AB180</f>
        <v>132.1082196502263</v>
      </c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3"/>
  <sheetViews>
    <sheetView workbookViewId="0" topLeftCell="A1">
      <selection activeCell="C1" sqref="C1"/>
    </sheetView>
  </sheetViews>
  <sheetFormatPr defaultColWidth="9.140625" defaultRowHeight="12.75"/>
  <cols>
    <col min="1" max="1" width="21.57421875" style="2" customWidth="1"/>
    <col min="2" max="16384" width="9.140625" style="2" customWidth="1"/>
  </cols>
  <sheetData>
    <row r="1" ht="12.75">
      <c r="A1" s="1" t="s">
        <v>38</v>
      </c>
    </row>
    <row r="3" ht="12.75">
      <c r="A3" s="1" t="s">
        <v>58</v>
      </c>
    </row>
    <row r="5" ht="12.75">
      <c r="A5" s="2" t="s">
        <v>57</v>
      </c>
    </row>
    <row r="7" ht="12.75">
      <c r="A7" s="1" t="s">
        <v>59</v>
      </c>
    </row>
    <row r="9" ht="12.75">
      <c r="A9" s="2" t="s">
        <v>57</v>
      </c>
    </row>
    <row r="11" ht="12.75">
      <c r="A11" s="1" t="s">
        <v>60</v>
      </c>
    </row>
    <row r="13" ht="12.75">
      <c r="A13" s="2" t="s">
        <v>57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Alan Nguyen</cp:lastModifiedBy>
  <cp:lastPrinted>2004-02-25T00:04:50Z</cp:lastPrinted>
  <dcterms:created xsi:type="dcterms:W3CDTF">2000-01-10T00:44:42Z</dcterms:created>
  <dcterms:modified xsi:type="dcterms:W3CDTF">2004-02-25T00:06:19Z</dcterms:modified>
  <cp:category/>
  <cp:version/>
  <cp:contentType/>
  <cp:contentStatus/>
</cp:coreProperties>
</file>