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4500" activeTab="0"/>
  </bookViews>
  <sheets>
    <sheet name="Results" sheetId="1" r:id="rId1"/>
  </sheets>
  <definedNames>
    <definedName name="NvsASD">"V2001-04-30"</definedName>
    <definedName name="NvsAutoDrillOk">"VY"</definedName>
    <definedName name="NvsElapsedTime">0.000160879630129784</definedName>
    <definedName name="NvsEndTime">37025.6464717593</definedName>
    <definedName name="NvsInstSpec">"%"</definedName>
    <definedName name="NvsLayoutType">"M3"</definedName>
    <definedName name="NvsPanelEffdt">"V1997-01-01"</definedName>
    <definedName name="NvsPanelSetid">"VLBNL"</definedName>
    <definedName name="NvsReqBU">"VLBNL"</definedName>
    <definedName name="NvsReqBUOnly">"VY"</definedName>
    <definedName name="NvsSheetType" localSheetId="0">"M"</definedName>
    <definedName name="NvsTransLed">"VN"</definedName>
    <definedName name="NvsTreeASD">"V2001-04-30"</definedName>
    <definedName name="NvsValTbl.ACCOUNTING_PERIOD">"CAL_DETP_TBL"</definedName>
    <definedName name="NvsValTbl.FISCAL_YEAR">"CAL_DETP_FY_VW"</definedName>
    <definedName name="NvsValTbl.PROJECT_ID">"LBNL_PV_PROJ_VW"</definedName>
    <definedName name="NvsValTbl.PROJECT_STATUS">"LBNL_PV_PROJ_VW"</definedName>
    <definedName name="_xlnm.Print_Titles" localSheetId="0">'Results'!$B:$C,'Results'!$3:$3</definedName>
  </definedNames>
  <calcPr fullCalcOnLoad="1"/>
</workbook>
</file>

<file path=xl/sharedStrings.xml><?xml version="1.0" encoding="utf-8"?>
<sst xmlns="http://schemas.openxmlformats.org/spreadsheetml/2006/main" count="238" uniqueCount="185">
  <si>
    <t>%,QnvZW_PC_RU_RC,CSum Resource Amount</t>
  </si>
  <si>
    <t>%,ATF,FPROJECT_ID</t>
  </si>
  <si>
    <t>%,ATT,FLBNL_PROJECT_DESCR</t>
  </si>
  <si>
    <t>%,AFT,FPROJECT_STATUS</t>
  </si>
  <si>
    <t>%,SALLYEAR-1</t>
  </si>
  <si>
    <t>%,SPER1</t>
  </si>
  <si>
    <t>%,SPER2</t>
  </si>
  <si>
    <t>%,SPER3</t>
  </si>
  <si>
    <t>%,SPER4</t>
  </si>
  <si>
    <t>%,SPER5</t>
  </si>
  <si>
    <t>%,SPER6</t>
  </si>
  <si>
    <t>%,SPER7</t>
  </si>
  <si>
    <t>%,SPER8</t>
  </si>
  <si>
    <t>%,SPER9</t>
  </si>
  <si>
    <t>%,SPER10</t>
  </si>
  <si>
    <t>%,SPER11</t>
  </si>
  <si>
    <t>%,SPER12</t>
  </si>
  <si>
    <t>Project ID</t>
  </si>
  <si>
    <t>Project Description</t>
  </si>
  <si>
    <t>Proj Status</t>
  </si>
  <si>
    <t>Prior Year Total Actual Cost</t>
  </si>
  <si>
    <t>Total Funds Available</t>
  </si>
  <si>
    <t>Current YTD Actual</t>
  </si>
  <si>
    <t>Liens</t>
  </si>
  <si>
    <t>% of Budget Spent</t>
  </si>
  <si>
    <t>Funds Available - YTD cost Remaining Balance</t>
  </si>
  <si>
    <t>(Costs + Liens) Balance</t>
  </si>
  <si>
    <t>% spent Actual + liens</t>
  </si>
  <si>
    <t>YTD Monthly Average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</si>
  <si>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</si>
  <si>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</si>
  <si>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</si>
  <si>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</si>
  <si>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</si>
  <si>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</si>
  <si>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</si>
  <si>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</si>
  <si>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</si>
  <si>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</t>
  </si>
  <si>
    <t>Aug</t>
  </si>
  <si>
    <t>Sep</t>
  </si>
  <si>
    <t>%,FPROJECT_ID,V414501</t>
  </si>
  <si>
    <t>414501</t>
  </si>
  <si>
    <t>%,FPROJECT_ID,V414590</t>
  </si>
  <si>
    <t>414590</t>
  </si>
  <si>
    <t>%,FPROJECT_ID,V413045</t>
  </si>
  <si>
    <t>413045</t>
  </si>
  <si>
    <t>%,FPROJECT_ID,V413046</t>
  </si>
  <si>
    <t>413046</t>
  </si>
  <si>
    <t>%,FPROJECT_ID,V4180</t>
  </si>
  <si>
    <t>4180</t>
  </si>
  <si>
    <t>%,FPROJECT_ID,V423045</t>
  </si>
  <si>
    <t>423045</t>
  </si>
  <si>
    <t>%,FPROJECT_ID,V423046</t>
  </si>
  <si>
    <t>423046</t>
  </si>
  <si>
    <t>%,FPROJECT_ID,V791627</t>
  </si>
  <si>
    <t>791627</t>
  </si>
  <si>
    <t>%,FPROJECT_ID,V791650</t>
  </si>
  <si>
    <t>791650</t>
  </si>
  <si>
    <t>sum 7916</t>
  </si>
  <si>
    <t>subotal PHYSICS LBL</t>
  </si>
  <si>
    <t>%,FPROJECT_ID,VP1AC</t>
  </si>
  <si>
    <t>%,FPROJECT_ID,VP1AP</t>
  </si>
  <si>
    <t>%,FPROJECT_ID,VP1AP12</t>
  </si>
  <si>
    <t>%,FPROJECT_ID,VP1AP13</t>
  </si>
  <si>
    <t>%,FPROJECT_ID,VP1AP2</t>
  </si>
  <si>
    <t>%,FPROJECT_ID,VP1AP21</t>
  </si>
  <si>
    <t>%,FPROJECT_ID,VP1AP22</t>
  </si>
  <si>
    <t>%,FPROJECT_ID,VP1AP23</t>
  </si>
  <si>
    <t>%,FPROJECT_ID,VP1AP3</t>
  </si>
  <si>
    <t>%,FPROJECT_ID,VP1AP31</t>
  </si>
  <si>
    <t>%,FPROJECT_ID,VP1AP32</t>
  </si>
  <si>
    <t>%,FPROJECT_ID,VP1AP33</t>
  </si>
  <si>
    <t>%,FPROJECT_ID,VP1AP4</t>
  </si>
  <si>
    <t>%,FPROJECT_ID,VP1AP41</t>
  </si>
  <si>
    <t>%,FPROJECT_ID,VP1AP42</t>
  </si>
  <si>
    <t>%,FPROJECT_ID,VP1AS</t>
  </si>
  <si>
    <t>%,FPROJECT_ID,VP1AS1</t>
  </si>
  <si>
    <t>%,FPROJECT_ID,VP1AS11</t>
  </si>
  <si>
    <t>%,FPROJECT_ID,VP1AS12</t>
  </si>
  <si>
    <t>%,FPROJECT_ID,VP1AS13</t>
  </si>
  <si>
    <t>%,FPROJECT_ID,VP1AS2</t>
  </si>
  <si>
    <t>%,FPROJECT_ID,VP1AS21</t>
  </si>
  <si>
    <t>%,FPROJECT_ID,VP1AS22</t>
  </si>
  <si>
    <t>%,FPROJECT_ID,VP1AS3</t>
  </si>
  <si>
    <t>%,FPROJECT_ID,VP1AS31</t>
  </si>
  <si>
    <t>%,FPROJECT_ID,VP1AS32</t>
  </si>
  <si>
    <t>%,FPROJECT_ID,VP1AS33</t>
  </si>
  <si>
    <t>Grand Total</t>
  </si>
  <si>
    <t>carryover funding</t>
  </si>
  <si>
    <t>%,FPROJECT_ID,V414502</t>
  </si>
  <si>
    <t>414502</t>
  </si>
  <si>
    <t>%,FPROJECT_ID,VP1AP11,VP1AP00</t>
  </si>
  <si>
    <t>%,FPROJECT_ID,V414592</t>
  </si>
  <si>
    <t>414592</t>
  </si>
  <si>
    <t>%,FPROJECT_ID,VP1AP1,VP1AP00</t>
  </si>
  <si>
    <t>FY01 funding</t>
  </si>
  <si>
    <t>sum ATLAS base</t>
  </si>
  <si>
    <t>sum computing</t>
  </si>
  <si>
    <t>%,FPROJECT_ID,VPHYS50</t>
  </si>
  <si>
    <t>%,QnvZW_PC_RU_RC_CT,CSum YTDAmount,FFISCAL_YEAR,V2001</t>
  </si>
  <si>
    <t>%,QnvZW_PC_RU_RC_CT,CSum Lien Amt,FFISCAL_YEAR,V2001</t>
  </si>
  <si>
    <t>US-Japan</t>
  </si>
  <si>
    <t>%,FPROJECT_ID,V366251</t>
  </si>
  <si>
    <t>366251</t>
  </si>
  <si>
    <t>PHYS50</t>
  </si>
  <si>
    <t>campus</t>
  </si>
  <si>
    <t>for travel and materials</t>
  </si>
  <si>
    <t>%,FPROJECT_ID,V80FZ01</t>
  </si>
  <si>
    <t>80FZ01</t>
  </si>
  <si>
    <t>%,FPROJECT_ID,V80CP01</t>
  </si>
  <si>
    <t>80CP01</t>
  </si>
  <si>
    <t>%,FPROJECT_ID,VP1AP43</t>
  </si>
  <si>
    <t>%,FPROJECT_ID,VP1AP5</t>
  </si>
  <si>
    <t>%,FPROJECT_ID,VP1AP51</t>
  </si>
  <si>
    <t>%,FPROJECT_ID,VP1AP52</t>
  </si>
  <si>
    <t>P1AC</t>
  </si>
  <si>
    <t>ATLAS Silicon Subsystem</t>
  </si>
  <si>
    <t>S</t>
  </si>
  <si>
    <t>P1AP</t>
  </si>
  <si>
    <t>Pixels</t>
  </si>
  <si>
    <t>P1AP1</t>
  </si>
  <si>
    <t>Mechanical and Final</t>
  </si>
  <si>
    <t>O</t>
  </si>
  <si>
    <t>P1AP11</t>
  </si>
  <si>
    <t>Design</t>
  </si>
  <si>
    <t>P1AP12</t>
  </si>
  <si>
    <t>Development</t>
  </si>
  <si>
    <t>P1AP13</t>
  </si>
  <si>
    <t>Disk Production</t>
  </si>
  <si>
    <t>P1AP2</t>
  </si>
  <si>
    <t>Electronics</t>
  </si>
  <si>
    <t>P1AP21</t>
  </si>
  <si>
    <t>Design Engineering</t>
  </si>
  <si>
    <t>P1AP22</t>
  </si>
  <si>
    <t>P1AP23</t>
  </si>
  <si>
    <t>Production</t>
  </si>
  <si>
    <t>P1AP3</t>
  </si>
  <si>
    <t>Module Assy/Test</t>
  </si>
  <si>
    <t>P1AP31</t>
  </si>
  <si>
    <t>P1AP32</t>
  </si>
  <si>
    <t>P1AP33</t>
  </si>
  <si>
    <t>P1AP4</t>
  </si>
  <si>
    <t>Pixel Common Items</t>
  </si>
  <si>
    <t>P1AP41</t>
  </si>
  <si>
    <t>Conventional Cables</t>
  </si>
  <si>
    <t>P1AP42</t>
  </si>
  <si>
    <t>Rod &amp; DCS</t>
  </si>
  <si>
    <t>P1AS</t>
  </si>
  <si>
    <t>Silicon Strip System</t>
  </si>
  <si>
    <t>P1AS1</t>
  </si>
  <si>
    <t>IC Electronics</t>
  </si>
  <si>
    <t>P1AS11</t>
  </si>
  <si>
    <t>P1AS12</t>
  </si>
  <si>
    <t>P1AS13</t>
  </si>
  <si>
    <t>P1AS2</t>
  </si>
  <si>
    <t>Hybrids/Cables/Fanouts</t>
  </si>
  <si>
    <t>P1AS21</t>
  </si>
  <si>
    <t>P1AS22</t>
  </si>
  <si>
    <t>P1AS3</t>
  </si>
  <si>
    <t>Module Assy and Test</t>
  </si>
  <si>
    <t>P1AS31</t>
  </si>
  <si>
    <t>P1AS32</t>
  </si>
  <si>
    <t>P1AS33</t>
  </si>
  <si>
    <t>LHC-GENERAL</t>
  </si>
  <si>
    <t>offsite atlas</t>
  </si>
  <si>
    <t>lhc-effort  physics staff</t>
  </si>
  <si>
    <t>off site effort-atlas</t>
  </si>
  <si>
    <t>ATLAS</t>
  </si>
  <si>
    <t>Physics oversight staff</t>
  </si>
  <si>
    <t>LHC effort</t>
  </si>
  <si>
    <t>offsite effort -atlas</t>
  </si>
  <si>
    <t>Atlas Computing</t>
  </si>
  <si>
    <t>ATLAS computing off-site</t>
  </si>
  <si>
    <t>Unified Software Development</t>
  </si>
  <si>
    <t>NEW PIXEL ARCHITECTURE DETECTO</t>
  </si>
  <si>
    <t>LHC SILICON STRIP</t>
  </si>
  <si>
    <t>Modeling of HEP Detectors</t>
  </si>
  <si>
    <t>C</t>
  </si>
  <si>
    <t>P1AP43</t>
  </si>
  <si>
    <t>P1AP5</t>
  </si>
  <si>
    <t>P1AP51</t>
  </si>
  <si>
    <t>P1AP52</t>
  </si>
  <si>
    <t>791650 (corrected for PHYS50)</t>
  </si>
  <si>
    <t>(tbd)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</si>
</sst>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0"/>
    <numFmt numFmtId="168" formatCode="#,##0.0"/>
    <numFmt numFmtId="169" formatCode="0.0%"/>
    <numFmt numFmtId="170" formatCode="&quot;$&quot;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AvantGarde"/>
      <family val="2"/>
    </font>
    <font>
      <sz val="11"/>
      <color indexed="8"/>
      <name val="AvantGarde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" fontId="4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164" fontId="5" fillId="0" borderId="0" xfId="15" applyNumberFormat="1" applyFont="1" applyFill="1" applyBorder="1" applyAlignment="1">
      <alignment horizontal="center"/>
    </xf>
    <xf numFmtId="164" fontId="5" fillId="0" borderId="0" xfId="15" applyNumberFormat="1" applyFont="1" applyFill="1" applyAlignment="1">
      <alignment horizontal="center"/>
    </xf>
    <xf numFmtId="164" fontId="5" fillId="0" borderId="1" xfId="15" applyNumberFormat="1" applyFont="1" applyFill="1" applyBorder="1" applyAlignment="1">
      <alignment horizontal="center"/>
    </xf>
    <xf numFmtId="164" fontId="5" fillId="0" borderId="1" xfId="15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9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Alignment="1">
      <alignment/>
    </xf>
    <xf numFmtId="0" fontId="5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164" fontId="5" fillId="0" borderId="1" xfId="15" applyNumberFormat="1" applyFont="1" applyBorder="1" applyAlignment="1">
      <alignment horizontal="center" wrapText="1"/>
    </xf>
    <xf numFmtId="49" fontId="5" fillId="0" borderId="1" xfId="15" applyNumberFormat="1" applyFont="1" applyFill="1" applyBorder="1" applyAlignment="1">
      <alignment horizontal="center" wrapText="1"/>
    </xf>
    <xf numFmtId="164" fontId="5" fillId="0" borderId="0" xfId="15" applyNumberFormat="1" applyFont="1" applyFill="1" applyBorder="1" applyAlignment="1">
      <alignment horizontal="left" wrapText="1"/>
    </xf>
    <xf numFmtId="49" fontId="5" fillId="0" borderId="2" xfId="15" applyNumberFormat="1" applyFont="1" applyFill="1" applyBorder="1" applyAlignment="1">
      <alignment horizontal="left" wrapText="1"/>
    </xf>
    <xf numFmtId="164" fontId="5" fillId="0" borderId="2" xfId="15" applyNumberFormat="1" applyFont="1" applyFill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64" fontId="5" fillId="0" borderId="2" xfId="15" applyNumberFormat="1" applyFont="1" applyBorder="1" applyAlignment="1">
      <alignment horizontal="left" wrapText="1"/>
    </xf>
    <xf numFmtId="164" fontId="5" fillId="0" borderId="3" xfId="15" applyNumberFormat="1" applyFont="1" applyFill="1" applyBorder="1" applyAlignment="1">
      <alignment horizontal="left" wrapText="1"/>
    </xf>
    <xf numFmtId="164" fontId="5" fillId="0" borderId="0" xfId="15" applyNumberFormat="1" applyFont="1" applyFill="1" applyAlignment="1">
      <alignment horizontal="left" wrapText="1"/>
    </xf>
    <xf numFmtId="49" fontId="7" fillId="2" borderId="0" xfId="15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7" fillId="2" borderId="0" xfId="15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38" fontId="0" fillId="0" borderId="2" xfId="0" applyNumberFormat="1" applyFill="1" applyBorder="1" applyAlignment="1">
      <alignment/>
    </xf>
    <xf numFmtId="0" fontId="5" fillId="0" borderId="1" xfId="0" applyFont="1" applyBorder="1" applyAlignment="1">
      <alignment horizontal="center" wrapText="1"/>
    </xf>
    <xf numFmtId="169" fontId="5" fillId="0" borderId="0" xfId="0" applyNumberFormat="1" applyFont="1" applyFill="1" applyBorder="1" applyAlignment="1">
      <alignment horizontal="center" wrapText="1"/>
    </xf>
    <xf numFmtId="38" fontId="5" fillId="0" borderId="2" xfId="0" applyNumberFormat="1" applyFont="1" applyBorder="1" applyAlignment="1">
      <alignment horizontal="left" wrapText="1"/>
    </xf>
    <xf numFmtId="38" fontId="5" fillId="0" borderId="0" xfId="0" applyNumberFormat="1" applyFont="1" applyAlignment="1">
      <alignment horizontal="center"/>
    </xf>
    <xf numFmtId="38" fontId="5" fillId="0" borderId="1" xfId="0" applyNumberFormat="1" applyFont="1" applyBorder="1" applyAlignment="1">
      <alignment horizontal="center" wrapText="1"/>
    </xf>
    <xf numFmtId="38" fontId="5" fillId="0" borderId="0" xfId="0" applyNumberFormat="1" applyFont="1" applyFill="1" applyBorder="1" applyAlignment="1">
      <alignment horizontal="center" wrapText="1"/>
    </xf>
    <xf numFmtId="38" fontId="5" fillId="0" borderId="0" xfId="15" applyNumberFormat="1" applyFont="1" applyBorder="1" applyAlignment="1">
      <alignment horizontal="center"/>
    </xf>
    <xf numFmtId="38" fontId="5" fillId="3" borderId="0" xfId="15" applyNumberFormat="1" applyFont="1" applyFill="1" applyBorder="1" applyAlignment="1">
      <alignment horizontal="center"/>
    </xf>
    <xf numFmtId="38" fontId="5" fillId="0" borderId="0" xfId="15" applyNumberFormat="1" applyFont="1" applyFill="1" applyBorder="1" applyAlignment="1">
      <alignment/>
    </xf>
    <xf numFmtId="38" fontId="5" fillId="4" borderId="0" xfId="15" applyNumberFormat="1" applyFont="1" applyFill="1" applyBorder="1" applyAlignment="1">
      <alignment horizontal="center"/>
    </xf>
    <xf numFmtId="38" fontId="5" fillId="5" borderId="0" xfId="15" applyNumberFormat="1" applyFont="1" applyFill="1" applyBorder="1" applyAlignment="1">
      <alignment horizontal="center"/>
    </xf>
    <xf numFmtId="1" fontId="5" fillId="5" borderId="0" xfId="15" applyNumberFormat="1" applyFont="1" applyFill="1" applyBorder="1" applyAlignment="1">
      <alignment horizontal="center"/>
    </xf>
    <xf numFmtId="38" fontId="5" fillId="6" borderId="0" xfId="15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49" fontId="7" fillId="3" borderId="0" xfId="15" applyNumberFormat="1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 wrapText="1"/>
    </xf>
    <xf numFmtId="164" fontId="5" fillId="3" borderId="0" xfId="15" applyNumberFormat="1" applyFont="1" applyFill="1" applyBorder="1" applyAlignment="1">
      <alignment horizontal="center"/>
    </xf>
    <xf numFmtId="169" fontId="5" fillId="3" borderId="0" xfId="0" applyNumberFormat="1" applyFont="1" applyFill="1" applyBorder="1" applyAlignment="1">
      <alignment horizontal="center" wrapText="1"/>
    </xf>
    <xf numFmtId="38" fontId="5" fillId="3" borderId="0" xfId="0" applyNumberFormat="1" applyFont="1" applyFill="1" applyBorder="1" applyAlignment="1">
      <alignment horizontal="center" wrapText="1"/>
    </xf>
    <xf numFmtId="164" fontId="5" fillId="3" borderId="0" xfId="15" applyNumberFormat="1" applyFont="1" applyFill="1" applyBorder="1" applyAlignment="1">
      <alignment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164" fontId="5" fillId="3" borderId="1" xfId="15" applyNumberFormat="1" applyFont="1" applyFill="1" applyBorder="1" applyAlignment="1">
      <alignment horizontal="center"/>
    </xf>
    <xf numFmtId="164" fontId="5" fillId="3" borderId="1" xfId="15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3" fontId="5" fillId="3" borderId="0" xfId="15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 wrapText="1"/>
    </xf>
    <xf numFmtId="164" fontId="5" fillId="3" borderId="0" xfId="15" applyNumberFormat="1" applyFont="1" applyFill="1" applyAlignment="1">
      <alignment/>
    </xf>
    <xf numFmtId="164" fontId="5" fillId="3" borderId="0" xfId="15" applyNumberFormat="1" applyFont="1" applyFill="1" applyAlignment="1">
      <alignment/>
    </xf>
    <xf numFmtId="164" fontId="5" fillId="3" borderId="0" xfId="15" applyNumberFormat="1" applyFont="1" applyFill="1" applyAlignment="1">
      <alignment horizontal="center"/>
    </xf>
    <xf numFmtId="38" fontId="0" fillId="3" borderId="2" xfId="0" applyNumberFormat="1" applyFill="1" applyBorder="1" applyAlignment="1">
      <alignment/>
    </xf>
    <xf numFmtId="0" fontId="8" fillId="3" borderId="0" xfId="0" applyFont="1" applyFill="1" applyBorder="1" applyAlignment="1">
      <alignment/>
    </xf>
    <xf numFmtId="49" fontId="5" fillId="6" borderId="0" xfId="15" applyNumberFormat="1" applyFont="1" applyFill="1" applyBorder="1" applyAlignment="1">
      <alignment/>
    </xf>
    <xf numFmtId="164" fontId="5" fillId="6" borderId="0" xfId="15" applyNumberFormat="1" applyFont="1" applyFill="1" applyAlignment="1">
      <alignment/>
    </xf>
    <xf numFmtId="164" fontId="5" fillId="6" borderId="0" xfId="15" applyNumberFormat="1" applyFont="1" applyFill="1" applyAlignment="1">
      <alignment horizontal="center"/>
    </xf>
    <xf numFmtId="164" fontId="5" fillId="6" borderId="0" xfId="15" applyNumberFormat="1" applyFont="1" applyFill="1" applyBorder="1" applyAlignment="1">
      <alignment horizontal="center"/>
    </xf>
    <xf numFmtId="169" fontId="5" fillId="6" borderId="0" xfId="0" applyNumberFormat="1" applyFont="1" applyFill="1" applyBorder="1" applyAlignment="1">
      <alignment horizontal="center" wrapText="1"/>
    </xf>
    <xf numFmtId="38" fontId="5" fillId="6" borderId="0" xfId="0" applyNumberFormat="1" applyFont="1" applyFill="1" applyBorder="1" applyAlignment="1">
      <alignment horizontal="center" wrapText="1"/>
    </xf>
    <xf numFmtId="3" fontId="5" fillId="6" borderId="0" xfId="0" applyNumberFormat="1" applyFont="1" applyFill="1" applyBorder="1" applyAlignment="1">
      <alignment horizontal="center" wrapText="1"/>
    </xf>
    <xf numFmtId="164" fontId="5" fillId="6" borderId="0" xfId="15" applyNumberFormat="1" applyFont="1" applyFill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15" applyNumberFormat="1" applyFont="1" applyFill="1" applyAlignment="1">
      <alignment horizontal="center"/>
    </xf>
    <xf numFmtId="3" fontId="5" fillId="0" borderId="0" xfId="15" applyNumberFormat="1" applyFont="1" applyBorder="1" applyAlignment="1">
      <alignment horizontal="center"/>
    </xf>
    <xf numFmtId="3" fontId="5" fillId="3" borderId="1" xfId="15" applyNumberFormat="1" applyFont="1" applyFill="1" applyBorder="1" applyAlignment="1">
      <alignment horizontal="center"/>
    </xf>
    <xf numFmtId="3" fontId="5" fillId="3" borderId="0" xfId="0" applyNumberFormat="1" applyFont="1" applyFill="1" applyAlignment="1">
      <alignment horizontal="center"/>
    </xf>
    <xf numFmtId="3" fontId="5" fillId="3" borderId="0" xfId="15" applyNumberFormat="1" applyFont="1" applyFill="1" applyAlignment="1">
      <alignment horizontal="center"/>
    </xf>
    <xf numFmtId="3" fontId="5" fillId="6" borderId="0" xfId="15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SChar" xfId="20"/>
    <cellStyle name="PSDec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workbookViewId="0" topLeftCell="E2">
      <pane ySplit="1785" topLeftCell="BM2" activePane="bottomLeft" state="split"/>
      <selection pane="topLeft" activeCell="J2" sqref="J1:J16384"/>
      <selection pane="bottomLeft" activeCell="K17" sqref="K17:N17"/>
    </sheetView>
  </sheetViews>
  <sheetFormatPr defaultColWidth="9.140625" defaultRowHeight="12.75"/>
  <cols>
    <col min="1" max="1" width="33.8515625" style="1" hidden="1" customWidth="1"/>
    <col min="2" max="2" width="17.28125" style="9" customWidth="1"/>
    <col min="3" max="3" width="32.7109375" style="10" customWidth="1"/>
    <col min="4" max="4" width="5.8515625" style="5" customWidth="1"/>
    <col min="5" max="8" width="10.57421875" style="14" customWidth="1"/>
    <col min="9" max="9" width="10.140625" style="4" customWidth="1"/>
    <col min="10" max="10" width="7.7109375" style="71" customWidth="1"/>
    <col min="11" max="11" width="13.00390625" style="11" customWidth="1"/>
    <col min="12" max="13" width="13.00390625" style="33" customWidth="1"/>
    <col min="14" max="15" width="13.00390625" style="11" customWidth="1"/>
    <col min="16" max="16" width="7.7109375" style="11" customWidth="1"/>
    <col min="17" max="24" width="7.7109375" style="5" customWidth="1"/>
    <col min="25" max="27" width="7.140625" style="5" bestFit="1" customWidth="1"/>
    <col min="28" max="16384" width="9.140625" style="1" customWidth="1"/>
  </cols>
  <sheetData>
    <row r="1" spans="1:27" s="23" customFormat="1" ht="114.75" hidden="1">
      <c r="A1" s="17" t="s">
        <v>0</v>
      </c>
      <c r="B1" s="18" t="s">
        <v>1</v>
      </c>
      <c r="C1" s="19" t="s">
        <v>2</v>
      </c>
      <c r="D1" s="20" t="s">
        <v>3</v>
      </c>
      <c r="E1" s="21" t="s">
        <v>4</v>
      </c>
      <c r="F1" s="21"/>
      <c r="G1" s="21"/>
      <c r="H1" s="21"/>
      <c r="I1" s="19" t="s">
        <v>100</v>
      </c>
      <c r="J1" s="78" t="s">
        <v>101</v>
      </c>
      <c r="K1" s="20"/>
      <c r="L1" s="32"/>
      <c r="M1" s="32"/>
      <c r="N1" s="20"/>
      <c r="O1" s="20"/>
      <c r="P1" s="20" t="s">
        <v>5</v>
      </c>
      <c r="Q1" s="19" t="s">
        <v>6</v>
      </c>
      <c r="R1" s="19" t="s">
        <v>7</v>
      </c>
      <c r="S1" s="22" t="s">
        <v>8</v>
      </c>
      <c r="T1" s="19" t="s">
        <v>9</v>
      </c>
      <c r="U1" s="19" t="s">
        <v>10</v>
      </c>
      <c r="V1" s="19" t="s">
        <v>11</v>
      </c>
      <c r="W1" s="19" t="s">
        <v>12</v>
      </c>
      <c r="X1" s="19" t="s">
        <v>13</v>
      </c>
      <c r="Y1" s="19" t="s">
        <v>14</v>
      </c>
      <c r="Z1" s="19" t="s">
        <v>15</v>
      </c>
      <c r="AA1" s="19" t="s">
        <v>16</v>
      </c>
    </row>
    <row r="2" ht="12.75">
      <c r="B2" s="12"/>
    </row>
    <row r="3" spans="2:27" s="6" customFormat="1" ht="63.75">
      <c r="B3" s="16" t="s">
        <v>17</v>
      </c>
      <c r="C3" s="7" t="s">
        <v>18</v>
      </c>
      <c r="D3" s="7" t="s">
        <v>19</v>
      </c>
      <c r="E3" s="15" t="s">
        <v>20</v>
      </c>
      <c r="F3" s="15" t="s">
        <v>89</v>
      </c>
      <c r="G3" s="15" t="s">
        <v>96</v>
      </c>
      <c r="H3" s="15" t="s">
        <v>21</v>
      </c>
      <c r="I3" s="7" t="s">
        <v>22</v>
      </c>
      <c r="J3" s="79" t="s">
        <v>23</v>
      </c>
      <c r="K3" s="30" t="s">
        <v>24</v>
      </c>
      <c r="L3" s="34" t="s">
        <v>25</v>
      </c>
      <c r="M3" s="34" t="s">
        <v>26</v>
      </c>
      <c r="N3" s="30" t="s">
        <v>27</v>
      </c>
      <c r="O3" s="30" t="s">
        <v>28</v>
      </c>
      <c r="P3" s="13" t="s">
        <v>29</v>
      </c>
      <c r="Q3" s="6" t="s">
        <v>30</v>
      </c>
      <c r="R3" s="6" t="s">
        <v>31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36</v>
      </c>
      <c r="X3" s="6" t="s">
        <v>37</v>
      </c>
      <c r="Y3" s="6" t="s">
        <v>38</v>
      </c>
      <c r="Z3" s="6" t="s">
        <v>39</v>
      </c>
      <c r="AA3" s="6" t="s">
        <v>40</v>
      </c>
    </row>
    <row r="4" spans="15:22" ht="12.75">
      <c r="O4" s="11">
        <v>7</v>
      </c>
      <c r="P4" s="71"/>
      <c r="Q4" s="72"/>
      <c r="R4" s="72"/>
      <c r="S4" s="72"/>
      <c r="T4" s="72"/>
      <c r="U4" s="72"/>
      <c r="V4" s="72"/>
    </row>
    <row r="5" spans="1:27" s="2" customFormat="1" ht="16.5">
      <c r="A5" s="2" t="s">
        <v>41</v>
      </c>
      <c r="B5" s="26" t="s">
        <v>42</v>
      </c>
      <c r="C5" s="3" t="s">
        <v>164</v>
      </c>
      <c r="D5" s="8" t="s">
        <v>123</v>
      </c>
      <c r="E5" s="14">
        <v>163300.19</v>
      </c>
      <c r="F5" s="36"/>
      <c r="G5" s="36">
        <v>390000</v>
      </c>
      <c r="H5" s="36"/>
      <c r="I5" s="14">
        <v>113719.6</v>
      </c>
      <c r="J5" s="73">
        <v>2538.1</v>
      </c>
      <c r="K5" s="31" t="str">
        <f>+IF(H5&gt;0,I5/H5,"-")</f>
        <v>-</v>
      </c>
      <c r="L5" s="35" t="str">
        <f>+IF(H5&gt;0,H5-I5,"-")</f>
        <v>-</v>
      </c>
      <c r="M5" s="35" t="str">
        <f aca="true" t="shared" si="0" ref="M5:M12">+IF(H5&gt;0,H5-(I5+J5),"-")</f>
        <v>-</v>
      </c>
      <c r="N5" s="31" t="str">
        <f>+IF(H5&gt;0,((I5+J5)/H5),"-")</f>
        <v>-</v>
      </c>
      <c r="O5" s="55">
        <f>I5/$O$4</f>
        <v>16245.657142857144</v>
      </c>
      <c r="P5" s="73">
        <v>24185.02</v>
      </c>
      <c r="Q5" s="73">
        <v>13577.53</v>
      </c>
      <c r="R5" s="73">
        <v>13866.05</v>
      </c>
      <c r="S5" s="73">
        <v>20298.28</v>
      </c>
      <c r="T5" s="73">
        <v>14228.07</v>
      </c>
      <c r="U5" s="73">
        <v>21615.44</v>
      </c>
      <c r="V5" s="73">
        <v>5949.21</v>
      </c>
      <c r="W5" s="14"/>
      <c r="X5" s="14">
        <v>0</v>
      </c>
      <c r="Y5" s="14">
        <v>0</v>
      </c>
      <c r="Z5" s="14">
        <v>0</v>
      </c>
      <c r="AA5" s="14">
        <v>0</v>
      </c>
    </row>
    <row r="6" spans="1:27" s="2" customFormat="1" ht="16.5">
      <c r="A6" s="2" t="s">
        <v>43</v>
      </c>
      <c r="B6" s="26" t="s">
        <v>44</v>
      </c>
      <c r="C6" s="3" t="s">
        <v>165</v>
      </c>
      <c r="D6" s="8" t="s">
        <v>123</v>
      </c>
      <c r="E6" s="14">
        <v>213014.32</v>
      </c>
      <c r="F6" s="36"/>
      <c r="G6" s="36"/>
      <c r="H6" s="36"/>
      <c r="I6" s="14">
        <v>95442.6</v>
      </c>
      <c r="J6" s="73">
        <v>17692.85</v>
      </c>
      <c r="K6" s="31" t="str">
        <f>+IF(H6&gt;0,I6/H6,"-")</f>
        <v>-</v>
      </c>
      <c r="L6" s="35" t="str">
        <f>+IF(H6&gt;0,H6-I6,"-")</f>
        <v>-</v>
      </c>
      <c r="M6" s="35" t="str">
        <f t="shared" si="0"/>
        <v>-</v>
      </c>
      <c r="N6" s="31" t="str">
        <f>+IF(H6&gt;0,((I6+J6)/H6),"-")</f>
        <v>-</v>
      </c>
      <c r="O6" s="55">
        <f aca="true" t="shared" si="1" ref="O6:O66">I6/$O$4</f>
        <v>13634.657142857144</v>
      </c>
      <c r="P6" s="73">
        <v>11096.19</v>
      </c>
      <c r="Q6" s="73">
        <v>27750.04</v>
      </c>
      <c r="R6" s="73">
        <v>13900.49</v>
      </c>
      <c r="S6" s="73">
        <v>16464.97</v>
      </c>
      <c r="T6" s="73">
        <v>5629.99</v>
      </c>
      <c r="U6" s="73">
        <v>12761.09</v>
      </c>
      <c r="V6" s="73">
        <v>7839.83</v>
      </c>
      <c r="W6" s="14"/>
      <c r="X6" s="14">
        <v>0</v>
      </c>
      <c r="Y6" s="14">
        <v>0</v>
      </c>
      <c r="Z6" s="14">
        <v>0</v>
      </c>
      <c r="AA6" s="14">
        <v>0</v>
      </c>
    </row>
    <row r="7" spans="1:27" s="2" customFormat="1" ht="16.5">
      <c r="A7" s="2" t="s">
        <v>45</v>
      </c>
      <c r="B7" s="26" t="s">
        <v>46</v>
      </c>
      <c r="C7" s="3" t="s">
        <v>166</v>
      </c>
      <c r="D7" s="8" t="s">
        <v>123</v>
      </c>
      <c r="E7" s="14">
        <v>776799.67</v>
      </c>
      <c r="F7" s="36"/>
      <c r="G7" s="36"/>
      <c r="H7" s="36"/>
      <c r="I7" s="14">
        <v>28610.65</v>
      </c>
      <c r="J7" s="73">
        <v>0</v>
      </c>
      <c r="K7" s="31" t="str">
        <f aca="true" t="shared" si="2" ref="K7:K13">+IF(H7&gt;0,I7/H7,"-")</f>
        <v>-</v>
      </c>
      <c r="L7" s="35" t="str">
        <f aca="true" t="shared" si="3" ref="L7:L13">+IF(H7&gt;0,H7-I7,"-")</f>
        <v>-</v>
      </c>
      <c r="M7" s="35" t="str">
        <f t="shared" si="0"/>
        <v>-</v>
      </c>
      <c r="N7" s="31" t="str">
        <f aca="true" t="shared" si="4" ref="N7:N13">+IF(H7&gt;0,((I7+J7)/H7),"-")</f>
        <v>-</v>
      </c>
      <c r="O7" s="55">
        <f t="shared" si="1"/>
        <v>4087.2357142857145</v>
      </c>
      <c r="P7" s="73">
        <v>92732.57</v>
      </c>
      <c r="Q7" s="73">
        <v>-30934.37</v>
      </c>
      <c r="R7" s="73">
        <v>56009.93</v>
      </c>
      <c r="S7" s="73">
        <v>-116460.01</v>
      </c>
      <c r="T7" s="73">
        <v>93671</v>
      </c>
      <c r="U7" s="73">
        <v>-72466.8</v>
      </c>
      <c r="V7" s="73">
        <v>6058.33</v>
      </c>
      <c r="W7" s="14"/>
      <c r="X7" s="14">
        <v>0</v>
      </c>
      <c r="Y7" s="14">
        <v>0</v>
      </c>
      <c r="Z7" s="14">
        <v>0</v>
      </c>
      <c r="AA7" s="14">
        <v>0</v>
      </c>
    </row>
    <row r="8" spans="1:27" s="2" customFormat="1" ht="16.5">
      <c r="A8" s="2" t="s">
        <v>47</v>
      </c>
      <c r="B8" s="26" t="s">
        <v>48</v>
      </c>
      <c r="C8" s="3" t="s">
        <v>167</v>
      </c>
      <c r="D8" s="8" t="s">
        <v>123</v>
      </c>
      <c r="E8" s="14">
        <v>2322.73</v>
      </c>
      <c r="F8" s="36"/>
      <c r="G8" s="36"/>
      <c r="H8" s="36"/>
      <c r="I8" s="14">
        <v>0</v>
      </c>
      <c r="J8" s="73">
        <v>0</v>
      </c>
      <c r="K8" s="31" t="str">
        <f t="shared" si="2"/>
        <v>-</v>
      </c>
      <c r="L8" s="35" t="str">
        <f t="shared" si="3"/>
        <v>-</v>
      </c>
      <c r="M8" s="35" t="str">
        <f t="shared" si="0"/>
        <v>-</v>
      </c>
      <c r="N8" s="31" t="str">
        <f t="shared" si="4"/>
        <v>-</v>
      </c>
      <c r="O8" s="55">
        <f t="shared" si="1"/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14"/>
      <c r="X8" s="14">
        <v>0</v>
      </c>
      <c r="Y8" s="14">
        <v>0</v>
      </c>
      <c r="Z8" s="14">
        <v>0</v>
      </c>
      <c r="AA8" s="14">
        <v>0</v>
      </c>
    </row>
    <row r="9" spans="1:27" s="2" customFormat="1" ht="16.5">
      <c r="A9" s="2" t="s">
        <v>49</v>
      </c>
      <c r="B9" s="26" t="s">
        <v>50</v>
      </c>
      <c r="C9" s="3" t="s">
        <v>168</v>
      </c>
      <c r="D9" s="8" t="s">
        <v>118</v>
      </c>
      <c r="E9" s="14">
        <v>70427.43</v>
      </c>
      <c r="F9" s="36"/>
      <c r="G9" s="36"/>
      <c r="H9" s="36"/>
      <c r="I9" s="14">
        <v>43383.92</v>
      </c>
      <c r="J9" s="73">
        <v>0</v>
      </c>
      <c r="K9" s="31" t="str">
        <f t="shared" si="2"/>
        <v>-</v>
      </c>
      <c r="L9" s="35" t="str">
        <f t="shared" si="3"/>
        <v>-</v>
      </c>
      <c r="M9" s="35" t="str">
        <f t="shared" si="0"/>
        <v>-</v>
      </c>
      <c r="N9" s="31" t="str">
        <f t="shared" si="4"/>
        <v>-</v>
      </c>
      <c r="O9" s="55">
        <f t="shared" si="1"/>
        <v>6197.702857142857</v>
      </c>
      <c r="P9" s="73">
        <v>5464.92</v>
      </c>
      <c r="Q9" s="73">
        <v>4932.13</v>
      </c>
      <c r="R9" s="73">
        <v>7397.9</v>
      </c>
      <c r="S9" s="73">
        <v>5460.39</v>
      </c>
      <c r="T9" s="73">
        <v>6973.01</v>
      </c>
      <c r="U9" s="73">
        <v>6303.19</v>
      </c>
      <c r="V9" s="73">
        <v>6852.38</v>
      </c>
      <c r="W9" s="14"/>
      <c r="X9" s="14">
        <v>0</v>
      </c>
      <c r="Y9" s="14">
        <v>0</v>
      </c>
      <c r="Z9" s="14">
        <v>0</v>
      </c>
      <c r="AA9" s="14">
        <v>0</v>
      </c>
    </row>
    <row r="10" spans="1:27" s="2" customFormat="1" ht="16.5">
      <c r="A10" s="2" t="s">
        <v>99</v>
      </c>
      <c r="B10" s="26" t="s">
        <v>105</v>
      </c>
      <c r="C10" s="3" t="s">
        <v>169</v>
      </c>
      <c r="D10" s="8" t="s">
        <v>123</v>
      </c>
      <c r="E10" s="14">
        <v>234953.49</v>
      </c>
      <c r="F10" s="36"/>
      <c r="G10" s="36">
        <v>1200000</v>
      </c>
      <c r="H10" s="36"/>
      <c r="I10" s="14">
        <v>792856.14</v>
      </c>
      <c r="J10" s="73">
        <v>0</v>
      </c>
      <c r="K10" s="31" t="str">
        <f t="shared" si="2"/>
        <v>-</v>
      </c>
      <c r="L10" s="35" t="str">
        <f t="shared" si="3"/>
        <v>-</v>
      </c>
      <c r="M10" s="35" t="str">
        <f t="shared" si="0"/>
        <v>-</v>
      </c>
      <c r="N10" s="31" t="str">
        <f t="shared" si="4"/>
        <v>-</v>
      </c>
      <c r="O10" s="55">
        <f t="shared" si="1"/>
        <v>113265.16285714286</v>
      </c>
      <c r="P10" s="73">
        <v>16933.59</v>
      </c>
      <c r="Q10" s="73">
        <v>103716.94</v>
      </c>
      <c r="R10" s="73">
        <v>37935.71</v>
      </c>
      <c r="S10" s="73">
        <v>256327.32</v>
      </c>
      <c r="T10" s="73">
        <v>18937.82</v>
      </c>
      <c r="U10" s="73">
        <v>221032.45</v>
      </c>
      <c r="V10" s="73">
        <v>137972.31</v>
      </c>
      <c r="W10" s="14"/>
      <c r="X10" s="14">
        <v>0</v>
      </c>
      <c r="Y10" s="14">
        <v>0</v>
      </c>
      <c r="Z10" s="14">
        <v>0</v>
      </c>
      <c r="AA10" s="14">
        <v>0</v>
      </c>
    </row>
    <row r="11" spans="1:27" s="2" customFormat="1" ht="16.5">
      <c r="A11" s="2" t="s">
        <v>51</v>
      </c>
      <c r="B11" s="26" t="s">
        <v>52</v>
      </c>
      <c r="C11" s="3" t="s">
        <v>170</v>
      </c>
      <c r="D11" s="8" t="s">
        <v>123</v>
      </c>
      <c r="E11" s="14">
        <v>432315.73</v>
      </c>
      <c r="F11" s="36"/>
      <c r="G11" s="36"/>
      <c r="H11" s="36"/>
      <c r="I11" s="14">
        <v>75778.26</v>
      </c>
      <c r="J11" s="73">
        <v>0</v>
      </c>
      <c r="K11" s="31" t="str">
        <f t="shared" si="2"/>
        <v>-</v>
      </c>
      <c r="L11" s="35" t="str">
        <f t="shared" si="3"/>
        <v>-</v>
      </c>
      <c r="M11" s="35" t="str">
        <f t="shared" si="0"/>
        <v>-</v>
      </c>
      <c r="N11" s="31" t="str">
        <f t="shared" si="4"/>
        <v>-</v>
      </c>
      <c r="O11" s="55">
        <f t="shared" si="1"/>
        <v>10825.465714285714</v>
      </c>
      <c r="P11" s="73">
        <v>20049.94</v>
      </c>
      <c r="Q11" s="73">
        <v>1461.93</v>
      </c>
      <c r="R11" s="73">
        <v>0</v>
      </c>
      <c r="S11" s="73">
        <v>70.15</v>
      </c>
      <c r="T11" s="73">
        <v>26205.06</v>
      </c>
      <c r="U11" s="73">
        <v>8415.02</v>
      </c>
      <c r="V11" s="73">
        <v>19576.16</v>
      </c>
      <c r="W11" s="14"/>
      <c r="X11" s="14">
        <v>0</v>
      </c>
      <c r="Y11" s="14">
        <v>0</v>
      </c>
      <c r="Z11" s="14">
        <v>0</v>
      </c>
      <c r="AA11" s="14">
        <v>0</v>
      </c>
    </row>
    <row r="12" spans="1:27" s="2" customFormat="1" ht="16.5">
      <c r="A12" s="2" t="s">
        <v>53</v>
      </c>
      <c r="B12" s="26" t="s">
        <v>54</v>
      </c>
      <c r="C12" s="3" t="s">
        <v>171</v>
      </c>
      <c r="D12" s="8" t="s">
        <v>123</v>
      </c>
      <c r="E12" s="14">
        <v>15473.69</v>
      </c>
      <c r="F12" s="36"/>
      <c r="G12" s="36"/>
      <c r="H12" s="36"/>
      <c r="I12" s="14">
        <v>0</v>
      </c>
      <c r="J12" s="73">
        <v>0</v>
      </c>
      <c r="K12" s="31" t="str">
        <f t="shared" si="2"/>
        <v>-</v>
      </c>
      <c r="L12" s="35" t="str">
        <f t="shared" si="3"/>
        <v>-</v>
      </c>
      <c r="M12" s="35" t="str">
        <f t="shared" si="0"/>
        <v>-</v>
      </c>
      <c r="N12" s="31" t="str">
        <f t="shared" si="4"/>
        <v>-</v>
      </c>
      <c r="O12" s="55">
        <f t="shared" si="1"/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14"/>
      <c r="X12" s="14">
        <v>0</v>
      </c>
      <c r="Y12" s="14">
        <v>0</v>
      </c>
      <c r="Z12" s="14">
        <v>0</v>
      </c>
      <c r="AA12" s="14">
        <v>0</v>
      </c>
    </row>
    <row r="13" spans="2:27" s="50" customFormat="1" ht="16.5">
      <c r="B13" s="44" t="s">
        <v>97</v>
      </c>
      <c r="C13" s="45"/>
      <c r="D13" s="46"/>
      <c r="E13" s="47">
        <f aca="true" t="shared" si="5" ref="E13:J13">SUM(E5:E12)</f>
        <v>1908607.25</v>
      </c>
      <c r="F13" s="37">
        <f>SUM(F5:F12)</f>
        <v>0</v>
      </c>
      <c r="G13" s="37">
        <f>SUM(G5:G12)</f>
        <v>1590000</v>
      </c>
      <c r="H13" s="37">
        <f>F13+G13</f>
        <v>1590000</v>
      </c>
      <c r="I13" s="47">
        <f t="shared" si="5"/>
        <v>1149791.1700000002</v>
      </c>
      <c r="J13" s="56">
        <f t="shared" si="5"/>
        <v>20230.949999999997</v>
      </c>
      <c r="K13" s="48">
        <f t="shared" si="2"/>
        <v>0.7231391006289309</v>
      </c>
      <c r="L13" s="49">
        <f t="shared" si="3"/>
        <v>440208.82999999984</v>
      </c>
      <c r="M13" s="49">
        <f>+IF(H13&gt;0,H13-(I13+J13),"-")</f>
        <v>419977.8799999999</v>
      </c>
      <c r="N13" s="48">
        <f t="shared" si="4"/>
        <v>0.7358629685534592</v>
      </c>
      <c r="O13" s="56">
        <f>SUM(O5:O12)</f>
        <v>164255.88142857142</v>
      </c>
      <c r="P13" s="56">
        <f aca="true" t="shared" si="6" ref="P13:AA13">SUM(P5:P12)</f>
        <v>170462.23</v>
      </c>
      <c r="Q13" s="56">
        <f t="shared" si="6"/>
        <v>120504.2</v>
      </c>
      <c r="R13" s="56">
        <f t="shared" si="6"/>
        <v>129110.07999999999</v>
      </c>
      <c r="S13" s="56">
        <f t="shared" si="6"/>
        <v>182161.1</v>
      </c>
      <c r="T13" s="56">
        <f t="shared" si="6"/>
        <v>165644.94999999998</v>
      </c>
      <c r="U13" s="56">
        <f t="shared" si="6"/>
        <v>197660.38999999998</v>
      </c>
      <c r="V13" s="56">
        <f t="shared" si="6"/>
        <v>184248.22</v>
      </c>
      <c r="W13" s="47"/>
      <c r="X13" s="47">
        <f t="shared" si="6"/>
        <v>0</v>
      </c>
      <c r="Y13" s="47">
        <f t="shared" si="6"/>
        <v>0</v>
      </c>
      <c r="Z13" s="47">
        <f t="shared" si="6"/>
        <v>0</v>
      </c>
      <c r="AA13" s="47">
        <f t="shared" si="6"/>
        <v>0</v>
      </c>
    </row>
    <row r="14" spans="1:27" s="2" customFormat="1" ht="16.5">
      <c r="A14" s="2" t="s">
        <v>90</v>
      </c>
      <c r="B14" s="26" t="s">
        <v>91</v>
      </c>
      <c r="C14" s="3" t="s">
        <v>172</v>
      </c>
      <c r="D14" s="8" t="s">
        <v>123</v>
      </c>
      <c r="E14" s="14">
        <v>319094.7</v>
      </c>
      <c r="F14" s="36"/>
      <c r="G14" s="36">
        <f>360000+280000</f>
        <v>640000</v>
      </c>
      <c r="H14" s="36">
        <f>F14+G14</f>
        <v>640000</v>
      </c>
      <c r="I14" s="14">
        <v>328582.85</v>
      </c>
      <c r="J14" s="73">
        <v>0</v>
      </c>
      <c r="K14" s="31">
        <f aca="true" t="shared" si="7" ref="K14:K22">+IF(H14&gt;0,I14/H14,"-")</f>
        <v>0.5134107031249999</v>
      </c>
      <c r="L14" s="35">
        <f aca="true" t="shared" si="8" ref="L14:L22">+IF(H14&gt;0,H14-I14,"-")</f>
        <v>311417.15</v>
      </c>
      <c r="M14" s="35">
        <f aca="true" t="shared" si="9" ref="M14:M22">+IF(H14&gt;0,H14-(I14+J14),"-")</f>
        <v>311417.15</v>
      </c>
      <c r="N14" s="31">
        <f aca="true" t="shared" si="10" ref="N14:N22">+IF(H14&gt;0,((I14+J14)/H14),"-")</f>
        <v>0.5134107031249999</v>
      </c>
      <c r="O14" s="55">
        <f t="shared" si="1"/>
        <v>46940.40714285714</v>
      </c>
      <c r="P14" s="73">
        <v>60556.92</v>
      </c>
      <c r="Q14" s="73">
        <v>9066.86</v>
      </c>
      <c r="R14" s="73">
        <v>47098.57</v>
      </c>
      <c r="S14" s="73">
        <v>43683.13</v>
      </c>
      <c r="T14" s="73">
        <v>60358.01</v>
      </c>
      <c r="U14" s="73">
        <v>88433.3</v>
      </c>
      <c r="V14" s="73">
        <v>19386.06</v>
      </c>
      <c r="W14" s="14"/>
      <c r="X14" s="14">
        <v>0</v>
      </c>
      <c r="Y14" s="14">
        <v>0</v>
      </c>
      <c r="Z14" s="14">
        <v>0</v>
      </c>
      <c r="AA14" s="14">
        <v>0</v>
      </c>
    </row>
    <row r="15" spans="1:27" s="2" customFormat="1" ht="16.5">
      <c r="A15" s="2" t="s">
        <v>93</v>
      </c>
      <c r="B15" s="26" t="s">
        <v>94</v>
      </c>
      <c r="C15" s="3" t="s">
        <v>173</v>
      </c>
      <c r="D15" s="8" t="s">
        <v>123</v>
      </c>
      <c r="E15" s="14">
        <v>49828.51</v>
      </c>
      <c r="F15" s="38"/>
      <c r="G15" s="36"/>
      <c r="H15" s="36">
        <f>F15+G15</f>
        <v>0</v>
      </c>
      <c r="I15" s="14">
        <v>219562.96</v>
      </c>
      <c r="J15" s="73">
        <v>1322.49</v>
      </c>
      <c r="K15" s="31" t="str">
        <f t="shared" si="7"/>
        <v>-</v>
      </c>
      <c r="L15" s="35" t="str">
        <f t="shared" si="8"/>
        <v>-</v>
      </c>
      <c r="M15" s="35" t="str">
        <f t="shared" si="9"/>
        <v>-</v>
      </c>
      <c r="N15" s="31" t="str">
        <f t="shared" si="10"/>
        <v>-</v>
      </c>
      <c r="O15" s="55">
        <f t="shared" si="1"/>
        <v>31366.13714285714</v>
      </c>
      <c r="P15" s="73">
        <v>26827.28</v>
      </c>
      <c r="Q15" s="73">
        <v>36754.22</v>
      </c>
      <c r="R15" s="73">
        <v>27272.75</v>
      </c>
      <c r="S15" s="73">
        <v>32460.16</v>
      </c>
      <c r="T15" s="73">
        <v>25706.3</v>
      </c>
      <c r="U15" s="73">
        <v>30126.47</v>
      </c>
      <c r="V15" s="73">
        <v>40415.78</v>
      </c>
      <c r="W15" s="14"/>
      <c r="X15" s="14">
        <v>0</v>
      </c>
      <c r="Y15" s="14">
        <v>0</v>
      </c>
      <c r="Z15" s="14">
        <v>0</v>
      </c>
      <c r="AA15" s="14">
        <v>0</v>
      </c>
    </row>
    <row r="16" spans="1:27" s="2" customFormat="1" ht="16.5">
      <c r="A16" s="2" t="s">
        <v>108</v>
      </c>
      <c r="B16" s="26" t="s">
        <v>109</v>
      </c>
      <c r="C16" s="3" t="s">
        <v>174</v>
      </c>
      <c r="D16" s="8" t="s">
        <v>123</v>
      </c>
      <c r="E16" s="14">
        <v>19176.83</v>
      </c>
      <c r="F16" s="38">
        <v>72084</v>
      </c>
      <c r="G16" s="36">
        <v>170000</v>
      </c>
      <c r="H16" s="36">
        <f>F16+G16</f>
        <v>242084</v>
      </c>
      <c r="I16" s="14">
        <v>71626.65</v>
      </c>
      <c r="J16" s="73">
        <v>0</v>
      </c>
      <c r="K16" s="31">
        <f t="shared" si="7"/>
        <v>0.2958751920820872</v>
      </c>
      <c r="L16" s="35">
        <f t="shared" si="8"/>
        <v>170457.35</v>
      </c>
      <c r="M16" s="35">
        <f t="shared" si="9"/>
        <v>170457.35</v>
      </c>
      <c r="N16" s="31">
        <f t="shared" si="10"/>
        <v>0.2958751920820872</v>
      </c>
      <c r="O16" s="55"/>
      <c r="P16" s="73">
        <v>0</v>
      </c>
      <c r="Q16" s="73">
        <v>39541.28</v>
      </c>
      <c r="R16" s="73">
        <v>0</v>
      </c>
      <c r="S16" s="73">
        <v>24532.74</v>
      </c>
      <c r="T16" s="73">
        <v>25697.86</v>
      </c>
      <c r="U16" s="73">
        <v>-18145.23</v>
      </c>
      <c r="V16" s="73">
        <v>0</v>
      </c>
      <c r="W16" s="14"/>
      <c r="X16" s="14">
        <v>0</v>
      </c>
      <c r="Y16" s="14">
        <v>0</v>
      </c>
      <c r="Z16" s="14">
        <v>0</v>
      </c>
      <c r="AA16" s="14">
        <v>0</v>
      </c>
    </row>
    <row r="17" spans="2:27" s="2" customFormat="1" ht="16.5">
      <c r="B17" s="26" t="s">
        <v>106</v>
      </c>
      <c r="C17" s="3" t="s">
        <v>107</v>
      </c>
      <c r="D17" s="8"/>
      <c r="E17" s="14"/>
      <c r="F17" s="38">
        <v>71500</v>
      </c>
      <c r="G17" s="36">
        <v>40000</v>
      </c>
      <c r="H17" s="36">
        <f>F17+G17</f>
        <v>111500</v>
      </c>
      <c r="I17" s="14" t="s">
        <v>184</v>
      </c>
      <c r="J17" s="73"/>
      <c r="K17" s="31"/>
      <c r="L17" s="35"/>
      <c r="M17" s="35"/>
      <c r="N17" s="31"/>
      <c r="O17" s="55"/>
      <c r="P17" s="73"/>
      <c r="Q17" s="73"/>
      <c r="R17" s="73"/>
      <c r="S17" s="73"/>
      <c r="T17" s="73"/>
      <c r="U17" s="73"/>
      <c r="V17" s="73"/>
      <c r="W17" s="14"/>
      <c r="X17" s="14"/>
      <c r="Y17" s="14"/>
      <c r="Z17" s="14"/>
      <c r="AA17" s="14"/>
    </row>
    <row r="18" spans="1:27" s="50" customFormat="1" ht="16.5">
      <c r="A18" s="43"/>
      <c r="B18" s="44" t="s">
        <v>98</v>
      </c>
      <c r="C18" s="45"/>
      <c r="D18" s="46"/>
      <c r="E18" s="47">
        <f aca="true" t="shared" si="11" ref="E18:J18">SUM(E14:E17)</f>
        <v>388100.04000000004</v>
      </c>
      <c r="F18" s="37">
        <f t="shared" si="11"/>
        <v>143584</v>
      </c>
      <c r="G18" s="37">
        <f t="shared" si="11"/>
        <v>850000</v>
      </c>
      <c r="H18" s="37">
        <f t="shared" si="11"/>
        <v>993584</v>
      </c>
      <c r="I18" s="47">
        <f t="shared" si="11"/>
        <v>619772.46</v>
      </c>
      <c r="J18" s="56">
        <f t="shared" si="11"/>
        <v>1322.49</v>
      </c>
      <c r="K18" s="48">
        <f t="shared" si="7"/>
        <v>0.6237745978196105</v>
      </c>
      <c r="L18" s="49">
        <f t="shared" si="8"/>
        <v>373811.54000000004</v>
      </c>
      <c r="M18" s="49">
        <f t="shared" si="9"/>
        <v>372489.05000000005</v>
      </c>
      <c r="N18" s="48">
        <f t="shared" si="10"/>
        <v>0.6251056277073704</v>
      </c>
      <c r="O18" s="56">
        <f>SUM(O14:O17)</f>
        <v>78306.54428571428</v>
      </c>
      <c r="P18" s="56">
        <f aca="true" t="shared" si="12" ref="P18:AA18">SUM(P14:P17)</f>
        <v>87384.2</v>
      </c>
      <c r="Q18" s="56">
        <f t="shared" si="12"/>
        <v>85362.36</v>
      </c>
      <c r="R18" s="56">
        <f t="shared" si="12"/>
        <v>74371.32</v>
      </c>
      <c r="S18" s="56">
        <f t="shared" si="12"/>
        <v>100676.03</v>
      </c>
      <c r="T18" s="56">
        <f t="shared" si="12"/>
        <v>111762.17</v>
      </c>
      <c r="U18" s="56">
        <f t="shared" si="12"/>
        <v>100414.54000000001</v>
      </c>
      <c r="V18" s="56">
        <f t="shared" si="12"/>
        <v>59801.84</v>
      </c>
      <c r="W18" s="47"/>
      <c r="X18" s="47">
        <f t="shared" si="12"/>
        <v>0</v>
      </c>
      <c r="Y18" s="47">
        <f t="shared" si="12"/>
        <v>0</v>
      </c>
      <c r="Z18" s="47">
        <f t="shared" si="12"/>
        <v>0</v>
      </c>
      <c r="AA18" s="47">
        <f t="shared" si="12"/>
        <v>0</v>
      </c>
    </row>
    <row r="19" spans="1:27" s="2" customFormat="1" ht="16.5">
      <c r="A19" s="2" t="s">
        <v>55</v>
      </c>
      <c r="B19" s="26" t="s">
        <v>56</v>
      </c>
      <c r="C19" s="3" t="s">
        <v>175</v>
      </c>
      <c r="D19" s="8" t="s">
        <v>123</v>
      </c>
      <c r="E19" s="14">
        <v>606179.6</v>
      </c>
      <c r="F19" s="38"/>
      <c r="G19" s="38"/>
      <c r="H19" s="38"/>
      <c r="I19" s="14">
        <v>352088.05</v>
      </c>
      <c r="J19" s="73">
        <v>20456.3</v>
      </c>
      <c r="K19" s="31" t="str">
        <f t="shared" si="7"/>
        <v>-</v>
      </c>
      <c r="L19" s="35" t="str">
        <f t="shared" si="8"/>
        <v>-</v>
      </c>
      <c r="M19" s="35" t="str">
        <f t="shared" si="9"/>
        <v>-</v>
      </c>
      <c r="N19" s="31" t="str">
        <f t="shared" si="10"/>
        <v>-</v>
      </c>
      <c r="O19" s="55">
        <f t="shared" si="1"/>
        <v>50298.29285714286</v>
      </c>
      <c r="P19" s="73">
        <v>43313.53</v>
      </c>
      <c r="Q19" s="73">
        <v>32548.78</v>
      </c>
      <c r="R19" s="73">
        <v>56357.56</v>
      </c>
      <c r="S19" s="73">
        <v>57368.47</v>
      </c>
      <c r="T19" s="73">
        <v>50247.88</v>
      </c>
      <c r="U19" s="73">
        <v>46098.09</v>
      </c>
      <c r="V19" s="73">
        <v>66153.74</v>
      </c>
      <c r="W19" s="14"/>
      <c r="X19" s="14">
        <v>0</v>
      </c>
      <c r="Y19" s="14">
        <v>0</v>
      </c>
      <c r="Z19" s="14">
        <v>0</v>
      </c>
      <c r="AA19" s="14">
        <v>0</v>
      </c>
    </row>
    <row r="20" spans="1:27" s="2" customFormat="1" ht="18" customHeight="1" hidden="1">
      <c r="A20" s="2" t="s">
        <v>57</v>
      </c>
      <c r="B20" s="26" t="s">
        <v>58</v>
      </c>
      <c r="C20" s="3" t="s">
        <v>176</v>
      </c>
      <c r="D20" s="8" t="s">
        <v>123</v>
      </c>
      <c r="E20" s="14">
        <v>328812.79</v>
      </c>
      <c r="F20" s="39"/>
      <c r="G20" s="39"/>
      <c r="H20" s="39"/>
      <c r="I20" s="14">
        <v>839371.79</v>
      </c>
      <c r="J20" s="73">
        <v>16258.04</v>
      </c>
      <c r="K20" s="31" t="str">
        <f t="shared" si="7"/>
        <v>-</v>
      </c>
      <c r="L20" s="35" t="str">
        <f t="shared" si="8"/>
        <v>-</v>
      </c>
      <c r="M20" s="35" t="str">
        <f t="shared" si="9"/>
        <v>-</v>
      </c>
      <c r="N20" s="31" t="str">
        <f t="shared" si="10"/>
        <v>-</v>
      </c>
      <c r="O20" s="55">
        <f t="shared" si="1"/>
        <v>119910.25571428573</v>
      </c>
      <c r="P20" s="73">
        <v>18105.25</v>
      </c>
      <c r="Q20" s="73">
        <v>100523.55</v>
      </c>
      <c r="R20" s="73">
        <v>42535.51</v>
      </c>
      <c r="S20" s="73">
        <v>269889.44</v>
      </c>
      <c r="T20" s="73">
        <v>36908.14</v>
      </c>
      <c r="U20" s="73">
        <v>229540.25</v>
      </c>
      <c r="V20" s="73">
        <v>141869.65</v>
      </c>
      <c r="W20" s="14"/>
      <c r="X20" s="14">
        <v>0</v>
      </c>
      <c r="Y20" s="14">
        <v>0</v>
      </c>
      <c r="Z20" s="14">
        <v>0</v>
      </c>
      <c r="AA20" s="14">
        <v>0</v>
      </c>
    </row>
    <row r="21" spans="2:27" s="2" customFormat="1" ht="18" customHeight="1">
      <c r="B21" s="26" t="s">
        <v>183</v>
      </c>
      <c r="C21" s="3"/>
      <c r="D21" s="8"/>
      <c r="E21" s="14">
        <f aca="true" t="shared" si="13" ref="E21:J21">E20-E10</f>
        <v>93859.29999999999</v>
      </c>
      <c r="F21" s="36"/>
      <c r="G21" s="36"/>
      <c r="H21" s="36"/>
      <c r="I21" s="14">
        <f t="shared" si="13"/>
        <v>46515.65000000002</v>
      </c>
      <c r="J21" s="73">
        <f t="shared" si="13"/>
        <v>16258.04</v>
      </c>
      <c r="K21" s="31" t="str">
        <f t="shared" si="7"/>
        <v>-</v>
      </c>
      <c r="L21" s="35" t="str">
        <f t="shared" si="8"/>
        <v>-</v>
      </c>
      <c r="M21" s="35" t="str">
        <f t="shared" si="9"/>
        <v>-</v>
      </c>
      <c r="N21" s="31" t="str">
        <f t="shared" si="10"/>
        <v>-</v>
      </c>
      <c r="O21" s="55">
        <f t="shared" si="1"/>
        <v>6645.09285714286</v>
      </c>
      <c r="P21" s="73"/>
      <c r="Q21" s="73"/>
      <c r="R21" s="73"/>
      <c r="S21" s="73"/>
      <c r="T21" s="73"/>
      <c r="U21" s="73"/>
      <c r="V21" s="73"/>
      <c r="W21" s="14"/>
      <c r="X21" s="14"/>
      <c r="Y21" s="14"/>
      <c r="Z21" s="14"/>
      <c r="AA21" s="14"/>
    </row>
    <row r="22" spans="1:27" s="54" customFormat="1" ht="16.5">
      <c r="A22" s="43"/>
      <c r="B22" s="44" t="s">
        <v>59</v>
      </c>
      <c r="C22" s="51"/>
      <c r="D22" s="52"/>
      <c r="E22" s="53">
        <f aca="true" t="shared" si="14" ref="E22:J22">E19+E21</f>
        <v>700038.8999999999</v>
      </c>
      <c r="F22" s="37">
        <v>180000</v>
      </c>
      <c r="G22" s="37">
        <v>520000</v>
      </c>
      <c r="H22" s="37">
        <f>F22+G22</f>
        <v>700000</v>
      </c>
      <c r="I22" s="53">
        <f t="shared" si="14"/>
        <v>398603.7</v>
      </c>
      <c r="J22" s="74">
        <f t="shared" si="14"/>
        <v>36714.34</v>
      </c>
      <c r="K22" s="48">
        <f t="shared" si="7"/>
        <v>0.5694338571428572</v>
      </c>
      <c r="L22" s="49">
        <f t="shared" si="8"/>
        <v>301396.3</v>
      </c>
      <c r="M22" s="49">
        <f t="shared" si="9"/>
        <v>264681.95999999996</v>
      </c>
      <c r="N22" s="48">
        <f t="shared" si="10"/>
        <v>0.6218829142857143</v>
      </c>
      <c r="O22" s="57">
        <f t="shared" si="1"/>
        <v>56943.385714285716</v>
      </c>
      <c r="P22" s="74">
        <f aca="true" t="shared" si="15" ref="P22:AA22">SUM(P19:P20)</f>
        <v>61418.78</v>
      </c>
      <c r="Q22" s="74">
        <f t="shared" si="15"/>
        <v>133072.33000000002</v>
      </c>
      <c r="R22" s="74">
        <f t="shared" si="15"/>
        <v>98893.07</v>
      </c>
      <c r="S22" s="74">
        <f t="shared" si="15"/>
        <v>327257.91000000003</v>
      </c>
      <c r="T22" s="74">
        <f t="shared" si="15"/>
        <v>87156.01999999999</v>
      </c>
      <c r="U22" s="74">
        <f t="shared" si="15"/>
        <v>275638.33999999997</v>
      </c>
      <c r="V22" s="74">
        <f t="shared" si="15"/>
        <v>208023.39</v>
      </c>
      <c r="W22" s="53"/>
      <c r="X22" s="53">
        <f t="shared" si="15"/>
        <v>0</v>
      </c>
      <c r="Y22" s="53">
        <f t="shared" si="15"/>
        <v>0</v>
      </c>
      <c r="Z22" s="53">
        <f t="shared" si="15"/>
        <v>0</v>
      </c>
      <c r="AA22" s="53">
        <f t="shared" si="15"/>
        <v>0</v>
      </c>
    </row>
    <row r="23" spans="2:27" s="2" customFormat="1" ht="16.5">
      <c r="B23" s="26"/>
      <c r="C23" s="3"/>
      <c r="D23" s="8"/>
      <c r="E23" s="14"/>
      <c r="F23" s="38"/>
      <c r="G23" s="38"/>
      <c r="H23" s="38"/>
      <c r="I23" s="14"/>
      <c r="J23" s="73"/>
      <c r="K23" s="14"/>
      <c r="L23" s="36"/>
      <c r="M23" s="36"/>
      <c r="N23" s="14"/>
      <c r="O23" s="55">
        <f t="shared" si="1"/>
        <v>0</v>
      </c>
      <c r="P23" s="73"/>
      <c r="Q23" s="73"/>
      <c r="R23" s="73"/>
      <c r="S23" s="73"/>
      <c r="T23" s="73"/>
      <c r="U23" s="73"/>
      <c r="V23" s="73"/>
      <c r="W23" s="14"/>
      <c r="X23" s="14"/>
      <c r="Y23" s="14"/>
      <c r="Z23" s="14"/>
      <c r="AA23" s="14"/>
    </row>
    <row r="24" spans="1:27" ht="16.5">
      <c r="A24" s="2" t="s">
        <v>110</v>
      </c>
      <c r="B24" s="1" t="s">
        <v>111</v>
      </c>
      <c r="C24" s="26" t="s">
        <v>102</v>
      </c>
      <c r="D24" s="5" t="s">
        <v>178</v>
      </c>
      <c r="E24" s="14">
        <v>80643.01</v>
      </c>
      <c r="F24" s="36"/>
      <c r="G24" s="36">
        <v>52195</v>
      </c>
      <c r="H24" s="36">
        <f>F24+G24</f>
        <v>52195</v>
      </c>
      <c r="I24" s="4">
        <v>52177.61</v>
      </c>
      <c r="J24" s="71">
        <v>0</v>
      </c>
      <c r="K24" s="31">
        <f>+IF(H24&gt;0,I24/H24,"-")</f>
        <v>0.9996668263243605</v>
      </c>
      <c r="L24" s="35">
        <f>+IF(H24&gt;0,H24-I24,"-")</f>
        <v>17.389999999999418</v>
      </c>
      <c r="M24" s="35">
        <f>+IF(H24&gt;0,H24-(I24+J24),"-")</f>
        <v>17.389999999999418</v>
      </c>
      <c r="N24" s="31">
        <f>+IF(H24&gt;0,((I24+J24)/H24),"-")</f>
        <v>0.9996668263243605</v>
      </c>
      <c r="O24" s="55">
        <f t="shared" si="1"/>
        <v>7453.944285714286</v>
      </c>
      <c r="P24" s="71">
        <v>0</v>
      </c>
      <c r="Q24" s="72">
        <v>-0.01</v>
      </c>
      <c r="R24" s="72">
        <v>0</v>
      </c>
      <c r="S24" s="72">
        <v>0</v>
      </c>
      <c r="T24" s="72">
        <v>0</v>
      </c>
      <c r="U24" s="72">
        <v>52177.62</v>
      </c>
      <c r="V24" s="72">
        <v>0</v>
      </c>
      <c r="X24" s="5">
        <v>0</v>
      </c>
      <c r="Y24" s="5">
        <v>0</v>
      </c>
      <c r="Z24" s="5">
        <v>0</v>
      </c>
      <c r="AA24" s="5">
        <v>0</v>
      </c>
    </row>
    <row r="25" spans="2:22" ht="16.5">
      <c r="B25" s="26"/>
      <c r="F25" s="36"/>
      <c r="G25" s="36"/>
      <c r="H25" s="36"/>
      <c r="O25" s="55">
        <f t="shared" si="1"/>
        <v>0</v>
      </c>
      <c r="P25" s="71"/>
      <c r="Q25" s="72"/>
      <c r="R25" s="72"/>
      <c r="S25" s="72"/>
      <c r="T25" s="72"/>
      <c r="U25" s="72"/>
      <c r="V25" s="72"/>
    </row>
    <row r="26" spans="1:27" ht="16.5">
      <c r="A26" s="2" t="s">
        <v>103</v>
      </c>
      <c r="B26" s="26" t="s">
        <v>104</v>
      </c>
      <c r="C26" s="10" t="s">
        <v>177</v>
      </c>
      <c r="D26" s="5" t="s">
        <v>123</v>
      </c>
      <c r="E26" s="14">
        <v>0</v>
      </c>
      <c r="F26" s="36"/>
      <c r="G26" s="36">
        <v>90000</v>
      </c>
      <c r="H26" s="36">
        <f>F26+G26</f>
        <v>90000</v>
      </c>
      <c r="I26" s="4">
        <v>49586.96</v>
      </c>
      <c r="J26" s="71">
        <v>1600</v>
      </c>
      <c r="K26" s="31">
        <f>+IF(H26&gt;0,I26/H26,"-")</f>
        <v>0.5509662222222222</v>
      </c>
      <c r="L26" s="35">
        <f>+IF(H26&gt;0,H26-I26,"-")</f>
        <v>40413.04</v>
      </c>
      <c r="M26" s="35">
        <f>+IF(H26&gt;0,H26-(I26+J26),"-")</f>
        <v>38813.04</v>
      </c>
      <c r="N26" s="31">
        <f>+IF(H26&gt;0,((I26+J26)/H26),"-")</f>
        <v>0.568744</v>
      </c>
      <c r="O26" s="55">
        <f t="shared" si="1"/>
        <v>7083.851428571428</v>
      </c>
      <c r="P26" s="71">
        <v>5506.78</v>
      </c>
      <c r="Q26" s="72">
        <v>0</v>
      </c>
      <c r="R26" s="72">
        <v>5006.15</v>
      </c>
      <c r="S26" s="72">
        <v>10078.38</v>
      </c>
      <c r="T26" s="72">
        <v>1399.52</v>
      </c>
      <c r="U26" s="72">
        <v>17745.25</v>
      </c>
      <c r="V26" s="72">
        <v>9850.88</v>
      </c>
      <c r="X26" s="5">
        <v>0</v>
      </c>
      <c r="Y26" s="5">
        <v>0</v>
      </c>
      <c r="Z26" s="5">
        <v>0</v>
      </c>
      <c r="AA26" s="5">
        <v>0</v>
      </c>
    </row>
    <row r="27" spans="2:22" ht="16.5">
      <c r="B27" s="26"/>
      <c r="F27" s="36"/>
      <c r="G27" s="36"/>
      <c r="H27" s="36"/>
      <c r="O27" s="55">
        <f t="shared" si="1"/>
        <v>0</v>
      </c>
      <c r="P27" s="71"/>
      <c r="Q27" s="72"/>
      <c r="R27" s="72"/>
      <c r="S27" s="72"/>
      <c r="T27" s="72"/>
      <c r="U27" s="72"/>
      <c r="V27" s="72"/>
    </row>
    <row r="28" spans="2:22" ht="16.5">
      <c r="B28" s="26"/>
      <c r="F28" s="36"/>
      <c r="G28" s="36"/>
      <c r="H28" s="36"/>
      <c r="O28" s="55">
        <f t="shared" si="1"/>
        <v>0</v>
      </c>
      <c r="P28" s="71"/>
      <c r="Q28" s="72"/>
      <c r="R28" s="72"/>
      <c r="S28" s="72"/>
      <c r="T28" s="72"/>
      <c r="U28" s="72"/>
      <c r="V28" s="72"/>
    </row>
    <row r="29" spans="2:27" s="58" customFormat="1" ht="16.5">
      <c r="B29" s="44" t="s">
        <v>60</v>
      </c>
      <c r="C29" s="59"/>
      <c r="D29" s="60"/>
      <c r="E29" s="47">
        <f>E13+E22+E24+E18+E26</f>
        <v>3077389.1999999997</v>
      </c>
      <c r="F29" s="37">
        <f>F13+F22+F25+F18+F27+F28</f>
        <v>323584</v>
      </c>
      <c r="G29" s="37">
        <f>G13+G22+G24+G18+G27+G26</f>
        <v>3102195</v>
      </c>
      <c r="H29" s="37">
        <f>H13+H22+H24+H18+H27+H26</f>
        <v>3425779</v>
      </c>
      <c r="I29" s="47">
        <f aca="true" t="shared" si="16" ref="I29:AA29">I13+I22+I24+I18+I26</f>
        <v>2269931.9000000004</v>
      </c>
      <c r="J29" s="56">
        <f t="shared" si="16"/>
        <v>59867.77999999999</v>
      </c>
      <c r="K29" s="48">
        <f>+IF(H29&gt;0,I29/H29,"-")</f>
        <v>0.6626031334770867</v>
      </c>
      <c r="L29" s="49">
        <f>+IF(H29&gt;0,H29-I29,"-")</f>
        <v>1155847.0999999996</v>
      </c>
      <c r="M29" s="49">
        <f>+IF(H29&gt;0,H29-(I29+J29),"-")</f>
        <v>1095979.3199999998</v>
      </c>
      <c r="N29" s="48">
        <f>+IF(H29&gt;0,((I29+J29)/H29),"-")</f>
        <v>0.6800788025146982</v>
      </c>
      <c r="O29" s="56">
        <f t="shared" si="16"/>
        <v>314043.60714285716</v>
      </c>
      <c r="P29" s="56">
        <f t="shared" si="16"/>
        <v>324771.99000000005</v>
      </c>
      <c r="Q29" s="56">
        <f t="shared" si="16"/>
        <v>338938.88</v>
      </c>
      <c r="R29" s="56">
        <f t="shared" si="16"/>
        <v>307380.62</v>
      </c>
      <c r="S29" s="56">
        <f t="shared" si="16"/>
        <v>620173.42</v>
      </c>
      <c r="T29" s="56">
        <f t="shared" si="16"/>
        <v>365962.66</v>
      </c>
      <c r="U29" s="56">
        <f t="shared" si="16"/>
        <v>643636.14</v>
      </c>
      <c r="V29" s="56">
        <f t="shared" si="16"/>
        <v>461924.32999999996</v>
      </c>
      <c r="W29" s="47"/>
      <c r="X29" s="47">
        <f t="shared" si="16"/>
        <v>0</v>
      </c>
      <c r="Y29" s="47">
        <f t="shared" si="16"/>
        <v>0</v>
      </c>
      <c r="Z29" s="47">
        <f t="shared" si="16"/>
        <v>0</v>
      </c>
      <c r="AA29" s="47">
        <f t="shared" si="16"/>
        <v>0</v>
      </c>
    </row>
    <row r="30" spans="2:22" ht="16.5">
      <c r="B30" s="26"/>
      <c r="F30" s="36"/>
      <c r="G30" s="36"/>
      <c r="H30" s="36"/>
      <c r="O30" s="55">
        <f t="shared" si="1"/>
        <v>0</v>
      </c>
      <c r="P30" s="71"/>
      <c r="Q30" s="72"/>
      <c r="R30" s="72"/>
      <c r="S30" s="72"/>
      <c r="T30" s="72"/>
      <c r="U30" s="72"/>
      <c r="V30" s="72"/>
    </row>
    <row r="31" spans="2:22" ht="16.5">
      <c r="B31" s="27"/>
      <c r="F31" s="36"/>
      <c r="G31" s="36"/>
      <c r="H31" s="36"/>
      <c r="O31" s="55">
        <f t="shared" si="1"/>
        <v>0</v>
      </c>
      <c r="P31" s="71"/>
      <c r="Q31" s="72"/>
      <c r="R31" s="72"/>
      <c r="S31" s="72"/>
      <c r="T31" s="72"/>
      <c r="U31" s="72"/>
      <c r="V31" s="72"/>
    </row>
    <row r="32" spans="1:27" s="58" customFormat="1" ht="16.5">
      <c r="A32" s="61" t="s">
        <v>61</v>
      </c>
      <c r="B32" s="62" t="s">
        <v>116</v>
      </c>
      <c r="C32" s="59" t="s">
        <v>117</v>
      </c>
      <c r="D32" s="60" t="s">
        <v>118</v>
      </c>
      <c r="E32" s="47">
        <v>892632.13</v>
      </c>
      <c r="F32" s="37">
        <f>F33+F53</f>
        <v>774362.19</v>
      </c>
      <c r="G32" s="37">
        <f>G33+G53</f>
        <v>1573890.1199999996</v>
      </c>
      <c r="H32" s="37">
        <f aca="true" t="shared" si="17" ref="H32:H64">F32+G32</f>
        <v>2348252.3099999996</v>
      </c>
      <c r="I32" s="47">
        <v>863525.06</v>
      </c>
      <c r="J32" s="75">
        <v>90238.97</v>
      </c>
      <c r="K32" s="48">
        <f aca="true" t="shared" si="18" ref="K32:K64">+IF(H32&gt;0,I32/H32,"-")</f>
        <v>0.3677309530678159</v>
      </c>
      <c r="L32" s="49">
        <f aca="true" t="shared" si="19" ref="L32:L64">+IF(H32&gt;0,H32-I32,"-")</f>
        <v>1484727.2499999995</v>
      </c>
      <c r="M32" s="49">
        <f aca="true" t="shared" si="20" ref="M32:M64">+IF(H32&gt;0,H32-(I32+J32),"-")</f>
        <v>1394488.2799999996</v>
      </c>
      <c r="N32" s="48">
        <f aca="true" t="shared" si="21" ref="N32:N64">+IF(H32&gt;0,((I32+J32)/H32),"-")</f>
        <v>0.406159093696367</v>
      </c>
      <c r="O32" s="57">
        <f t="shared" si="1"/>
        <v>123360.72285714287</v>
      </c>
      <c r="P32" s="75">
        <v>125177.95</v>
      </c>
      <c r="Q32" s="76">
        <v>140401.82</v>
      </c>
      <c r="R32" s="76">
        <v>74101.11</v>
      </c>
      <c r="S32" s="76">
        <v>113725.75</v>
      </c>
      <c r="T32" s="76">
        <v>116371.46</v>
      </c>
      <c r="U32" s="76">
        <v>137704.88</v>
      </c>
      <c r="V32" s="76">
        <v>156042.09</v>
      </c>
      <c r="W32" s="60"/>
      <c r="X32" s="60">
        <v>0</v>
      </c>
      <c r="Y32" s="60">
        <v>0</v>
      </c>
      <c r="Z32" s="60">
        <v>0</v>
      </c>
      <c r="AA32" s="60">
        <v>0</v>
      </c>
    </row>
    <row r="33" spans="1:27" ht="16.5">
      <c r="A33" s="29" t="s">
        <v>62</v>
      </c>
      <c r="B33" s="27" t="s">
        <v>119</v>
      </c>
      <c r="C33" s="10" t="s">
        <v>120</v>
      </c>
      <c r="D33" s="5" t="s">
        <v>118</v>
      </c>
      <c r="E33" s="14">
        <v>624077.92</v>
      </c>
      <c r="F33" s="41">
        <f>F34+F38+F42+F46+F50</f>
        <v>489102.72</v>
      </c>
      <c r="G33" s="40">
        <f>G34+G38+G42+G46+G50</f>
        <v>1234176.0617999998</v>
      </c>
      <c r="H33" s="36">
        <f t="shared" si="17"/>
        <v>1723278.7817999998</v>
      </c>
      <c r="I33" s="4">
        <v>707101.8</v>
      </c>
      <c r="J33" s="71">
        <v>85972.65</v>
      </c>
      <c r="K33" s="31">
        <f t="shared" si="18"/>
        <v>0.4103235108955603</v>
      </c>
      <c r="L33" s="35">
        <f t="shared" si="19"/>
        <v>1016176.9817999997</v>
      </c>
      <c r="M33" s="35">
        <f t="shared" si="20"/>
        <v>930204.3317999997</v>
      </c>
      <c r="N33" s="31">
        <f t="shared" si="21"/>
        <v>0.4602125079098448</v>
      </c>
      <c r="O33" s="55">
        <f t="shared" si="1"/>
        <v>101014.54285714286</v>
      </c>
      <c r="P33" s="71">
        <v>94407.05</v>
      </c>
      <c r="Q33" s="72">
        <v>35854.3</v>
      </c>
      <c r="R33" s="72">
        <v>129599.35</v>
      </c>
      <c r="S33" s="72">
        <v>98729.95</v>
      </c>
      <c r="T33" s="72">
        <v>107137.87</v>
      </c>
      <c r="U33" s="72">
        <v>117098.59</v>
      </c>
      <c r="V33" s="72">
        <v>124274.69</v>
      </c>
      <c r="X33" s="5">
        <v>0</v>
      </c>
      <c r="Y33" s="5">
        <v>0</v>
      </c>
      <c r="Z33" s="5">
        <v>0</v>
      </c>
      <c r="AA33" s="5">
        <v>0</v>
      </c>
    </row>
    <row r="34" spans="1:27" ht="16.5">
      <c r="A34" s="29" t="s">
        <v>95</v>
      </c>
      <c r="B34" s="27" t="s">
        <v>121</v>
      </c>
      <c r="C34" s="10" t="s">
        <v>122</v>
      </c>
      <c r="D34" s="5" t="s">
        <v>123</v>
      </c>
      <c r="E34" s="14">
        <v>341678.51</v>
      </c>
      <c r="F34" s="41">
        <v>203402.13</v>
      </c>
      <c r="G34" s="40">
        <f>SUM(G35:G37)</f>
        <v>674199.2411999999</v>
      </c>
      <c r="H34" s="36">
        <f t="shared" si="17"/>
        <v>877601.3711999999</v>
      </c>
      <c r="I34" s="4">
        <v>333046.04</v>
      </c>
      <c r="J34" s="71">
        <v>66587.7</v>
      </c>
      <c r="K34" s="31">
        <f t="shared" si="18"/>
        <v>0.3794958063301622</v>
      </c>
      <c r="L34" s="35">
        <f t="shared" si="19"/>
        <v>544555.3311999999</v>
      </c>
      <c r="M34" s="35">
        <f t="shared" si="20"/>
        <v>477967.63119999995</v>
      </c>
      <c r="N34" s="31">
        <f t="shared" si="21"/>
        <v>0.4553704598860818</v>
      </c>
      <c r="O34" s="55">
        <f t="shared" si="1"/>
        <v>47578.00571428571</v>
      </c>
      <c r="P34" s="71">
        <v>38329.82</v>
      </c>
      <c r="Q34" s="72">
        <v>41145.6</v>
      </c>
      <c r="R34" s="72">
        <v>17532.75</v>
      </c>
      <c r="S34" s="72">
        <v>48694.72</v>
      </c>
      <c r="T34" s="72">
        <v>60003.44</v>
      </c>
      <c r="U34" s="72">
        <v>61840.45</v>
      </c>
      <c r="V34" s="72">
        <v>65499.26</v>
      </c>
      <c r="X34" s="5">
        <v>0</v>
      </c>
      <c r="Y34" s="5">
        <v>0</v>
      </c>
      <c r="Z34" s="5">
        <v>0</v>
      </c>
      <c r="AA34" s="5">
        <v>0</v>
      </c>
    </row>
    <row r="35" spans="1:27" ht="16.5">
      <c r="A35" s="29" t="s">
        <v>92</v>
      </c>
      <c r="B35" s="27" t="s">
        <v>124</v>
      </c>
      <c r="C35" s="10" t="s">
        <v>125</v>
      </c>
      <c r="D35" s="5" t="s">
        <v>123</v>
      </c>
      <c r="E35" s="14">
        <v>118754.14</v>
      </c>
      <c r="F35" s="41">
        <v>126245.86</v>
      </c>
      <c r="G35" s="40">
        <f>0.9994*400754+2</f>
        <v>400515.5476</v>
      </c>
      <c r="H35" s="36">
        <f t="shared" si="17"/>
        <v>526761.4076</v>
      </c>
      <c r="I35" s="4">
        <v>183959.77</v>
      </c>
      <c r="J35" s="71">
        <v>5357.4</v>
      </c>
      <c r="K35" s="31">
        <f t="shared" si="18"/>
        <v>0.34922788067969307</v>
      </c>
      <c r="L35" s="35">
        <f t="shared" si="19"/>
        <v>342801.6376</v>
      </c>
      <c r="M35" s="35">
        <f t="shared" si="20"/>
        <v>337444.23760000005</v>
      </c>
      <c r="N35" s="31">
        <f t="shared" si="21"/>
        <v>0.35939832962053153</v>
      </c>
      <c r="O35" s="55">
        <f t="shared" si="1"/>
        <v>26279.967142857142</v>
      </c>
      <c r="P35" s="71">
        <v>14587.68</v>
      </c>
      <c r="Q35" s="72">
        <v>56721.71</v>
      </c>
      <c r="R35" s="72">
        <v>-19493.04</v>
      </c>
      <c r="S35" s="72">
        <v>30113.68</v>
      </c>
      <c r="T35" s="72">
        <v>21378.55</v>
      </c>
      <c r="U35" s="72">
        <v>27241.51</v>
      </c>
      <c r="V35" s="72">
        <v>53409.68</v>
      </c>
      <c r="X35" s="5">
        <v>0</v>
      </c>
      <c r="Y35" s="5">
        <v>0</v>
      </c>
      <c r="Z35" s="5">
        <v>0</v>
      </c>
      <c r="AA35" s="5">
        <v>0</v>
      </c>
    </row>
    <row r="36" spans="1:27" ht="16.5">
      <c r="A36" s="29" t="s">
        <v>63</v>
      </c>
      <c r="B36" s="27" t="s">
        <v>126</v>
      </c>
      <c r="C36" s="10" t="s">
        <v>127</v>
      </c>
      <c r="D36" s="5" t="s">
        <v>123</v>
      </c>
      <c r="E36" s="14">
        <v>222543.73</v>
      </c>
      <c r="F36" s="41">
        <v>77156.27</v>
      </c>
      <c r="G36" s="40">
        <f>74844*0.9994+2</f>
        <v>74801.0936</v>
      </c>
      <c r="H36" s="36">
        <f t="shared" si="17"/>
        <v>151957.36359999998</v>
      </c>
      <c r="I36" s="4">
        <v>127534.91</v>
      </c>
      <c r="J36" s="71">
        <v>774.3</v>
      </c>
      <c r="K36" s="31">
        <f t="shared" si="18"/>
        <v>0.8392808810220765</v>
      </c>
      <c r="L36" s="35">
        <f t="shared" si="19"/>
        <v>24422.45359999998</v>
      </c>
      <c r="M36" s="35">
        <f t="shared" si="20"/>
        <v>23648.153599999976</v>
      </c>
      <c r="N36" s="31">
        <f t="shared" si="21"/>
        <v>0.8443763892729186</v>
      </c>
      <c r="O36" s="55">
        <f t="shared" si="1"/>
        <v>18219.272857142856</v>
      </c>
      <c r="P36" s="71">
        <v>23742.14</v>
      </c>
      <c r="Q36" s="72">
        <v>-15576.11</v>
      </c>
      <c r="R36" s="72">
        <v>36293.51</v>
      </c>
      <c r="S36" s="72">
        <v>17175.86</v>
      </c>
      <c r="T36" s="72">
        <v>37249.11</v>
      </c>
      <c r="U36" s="72">
        <v>34585.13</v>
      </c>
      <c r="V36" s="72">
        <v>-5934.73</v>
      </c>
      <c r="X36" s="5">
        <v>0</v>
      </c>
      <c r="Y36" s="5">
        <v>0</v>
      </c>
      <c r="Z36" s="5">
        <v>0</v>
      </c>
      <c r="AA36" s="5">
        <v>0</v>
      </c>
    </row>
    <row r="37" spans="1:27" ht="16.5">
      <c r="A37" s="29" t="s">
        <v>64</v>
      </c>
      <c r="B37" s="27" t="s">
        <v>128</v>
      </c>
      <c r="C37" s="10" t="s">
        <v>129</v>
      </c>
      <c r="D37" s="5" t="s">
        <v>123</v>
      </c>
      <c r="E37" s="14">
        <v>0</v>
      </c>
      <c r="F37" s="41">
        <v>0</v>
      </c>
      <c r="G37" s="40">
        <f>0.9994*199000+2</f>
        <v>198882.59999999998</v>
      </c>
      <c r="H37" s="36">
        <f t="shared" si="17"/>
        <v>198882.59999999998</v>
      </c>
      <c r="I37" s="4">
        <v>19095.39</v>
      </c>
      <c r="J37" s="71">
        <v>60456</v>
      </c>
      <c r="K37" s="31">
        <f t="shared" si="18"/>
        <v>0.09601337673582305</v>
      </c>
      <c r="L37" s="35">
        <f t="shared" si="19"/>
        <v>179787.20999999996</v>
      </c>
      <c r="M37" s="35">
        <f t="shared" si="20"/>
        <v>119331.20999999998</v>
      </c>
      <c r="N37" s="31">
        <f t="shared" si="21"/>
        <v>0.399991703648283</v>
      </c>
      <c r="O37" s="55">
        <f t="shared" si="1"/>
        <v>2727.912857142857</v>
      </c>
      <c r="P37" s="71">
        <v>0</v>
      </c>
      <c r="Q37" s="72">
        <v>0</v>
      </c>
      <c r="R37" s="72">
        <v>0</v>
      </c>
      <c r="S37" s="72">
        <v>161.7</v>
      </c>
      <c r="T37" s="72">
        <v>1950.68</v>
      </c>
      <c r="U37" s="72">
        <v>13.81</v>
      </c>
      <c r="V37" s="72">
        <v>16969.2</v>
      </c>
      <c r="X37" s="5">
        <v>0</v>
      </c>
      <c r="Y37" s="5">
        <v>0</v>
      </c>
      <c r="Z37" s="5">
        <v>0</v>
      </c>
      <c r="AA37" s="5">
        <v>0</v>
      </c>
    </row>
    <row r="38" spans="1:27" ht="16.5">
      <c r="A38" s="29" t="s">
        <v>65</v>
      </c>
      <c r="B38" s="27" t="s">
        <v>130</v>
      </c>
      <c r="C38" s="10" t="s">
        <v>131</v>
      </c>
      <c r="D38" s="5" t="s">
        <v>123</v>
      </c>
      <c r="E38" s="14">
        <v>169673.83</v>
      </c>
      <c r="F38" s="41">
        <f>F39+F40</f>
        <v>220126.16999999998</v>
      </c>
      <c r="G38" s="40">
        <f>SUM(G39:G41)</f>
        <v>422624.2756</v>
      </c>
      <c r="H38" s="36">
        <f t="shared" si="17"/>
        <v>642750.4456</v>
      </c>
      <c r="I38" s="4">
        <v>278167.88</v>
      </c>
      <c r="J38" s="71">
        <v>15284.95</v>
      </c>
      <c r="K38" s="31">
        <f t="shared" si="18"/>
        <v>0.4327774206991542</v>
      </c>
      <c r="L38" s="35">
        <f t="shared" si="19"/>
        <v>364582.5656</v>
      </c>
      <c r="M38" s="35">
        <f t="shared" si="20"/>
        <v>349297.61559999996</v>
      </c>
      <c r="N38" s="31">
        <f t="shared" si="21"/>
        <v>0.45655795652707054</v>
      </c>
      <c r="O38" s="55">
        <f t="shared" si="1"/>
        <v>39738.26857142857</v>
      </c>
      <c r="P38" s="71">
        <v>42427.76</v>
      </c>
      <c r="Q38" s="72">
        <v>55882.96</v>
      </c>
      <c r="R38" s="72">
        <v>35201.44</v>
      </c>
      <c r="S38" s="72">
        <v>38627.41</v>
      </c>
      <c r="T38" s="72">
        <v>37264.57</v>
      </c>
      <c r="U38" s="72">
        <v>37992.25</v>
      </c>
      <c r="V38" s="72">
        <v>30771.49</v>
      </c>
      <c r="X38" s="5">
        <v>0</v>
      </c>
      <c r="Y38" s="5">
        <v>0</v>
      </c>
      <c r="Z38" s="5">
        <v>0</v>
      </c>
      <c r="AA38" s="5">
        <v>0</v>
      </c>
    </row>
    <row r="39" spans="1:27" ht="16.5">
      <c r="A39" s="29" t="s">
        <v>66</v>
      </c>
      <c r="B39" s="27" t="s">
        <v>132</v>
      </c>
      <c r="C39" s="10" t="s">
        <v>133</v>
      </c>
      <c r="D39" s="5" t="s">
        <v>123</v>
      </c>
      <c r="E39" s="14">
        <v>128687.66</v>
      </c>
      <c r="F39" s="41">
        <v>144412.34</v>
      </c>
      <c r="G39" s="40">
        <f>0.9994*307588+2</f>
        <v>307405.4472</v>
      </c>
      <c r="H39" s="36">
        <f t="shared" si="17"/>
        <v>451817.7872</v>
      </c>
      <c r="I39" s="4">
        <v>265363.52</v>
      </c>
      <c r="J39" s="71">
        <v>10929.31</v>
      </c>
      <c r="K39" s="31">
        <f t="shared" si="18"/>
        <v>0.5873241990858921</v>
      </c>
      <c r="L39" s="35">
        <f t="shared" si="19"/>
        <v>186454.2672</v>
      </c>
      <c r="M39" s="35">
        <f t="shared" si="20"/>
        <v>175524.9572</v>
      </c>
      <c r="N39" s="31">
        <f t="shared" si="21"/>
        <v>0.6115138399314439</v>
      </c>
      <c r="O39" s="55">
        <f t="shared" si="1"/>
        <v>37909.07428571429</v>
      </c>
      <c r="P39" s="71">
        <v>41377.95</v>
      </c>
      <c r="Q39" s="72">
        <v>54253.14</v>
      </c>
      <c r="R39" s="72">
        <v>34550.77</v>
      </c>
      <c r="S39" s="72">
        <v>36182.78</v>
      </c>
      <c r="T39" s="72">
        <v>34065.83</v>
      </c>
      <c r="U39" s="72">
        <v>35579.95</v>
      </c>
      <c r="V39" s="72">
        <v>29353.1</v>
      </c>
      <c r="X39" s="5">
        <v>0</v>
      </c>
      <c r="Y39" s="5">
        <v>0</v>
      </c>
      <c r="Z39" s="5">
        <v>0</v>
      </c>
      <c r="AA39" s="5">
        <v>0</v>
      </c>
    </row>
    <row r="40" spans="1:27" ht="16.5">
      <c r="A40" s="29" t="s">
        <v>67</v>
      </c>
      <c r="B40" s="27" t="s">
        <v>134</v>
      </c>
      <c r="C40" s="10" t="s">
        <v>127</v>
      </c>
      <c r="D40" s="5" t="s">
        <v>123</v>
      </c>
      <c r="E40" s="14">
        <v>40986.17</v>
      </c>
      <c r="F40" s="41">
        <v>75713.83</v>
      </c>
      <c r="G40" s="40">
        <f>0.9994*115286+2</f>
        <v>115218.8284</v>
      </c>
      <c r="H40" s="36">
        <f t="shared" si="17"/>
        <v>190932.65840000001</v>
      </c>
      <c r="I40" s="4">
        <v>12804.36</v>
      </c>
      <c r="J40" s="71">
        <v>4355.64</v>
      </c>
      <c r="K40" s="31">
        <f t="shared" si="18"/>
        <v>0.06706217839996303</v>
      </c>
      <c r="L40" s="35">
        <f t="shared" si="19"/>
        <v>178128.29840000003</v>
      </c>
      <c r="M40" s="35">
        <f t="shared" si="20"/>
        <v>173772.65840000001</v>
      </c>
      <c r="N40" s="31">
        <f t="shared" si="21"/>
        <v>0.08987461937522574</v>
      </c>
      <c r="O40" s="55">
        <f t="shared" si="1"/>
        <v>1829.1942857142858</v>
      </c>
      <c r="P40" s="71">
        <v>1049.81</v>
      </c>
      <c r="Q40" s="72">
        <v>1629.82</v>
      </c>
      <c r="R40" s="72">
        <v>650.67</v>
      </c>
      <c r="S40" s="72">
        <v>2444.63</v>
      </c>
      <c r="T40" s="72">
        <v>3198.74</v>
      </c>
      <c r="U40" s="72">
        <v>2412.3</v>
      </c>
      <c r="V40" s="72">
        <v>1418.39</v>
      </c>
      <c r="X40" s="5">
        <v>0</v>
      </c>
      <c r="Y40" s="5">
        <v>0</v>
      </c>
      <c r="Z40" s="5">
        <v>0</v>
      </c>
      <c r="AA40" s="5">
        <v>0</v>
      </c>
    </row>
    <row r="41" spans="1:27" ht="16.5">
      <c r="A41" s="29" t="s">
        <v>68</v>
      </c>
      <c r="B41" s="27" t="s">
        <v>135</v>
      </c>
      <c r="C41" s="10" t="s">
        <v>136</v>
      </c>
      <c r="D41" s="5" t="s">
        <v>123</v>
      </c>
      <c r="E41" s="14">
        <v>0</v>
      </c>
      <c r="F41" s="41">
        <v>0</v>
      </c>
      <c r="G41" s="40">
        <v>0</v>
      </c>
      <c r="H41" s="36">
        <f t="shared" si="17"/>
        <v>0</v>
      </c>
      <c r="I41" s="4">
        <v>0</v>
      </c>
      <c r="J41" s="71">
        <v>0</v>
      </c>
      <c r="K41" s="31" t="str">
        <f t="shared" si="18"/>
        <v>-</v>
      </c>
      <c r="L41" s="35" t="str">
        <f t="shared" si="19"/>
        <v>-</v>
      </c>
      <c r="M41" s="35" t="str">
        <f t="shared" si="20"/>
        <v>-</v>
      </c>
      <c r="N41" s="31" t="str">
        <f t="shared" si="21"/>
        <v>-</v>
      </c>
      <c r="O41" s="55">
        <f t="shared" si="1"/>
        <v>0</v>
      </c>
      <c r="P41" s="71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X41" s="5">
        <v>0</v>
      </c>
      <c r="Y41" s="5">
        <v>0</v>
      </c>
      <c r="Z41" s="5">
        <v>0</v>
      </c>
      <c r="AA41" s="5">
        <v>0</v>
      </c>
    </row>
    <row r="42" spans="1:27" ht="16.5">
      <c r="A42" s="29" t="s">
        <v>69</v>
      </c>
      <c r="B42" s="27" t="s">
        <v>137</v>
      </c>
      <c r="C42" s="10" t="s">
        <v>138</v>
      </c>
      <c r="D42" s="5" t="s">
        <v>123</v>
      </c>
      <c r="E42" s="14">
        <v>112725.58</v>
      </c>
      <c r="F42" s="41">
        <v>65574.42</v>
      </c>
      <c r="G42" s="40">
        <f>SUM(G43:G45)</f>
        <v>93372.945</v>
      </c>
      <c r="H42" s="36">
        <f t="shared" si="17"/>
        <v>158947.365</v>
      </c>
      <c r="I42" s="4">
        <v>95887.88</v>
      </c>
      <c r="J42" s="71">
        <v>4100</v>
      </c>
      <c r="K42" s="31">
        <f t="shared" si="18"/>
        <v>0.603268132189546</v>
      </c>
      <c r="L42" s="35">
        <f t="shared" si="19"/>
        <v>63059.484999999986</v>
      </c>
      <c r="M42" s="35">
        <f t="shared" si="20"/>
        <v>58959.484999999986</v>
      </c>
      <c r="N42" s="31">
        <f t="shared" si="21"/>
        <v>0.6290628347314849</v>
      </c>
      <c r="O42" s="55">
        <f t="shared" si="1"/>
        <v>13698.268571428573</v>
      </c>
      <c r="P42" s="71">
        <v>13649.47</v>
      </c>
      <c r="Q42" s="72">
        <v>10135.13</v>
      </c>
      <c r="R42" s="72">
        <v>5555.77</v>
      </c>
      <c r="S42" s="72">
        <v>11407.82</v>
      </c>
      <c r="T42" s="72">
        <v>9869.86</v>
      </c>
      <c r="U42" s="72">
        <v>17265.89</v>
      </c>
      <c r="V42" s="72">
        <v>28003.94</v>
      </c>
      <c r="X42" s="5">
        <v>0</v>
      </c>
      <c r="Y42" s="5">
        <v>0</v>
      </c>
      <c r="Z42" s="5">
        <v>0</v>
      </c>
      <c r="AA42" s="5">
        <v>0</v>
      </c>
    </row>
    <row r="43" spans="1:27" ht="16.5">
      <c r="A43" s="29" t="s">
        <v>70</v>
      </c>
      <c r="B43" s="27" t="s">
        <v>139</v>
      </c>
      <c r="C43" s="10" t="s">
        <v>133</v>
      </c>
      <c r="D43" s="5" t="s">
        <v>123</v>
      </c>
      <c r="E43" s="14">
        <v>28902.09</v>
      </c>
      <c r="F43" s="41">
        <v>22797.91</v>
      </c>
      <c r="G43" s="40">
        <f>0.9994*56202+2</f>
        <v>56170.2788</v>
      </c>
      <c r="H43" s="36">
        <f t="shared" si="17"/>
        <v>78968.1888</v>
      </c>
      <c r="I43" s="4">
        <v>42221.15</v>
      </c>
      <c r="J43" s="71">
        <v>0</v>
      </c>
      <c r="K43" s="31">
        <f t="shared" si="18"/>
        <v>0.5346602301710635</v>
      </c>
      <c r="L43" s="35">
        <f t="shared" si="19"/>
        <v>36747.0388</v>
      </c>
      <c r="M43" s="35">
        <f t="shared" si="20"/>
        <v>36747.0388</v>
      </c>
      <c r="N43" s="31">
        <f t="shared" si="21"/>
        <v>0.5346602301710635</v>
      </c>
      <c r="O43" s="55">
        <f t="shared" si="1"/>
        <v>6031.592857142858</v>
      </c>
      <c r="P43" s="71">
        <v>1080.39</v>
      </c>
      <c r="Q43" s="72">
        <v>-14.27</v>
      </c>
      <c r="R43" s="72">
        <v>764.26</v>
      </c>
      <c r="S43" s="72">
        <v>4685.79</v>
      </c>
      <c r="T43" s="72">
        <v>6829.67</v>
      </c>
      <c r="U43" s="72">
        <v>15712.34</v>
      </c>
      <c r="V43" s="72">
        <v>13162.97</v>
      </c>
      <c r="X43" s="5">
        <v>0</v>
      </c>
      <c r="Y43" s="5">
        <v>0</v>
      </c>
      <c r="Z43" s="5">
        <v>0</v>
      </c>
      <c r="AA43" s="5">
        <v>0</v>
      </c>
    </row>
    <row r="44" spans="1:27" ht="16.5">
      <c r="A44" s="29" t="s">
        <v>71</v>
      </c>
      <c r="B44" s="27" t="s">
        <v>140</v>
      </c>
      <c r="C44" s="10" t="s">
        <v>127</v>
      </c>
      <c r="D44" s="5" t="s">
        <v>123</v>
      </c>
      <c r="E44" s="14">
        <v>83823.49</v>
      </c>
      <c r="F44" s="41">
        <v>42776.51</v>
      </c>
      <c r="G44" s="40">
        <f>0.9994*37223+2</f>
        <v>37202.6662</v>
      </c>
      <c r="H44" s="36">
        <f t="shared" si="17"/>
        <v>79979.1762</v>
      </c>
      <c r="I44" s="4">
        <v>53666.73</v>
      </c>
      <c r="J44" s="71">
        <v>4100</v>
      </c>
      <c r="K44" s="31">
        <f t="shared" si="18"/>
        <v>0.6710087869097107</v>
      </c>
      <c r="L44" s="35">
        <f t="shared" si="19"/>
        <v>26312.4462</v>
      </c>
      <c r="M44" s="35">
        <f t="shared" si="20"/>
        <v>22212.4462</v>
      </c>
      <c r="N44" s="31">
        <f t="shared" si="21"/>
        <v>0.7222721306299227</v>
      </c>
      <c r="O44" s="55">
        <f t="shared" si="1"/>
        <v>7666.675714285715</v>
      </c>
      <c r="P44" s="71">
        <v>12569.08</v>
      </c>
      <c r="Q44" s="72">
        <v>10149.4</v>
      </c>
      <c r="R44" s="72">
        <v>4791.51</v>
      </c>
      <c r="S44" s="72">
        <v>6722.03</v>
      </c>
      <c r="T44" s="72">
        <v>3040.19</v>
      </c>
      <c r="U44" s="72">
        <v>1553.55</v>
      </c>
      <c r="V44" s="72">
        <v>14840.97</v>
      </c>
      <c r="X44" s="5">
        <v>0</v>
      </c>
      <c r="Y44" s="5">
        <v>0</v>
      </c>
      <c r="Z44" s="5">
        <v>0</v>
      </c>
      <c r="AA44" s="5">
        <v>0</v>
      </c>
    </row>
    <row r="45" spans="1:27" ht="16.5">
      <c r="A45" s="29" t="s">
        <v>72</v>
      </c>
      <c r="B45" s="27" t="s">
        <v>141</v>
      </c>
      <c r="C45" s="10" t="s">
        <v>136</v>
      </c>
      <c r="D45" s="5" t="s">
        <v>123</v>
      </c>
      <c r="E45" s="14">
        <v>0</v>
      </c>
      <c r="F45" s="41">
        <v>0</v>
      </c>
      <c r="G45" s="40">
        <v>0</v>
      </c>
      <c r="H45" s="36">
        <f t="shared" si="17"/>
        <v>0</v>
      </c>
      <c r="I45" s="4">
        <v>0</v>
      </c>
      <c r="J45" s="71">
        <v>0</v>
      </c>
      <c r="K45" s="31" t="str">
        <f t="shared" si="18"/>
        <v>-</v>
      </c>
      <c r="L45" s="35" t="str">
        <f t="shared" si="19"/>
        <v>-</v>
      </c>
      <c r="M45" s="35" t="str">
        <f t="shared" si="20"/>
        <v>-</v>
      </c>
      <c r="N45" s="31" t="str">
        <f t="shared" si="21"/>
        <v>-</v>
      </c>
      <c r="O45" s="55">
        <f t="shared" si="1"/>
        <v>0</v>
      </c>
      <c r="P45" s="71">
        <v>0</v>
      </c>
      <c r="Q45" s="72">
        <v>0</v>
      </c>
      <c r="R45" s="72">
        <v>0</v>
      </c>
      <c r="S45" s="72">
        <v>0</v>
      </c>
      <c r="T45" s="72">
        <v>0</v>
      </c>
      <c r="U45" s="72">
        <v>0</v>
      </c>
      <c r="V45" s="72">
        <v>0</v>
      </c>
      <c r="X45" s="5">
        <v>0</v>
      </c>
      <c r="Y45" s="5">
        <v>0</v>
      </c>
      <c r="Z45" s="5">
        <v>0</v>
      </c>
      <c r="AA45" s="5">
        <v>0</v>
      </c>
    </row>
    <row r="46" spans="1:27" ht="16.5">
      <c r="A46" s="29" t="s">
        <v>73</v>
      </c>
      <c r="B46" s="27" t="s">
        <v>142</v>
      </c>
      <c r="C46" s="10" t="s">
        <v>143</v>
      </c>
      <c r="D46" s="5" t="s">
        <v>123</v>
      </c>
      <c r="E46" s="14">
        <v>0</v>
      </c>
      <c r="F46" s="41">
        <v>0</v>
      </c>
      <c r="G46" s="40">
        <f>SUM(G47:G49)</f>
        <v>15992.4</v>
      </c>
      <c r="H46" s="36">
        <f t="shared" si="17"/>
        <v>15992.4</v>
      </c>
      <c r="I46" s="4">
        <v>0</v>
      </c>
      <c r="J46" s="71">
        <v>0</v>
      </c>
      <c r="K46" s="31">
        <f t="shared" si="18"/>
        <v>0</v>
      </c>
      <c r="L46" s="35">
        <f t="shared" si="19"/>
        <v>15992.4</v>
      </c>
      <c r="M46" s="35">
        <f t="shared" si="20"/>
        <v>15992.4</v>
      </c>
      <c r="N46" s="31">
        <f t="shared" si="21"/>
        <v>0</v>
      </c>
      <c r="O46" s="55">
        <f t="shared" si="1"/>
        <v>0</v>
      </c>
      <c r="P46" s="71">
        <v>0</v>
      </c>
      <c r="Q46" s="72">
        <v>0</v>
      </c>
      <c r="R46" s="72">
        <v>0</v>
      </c>
      <c r="S46" s="72">
        <v>0</v>
      </c>
      <c r="T46" s="72">
        <v>0</v>
      </c>
      <c r="U46" s="72">
        <v>0</v>
      </c>
      <c r="V46" s="72">
        <v>0</v>
      </c>
      <c r="X46" s="5">
        <v>0</v>
      </c>
      <c r="Y46" s="5">
        <v>0</v>
      </c>
      <c r="Z46" s="5">
        <v>0</v>
      </c>
      <c r="AA46" s="5">
        <v>0</v>
      </c>
    </row>
    <row r="47" spans="1:27" ht="16.5">
      <c r="A47" s="29" t="s">
        <v>74</v>
      </c>
      <c r="B47" s="27" t="s">
        <v>144</v>
      </c>
      <c r="C47" s="10" t="s">
        <v>145</v>
      </c>
      <c r="D47" s="5" t="s">
        <v>123</v>
      </c>
      <c r="E47" s="14">
        <v>0</v>
      </c>
      <c r="F47" s="41">
        <v>0</v>
      </c>
      <c r="G47" s="40">
        <v>0</v>
      </c>
      <c r="H47" s="36">
        <f t="shared" si="17"/>
        <v>0</v>
      </c>
      <c r="I47" s="4">
        <v>0</v>
      </c>
      <c r="J47" s="71">
        <v>0</v>
      </c>
      <c r="K47" s="31" t="str">
        <f t="shared" si="18"/>
        <v>-</v>
      </c>
      <c r="L47" s="35" t="str">
        <f t="shared" si="19"/>
        <v>-</v>
      </c>
      <c r="M47" s="35" t="str">
        <f t="shared" si="20"/>
        <v>-</v>
      </c>
      <c r="N47" s="31" t="str">
        <f t="shared" si="21"/>
        <v>-</v>
      </c>
      <c r="O47" s="55">
        <f t="shared" si="1"/>
        <v>0</v>
      </c>
      <c r="P47" s="71">
        <v>0</v>
      </c>
      <c r="Q47" s="72">
        <v>0</v>
      </c>
      <c r="R47" s="72">
        <v>0</v>
      </c>
      <c r="S47" s="72">
        <v>0</v>
      </c>
      <c r="T47" s="72">
        <v>0</v>
      </c>
      <c r="U47" s="72">
        <v>0</v>
      </c>
      <c r="V47" s="72">
        <v>0</v>
      </c>
      <c r="X47" s="5">
        <v>0</v>
      </c>
      <c r="Y47" s="5">
        <v>0</v>
      </c>
      <c r="Z47" s="5">
        <v>0</v>
      </c>
      <c r="AA47" s="5">
        <v>0</v>
      </c>
    </row>
    <row r="48" spans="1:27" ht="16.5">
      <c r="A48" s="29" t="s">
        <v>75</v>
      </c>
      <c r="B48" s="27" t="s">
        <v>146</v>
      </c>
      <c r="C48" s="10" t="s">
        <v>147</v>
      </c>
      <c r="D48" s="5" t="s">
        <v>123</v>
      </c>
      <c r="E48" s="14">
        <v>0</v>
      </c>
      <c r="F48" s="41">
        <v>0</v>
      </c>
      <c r="G48" s="40">
        <f>0.9994*16000+2</f>
        <v>15992.4</v>
      </c>
      <c r="H48" s="36">
        <f t="shared" si="17"/>
        <v>15992.4</v>
      </c>
      <c r="I48" s="4">
        <v>0</v>
      </c>
      <c r="J48" s="71">
        <v>0</v>
      </c>
      <c r="K48" s="31">
        <f t="shared" si="18"/>
        <v>0</v>
      </c>
      <c r="L48" s="35">
        <f t="shared" si="19"/>
        <v>15992.4</v>
      </c>
      <c r="M48" s="35">
        <f t="shared" si="20"/>
        <v>15992.4</v>
      </c>
      <c r="N48" s="31">
        <f t="shared" si="21"/>
        <v>0</v>
      </c>
      <c r="O48" s="55">
        <f t="shared" si="1"/>
        <v>0</v>
      </c>
      <c r="P48" s="71">
        <v>0</v>
      </c>
      <c r="Q48" s="72">
        <v>0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X48" s="5">
        <v>0</v>
      </c>
      <c r="Y48" s="5">
        <v>0</v>
      </c>
      <c r="Z48" s="5">
        <v>0</v>
      </c>
      <c r="AA48" s="5">
        <v>0</v>
      </c>
    </row>
    <row r="49" spans="1:27" ht="16.5">
      <c r="A49" s="29" t="s">
        <v>112</v>
      </c>
      <c r="B49" s="27" t="s">
        <v>179</v>
      </c>
      <c r="E49" s="14">
        <v>0</v>
      </c>
      <c r="F49" s="41">
        <v>0</v>
      </c>
      <c r="G49" s="40">
        <v>0</v>
      </c>
      <c r="H49" s="36">
        <f t="shared" si="17"/>
        <v>0</v>
      </c>
      <c r="I49" s="4">
        <v>0</v>
      </c>
      <c r="J49" s="71">
        <v>0</v>
      </c>
      <c r="K49" s="31" t="str">
        <f t="shared" si="18"/>
        <v>-</v>
      </c>
      <c r="L49" s="35" t="str">
        <f t="shared" si="19"/>
        <v>-</v>
      </c>
      <c r="M49" s="35" t="str">
        <f t="shared" si="20"/>
        <v>-</v>
      </c>
      <c r="N49" s="31" t="str">
        <f t="shared" si="21"/>
        <v>-</v>
      </c>
      <c r="O49" s="55"/>
      <c r="P49" s="71">
        <v>0</v>
      </c>
      <c r="Q49" s="72">
        <v>0</v>
      </c>
      <c r="R49" s="72">
        <v>0</v>
      </c>
      <c r="S49" s="72">
        <v>0</v>
      </c>
      <c r="T49" s="72">
        <v>0</v>
      </c>
      <c r="U49" s="72">
        <v>0</v>
      </c>
      <c r="V49" s="72">
        <v>0</v>
      </c>
      <c r="X49" s="5">
        <v>0</v>
      </c>
      <c r="Y49" s="5">
        <v>0</v>
      </c>
      <c r="Z49" s="5">
        <v>0</v>
      </c>
      <c r="AA49" s="5">
        <v>0</v>
      </c>
    </row>
    <row r="50" spans="1:27" ht="16.5">
      <c r="A50" s="29" t="s">
        <v>113</v>
      </c>
      <c r="B50" s="27" t="s">
        <v>180</v>
      </c>
      <c r="E50" s="14">
        <v>0</v>
      </c>
      <c r="F50" s="41">
        <v>0</v>
      </c>
      <c r="G50" s="40">
        <f>G51+G52</f>
        <v>27987.199999999997</v>
      </c>
      <c r="H50" s="36">
        <f t="shared" si="17"/>
        <v>27987.199999999997</v>
      </c>
      <c r="I50" s="4">
        <v>0</v>
      </c>
      <c r="J50" s="71">
        <v>0</v>
      </c>
      <c r="K50" s="31">
        <f t="shared" si="18"/>
        <v>0</v>
      </c>
      <c r="L50" s="35">
        <f t="shared" si="19"/>
        <v>27987.199999999997</v>
      </c>
      <c r="M50" s="35">
        <f t="shared" si="20"/>
        <v>27987.199999999997</v>
      </c>
      <c r="N50" s="31">
        <f t="shared" si="21"/>
        <v>0</v>
      </c>
      <c r="O50" s="55"/>
      <c r="P50" s="71">
        <v>0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X50" s="5">
        <v>0</v>
      </c>
      <c r="Y50" s="5">
        <v>0</v>
      </c>
      <c r="Z50" s="5">
        <v>0</v>
      </c>
      <c r="AA50" s="5">
        <v>0</v>
      </c>
    </row>
    <row r="51" spans="1:27" ht="16.5">
      <c r="A51" s="29" t="s">
        <v>114</v>
      </c>
      <c r="B51" s="27" t="s">
        <v>181</v>
      </c>
      <c r="E51" s="14">
        <v>0</v>
      </c>
      <c r="F51" s="41">
        <v>0</v>
      </c>
      <c r="G51" s="40">
        <f>0.9994*11000+2</f>
        <v>10995.4</v>
      </c>
      <c r="H51" s="36">
        <f t="shared" si="17"/>
        <v>10995.4</v>
      </c>
      <c r="I51" s="4">
        <v>0</v>
      </c>
      <c r="J51" s="71">
        <v>0</v>
      </c>
      <c r="K51" s="31">
        <f t="shared" si="18"/>
        <v>0</v>
      </c>
      <c r="L51" s="35">
        <f t="shared" si="19"/>
        <v>10995.4</v>
      </c>
      <c r="M51" s="35">
        <f t="shared" si="20"/>
        <v>10995.4</v>
      </c>
      <c r="N51" s="31">
        <f t="shared" si="21"/>
        <v>0</v>
      </c>
      <c r="O51" s="55"/>
      <c r="P51" s="71">
        <v>0</v>
      </c>
      <c r="Q51" s="72">
        <v>0</v>
      </c>
      <c r="R51" s="72">
        <v>0</v>
      </c>
      <c r="S51" s="72">
        <v>0</v>
      </c>
      <c r="T51" s="72">
        <v>0</v>
      </c>
      <c r="U51" s="72">
        <v>0</v>
      </c>
      <c r="V51" s="72">
        <v>0</v>
      </c>
      <c r="X51" s="5">
        <v>0</v>
      </c>
      <c r="Y51" s="5">
        <v>0</v>
      </c>
      <c r="Z51" s="5">
        <v>0</v>
      </c>
      <c r="AA51" s="5">
        <v>0</v>
      </c>
    </row>
    <row r="52" spans="1:27" ht="16.5">
      <c r="A52" s="29" t="s">
        <v>115</v>
      </c>
      <c r="B52" s="27" t="s">
        <v>182</v>
      </c>
      <c r="E52" s="14">
        <v>0</v>
      </c>
      <c r="F52" s="41">
        <v>0</v>
      </c>
      <c r="G52" s="40">
        <f>0.9994*17000+2</f>
        <v>16991.8</v>
      </c>
      <c r="H52" s="36">
        <f t="shared" si="17"/>
        <v>16991.8</v>
      </c>
      <c r="I52" s="4">
        <v>0</v>
      </c>
      <c r="J52" s="71">
        <v>0</v>
      </c>
      <c r="K52" s="31">
        <f t="shared" si="18"/>
        <v>0</v>
      </c>
      <c r="L52" s="35">
        <f t="shared" si="19"/>
        <v>16991.8</v>
      </c>
      <c r="M52" s="35">
        <f t="shared" si="20"/>
        <v>16991.8</v>
      </c>
      <c r="N52" s="31">
        <f t="shared" si="21"/>
        <v>0</v>
      </c>
      <c r="O52" s="55"/>
      <c r="P52" s="71">
        <v>0</v>
      </c>
      <c r="Q52" s="72">
        <v>0</v>
      </c>
      <c r="R52" s="72">
        <v>0</v>
      </c>
      <c r="S52" s="72">
        <v>0</v>
      </c>
      <c r="T52" s="72">
        <v>0</v>
      </c>
      <c r="U52" s="72">
        <v>0</v>
      </c>
      <c r="V52" s="72">
        <v>0</v>
      </c>
      <c r="X52" s="5">
        <v>0</v>
      </c>
      <c r="Y52" s="5">
        <v>0</v>
      </c>
      <c r="Z52" s="5">
        <v>0</v>
      </c>
      <c r="AA52" s="5">
        <v>0</v>
      </c>
    </row>
    <row r="53" spans="1:27" ht="16.5">
      <c r="A53" s="29" t="s">
        <v>76</v>
      </c>
      <c r="B53" s="27" t="s">
        <v>148</v>
      </c>
      <c r="C53" s="10" t="s">
        <v>149</v>
      </c>
      <c r="D53" s="5" t="s">
        <v>118</v>
      </c>
      <c r="E53" s="14">
        <v>268554.21</v>
      </c>
      <c r="F53" s="41">
        <f>F54+F58+F61</f>
        <v>285259.47</v>
      </c>
      <c r="G53" s="40">
        <f>G54+G58+G61</f>
        <v>339714.05819999997</v>
      </c>
      <c r="H53" s="36">
        <f t="shared" si="17"/>
        <v>624973.5282</v>
      </c>
      <c r="I53" s="4">
        <v>156423.26</v>
      </c>
      <c r="J53" s="71">
        <v>4266.32</v>
      </c>
      <c r="K53" s="31">
        <f t="shared" si="18"/>
        <v>0.25028781691045077</v>
      </c>
      <c r="L53" s="35">
        <f t="shared" si="19"/>
        <v>468550.26819999993</v>
      </c>
      <c r="M53" s="35">
        <f t="shared" si="20"/>
        <v>464283.9481999999</v>
      </c>
      <c r="N53" s="31">
        <f t="shared" si="21"/>
        <v>0.2571142180418515</v>
      </c>
      <c r="O53" s="55">
        <f t="shared" si="1"/>
        <v>22346.18</v>
      </c>
      <c r="P53" s="71">
        <v>30770.9</v>
      </c>
      <c r="Q53" s="72">
        <v>33238.13</v>
      </c>
      <c r="R53" s="72">
        <v>15811.15</v>
      </c>
      <c r="S53" s="72">
        <v>14995.8</v>
      </c>
      <c r="T53" s="72">
        <v>9233.59</v>
      </c>
      <c r="U53" s="72">
        <v>20606.29</v>
      </c>
      <c r="V53" s="72">
        <v>31767.4</v>
      </c>
      <c r="X53" s="5">
        <v>0</v>
      </c>
      <c r="Y53" s="5">
        <v>0</v>
      </c>
      <c r="Z53" s="5">
        <v>0</v>
      </c>
      <c r="AA53" s="5">
        <v>0</v>
      </c>
    </row>
    <row r="54" spans="1:27" ht="16.5">
      <c r="A54" s="29" t="s">
        <v>77</v>
      </c>
      <c r="B54" s="26" t="s">
        <v>150</v>
      </c>
      <c r="C54" s="10" t="s">
        <v>151</v>
      </c>
      <c r="D54" s="5" t="s">
        <v>123</v>
      </c>
      <c r="E54" s="14">
        <v>207104.46</v>
      </c>
      <c r="F54" s="41">
        <f>SUM(F55:F57)</f>
        <v>99644.54</v>
      </c>
      <c r="G54" s="40">
        <f>SUM(G55:G57)</f>
        <v>177801.2582</v>
      </c>
      <c r="H54" s="36">
        <f t="shared" si="17"/>
        <v>277445.7982</v>
      </c>
      <c r="I54" s="4">
        <v>119353.88</v>
      </c>
      <c r="J54" s="71">
        <v>2016.32</v>
      </c>
      <c r="K54" s="31">
        <f t="shared" si="18"/>
        <v>0.43018809718632817</v>
      </c>
      <c r="L54" s="35">
        <f t="shared" si="19"/>
        <v>158091.91820000001</v>
      </c>
      <c r="M54" s="35">
        <f t="shared" si="20"/>
        <v>156075.5982</v>
      </c>
      <c r="N54" s="31">
        <f t="shared" si="21"/>
        <v>0.4374555346933346</v>
      </c>
      <c r="O54" s="55">
        <f t="shared" si="1"/>
        <v>17050.554285714286</v>
      </c>
      <c r="P54" s="71">
        <v>27504.69</v>
      </c>
      <c r="Q54" s="72">
        <v>15890.57</v>
      </c>
      <c r="R54" s="72">
        <v>12823.89</v>
      </c>
      <c r="S54" s="72">
        <v>13960.11</v>
      </c>
      <c r="T54" s="72">
        <v>7264.48</v>
      </c>
      <c r="U54" s="72">
        <v>19830.56</v>
      </c>
      <c r="V54" s="72">
        <v>22079.58</v>
      </c>
      <c r="X54" s="5">
        <v>0</v>
      </c>
      <c r="Y54" s="5">
        <v>0</v>
      </c>
      <c r="Z54" s="5">
        <v>0</v>
      </c>
      <c r="AA54" s="5">
        <v>0</v>
      </c>
    </row>
    <row r="55" spans="1:27" ht="16.5">
      <c r="A55" s="29" t="s">
        <v>78</v>
      </c>
      <c r="B55" s="27" t="s">
        <v>152</v>
      </c>
      <c r="C55" s="10" t="s">
        <v>125</v>
      </c>
      <c r="D55" s="5" t="s">
        <v>123</v>
      </c>
      <c r="E55" s="14">
        <v>164582.35</v>
      </c>
      <c r="F55" s="41">
        <v>81266.65</v>
      </c>
      <c r="G55" s="40">
        <f>0.9994*138903+2</f>
        <v>138821.6582</v>
      </c>
      <c r="H55" s="36">
        <f t="shared" si="17"/>
        <v>220088.3082</v>
      </c>
      <c r="I55" s="4">
        <v>110761.63</v>
      </c>
      <c r="J55" s="71">
        <v>2016.32</v>
      </c>
      <c r="K55" s="31">
        <f t="shared" si="18"/>
        <v>0.5032599455458034</v>
      </c>
      <c r="L55" s="35">
        <f t="shared" si="19"/>
        <v>109326.6782</v>
      </c>
      <c r="M55" s="35">
        <f t="shared" si="20"/>
        <v>107310.35819999999</v>
      </c>
      <c r="N55" s="31">
        <f t="shared" si="21"/>
        <v>0.5124213590551832</v>
      </c>
      <c r="O55" s="55">
        <f t="shared" si="1"/>
        <v>15823.09</v>
      </c>
      <c r="P55" s="71">
        <v>27013.12</v>
      </c>
      <c r="Q55" s="72">
        <v>15891.32</v>
      </c>
      <c r="R55" s="72">
        <v>12115.01</v>
      </c>
      <c r="S55" s="72">
        <v>13960.11</v>
      </c>
      <c r="T55" s="72">
        <v>7264.48</v>
      </c>
      <c r="U55" s="72">
        <v>16508.19</v>
      </c>
      <c r="V55" s="72">
        <v>18009.4</v>
      </c>
      <c r="X55" s="5">
        <v>0</v>
      </c>
      <c r="Y55" s="5">
        <v>0</v>
      </c>
      <c r="Z55" s="5">
        <v>0</v>
      </c>
      <c r="AA55" s="5">
        <v>0</v>
      </c>
    </row>
    <row r="56" spans="1:27" ht="16.5">
      <c r="A56" s="29" t="s">
        <v>79</v>
      </c>
      <c r="B56" s="27" t="s">
        <v>153</v>
      </c>
      <c r="C56" s="10" t="s">
        <v>127</v>
      </c>
      <c r="D56" s="5" t="s">
        <v>123</v>
      </c>
      <c r="E56" s="14">
        <v>42522.11</v>
      </c>
      <c r="F56" s="41">
        <v>18377.89</v>
      </c>
      <c r="G56" s="40">
        <f>0.9994*39000+3</f>
        <v>38979.6</v>
      </c>
      <c r="H56" s="36">
        <f t="shared" si="17"/>
        <v>57357.49</v>
      </c>
      <c r="I56" s="4">
        <v>7883.37</v>
      </c>
      <c r="J56" s="71">
        <v>0</v>
      </c>
      <c r="K56" s="31">
        <f t="shared" si="18"/>
        <v>0.13744272979867145</v>
      </c>
      <c r="L56" s="35">
        <f t="shared" si="19"/>
        <v>49474.119999999995</v>
      </c>
      <c r="M56" s="35">
        <f t="shared" si="20"/>
        <v>49474.119999999995</v>
      </c>
      <c r="N56" s="31">
        <f t="shared" si="21"/>
        <v>0.13744272979867145</v>
      </c>
      <c r="O56" s="55">
        <f t="shared" si="1"/>
        <v>1126.1957142857143</v>
      </c>
      <c r="P56" s="71">
        <v>491.57</v>
      </c>
      <c r="Q56" s="72">
        <v>-0.75</v>
      </c>
      <c r="R56" s="72">
        <v>0</v>
      </c>
      <c r="S56" s="72">
        <v>0</v>
      </c>
      <c r="T56" s="72">
        <v>0</v>
      </c>
      <c r="U56" s="72">
        <v>3322.37</v>
      </c>
      <c r="V56" s="72">
        <v>4070.18</v>
      </c>
      <c r="X56" s="5">
        <v>0</v>
      </c>
      <c r="Y56" s="5">
        <v>0</v>
      </c>
      <c r="Z56" s="5">
        <v>0</v>
      </c>
      <c r="AA56" s="5">
        <v>0</v>
      </c>
    </row>
    <row r="57" spans="1:27" ht="16.5">
      <c r="A57" s="29" t="s">
        <v>80</v>
      </c>
      <c r="B57" s="27" t="s">
        <v>154</v>
      </c>
      <c r="C57" s="10" t="s">
        <v>136</v>
      </c>
      <c r="D57" s="5" t="s">
        <v>123</v>
      </c>
      <c r="E57" s="14">
        <v>0</v>
      </c>
      <c r="F57" s="41">
        <v>0</v>
      </c>
      <c r="G57" s="40"/>
      <c r="H57" s="36">
        <f t="shared" si="17"/>
        <v>0</v>
      </c>
      <c r="I57" s="4">
        <v>708.88</v>
      </c>
      <c r="J57" s="71">
        <v>0</v>
      </c>
      <c r="K57" s="31" t="str">
        <f t="shared" si="18"/>
        <v>-</v>
      </c>
      <c r="L57" s="35" t="str">
        <f t="shared" si="19"/>
        <v>-</v>
      </c>
      <c r="M57" s="35" t="str">
        <f t="shared" si="20"/>
        <v>-</v>
      </c>
      <c r="N57" s="31" t="str">
        <f t="shared" si="21"/>
        <v>-</v>
      </c>
      <c r="O57" s="55">
        <f t="shared" si="1"/>
        <v>101.26857142857143</v>
      </c>
      <c r="P57" s="71">
        <v>0</v>
      </c>
      <c r="Q57" s="72">
        <v>0</v>
      </c>
      <c r="R57" s="72">
        <v>708.88</v>
      </c>
      <c r="S57" s="72">
        <v>0</v>
      </c>
      <c r="T57" s="72">
        <v>0</v>
      </c>
      <c r="U57" s="72">
        <v>0</v>
      </c>
      <c r="V57" s="72">
        <v>0</v>
      </c>
      <c r="X57" s="5">
        <v>0</v>
      </c>
      <c r="Y57" s="5">
        <v>0</v>
      </c>
      <c r="Z57" s="5">
        <v>0</v>
      </c>
      <c r="AA57" s="5">
        <v>0</v>
      </c>
    </row>
    <row r="58" spans="1:27" ht="16.5">
      <c r="A58" s="29" t="s">
        <v>81</v>
      </c>
      <c r="B58" s="27" t="s">
        <v>155</v>
      </c>
      <c r="C58" s="10" t="s">
        <v>156</v>
      </c>
      <c r="D58" s="5" t="s">
        <v>123</v>
      </c>
      <c r="E58" s="14">
        <v>11758.87</v>
      </c>
      <c r="F58" s="41">
        <v>54200.13</v>
      </c>
      <c r="G58" s="40">
        <f>SUM(G59:G60)</f>
        <v>28986.6</v>
      </c>
      <c r="H58" s="36">
        <f t="shared" si="17"/>
        <v>83186.73</v>
      </c>
      <c r="I58" s="4">
        <v>132.72</v>
      </c>
      <c r="J58" s="71">
        <v>0</v>
      </c>
      <c r="K58" s="31">
        <f t="shared" si="18"/>
        <v>0.0015954467737823088</v>
      </c>
      <c r="L58" s="35">
        <f t="shared" si="19"/>
        <v>83054.01</v>
      </c>
      <c r="M58" s="35">
        <f t="shared" si="20"/>
        <v>83054.01</v>
      </c>
      <c r="N58" s="31">
        <f t="shared" si="21"/>
        <v>0.0015954467737823088</v>
      </c>
      <c r="O58" s="55">
        <f t="shared" si="1"/>
        <v>18.96</v>
      </c>
      <c r="P58" s="71">
        <v>0</v>
      </c>
      <c r="Q58" s="72">
        <v>0</v>
      </c>
      <c r="R58" s="72">
        <v>129.87</v>
      </c>
      <c r="S58" s="72">
        <v>2.85</v>
      </c>
      <c r="T58" s="72">
        <v>0</v>
      </c>
      <c r="U58" s="72">
        <v>0</v>
      </c>
      <c r="V58" s="72">
        <v>0</v>
      </c>
      <c r="X58" s="5">
        <v>0</v>
      </c>
      <c r="Y58" s="5">
        <v>0</v>
      </c>
      <c r="Z58" s="5">
        <v>0</v>
      </c>
      <c r="AA58" s="5">
        <v>0</v>
      </c>
    </row>
    <row r="59" spans="1:27" ht="16.5">
      <c r="A59" s="29" t="s">
        <v>82</v>
      </c>
      <c r="B59" s="27" t="s">
        <v>157</v>
      </c>
      <c r="C59" s="10" t="s">
        <v>127</v>
      </c>
      <c r="D59" s="5" t="s">
        <v>123</v>
      </c>
      <c r="E59" s="14">
        <v>11758.87</v>
      </c>
      <c r="F59" s="41">
        <v>0.13000000000010914</v>
      </c>
      <c r="G59" s="40">
        <f>0.9994*4000+2</f>
        <v>3999.6</v>
      </c>
      <c r="H59" s="36">
        <f t="shared" si="17"/>
        <v>3999.73</v>
      </c>
      <c r="I59" s="4">
        <v>132.72</v>
      </c>
      <c r="J59" s="71">
        <v>0</v>
      </c>
      <c r="K59" s="31">
        <f t="shared" si="18"/>
        <v>0.03318223980118658</v>
      </c>
      <c r="L59" s="35">
        <f t="shared" si="19"/>
        <v>3867.01</v>
      </c>
      <c r="M59" s="35">
        <f t="shared" si="20"/>
        <v>3867.01</v>
      </c>
      <c r="N59" s="31">
        <f t="shared" si="21"/>
        <v>0.03318223980118658</v>
      </c>
      <c r="O59" s="55">
        <f t="shared" si="1"/>
        <v>18.96</v>
      </c>
      <c r="P59" s="71">
        <v>0</v>
      </c>
      <c r="Q59" s="72">
        <v>0</v>
      </c>
      <c r="R59" s="72">
        <v>129.87</v>
      </c>
      <c r="S59" s="72">
        <v>2.85</v>
      </c>
      <c r="T59" s="72">
        <v>0</v>
      </c>
      <c r="U59" s="72">
        <v>0</v>
      </c>
      <c r="V59" s="72">
        <v>0</v>
      </c>
      <c r="X59" s="5">
        <v>0</v>
      </c>
      <c r="Y59" s="5">
        <v>0</v>
      </c>
      <c r="Z59" s="5">
        <v>0</v>
      </c>
      <c r="AA59" s="5">
        <v>0</v>
      </c>
    </row>
    <row r="60" spans="1:27" ht="16.5">
      <c r="A60" s="29" t="s">
        <v>83</v>
      </c>
      <c r="B60" s="28" t="s">
        <v>158</v>
      </c>
      <c r="C60" s="10" t="s">
        <v>136</v>
      </c>
      <c r="D60" s="5" t="s">
        <v>123</v>
      </c>
      <c r="E60" s="14">
        <v>0</v>
      </c>
      <c r="F60" s="41">
        <v>54200</v>
      </c>
      <c r="G60" s="40">
        <f>0.9994*25000+2</f>
        <v>24987</v>
      </c>
      <c r="H60" s="36">
        <f t="shared" si="17"/>
        <v>79187</v>
      </c>
      <c r="I60" s="4">
        <v>0</v>
      </c>
      <c r="J60" s="71">
        <v>0</v>
      </c>
      <c r="K60" s="31">
        <f t="shared" si="18"/>
        <v>0</v>
      </c>
      <c r="L60" s="35">
        <f t="shared" si="19"/>
        <v>79187</v>
      </c>
      <c r="M60" s="35">
        <f t="shared" si="20"/>
        <v>79187</v>
      </c>
      <c r="N60" s="31">
        <f t="shared" si="21"/>
        <v>0</v>
      </c>
      <c r="O60" s="55">
        <f t="shared" si="1"/>
        <v>0</v>
      </c>
      <c r="P60" s="71">
        <v>0</v>
      </c>
      <c r="Q60" s="72">
        <v>0</v>
      </c>
      <c r="R60" s="72">
        <v>0</v>
      </c>
      <c r="S60" s="72">
        <v>0</v>
      </c>
      <c r="T60" s="72">
        <v>0</v>
      </c>
      <c r="U60" s="72">
        <v>0</v>
      </c>
      <c r="V60" s="72">
        <v>0</v>
      </c>
      <c r="X60" s="5">
        <v>0</v>
      </c>
      <c r="Y60" s="5">
        <v>0</v>
      </c>
      <c r="Z60" s="5">
        <v>0</v>
      </c>
      <c r="AA60" s="5">
        <v>0</v>
      </c>
    </row>
    <row r="61" spans="1:27" ht="16.5">
      <c r="A61" s="29" t="s">
        <v>84</v>
      </c>
      <c r="B61" s="24" t="s">
        <v>159</v>
      </c>
      <c r="C61" s="10" t="s">
        <v>160</v>
      </c>
      <c r="D61" s="5" t="s">
        <v>123</v>
      </c>
      <c r="E61" s="14">
        <v>49690.88</v>
      </c>
      <c r="F61" s="41">
        <v>131414.8</v>
      </c>
      <c r="G61" s="40">
        <f>SUM(G62:G64)</f>
        <v>132926.19999999998</v>
      </c>
      <c r="H61" s="36">
        <f t="shared" si="17"/>
        <v>264341</v>
      </c>
      <c r="I61" s="4">
        <v>36936.66</v>
      </c>
      <c r="J61" s="71">
        <v>2250</v>
      </c>
      <c r="K61" s="31">
        <f t="shared" si="18"/>
        <v>0.13973110489859691</v>
      </c>
      <c r="L61" s="35">
        <f t="shared" si="19"/>
        <v>227404.34</v>
      </c>
      <c r="M61" s="35">
        <f t="shared" si="20"/>
        <v>225154.34</v>
      </c>
      <c r="N61" s="31">
        <f t="shared" si="21"/>
        <v>0.1482428378495958</v>
      </c>
      <c r="O61" s="55">
        <f t="shared" si="1"/>
        <v>5276.665714285715</v>
      </c>
      <c r="P61" s="71">
        <v>3266.21</v>
      </c>
      <c r="Q61" s="72">
        <v>17347.56</v>
      </c>
      <c r="R61" s="72">
        <v>2857.39</v>
      </c>
      <c r="S61" s="72">
        <v>1032.84</v>
      </c>
      <c r="T61" s="72">
        <v>1969.11</v>
      </c>
      <c r="U61" s="72">
        <v>775.73</v>
      </c>
      <c r="V61" s="72">
        <v>9687.82</v>
      </c>
      <c r="X61" s="5">
        <v>0</v>
      </c>
      <c r="Y61" s="5">
        <v>0</v>
      </c>
      <c r="Z61" s="5">
        <v>0</v>
      </c>
      <c r="AA61" s="5">
        <v>0</v>
      </c>
    </row>
    <row r="62" spans="1:27" ht="16.5">
      <c r="A62" s="29" t="s">
        <v>85</v>
      </c>
      <c r="B62" s="25" t="s">
        <v>161</v>
      </c>
      <c r="C62" s="10" t="s">
        <v>125</v>
      </c>
      <c r="D62" s="5" t="s">
        <v>123</v>
      </c>
      <c r="E62" s="14">
        <v>6213.22</v>
      </c>
      <c r="F62" s="41">
        <v>100986.78</v>
      </c>
      <c r="G62" s="40">
        <f>0.9994*52000+2</f>
        <v>51970.799999999996</v>
      </c>
      <c r="H62" s="36">
        <f t="shared" si="17"/>
        <v>152957.58</v>
      </c>
      <c r="I62" s="4">
        <v>18691.41</v>
      </c>
      <c r="J62" s="71">
        <v>0</v>
      </c>
      <c r="K62" s="31">
        <f t="shared" si="18"/>
        <v>0.12219995896901613</v>
      </c>
      <c r="L62" s="35">
        <f t="shared" si="19"/>
        <v>134266.16999999998</v>
      </c>
      <c r="M62" s="35">
        <f t="shared" si="20"/>
        <v>134266.16999999998</v>
      </c>
      <c r="N62" s="31">
        <f t="shared" si="21"/>
        <v>0.12219995896901613</v>
      </c>
      <c r="O62" s="55">
        <f t="shared" si="1"/>
        <v>2670.2014285714286</v>
      </c>
      <c r="P62" s="71">
        <v>2951.38</v>
      </c>
      <c r="Q62" s="72">
        <v>4275.73</v>
      </c>
      <c r="R62" s="72">
        <v>2857.39</v>
      </c>
      <c r="S62" s="72">
        <v>1032.84</v>
      </c>
      <c r="T62" s="72">
        <v>0</v>
      </c>
      <c r="U62" s="72">
        <v>242.37</v>
      </c>
      <c r="V62" s="72">
        <v>7331.7</v>
      </c>
      <c r="X62" s="5">
        <v>0</v>
      </c>
      <c r="Y62" s="5">
        <v>0</v>
      </c>
      <c r="Z62" s="5">
        <v>0</v>
      </c>
      <c r="AA62" s="5">
        <v>0</v>
      </c>
    </row>
    <row r="63" spans="1:27" ht="12.75">
      <c r="A63" s="29" t="s">
        <v>86</v>
      </c>
      <c r="B63" s="9" t="s">
        <v>162</v>
      </c>
      <c r="C63" s="10" t="s">
        <v>127</v>
      </c>
      <c r="D63" s="5" t="s">
        <v>123</v>
      </c>
      <c r="E63" s="14">
        <v>11432.07</v>
      </c>
      <c r="F63" s="41">
        <v>2567.93</v>
      </c>
      <c r="G63" s="40">
        <f>0.9994*56000+2</f>
        <v>55968.399999999994</v>
      </c>
      <c r="H63" s="36">
        <f t="shared" si="17"/>
        <v>58536.329999999994</v>
      </c>
      <c r="I63" s="4">
        <v>3132.18</v>
      </c>
      <c r="J63" s="71">
        <v>2250</v>
      </c>
      <c r="K63" s="31">
        <f t="shared" si="18"/>
        <v>0.05350830842999553</v>
      </c>
      <c r="L63" s="35">
        <f t="shared" si="19"/>
        <v>55404.149999999994</v>
      </c>
      <c r="M63" s="35">
        <f t="shared" si="20"/>
        <v>53154.149999999994</v>
      </c>
      <c r="N63" s="31">
        <f t="shared" si="21"/>
        <v>0.09194597611432082</v>
      </c>
      <c r="O63" s="55">
        <f t="shared" si="1"/>
        <v>447.4542857142857</v>
      </c>
      <c r="P63" s="71">
        <v>245.95</v>
      </c>
      <c r="Q63" s="72">
        <v>-3.25</v>
      </c>
      <c r="R63" s="72">
        <v>0</v>
      </c>
      <c r="S63" s="72">
        <v>0</v>
      </c>
      <c r="T63" s="72">
        <v>0</v>
      </c>
      <c r="U63" s="72">
        <v>533.36</v>
      </c>
      <c r="V63" s="72">
        <v>2356.12</v>
      </c>
      <c r="X63" s="5">
        <v>0</v>
      </c>
      <c r="Y63" s="5">
        <v>0</v>
      </c>
      <c r="Z63" s="5">
        <v>0</v>
      </c>
      <c r="AA63" s="5">
        <v>0</v>
      </c>
    </row>
    <row r="64" spans="1:27" ht="12.75">
      <c r="A64" s="29" t="s">
        <v>87</v>
      </c>
      <c r="B64" s="9" t="s">
        <v>163</v>
      </c>
      <c r="C64" s="10" t="s">
        <v>136</v>
      </c>
      <c r="D64" s="5" t="s">
        <v>123</v>
      </c>
      <c r="E64" s="14">
        <v>32039.91</v>
      </c>
      <c r="F64" s="41">
        <v>27860.09</v>
      </c>
      <c r="G64" s="40">
        <f>0.9994*25000+2</f>
        <v>24987</v>
      </c>
      <c r="H64" s="36">
        <f t="shared" si="17"/>
        <v>52847.09</v>
      </c>
      <c r="I64" s="4">
        <v>15113.07</v>
      </c>
      <c r="J64" s="71">
        <v>0</v>
      </c>
      <c r="K64" s="31">
        <f t="shared" si="18"/>
        <v>0.2859773357435575</v>
      </c>
      <c r="L64" s="35">
        <f t="shared" si="19"/>
        <v>37734.02</v>
      </c>
      <c r="M64" s="35">
        <f t="shared" si="20"/>
        <v>37734.02</v>
      </c>
      <c r="N64" s="31">
        <f t="shared" si="21"/>
        <v>0.2859773357435575</v>
      </c>
      <c r="O64" s="55">
        <f t="shared" si="1"/>
        <v>2159.0099999999998</v>
      </c>
      <c r="P64" s="71">
        <v>68.88</v>
      </c>
      <c r="Q64" s="72">
        <v>13075.08</v>
      </c>
      <c r="R64" s="72">
        <v>0</v>
      </c>
      <c r="S64" s="72">
        <v>0</v>
      </c>
      <c r="T64" s="72">
        <v>1969.11</v>
      </c>
      <c r="U64" s="72">
        <v>0</v>
      </c>
      <c r="V64" s="72">
        <v>0</v>
      </c>
      <c r="X64" s="5">
        <v>0</v>
      </c>
      <c r="Y64" s="5">
        <v>0</v>
      </c>
      <c r="Z64" s="5">
        <v>0</v>
      </c>
      <c r="AA64" s="5">
        <v>0</v>
      </c>
    </row>
    <row r="65" spans="6:22" ht="12.75">
      <c r="F65" s="1"/>
      <c r="G65" s="1"/>
      <c r="H65" s="1"/>
      <c r="O65" s="55">
        <f t="shared" si="1"/>
        <v>0</v>
      </c>
      <c r="P65" s="71"/>
      <c r="Q65" s="72"/>
      <c r="R65" s="72"/>
      <c r="S65" s="72"/>
      <c r="T65" s="72"/>
      <c r="U65" s="72"/>
      <c r="V65" s="72"/>
    </row>
    <row r="66" spans="2:27" s="70" customFormat="1" ht="12.75">
      <c r="B66" s="63" t="s">
        <v>88</v>
      </c>
      <c r="C66" s="64"/>
      <c r="D66" s="65"/>
      <c r="E66" s="66">
        <f>E29+E32</f>
        <v>3970021.3299999996</v>
      </c>
      <c r="F66" s="42">
        <f>F29+F32</f>
        <v>1097946.19</v>
      </c>
      <c r="G66" s="42">
        <f>G29+G32</f>
        <v>4676085.119999999</v>
      </c>
      <c r="H66" s="42">
        <f>H29+H32</f>
        <v>5774031.31</v>
      </c>
      <c r="I66" s="66">
        <f aca="true" t="shared" si="22" ref="I66:AA66">I29+I32</f>
        <v>3133456.9600000004</v>
      </c>
      <c r="J66" s="77">
        <f t="shared" si="22"/>
        <v>150106.75</v>
      </c>
      <c r="K66" s="67">
        <f>+IF(H66&gt;0,I66/H66,"-")</f>
        <v>0.5426809782920974</v>
      </c>
      <c r="L66" s="68">
        <f>+IF(H66&gt;0,H66-I66,"-")</f>
        <v>2640574.349999999</v>
      </c>
      <c r="M66" s="68">
        <f>+IF(H66&gt;0,H66-(I66+J66),"-")</f>
        <v>2490467.599999999</v>
      </c>
      <c r="N66" s="67">
        <f>+IF(H66&gt;0,((I66+J66)/H66),"-")</f>
        <v>0.5686778497915698</v>
      </c>
      <c r="O66" s="69">
        <f t="shared" si="1"/>
        <v>447636.7085714286</v>
      </c>
      <c r="P66" s="77">
        <f t="shared" si="22"/>
        <v>449949.94000000006</v>
      </c>
      <c r="Q66" s="77">
        <f t="shared" si="22"/>
        <v>479340.7</v>
      </c>
      <c r="R66" s="77">
        <f t="shared" si="22"/>
        <v>381481.73</v>
      </c>
      <c r="S66" s="77">
        <f t="shared" si="22"/>
        <v>733899.17</v>
      </c>
      <c r="T66" s="77">
        <f t="shared" si="22"/>
        <v>482334.12</v>
      </c>
      <c r="U66" s="77">
        <f t="shared" si="22"/>
        <v>781341.02</v>
      </c>
      <c r="V66" s="77">
        <f t="shared" si="22"/>
        <v>617966.4199999999</v>
      </c>
      <c r="W66" s="66"/>
      <c r="X66" s="66">
        <f t="shared" si="22"/>
        <v>0</v>
      </c>
      <c r="Y66" s="66">
        <f t="shared" si="22"/>
        <v>0</v>
      </c>
      <c r="Z66" s="66">
        <f t="shared" si="22"/>
        <v>0</v>
      </c>
      <c r="AA66" s="66">
        <f t="shared" si="22"/>
        <v>0</v>
      </c>
    </row>
    <row r="67" spans="16:27" ht="12.75"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</sheetData>
  <printOptions horizontalCentered="1"/>
  <pageMargins left="0.23" right="0.23" top="0.5" bottom="0.65" header="0.5" footer="0.5"/>
  <pageSetup horizontalDpi="600" verticalDpi="600" orientation="landscape" pageOrder="overThenDown" scale="70" r:id="rId1"/>
  <headerFooter alignWithMargins="0">
    <oddFooter>&amp;L&amp;D &amp;T&amp;C&amp;F</oddFooter>
  </headerFooter>
  <rowBreaks count="1" manualBreakCount="1">
    <brk id="30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d_faulkner</dc:creator>
  <cp:keywords/>
  <dc:description/>
  <cp:lastModifiedBy>mpsg-tech</cp:lastModifiedBy>
  <cp:lastPrinted>2001-05-15T15:03:05Z</cp:lastPrinted>
  <dcterms:created xsi:type="dcterms:W3CDTF">1998-05-21T19:47:05Z</dcterms:created>
  <dcterms:modified xsi:type="dcterms:W3CDTF">2001-05-15T15:24:44Z</dcterms:modified>
  <cp:category/>
  <cp:version/>
  <cp:contentType/>
  <cp:contentStatus/>
</cp:coreProperties>
</file>