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60" windowHeight="6120" activeTab="2"/>
  </bookViews>
  <sheets>
    <sheet name="Project cost est" sheetId="1" r:id="rId1"/>
    <sheet name="Baseline cost est" sheetId="2" r:id="rId2"/>
    <sheet name="Cost track sched" sheetId="3" r:id="rId3"/>
  </sheets>
  <definedNames>
    <definedName name="_xlnm.Print_Area" localSheetId="1">'Baseline cost est'!$A$1:$C$18</definedName>
    <definedName name="_xlnm.Print_Area" localSheetId="0">'Cost track sched'!$A$1:$I$17</definedName>
  </definedNames>
  <calcPr fullCalcOnLoad="1"/>
</workbook>
</file>

<file path=xl/sharedStrings.xml><?xml version="1.0" encoding="utf-8"?>
<sst xmlns="http://schemas.openxmlformats.org/spreadsheetml/2006/main" count="93" uniqueCount="74">
  <si>
    <t>Description</t>
  </si>
  <si>
    <t>Construction Costs</t>
  </si>
  <si>
    <t>Mined tunnel - 1 track</t>
  </si>
  <si>
    <t>Mined tunnel - 2 track</t>
  </si>
  <si>
    <t>Ventilation (cut/cover + mined tunnel)</t>
  </si>
  <si>
    <t>Cut/cover - 1 track</t>
  </si>
  <si>
    <t>Cut/cover - 2 track</t>
  </si>
  <si>
    <t>At grade</t>
  </si>
  <si>
    <t>Underground</t>
  </si>
  <si>
    <t>Trackwork</t>
  </si>
  <si>
    <t>Subtotal Construction Costs</t>
  </si>
  <si>
    <t>Contingency</t>
  </si>
  <si>
    <t>Total</t>
  </si>
  <si>
    <t>Right-of-way</t>
  </si>
  <si>
    <t>Non-Construction Costs</t>
  </si>
  <si>
    <t>Subtotal Non-Construction Costs</t>
  </si>
  <si>
    <t>Subway - meters</t>
  </si>
  <si>
    <t>Trackway - meters</t>
  </si>
  <si>
    <t>Stations - number</t>
  </si>
  <si>
    <t>Utility relocation - meters</t>
  </si>
  <si>
    <t>Street restoration - meters</t>
  </si>
  <si>
    <t>Traffic signals - #</t>
  </si>
  <si>
    <t>Ballasted - meters</t>
  </si>
  <si>
    <t>Direct fixation - meters</t>
  </si>
  <si>
    <t>Special - turnouts, turnback…etc. - #</t>
  </si>
  <si>
    <t>Traction power supply - meters</t>
  </si>
  <si>
    <t>Signaling and train control - meters</t>
  </si>
  <si>
    <t>Communications/fire/safety - meters</t>
  </si>
  <si>
    <t>Environmental mitigations - #</t>
  </si>
  <si>
    <t>Right-of-way - stations - #</t>
  </si>
  <si>
    <t>Right-of-way - Maintenance facility - #</t>
  </si>
  <si>
    <t>New Vehicles - #</t>
  </si>
  <si>
    <t>Trackwork installation</t>
  </si>
  <si>
    <t>Cost ($Millions)</t>
  </si>
  <si>
    <t>Subway cut/cover</t>
  </si>
  <si>
    <t>Subway mined tunnel</t>
  </si>
  <si>
    <t>Contract</t>
  </si>
  <si>
    <t>No.</t>
  </si>
  <si>
    <t>Real estate</t>
  </si>
  <si>
    <t>Construct stations</t>
  </si>
  <si>
    <t>Install traction power system</t>
  </si>
  <si>
    <t>Signalling system</t>
  </si>
  <si>
    <t>Communications system</t>
  </si>
  <si>
    <t>Maintenance facility and yard</t>
  </si>
  <si>
    <t>Vehicles</t>
  </si>
  <si>
    <t>Baseline</t>
  </si>
  <si>
    <t>Budget</t>
  </si>
  <si>
    <t>Award</t>
  </si>
  <si>
    <t xml:space="preserve">Approved </t>
  </si>
  <si>
    <t>Changes</t>
  </si>
  <si>
    <t>Expenditures</t>
  </si>
  <si>
    <t>To-Date</t>
  </si>
  <si>
    <t xml:space="preserve">Current Budget </t>
  </si>
  <si>
    <t>Forecast</t>
  </si>
  <si>
    <t xml:space="preserve">Current </t>
  </si>
  <si>
    <t>Construction Contracts</t>
  </si>
  <si>
    <t>Escalated*</t>
  </si>
  <si>
    <t>At grade - 2 track</t>
  </si>
  <si>
    <t>Forecasted</t>
  </si>
  <si>
    <t>Quantity</t>
  </si>
  <si>
    <t>Site Preparation and Restoration</t>
  </si>
  <si>
    <t>Maintenance facility</t>
  </si>
  <si>
    <t>Traction power system</t>
  </si>
  <si>
    <t>Contract to</t>
  </si>
  <si>
    <t xml:space="preserve"> be Awarded</t>
  </si>
  <si>
    <t>* May be escalated to either year-of-expenditure or mid-point of construction.</t>
  </si>
  <si>
    <t>Preliminary Engineering</t>
  </si>
  <si>
    <t>Final engineering/management</t>
  </si>
  <si>
    <t>Preliminary engineering</t>
  </si>
  <si>
    <t>Final engineering and project management</t>
  </si>
  <si>
    <t>Final eng. and mgmnt</t>
  </si>
  <si>
    <t>Structure mod. and underpinnings - #</t>
  </si>
  <si>
    <t>Cost (Millions</t>
  </si>
  <si>
    <t xml:space="preserve"> of 1999$)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</si>
</sst>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.0_);_(* \(#,##0.0\);_(* &quot;-&quot;?_);_(@_)"/>
    <numFmt numFmtId="169" formatCode="_(&quot;$&quot;* #,##0.000_);_(&quot;$&quot;* \(#,##0.000\);_(&quot;$&quot;* &quot;-&quot;???_);_(@_)"/>
    <numFmt numFmtId="170" formatCode="_(* #,##0.0_);_(* \(#,##0.0\);_(* &quot;-&quot;??_);_(@_)"/>
    <numFmt numFmtId="171" formatCode="_(* #,##0_);_(* \(#,##0\);_(* &quot;-&quot;??_);_(@_)"/>
    <numFmt numFmtId="172" formatCode="#,##0.0"/>
    <numFmt numFmtId="173" formatCode="&quot;$&quot;#,##0.0"/>
    <numFmt numFmtId="174" formatCode="_(&quot;$&quot;* #,##0.0_);_(&quot;$&quot;* \(#,##0.0\);_(&quot;$&quot;* &quot;-&quot;?_);_(@_)"/>
    <numFmt numFmtId="175" formatCode="&quot;$&quot;#,##0.0_);\(&quot;$&quot;#,##0.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left" inden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44" fontId="0" fillId="0" borderId="5" xfId="17" applyNumberFormat="1" applyBorder="1" applyAlignment="1">
      <alignment/>
    </xf>
    <xf numFmtId="167" fontId="0" fillId="0" borderId="0" xfId="19" applyNumberFormat="1" applyAlignment="1">
      <alignment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/>
    </xf>
    <xf numFmtId="165" fontId="0" fillId="0" borderId="0" xfId="17" applyNumberFormat="1" applyFont="1" applyFill="1" applyBorder="1" applyAlignment="1">
      <alignment/>
    </xf>
    <xf numFmtId="167" fontId="0" fillId="0" borderId="0" xfId="19" applyNumberFormat="1" applyFont="1" applyFill="1" applyBorder="1" applyAlignment="1">
      <alignment/>
    </xf>
    <xf numFmtId="164" fontId="0" fillId="0" borderId="0" xfId="17" applyNumberFormat="1" applyFont="1" applyFill="1" applyBorder="1" applyAlignment="1">
      <alignment/>
    </xf>
    <xf numFmtId="164" fontId="0" fillId="0" borderId="6" xfId="17" applyNumberFormat="1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5" fontId="0" fillId="0" borderId="5" xfId="17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164" fontId="0" fillId="0" borderId="5" xfId="17" applyNumberFormat="1" applyFont="1" applyFill="1" applyBorder="1" applyAlignment="1">
      <alignment horizontal="left" indent="1"/>
    </xf>
    <xf numFmtId="44" fontId="0" fillId="0" borderId="5" xfId="17" applyNumberFormat="1" applyFont="1" applyFill="1" applyBorder="1" applyAlignment="1">
      <alignment horizontal="left" indent="1"/>
    </xf>
    <xf numFmtId="0" fontId="0" fillId="0" borderId="9" xfId="0" applyFill="1" applyBorder="1" applyAlignment="1">
      <alignment/>
    </xf>
    <xf numFmtId="164" fontId="0" fillId="0" borderId="5" xfId="17" applyNumberFormat="1" applyFont="1" applyFill="1" applyBorder="1" applyAlignment="1">
      <alignment/>
    </xf>
    <xf numFmtId="164" fontId="2" fillId="0" borderId="5" xfId="17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171" fontId="3" fillId="0" borderId="2" xfId="15" applyNumberFormat="1" applyFont="1" applyFill="1" applyBorder="1" applyAlignment="1">
      <alignment horizontal="center"/>
    </xf>
    <xf numFmtId="171" fontId="3" fillId="0" borderId="4" xfId="15" applyNumberFormat="1" applyFont="1" applyFill="1" applyBorder="1" applyAlignment="1">
      <alignment horizontal="center"/>
    </xf>
    <xf numFmtId="171" fontId="1" fillId="0" borderId="1" xfId="15" applyNumberFormat="1" applyFont="1" applyFill="1" applyBorder="1" applyAlignment="1">
      <alignment horizontal="center"/>
    </xf>
    <xf numFmtId="171" fontId="0" fillId="0" borderId="1" xfId="15" applyNumberFormat="1" applyFill="1" applyBorder="1" applyAlignment="1">
      <alignment horizontal="center"/>
    </xf>
    <xf numFmtId="171" fontId="0" fillId="0" borderId="1" xfId="15" applyNumberFormat="1" applyFont="1" applyFill="1" applyBorder="1" applyAlignment="1">
      <alignment horizontal="center"/>
    </xf>
    <xf numFmtId="171" fontId="0" fillId="0" borderId="0" xfId="15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67" fontId="0" fillId="0" borderId="0" xfId="19" applyNumberForma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74" fontId="0" fillId="0" borderId="5" xfId="0" applyNumberFormat="1" applyFill="1" applyBorder="1" applyAlignment="1">
      <alignment horizontal="center"/>
    </xf>
    <xf numFmtId="171" fontId="0" fillId="0" borderId="0" xfId="15" applyNumberFormat="1" applyAlignment="1">
      <alignment horizontal="center"/>
    </xf>
    <xf numFmtId="0" fontId="0" fillId="0" borderId="1" xfId="15" applyNumberFormat="1" applyFont="1" applyFill="1" applyBorder="1" applyAlignment="1">
      <alignment horizontal="center"/>
    </xf>
    <xf numFmtId="0" fontId="0" fillId="0" borderId="1" xfId="15" applyNumberFormat="1" applyFill="1" applyBorder="1" applyAlignment="1">
      <alignment horizontal="center"/>
    </xf>
    <xf numFmtId="171" fontId="4" fillId="0" borderId="3" xfId="15" applyNumberFormat="1" applyFont="1" applyFill="1" applyBorder="1" applyAlignment="1">
      <alignment horizontal="center"/>
    </xf>
    <xf numFmtId="164" fontId="4" fillId="0" borderId="10" xfId="17" applyNumberFormat="1" applyFont="1" applyFill="1" applyBorder="1" applyAlignment="1">
      <alignment horizontal="left"/>
    </xf>
    <xf numFmtId="171" fontId="1" fillId="0" borderId="4" xfId="15" applyNumberFormat="1" applyFont="1" applyFill="1" applyBorder="1" applyAlignment="1">
      <alignment horizontal="center"/>
    </xf>
    <xf numFmtId="164" fontId="1" fillId="0" borderId="6" xfId="17" applyNumberFormat="1" applyFont="1" applyFill="1" applyBorder="1" applyAlignment="1">
      <alignment horizontal="left"/>
    </xf>
    <xf numFmtId="0" fontId="0" fillId="0" borderId="6" xfId="0" applyFill="1" applyBorder="1" applyAlignment="1">
      <alignment/>
    </xf>
    <xf numFmtId="171" fontId="1" fillId="0" borderId="3" xfId="15" applyNumberFormat="1" applyFont="1" applyFill="1" applyBorder="1" applyAlignment="1">
      <alignment horizontal="center"/>
    </xf>
    <xf numFmtId="164" fontId="1" fillId="0" borderId="11" xfId="17" applyNumberFormat="1" applyFont="1" applyFill="1" applyBorder="1" applyAlignment="1">
      <alignment horizontal="left"/>
    </xf>
    <xf numFmtId="174" fontId="0" fillId="0" borderId="11" xfId="0" applyNumberFormat="1" applyFill="1" applyBorder="1" applyAlignment="1">
      <alignment horizontal="center"/>
    </xf>
    <xf numFmtId="171" fontId="0" fillId="0" borderId="4" xfId="15" applyNumberFormat="1" applyFont="1" applyFill="1" applyBorder="1" applyAlignment="1">
      <alignment horizontal="center"/>
    </xf>
    <xf numFmtId="164" fontId="0" fillId="0" borderId="9" xfId="17" applyNumberFormat="1" applyFont="1" applyFill="1" applyBorder="1" applyAlignment="1">
      <alignment horizontal="left"/>
    </xf>
    <xf numFmtId="174" fontId="0" fillId="0" borderId="9" xfId="0" applyNumberFormat="1" applyFill="1" applyBorder="1" applyAlignment="1">
      <alignment horizontal="center"/>
    </xf>
    <xf numFmtId="165" fontId="2" fillId="0" borderId="8" xfId="17" applyNumberFormat="1" applyFont="1" applyFill="1" applyBorder="1" applyAlignment="1">
      <alignment horizontal="center"/>
    </xf>
    <xf numFmtId="165" fontId="2" fillId="0" borderId="9" xfId="17" applyNumberFormat="1" applyFont="1" applyFill="1" applyBorder="1" applyAlignment="1">
      <alignment horizontal="center"/>
    </xf>
    <xf numFmtId="165" fontId="2" fillId="0" borderId="8" xfId="17" applyNumberFormat="1" applyFont="1" applyBorder="1" applyAlignment="1">
      <alignment horizontal="center"/>
    </xf>
    <xf numFmtId="165" fontId="2" fillId="0" borderId="9" xfId="17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71" fontId="0" fillId="0" borderId="0" xfId="15" applyNumberFormat="1" applyFont="1" applyAlignment="1">
      <alignment horizontal="left"/>
    </xf>
    <xf numFmtId="165" fontId="0" fillId="0" borderId="5" xfId="17" applyNumberFormat="1" applyFont="1" applyFill="1" applyBorder="1" applyAlignment="1">
      <alignment horizontal="left"/>
    </xf>
    <xf numFmtId="164" fontId="0" fillId="0" borderId="5" xfId="17" applyNumberFormat="1" applyFill="1" applyBorder="1" applyAlignment="1">
      <alignment/>
    </xf>
    <xf numFmtId="165" fontId="0" fillId="0" borderId="0" xfId="17" applyNumberFormat="1" applyFont="1" applyFill="1" applyBorder="1" applyAlignment="1">
      <alignment horizontal="left"/>
    </xf>
    <xf numFmtId="164" fontId="0" fillId="0" borderId="0" xfId="17" applyNumberFormat="1" applyFill="1" applyBorder="1" applyAlignment="1">
      <alignment/>
    </xf>
    <xf numFmtId="164" fontId="0" fillId="0" borderId="0" xfId="17" applyNumberFormat="1" applyFont="1" applyFill="1" applyBorder="1" applyAlignment="1">
      <alignment horizontal="left"/>
    </xf>
    <xf numFmtId="44" fontId="0" fillId="0" borderId="0" xfId="17" applyNumberFormat="1" applyFont="1" applyFill="1" applyBorder="1" applyAlignment="1">
      <alignment horizontal="left"/>
    </xf>
    <xf numFmtId="165" fontId="0" fillId="0" borderId="0" xfId="17" applyNumberFormat="1" applyFont="1" applyFill="1" applyBorder="1" applyAlignment="1">
      <alignment horizontal="left"/>
    </xf>
    <xf numFmtId="164" fontId="0" fillId="0" borderId="10" xfId="17" applyNumberFormat="1" applyFont="1" applyFill="1" applyBorder="1" applyAlignment="1">
      <alignment/>
    </xf>
    <xf numFmtId="164" fontId="0" fillId="0" borderId="11" xfId="17" applyNumberFormat="1" applyFont="1" applyFill="1" applyBorder="1" applyAlignment="1">
      <alignment/>
    </xf>
    <xf numFmtId="165" fontId="2" fillId="0" borderId="1" xfId="17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174" fontId="0" fillId="0" borderId="5" xfId="17" applyNumberFormat="1" applyBorder="1" applyAlignment="1">
      <alignment horizontal="left"/>
    </xf>
    <xf numFmtId="174" fontId="1" fillId="0" borderId="5" xfId="17" applyNumberFormat="1" applyFont="1" applyBorder="1" applyAlignment="1">
      <alignment horizontal="left"/>
    </xf>
    <xf numFmtId="174" fontId="1" fillId="0" borderId="5" xfId="0" applyNumberFormat="1" applyFont="1" applyBorder="1" applyAlignment="1">
      <alignment horizontal="left"/>
    </xf>
    <xf numFmtId="174" fontId="0" fillId="0" borderId="5" xfId="17" applyNumberFormat="1" applyFont="1" applyBorder="1" applyAlignment="1">
      <alignment horizontal="left"/>
    </xf>
    <xf numFmtId="174" fontId="1" fillId="0" borderId="9" xfId="17" applyNumberFormat="1" applyFont="1" applyBorder="1" applyAlignment="1">
      <alignment horizontal="left"/>
    </xf>
    <xf numFmtId="174" fontId="1" fillId="0" borderId="11" xfId="17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64" fontId="1" fillId="0" borderId="14" xfId="17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64" fontId="1" fillId="0" borderId="15" xfId="17" applyNumberFormat="1" applyFont="1" applyFill="1" applyBorder="1" applyAlignment="1">
      <alignment/>
    </xf>
    <xf numFmtId="165" fontId="4" fillId="0" borderId="12" xfId="17" applyNumberFormat="1" applyFont="1" applyFill="1" applyBorder="1" applyAlignment="1">
      <alignment horizontal="right"/>
    </xf>
    <xf numFmtId="165" fontId="4" fillId="0" borderId="13" xfId="17" applyNumberFormat="1" applyFont="1" applyFill="1" applyBorder="1" applyAlignment="1">
      <alignment horizontal="right"/>
    </xf>
    <xf numFmtId="164" fontId="1" fillId="0" borderId="13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1" sqref="A1:C39"/>
    </sheetView>
  </sheetViews>
  <sheetFormatPr defaultColWidth="9.140625" defaultRowHeight="12.75"/>
  <cols>
    <col min="1" max="1" width="36.28125" style="0" customWidth="1"/>
    <col min="2" max="2" width="8.28125" style="0" customWidth="1"/>
    <col min="3" max="3" width="13.8515625" style="1" bestFit="1" customWidth="1"/>
    <col min="5" max="5" width="9.140625" style="35" customWidth="1"/>
    <col min="6" max="6" width="32.8515625" style="0" bestFit="1" customWidth="1"/>
    <col min="7" max="7" width="10.140625" style="0" bestFit="1" customWidth="1"/>
    <col min="8" max="9" width="9.8515625" style="0" bestFit="1" customWidth="1"/>
    <col min="10" max="10" width="9.00390625" style="0" customWidth="1"/>
    <col min="12" max="12" width="13.140625" style="0" bestFit="1" customWidth="1"/>
    <col min="13" max="13" width="14.00390625" style="0" bestFit="1" customWidth="1"/>
    <col min="14" max="14" width="15.57421875" style="0" bestFit="1" customWidth="1"/>
  </cols>
  <sheetData>
    <row r="1" spans="1:3" ht="12.75">
      <c r="A1" s="4"/>
      <c r="B1" s="78"/>
      <c r="C1" s="59" t="s">
        <v>72</v>
      </c>
    </row>
    <row r="2" spans="1:3" ht="13.5" thickBot="1">
      <c r="A2" s="9" t="s">
        <v>0</v>
      </c>
      <c r="B2" s="79" t="s">
        <v>59</v>
      </c>
      <c r="C2" s="60" t="s">
        <v>73</v>
      </c>
    </row>
    <row r="3" spans="1:3" ht="12.75">
      <c r="A3" s="3" t="s">
        <v>1</v>
      </c>
      <c r="B3" s="80"/>
      <c r="C3" s="10"/>
    </row>
    <row r="4" spans="1:3" ht="12.75">
      <c r="A4" s="6" t="s">
        <v>60</v>
      </c>
      <c r="B4" s="80"/>
      <c r="C4" s="10"/>
    </row>
    <row r="5" spans="1:4" ht="12.75">
      <c r="A5" s="5" t="s">
        <v>19</v>
      </c>
      <c r="B5" s="80">
        <v>3675</v>
      </c>
      <c r="C5" s="85">
        <v>13.2080030942555</v>
      </c>
      <c r="D5" s="11"/>
    </row>
    <row r="6" spans="1:4" ht="12.75">
      <c r="A6" s="5" t="s">
        <v>20</v>
      </c>
      <c r="B6" s="80">
        <v>3675</v>
      </c>
      <c r="C6" s="85">
        <v>1.8768415993470395</v>
      </c>
      <c r="D6" s="11"/>
    </row>
    <row r="7" spans="1:4" s="2" customFormat="1" ht="12.75">
      <c r="A7" s="5" t="s">
        <v>21</v>
      </c>
      <c r="B7" s="80">
        <v>7</v>
      </c>
      <c r="C7" s="85">
        <v>0.6292093484400996</v>
      </c>
      <c r="D7" s="11"/>
    </row>
    <row r="8" spans="1:4" ht="12.75">
      <c r="A8" s="5" t="s">
        <v>71</v>
      </c>
      <c r="B8" s="80">
        <v>2</v>
      </c>
      <c r="C8" s="85">
        <v>2.8763855928690263</v>
      </c>
      <c r="D8" s="11"/>
    </row>
    <row r="9" spans="1:4" ht="12.75">
      <c r="A9" s="5" t="s">
        <v>28</v>
      </c>
      <c r="B9" s="80">
        <v>2</v>
      </c>
      <c r="C9" s="85">
        <v>0.7640399231058351</v>
      </c>
      <c r="D9" s="11"/>
    </row>
    <row r="10" spans="1:3" ht="12.75">
      <c r="A10" s="13" t="s">
        <v>43</v>
      </c>
      <c r="B10" s="80">
        <v>1</v>
      </c>
      <c r="C10" s="85">
        <v>25.6</v>
      </c>
    </row>
    <row r="11" spans="1:4" ht="12.75">
      <c r="A11" s="6" t="s">
        <v>17</v>
      </c>
      <c r="B11" s="80"/>
      <c r="C11" s="85"/>
      <c r="D11" s="11"/>
    </row>
    <row r="12" spans="1:3" ht="12.75">
      <c r="A12" s="5" t="s">
        <v>57</v>
      </c>
      <c r="B12" s="80">
        <v>690</v>
      </c>
      <c r="C12" s="85">
        <v>0.4</v>
      </c>
    </row>
    <row r="13" spans="1:4" ht="12.75">
      <c r="A13" s="6" t="s">
        <v>16</v>
      </c>
      <c r="B13" s="80"/>
      <c r="C13" s="85"/>
      <c r="D13" s="11"/>
    </row>
    <row r="14" spans="1:4" ht="12.75">
      <c r="A14" s="5" t="s">
        <v>5</v>
      </c>
      <c r="B14" s="80">
        <v>593</v>
      </c>
      <c r="C14" s="85">
        <v>16.7</v>
      </c>
      <c r="D14" s="11"/>
    </row>
    <row r="15" spans="1:4" ht="12.75">
      <c r="A15" s="5" t="s">
        <v>6</v>
      </c>
      <c r="B15" s="80">
        <v>1230</v>
      </c>
      <c r="C15" s="85">
        <v>79.1</v>
      </c>
      <c r="D15" s="11"/>
    </row>
    <row r="16" spans="1:4" ht="12.75">
      <c r="A16" s="5" t="s">
        <v>2</v>
      </c>
      <c r="B16" s="80">
        <v>413</v>
      </c>
      <c r="C16" s="85">
        <v>16.5</v>
      </c>
      <c r="D16" s="11"/>
    </row>
    <row r="17" spans="1:4" ht="12.75">
      <c r="A17" s="5" t="s">
        <v>3</v>
      </c>
      <c r="B17" s="80">
        <v>749</v>
      </c>
      <c r="C17" s="85">
        <v>42.5</v>
      </c>
      <c r="D17" s="11"/>
    </row>
    <row r="18" spans="1:3" ht="12.75">
      <c r="A18" s="5" t="s">
        <v>4</v>
      </c>
      <c r="B18" s="80">
        <f>3675-690</f>
        <v>2985</v>
      </c>
      <c r="C18" s="85">
        <v>5.483110036406581</v>
      </c>
    </row>
    <row r="19" spans="1:4" ht="12.75">
      <c r="A19" s="6" t="s">
        <v>18</v>
      </c>
      <c r="B19" s="80"/>
      <c r="C19" s="85"/>
      <c r="D19" s="11"/>
    </row>
    <row r="20" spans="1:4" ht="12.75">
      <c r="A20" s="5" t="s">
        <v>7</v>
      </c>
      <c r="B20" s="80">
        <v>1</v>
      </c>
      <c r="C20" s="85">
        <v>2.6</v>
      </c>
      <c r="D20" s="11"/>
    </row>
    <row r="21" spans="1:3" ht="12.75">
      <c r="A21" s="5" t="s">
        <v>8</v>
      </c>
      <c r="B21" s="80">
        <v>4</v>
      </c>
      <c r="C21" s="85">
        <v>79.5473424412907</v>
      </c>
    </row>
    <row r="22" spans="1:4" ht="12.75">
      <c r="A22" s="6" t="s">
        <v>9</v>
      </c>
      <c r="B22" s="80"/>
      <c r="C22" s="85"/>
      <c r="D22" s="11"/>
    </row>
    <row r="23" spans="1:4" ht="12.75">
      <c r="A23" s="5" t="s">
        <v>22</v>
      </c>
      <c r="B23" s="80">
        <v>690</v>
      </c>
      <c r="C23" s="85">
        <v>0.35235723512645567</v>
      </c>
      <c r="D23" s="11"/>
    </row>
    <row r="24" spans="1:4" ht="12.75">
      <c r="A24" s="5" t="s">
        <v>23</v>
      </c>
      <c r="B24" s="80">
        <v>4964</v>
      </c>
      <c r="C24" s="85">
        <v>2.7972849890651283</v>
      </c>
      <c r="D24" s="11"/>
    </row>
    <row r="25" spans="1:4" ht="12.75">
      <c r="A25" s="5" t="s">
        <v>24</v>
      </c>
      <c r="B25" s="80">
        <v>1</v>
      </c>
      <c r="C25" s="85">
        <v>0.5752771185738054</v>
      </c>
      <c r="D25" s="11"/>
    </row>
    <row r="26" spans="1:4" ht="12.75">
      <c r="A26" s="6" t="s">
        <v>25</v>
      </c>
      <c r="B26" s="80">
        <v>5654</v>
      </c>
      <c r="C26" s="85">
        <v>4.627385322528046</v>
      </c>
      <c r="D26" s="11"/>
    </row>
    <row r="27" spans="1:4" ht="12.75">
      <c r="A27" s="6" t="s">
        <v>26</v>
      </c>
      <c r="B27" s="80">
        <v>5654</v>
      </c>
      <c r="C27" s="85">
        <v>7.2</v>
      </c>
      <c r="D27" s="11"/>
    </row>
    <row r="28" spans="1:14" ht="12.75">
      <c r="A28" s="6" t="s">
        <v>27</v>
      </c>
      <c r="B28" s="80">
        <v>5654</v>
      </c>
      <c r="C28" s="85">
        <v>2.5</v>
      </c>
      <c r="E28" s="36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3" t="s">
        <v>10</v>
      </c>
      <c r="B29" s="81"/>
      <c r="C29" s="86">
        <f>SUM(C5:C28)</f>
        <v>305.8372367010082</v>
      </c>
      <c r="E29" s="36"/>
      <c r="F29" s="2"/>
      <c r="G29" s="2"/>
      <c r="H29" s="2"/>
      <c r="I29" s="2"/>
      <c r="J29" s="2"/>
      <c r="K29" s="2"/>
      <c r="L29" s="2"/>
      <c r="M29" s="2"/>
      <c r="N29" s="2"/>
    </row>
    <row r="30" spans="1:3" ht="12.75">
      <c r="A30" s="3" t="s">
        <v>14</v>
      </c>
      <c r="B30" s="80"/>
      <c r="C30" s="85"/>
    </row>
    <row r="31" spans="1:14" ht="12.75">
      <c r="A31" s="6" t="s">
        <v>13</v>
      </c>
      <c r="B31" s="81"/>
      <c r="C31" s="87"/>
      <c r="D31" s="11"/>
      <c r="E31" s="36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7" t="s">
        <v>29</v>
      </c>
      <c r="B32" s="82">
        <v>5</v>
      </c>
      <c r="C32" s="88">
        <v>4.8</v>
      </c>
      <c r="D32" s="11"/>
      <c r="E32" s="36"/>
      <c r="F32" s="2"/>
      <c r="G32" s="2"/>
      <c r="H32" s="2"/>
      <c r="I32" s="2"/>
      <c r="J32" s="2"/>
      <c r="K32" s="2"/>
      <c r="L32" s="2"/>
      <c r="M32" s="2"/>
      <c r="N32" s="2"/>
    </row>
    <row r="33" spans="1:5" s="2" customFormat="1" ht="12.75">
      <c r="A33" s="7" t="s">
        <v>30</v>
      </c>
      <c r="B33" s="82">
        <v>1</v>
      </c>
      <c r="C33" s="88">
        <v>2.2</v>
      </c>
      <c r="D33" s="11"/>
      <c r="E33" s="36"/>
    </row>
    <row r="34" spans="1:5" s="2" customFormat="1" ht="12.75">
      <c r="A34" s="6" t="s">
        <v>31</v>
      </c>
      <c r="B34" s="82">
        <v>8</v>
      </c>
      <c r="C34" s="88">
        <v>20.1</v>
      </c>
      <c r="D34" s="11"/>
      <c r="E34" s="36"/>
    </row>
    <row r="35" spans="1:5" s="2" customFormat="1" ht="12.75">
      <c r="A35" s="6" t="s">
        <v>66</v>
      </c>
      <c r="B35" s="82"/>
      <c r="C35" s="88">
        <v>10</v>
      </c>
      <c r="D35" s="11"/>
      <c r="E35" s="36"/>
    </row>
    <row r="36" spans="1:14" ht="12.75">
      <c r="A36" s="6" t="s">
        <v>67</v>
      </c>
      <c r="B36" s="82"/>
      <c r="C36" s="88">
        <v>39.8</v>
      </c>
      <c r="E36" s="36"/>
      <c r="F36" s="2"/>
      <c r="G36" s="2"/>
      <c r="H36" s="2"/>
      <c r="I36" s="2"/>
      <c r="J36" s="2"/>
      <c r="K36" s="2"/>
      <c r="L36" s="2"/>
      <c r="M36" s="2"/>
      <c r="N36" s="2"/>
    </row>
    <row r="37" spans="1:5" s="2" customFormat="1" ht="12.75">
      <c r="A37" s="3" t="s">
        <v>15</v>
      </c>
      <c r="B37" s="82"/>
      <c r="C37" s="86">
        <f>SUM(C32:C36)</f>
        <v>76.9</v>
      </c>
      <c r="D37" s="11"/>
      <c r="E37" s="36"/>
    </row>
    <row r="38" spans="1:5" s="2" customFormat="1" ht="13.5" thickBot="1">
      <c r="A38" s="12" t="s">
        <v>11</v>
      </c>
      <c r="B38" s="83"/>
      <c r="C38" s="89">
        <f>C29*0.15</f>
        <v>45.87558550515123</v>
      </c>
      <c r="E38" s="36"/>
    </row>
    <row r="39" spans="1:5" s="2" customFormat="1" ht="12.75">
      <c r="A39" s="8" t="s">
        <v>12</v>
      </c>
      <c r="B39" s="84"/>
      <c r="C39" s="90">
        <f>C38+C37+C29</f>
        <v>428.6128222061594</v>
      </c>
      <c r="E39" s="36"/>
    </row>
    <row r="40" spans="1:14" s="2" customFormat="1" ht="12.75">
      <c r="A40"/>
      <c r="B40"/>
      <c r="C40" s="1"/>
      <c r="E40" s="35"/>
      <c r="F40"/>
      <c r="G40"/>
      <c r="H40"/>
      <c r="I40"/>
      <c r="J40"/>
      <c r="K40"/>
      <c r="L40"/>
      <c r="M40"/>
      <c r="N40"/>
    </row>
    <row r="41" spans="1:14" s="2" customFormat="1" ht="12.75">
      <c r="A41"/>
      <c r="B41"/>
      <c r="C41" s="1"/>
      <c r="E41" s="35"/>
      <c r="F41"/>
      <c r="G41"/>
      <c r="H41"/>
      <c r="I41"/>
      <c r="J41"/>
      <c r="K41"/>
      <c r="L41"/>
      <c r="M41"/>
      <c r="N41"/>
    </row>
    <row r="42" spans="1:14" s="2" customFormat="1" ht="12.75">
      <c r="A42"/>
      <c r="B42"/>
      <c r="C42" s="1"/>
      <c r="E42" s="35"/>
      <c r="F42"/>
      <c r="G42"/>
      <c r="H42"/>
      <c r="I42"/>
      <c r="J42"/>
      <c r="K42"/>
      <c r="L42"/>
      <c r="M42"/>
      <c r="N42"/>
    </row>
    <row r="43" spans="1:14" s="2" customFormat="1" ht="12.75">
      <c r="A43"/>
      <c r="B43"/>
      <c r="C43" s="1"/>
      <c r="E43" s="35"/>
      <c r="F43"/>
      <c r="G43"/>
      <c r="H43"/>
      <c r="I43"/>
      <c r="J43"/>
      <c r="K43"/>
      <c r="L43"/>
      <c r="M43"/>
      <c r="N43"/>
    </row>
    <row r="44" spans="1:14" s="2" customFormat="1" ht="12.75">
      <c r="A44"/>
      <c r="B44"/>
      <c r="C44" s="1"/>
      <c r="E44" s="35"/>
      <c r="F44"/>
      <c r="G44"/>
      <c r="H44"/>
      <c r="I44"/>
      <c r="J44"/>
      <c r="K44"/>
      <c r="L44"/>
      <c r="M44"/>
      <c r="N44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29" sqref="D29"/>
    </sheetView>
  </sheetViews>
  <sheetFormatPr defaultColWidth="9.140625" defaultRowHeight="12.75"/>
  <cols>
    <col min="1" max="1" width="9.7109375" style="43" bestFit="1" customWidth="1"/>
    <col min="2" max="2" width="36.8515625" style="0" customWidth="1"/>
    <col min="3" max="4" width="15.421875" style="0" bestFit="1" customWidth="1"/>
  </cols>
  <sheetData>
    <row r="1" spans="1:5" ht="15">
      <c r="A1" s="30" t="s">
        <v>36</v>
      </c>
      <c r="B1" s="20"/>
      <c r="C1" s="57" t="s">
        <v>33</v>
      </c>
      <c r="D1" s="37"/>
      <c r="E1" s="37"/>
    </row>
    <row r="2" spans="1:5" ht="15.75" thickBot="1">
      <c r="A2" s="31" t="s">
        <v>37</v>
      </c>
      <c r="B2" s="22" t="s">
        <v>0</v>
      </c>
      <c r="C2" s="58" t="s">
        <v>56</v>
      </c>
      <c r="D2" s="37"/>
      <c r="E2" s="28"/>
    </row>
    <row r="3" spans="1:5" ht="12.75">
      <c r="A3" s="32"/>
      <c r="B3" s="68" t="s">
        <v>68</v>
      </c>
      <c r="C3" s="69">
        <v>10.3</v>
      </c>
      <c r="D3" s="37"/>
      <c r="E3" s="15"/>
    </row>
    <row r="4" spans="1:5" ht="12.75">
      <c r="A4" s="33"/>
      <c r="B4" s="21" t="s">
        <v>69</v>
      </c>
      <c r="C4" s="42">
        <f>'Project cost est'!C36*E4</f>
        <v>43.774632267739726</v>
      </c>
      <c r="D4" s="37"/>
      <c r="E4" s="38">
        <v>1.0998651323552695</v>
      </c>
    </row>
    <row r="5" spans="1:5" ht="12.75">
      <c r="A5" s="34"/>
      <c r="B5" s="21" t="s">
        <v>38</v>
      </c>
      <c r="C5" s="42">
        <f>E5*('Project cost est'!C33+'Project cost est'!C32)</f>
        <v>7.603030410530965</v>
      </c>
      <c r="D5" s="37"/>
      <c r="E5" s="16">
        <v>1.0861472015044236</v>
      </c>
    </row>
    <row r="6" spans="1:5" ht="12.75">
      <c r="A6" s="34"/>
      <c r="B6" s="21" t="s">
        <v>44</v>
      </c>
      <c r="C6" s="42">
        <f>E6*'Project cost est'!C34</f>
        <v>23.27202022353337</v>
      </c>
      <c r="D6" s="37"/>
      <c r="E6" s="16">
        <v>1.1578119514195706</v>
      </c>
    </row>
    <row r="7" spans="1:5" ht="12.75">
      <c r="A7" s="33"/>
      <c r="B7" s="21"/>
      <c r="C7" s="42"/>
      <c r="D7" s="39"/>
      <c r="E7" s="15"/>
    </row>
    <row r="8" spans="1:5" ht="12.75">
      <c r="A8" s="33"/>
      <c r="B8" s="27" t="s">
        <v>55</v>
      </c>
      <c r="C8" s="42"/>
      <c r="D8" s="40">
        <v>23.3</v>
      </c>
      <c r="E8" s="17"/>
    </row>
    <row r="9" spans="1:5" ht="12.75">
      <c r="A9" s="44">
        <v>1</v>
      </c>
      <c r="B9" s="23" t="s">
        <v>43</v>
      </c>
      <c r="C9" s="42">
        <f>E9*'Project cost est'!C10*1.15</f>
        <v>34.72819447051091</v>
      </c>
      <c r="D9" s="37"/>
      <c r="E9" s="38">
        <v>1.1796261708733324</v>
      </c>
    </row>
    <row r="10" spans="1:5" ht="12.75">
      <c r="A10" s="44">
        <v>2</v>
      </c>
      <c r="B10" s="23" t="s">
        <v>34</v>
      </c>
      <c r="C10" s="42">
        <f>(E10*(SUM('Project cost est'!C14:C15)+0.5*'Project cost est'!C18)+D8*D10)*1.15</f>
        <v>144.1248689822318</v>
      </c>
      <c r="D10" s="41">
        <v>0.389861622746811</v>
      </c>
      <c r="E10" s="38">
        <v>1.1796261708733324</v>
      </c>
    </row>
    <row r="11" spans="1:5" ht="12.75">
      <c r="A11" s="44">
        <v>3</v>
      </c>
      <c r="B11" s="23" t="s">
        <v>35</v>
      </c>
      <c r="C11" s="42">
        <f>(E11*(SUM('Project cost est'!C16:C17)+0.5*'Project cost est'!C18)+D8*D11)*1.15</f>
        <v>90.34485010419635</v>
      </c>
      <c r="D11" s="41">
        <v>0.24587060477047085</v>
      </c>
      <c r="E11" s="38">
        <v>1.1796261708733324</v>
      </c>
    </row>
    <row r="12" spans="1:5" ht="12.75">
      <c r="A12" s="44">
        <v>4</v>
      </c>
      <c r="B12" s="24" t="s">
        <v>32</v>
      </c>
      <c r="C12" s="42">
        <f>E12*SUM('Project cost est'!C23:C25)*1.15</f>
        <v>5.053114192286097</v>
      </c>
      <c r="D12" s="37"/>
      <c r="E12" s="38">
        <v>1.1796261708733324</v>
      </c>
    </row>
    <row r="13" spans="1:5" ht="12.75">
      <c r="A13" s="44">
        <v>5</v>
      </c>
      <c r="B13" s="23" t="s">
        <v>39</v>
      </c>
      <c r="C13" s="42">
        <f>(E13*SUM('Project cost est'!C20:C21)+D8*D13)*1.15</f>
        <v>121.19918322683056</v>
      </c>
      <c r="D13" s="41">
        <v>0.36426777248271813</v>
      </c>
      <c r="E13" s="38">
        <v>1.1796261708733324</v>
      </c>
    </row>
    <row r="14" spans="1:5" ht="12.75">
      <c r="A14" s="44">
        <v>6</v>
      </c>
      <c r="B14" s="24" t="s">
        <v>40</v>
      </c>
      <c r="C14" s="42">
        <f>E14*'Project cost est'!C26*1.15</f>
        <v>6.277372553544602</v>
      </c>
      <c r="D14" s="37"/>
      <c r="E14" s="38">
        <v>1.1796261708733324</v>
      </c>
    </row>
    <row r="15" spans="1:5" ht="12.75">
      <c r="A15" s="45">
        <v>7</v>
      </c>
      <c r="B15" s="23" t="s">
        <v>41</v>
      </c>
      <c r="C15" s="42">
        <f>E15*'Project cost est'!C27*1.15</f>
        <v>9.767304694831193</v>
      </c>
      <c r="D15" s="37"/>
      <c r="E15" s="38">
        <v>1.1796261708733324</v>
      </c>
    </row>
    <row r="16" spans="1:5" ht="12.75">
      <c r="A16" s="45">
        <v>8</v>
      </c>
      <c r="B16" s="23" t="s">
        <v>42</v>
      </c>
      <c r="C16" s="42">
        <f>E16*'Project cost est'!C28*1.15</f>
        <v>3.3914252412608303</v>
      </c>
      <c r="D16" s="37"/>
      <c r="E16" s="38">
        <v>1.1796261708733324</v>
      </c>
    </row>
    <row r="17" spans="1:5" ht="13.5" thickBot="1">
      <c r="A17" s="54"/>
      <c r="B17" s="55"/>
      <c r="C17" s="56"/>
      <c r="D17" s="37"/>
      <c r="E17" s="17"/>
    </row>
    <row r="18" spans="1:5" ht="12.75">
      <c r="A18" s="51"/>
      <c r="B18" s="52" t="s">
        <v>12</v>
      </c>
      <c r="C18" s="53">
        <f>SUM(C3:C17)</f>
        <v>499.83599636749636</v>
      </c>
      <c r="D18" s="37"/>
      <c r="E18" s="17"/>
    </row>
    <row r="19" ht="12.75">
      <c r="A19" s="67" t="s">
        <v>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A1" sqref="A1:J17"/>
    </sheetView>
  </sheetViews>
  <sheetFormatPr defaultColWidth="9.140625" defaultRowHeight="12.75"/>
  <cols>
    <col min="1" max="1" width="5.8515625" style="0" bestFit="1" customWidth="1"/>
    <col min="2" max="2" width="22.28125" style="0" customWidth="1"/>
    <col min="3" max="3" width="9.421875" style="0" customWidth="1"/>
    <col min="4" max="4" width="8.28125" style="0" customWidth="1"/>
    <col min="5" max="5" width="9.421875" style="0" customWidth="1"/>
    <col min="6" max="6" width="8.57421875" style="0" bestFit="1" customWidth="1"/>
    <col min="7" max="7" width="10.421875" style="0" customWidth="1"/>
    <col min="8" max="8" width="11.140625" style="0" customWidth="1"/>
    <col min="9" max="9" width="14.57421875" style="0" customWidth="1"/>
    <col min="10" max="10" width="11.8515625" style="0" customWidth="1"/>
  </cols>
  <sheetData>
    <row r="1" spans="1:10" ht="15">
      <c r="A1" s="30"/>
      <c r="B1" s="19"/>
      <c r="C1" s="96" t="s">
        <v>45</v>
      </c>
      <c r="D1" s="61" t="s">
        <v>36</v>
      </c>
      <c r="E1" s="61" t="s">
        <v>48</v>
      </c>
      <c r="F1" s="62" t="s">
        <v>54</v>
      </c>
      <c r="G1" s="62" t="s">
        <v>58</v>
      </c>
      <c r="H1" s="62" t="s">
        <v>63</v>
      </c>
      <c r="I1" s="91" t="s">
        <v>52</v>
      </c>
      <c r="J1" s="63" t="s">
        <v>50</v>
      </c>
    </row>
    <row r="2" spans="1:10" s="14" customFormat="1" ht="15.75" thickBot="1">
      <c r="A2" s="31" t="s">
        <v>37</v>
      </c>
      <c r="B2" s="29" t="s">
        <v>0</v>
      </c>
      <c r="C2" s="97" t="s">
        <v>46</v>
      </c>
      <c r="D2" s="64" t="s">
        <v>47</v>
      </c>
      <c r="E2" s="64" t="s">
        <v>49</v>
      </c>
      <c r="F2" s="65" t="s">
        <v>36</v>
      </c>
      <c r="G2" s="65" t="s">
        <v>49</v>
      </c>
      <c r="H2" s="65" t="s">
        <v>64</v>
      </c>
      <c r="I2" s="92" t="s">
        <v>53</v>
      </c>
      <c r="J2" s="66" t="s">
        <v>51</v>
      </c>
    </row>
    <row r="3" spans="1:10" ht="12.75">
      <c r="A3" s="32"/>
      <c r="B3" s="70" t="s">
        <v>68</v>
      </c>
      <c r="C3" s="93">
        <f>'Baseline cost est'!C3</f>
        <v>10.3</v>
      </c>
      <c r="D3" s="71">
        <v>10.3</v>
      </c>
      <c r="E3" s="71">
        <v>0</v>
      </c>
      <c r="F3" s="17">
        <f>D3+E3</f>
        <v>10.3</v>
      </c>
      <c r="G3" s="71"/>
      <c r="H3" s="71">
        <v>0</v>
      </c>
      <c r="I3" s="93">
        <f>F3+G3+H3</f>
        <v>10.3</v>
      </c>
      <c r="J3" s="69">
        <v>10.3</v>
      </c>
    </row>
    <row r="4" spans="1:10" ht="12.75">
      <c r="A4" s="33"/>
      <c r="B4" s="74" t="s">
        <v>70</v>
      </c>
      <c r="C4" s="93">
        <f>'Baseline cost est'!C4</f>
        <v>43.774632267739726</v>
      </c>
      <c r="D4" s="17">
        <v>42.5</v>
      </c>
      <c r="E4" s="17">
        <v>0</v>
      </c>
      <c r="F4" s="17">
        <f>D4+E4</f>
        <v>42.5</v>
      </c>
      <c r="G4" s="17"/>
      <c r="H4" s="17">
        <v>0</v>
      </c>
      <c r="I4" s="93">
        <f>F4+G4+H4</f>
        <v>42.5</v>
      </c>
      <c r="J4" s="26">
        <v>5.5</v>
      </c>
    </row>
    <row r="5" spans="1:10" ht="12.75">
      <c r="A5" s="34"/>
      <c r="B5" s="74" t="s">
        <v>38</v>
      </c>
      <c r="C5" s="93">
        <f>'Baseline cost est'!C5</f>
        <v>7.603030410530965</v>
      </c>
      <c r="D5" s="17">
        <v>7.8</v>
      </c>
      <c r="E5" s="17">
        <v>0.4</v>
      </c>
      <c r="F5" s="17">
        <f>D5+E5</f>
        <v>8.2</v>
      </c>
      <c r="G5" s="17"/>
      <c r="H5" s="17">
        <v>0</v>
      </c>
      <c r="I5" s="93">
        <f>F5+G5+H5</f>
        <v>8.2</v>
      </c>
      <c r="J5" s="26">
        <v>4.9</v>
      </c>
    </row>
    <row r="6" spans="1:10" ht="12.75">
      <c r="A6" s="34"/>
      <c r="B6" s="74" t="s">
        <v>44</v>
      </c>
      <c r="C6" s="93">
        <f>'Baseline cost est'!C6</f>
        <v>23.27202022353337</v>
      </c>
      <c r="D6" s="17">
        <v>22.5</v>
      </c>
      <c r="E6" s="17">
        <v>0</v>
      </c>
      <c r="F6" s="17">
        <f>D6+E6</f>
        <v>22.5</v>
      </c>
      <c r="G6" s="17"/>
      <c r="H6" s="17">
        <v>0</v>
      </c>
      <c r="I6" s="93">
        <f>F6+G6+H6</f>
        <v>22.5</v>
      </c>
      <c r="J6" s="26">
        <v>0</v>
      </c>
    </row>
    <row r="7" spans="1:10" ht="12.75">
      <c r="A7" s="77" t="s">
        <v>55</v>
      </c>
      <c r="B7" s="37"/>
      <c r="C7" s="93"/>
      <c r="D7" s="17"/>
      <c r="E7" s="17"/>
      <c r="F7" s="17"/>
      <c r="G7" s="17"/>
      <c r="H7" s="17"/>
      <c r="I7" s="93"/>
      <c r="J7" s="26"/>
    </row>
    <row r="8" spans="1:10" ht="12.75">
      <c r="A8" s="44">
        <v>1</v>
      </c>
      <c r="B8" s="72" t="s">
        <v>61</v>
      </c>
      <c r="C8" s="93">
        <f>'Baseline cost est'!C9</f>
        <v>34.72819447051091</v>
      </c>
      <c r="D8" s="17">
        <v>32.4</v>
      </c>
      <c r="E8" s="17">
        <v>-0.5</v>
      </c>
      <c r="F8" s="17">
        <f aca="true" t="shared" si="0" ref="F8:F15">D8+E8</f>
        <v>31.9</v>
      </c>
      <c r="G8" s="17"/>
      <c r="H8" s="17">
        <v>0</v>
      </c>
      <c r="I8" s="93">
        <f aca="true" t="shared" si="1" ref="I8:I15">F8+G8+H8</f>
        <v>31.9</v>
      </c>
      <c r="J8" s="26">
        <v>0</v>
      </c>
    </row>
    <row r="9" spans="1:10" ht="12.75">
      <c r="A9" s="44">
        <v>2</v>
      </c>
      <c r="B9" s="72" t="s">
        <v>34</v>
      </c>
      <c r="C9" s="93">
        <f>'Baseline cost est'!C10</f>
        <v>144.1248689822318</v>
      </c>
      <c r="D9" s="17">
        <v>148.8</v>
      </c>
      <c r="E9" s="17">
        <v>0</v>
      </c>
      <c r="F9" s="17">
        <f t="shared" si="0"/>
        <v>148.8</v>
      </c>
      <c r="G9" s="17"/>
      <c r="H9" s="17">
        <v>0</v>
      </c>
      <c r="I9" s="93">
        <f t="shared" si="1"/>
        <v>148.8</v>
      </c>
      <c r="J9" s="26">
        <v>5.2</v>
      </c>
    </row>
    <row r="10" spans="1:10" ht="12.75">
      <c r="A10" s="44">
        <v>3</v>
      </c>
      <c r="B10" s="72" t="s">
        <v>35</v>
      </c>
      <c r="C10" s="93">
        <f>'Baseline cost est'!C11</f>
        <v>90.34485010419635</v>
      </c>
      <c r="D10" s="17">
        <v>94.2</v>
      </c>
      <c r="E10" s="17">
        <v>0</v>
      </c>
      <c r="F10" s="17">
        <f t="shared" si="0"/>
        <v>94.2</v>
      </c>
      <c r="G10" s="17"/>
      <c r="H10" s="17">
        <v>0</v>
      </c>
      <c r="I10" s="93">
        <f t="shared" si="1"/>
        <v>94.2</v>
      </c>
      <c r="J10" s="26">
        <v>1.5</v>
      </c>
    </row>
    <row r="11" spans="1:10" ht="12.75">
      <c r="A11" s="44">
        <v>4</v>
      </c>
      <c r="B11" s="73" t="s">
        <v>32</v>
      </c>
      <c r="C11" s="93">
        <f>'Baseline cost est'!C12</f>
        <v>5.053114192286097</v>
      </c>
      <c r="D11" s="17"/>
      <c r="E11" s="17">
        <v>0</v>
      </c>
      <c r="F11" s="17">
        <f t="shared" si="0"/>
        <v>0</v>
      </c>
      <c r="G11" s="17"/>
      <c r="H11" s="17">
        <f>C11</f>
        <v>5.053114192286097</v>
      </c>
      <c r="I11" s="93">
        <f t="shared" si="1"/>
        <v>5.053114192286097</v>
      </c>
      <c r="J11" s="26">
        <v>0</v>
      </c>
    </row>
    <row r="12" spans="1:10" ht="12.75">
      <c r="A12" s="44">
        <v>5</v>
      </c>
      <c r="B12" s="72" t="s">
        <v>39</v>
      </c>
      <c r="C12" s="93">
        <f>'Baseline cost est'!C13</f>
        <v>121.19918322683056</v>
      </c>
      <c r="D12" s="17"/>
      <c r="E12" s="17">
        <v>0</v>
      </c>
      <c r="F12" s="17">
        <f t="shared" si="0"/>
        <v>0</v>
      </c>
      <c r="G12" s="17">
        <v>-2.5</v>
      </c>
      <c r="H12" s="17">
        <f>C12</f>
        <v>121.19918322683056</v>
      </c>
      <c r="I12" s="93">
        <f t="shared" si="1"/>
        <v>118.69918322683056</v>
      </c>
      <c r="J12" s="26">
        <v>0</v>
      </c>
    </row>
    <row r="13" spans="1:10" ht="12.75">
      <c r="A13" s="44">
        <v>6</v>
      </c>
      <c r="B13" s="73" t="s">
        <v>62</v>
      </c>
      <c r="C13" s="93">
        <f>'Baseline cost est'!C14</f>
        <v>6.277372553544602</v>
      </c>
      <c r="D13" s="17"/>
      <c r="E13" s="17">
        <v>0</v>
      </c>
      <c r="F13" s="17">
        <f t="shared" si="0"/>
        <v>0</v>
      </c>
      <c r="G13" s="17"/>
      <c r="H13" s="17">
        <f>C13</f>
        <v>6.277372553544602</v>
      </c>
      <c r="I13" s="93">
        <f t="shared" si="1"/>
        <v>6.277372553544602</v>
      </c>
      <c r="J13" s="26">
        <v>0</v>
      </c>
    </row>
    <row r="14" spans="1:10" ht="12.75">
      <c r="A14" s="45">
        <v>7</v>
      </c>
      <c r="B14" s="72" t="s">
        <v>41</v>
      </c>
      <c r="C14" s="93">
        <f>'Baseline cost est'!C15</f>
        <v>9.767304694831193</v>
      </c>
      <c r="D14" s="17"/>
      <c r="E14" s="17">
        <v>0</v>
      </c>
      <c r="F14" s="17">
        <f t="shared" si="0"/>
        <v>0</v>
      </c>
      <c r="G14" s="17"/>
      <c r="H14" s="17">
        <f>C14</f>
        <v>9.767304694831193</v>
      </c>
      <c r="I14" s="93">
        <f t="shared" si="1"/>
        <v>9.767304694831193</v>
      </c>
      <c r="J14" s="26">
        <v>0</v>
      </c>
    </row>
    <row r="15" spans="1:10" ht="12.75">
      <c r="A15" s="45">
        <v>8</v>
      </c>
      <c r="B15" s="72" t="s">
        <v>42</v>
      </c>
      <c r="C15" s="93">
        <f>'Baseline cost est'!C16</f>
        <v>3.3914252412608303</v>
      </c>
      <c r="D15" s="17"/>
      <c r="E15" s="17">
        <v>0</v>
      </c>
      <c r="F15" s="17">
        <f t="shared" si="0"/>
        <v>0</v>
      </c>
      <c r="G15" s="17">
        <v>-0.2</v>
      </c>
      <c r="H15" s="17">
        <f>C15</f>
        <v>3.3914252412608303</v>
      </c>
      <c r="I15" s="93">
        <f t="shared" si="1"/>
        <v>3.19142524126083</v>
      </c>
      <c r="J15" s="26">
        <v>0</v>
      </c>
    </row>
    <row r="16" spans="1:10" s="14" customFormat="1" ht="13.5" thickBot="1">
      <c r="A16" s="48"/>
      <c r="B16" s="49"/>
      <c r="C16" s="98"/>
      <c r="D16" s="18"/>
      <c r="E16" s="18"/>
      <c r="F16" s="18"/>
      <c r="G16" s="18"/>
      <c r="H16" s="50"/>
      <c r="I16" s="94"/>
      <c r="J16" s="25"/>
    </row>
    <row r="17" spans="1:10" ht="12.75">
      <c r="A17" s="46"/>
      <c r="B17" s="47" t="s">
        <v>12</v>
      </c>
      <c r="C17" s="95">
        <f aca="true" t="shared" si="2" ref="C17:J17">SUM(C3:C16)</f>
        <v>499.83599636749636</v>
      </c>
      <c r="D17" s="75">
        <f t="shared" si="2"/>
        <v>358.5</v>
      </c>
      <c r="E17" s="75">
        <f t="shared" si="2"/>
        <v>-0.09999999999999998</v>
      </c>
      <c r="F17" s="75">
        <f t="shared" si="2"/>
        <v>358.40000000000003</v>
      </c>
      <c r="G17" s="75">
        <f t="shared" si="2"/>
        <v>-2.7</v>
      </c>
      <c r="H17" s="75">
        <f t="shared" si="2"/>
        <v>145.68839990875327</v>
      </c>
      <c r="I17" s="95">
        <f t="shared" si="2"/>
        <v>501.3883999087533</v>
      </c>
      <c r="J17" s="76">
        <f t="shared" si="2"/>
        <v>27.400000000000002</v>
      </c>
    </row>
  </sheetData>
  <printOptions/>
  <pageMargins left="0.75" right="0.75" top="1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Lewis-Workman</dc:creator>
  <cp:keywords/>
  <dc:description/>
  <cp:lastModifiedBy>LewisWorkmanS</cp:lastModifiedBy>
  <cp:lastPrinted>2000-05-19T20:44:01Z</cp:lastPrinted>
  <dcterms:created xsi:type="dcterms:W3CDTF">2000-04-17T18:14:12Z</dcterms:created>
  <dcterms:modified xsi:type="dcterms:W3CDTF">2003-02-21T18:27:19Z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