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225" windowWidth="12120" windowHeight="9090" activeTab="0"/>
  </bookViews>
  <sheets>
    <sheet name="Summary" sheetId="1" r:id="rId1"/>
  </sheets>
  <definedNames>
    <definedName name="_xlnm.Print_Area" localSheetId="0">'Summary'!$A$1:$O$87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<sst xmlns="http://schemas.openxmlformats.org/spreadsheetml/2006/main" count="134" uniqueCount="88">
  <si>
    <t>This program provides health benefits coverage to children living in families</t>
  </si>
  <si>
    <t>whose incomes exceed the eligibility limits for medicaid. Although it is generally</t>
  </si>
  <si>
    <t>targeted to families with incomes at or below 200 percent of the federal poverty</t>
  </si>
  <si>
    <t>level, each state may set its own income eligibility limits, within certain guidelines.</t>
  </si>
  <si>
    <t>States have three options: they may expand their medicaid programs, develop a separate</t>
  </si>
  <si>
    <t>child health program that functions independently of medicaid, or do a combination of both]</t>
  </si>
  <si>
    <t>-</t>
  </si>
  <si>
    <t>Enrollment \1</t>
  </si>
  <si>
    <t>Payments (mil.dol.)</t>
  </si>
  <si>
    <t>State</t>
  </si>
  <si>
    <t>2001(rev.)</t>
  </si>
  <si>
    <t xml:space="preserve">  United States </t>
  </si>
  <si>
    <t xml:space="preserve">5,315 </t>
  </si>
  <si>
    <t xml:space="preserve">4,622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</si>
  <si>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</si>
  <si>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</si>
  <si>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</si>
  <si>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</si>
  <si>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</si>
  <si>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</si>
  <si>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</si>
  <si>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</si>
  <si>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</si>
  <si>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</si>
  <si>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</si>
  <si>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</si>
  <si>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</si>
  <si>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</si>
  <si>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</si>
  <si>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</si>
  <si>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</si>
  <si>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</si>
  <si>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</si>
  <si>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</si>
  <si>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</si>
  <si>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</si>
  <si>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</si>
  <si>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</si>
  <si>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>(Z)</t>
  </si>
  <si>
    <t>(NA)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</si>
  <si>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</si>
  <si>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</si>
  <si>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</si>
  <si>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</si>
  <si>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</si>
  <si>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</si>
  <si>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</si>
  <si>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</si>
  <si>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</si>
  <si>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</si>
  <si>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</si>
  <si>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</si>
  <si>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</si>
  <si>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</si>
  <si>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</si>
  <si>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</si>
  <si>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</si>
  <si>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</si>
  <si>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</si>
  <si>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</si>
  <si>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</si>
  <si>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</si>
  <si>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</si>
  <si>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</si>
  <si>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</si>
  <si>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</si>
  <si>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</si>
  <si>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>----------------------------</t>
  </si>
  <si>
    <t>NA Not Available.</t>
  </si>
  <si>
    <t>Z Less than 500 or $50,000.</t>
  </si>
  <si>
    <t>Source: U.S. Centers for Medicare &amp; Medicaid Services,</t>
  </si>
  <si>
    <t>The State Children's Health Insurance Program, Annual Enrollment Report</t>
  </si>
  <si>
    <t>http://www.cms.hhs.gov/schip</t>
  </si>
  <si>
    <t>FOOTNOTES</t>
  </si>
  <si>
    <t>INTERNET LINK</t>
  </si>
  <si>
    <t>(z)</t>
  </si>
  <si>
    <t xml:space="preserve">\&lt;http://www.cms.hhs.gov/NationalSCHIPPolicy/SCHIPER/list.asp\&gt; and </t>
  </si>
  <si>
    <t>Expenditures \2</t>
  </si>
  <si>
    <t>(millions of dollars)</t>
  </si>
  <si>
    <r>
      <t>Table 140.</t>
    </r>
    <r>
      <rPr>
        <b/>
        <sz val="12"/>
        <rFont val="Courier New"/>
        <family val="3"/>
      </rPr>
      <t xml:space="preserve"> State Children's Health Insurance Program (SCHIP)--Enrollment and </t>
    </r>
  </si>
  <si>
    <t>and the Statement of Expenditures for the State Children's Health Insurance Program Program (CMS-21)</t>
  </si>
  <si>
    <t>and which reconciles any advance of Title XXI federal funds made on the basis of estimates.</t>
  </si>
  <si>
    <t>\&lt;http://www.cms.hhs.gov/medicaid/mbes/default.asp\&gt;.</t>
  </si>
  <si>
    <t>Expenditures by State: 2000 and 2005</t>
  </si>
  <si>
    <t>[In thousands (3,357.4 represents 3,357,400) In millions (1,928.8 represents 1,928,800,000). For year ending September 30</t>
  </si>
  <si>
    <t>\1 Number of children ever enrolled in State Children's Health Insurance Program.</t>
  </si>
  <si>
    <t xml:space="preserve">\2 Expenditures for which States are entitled to federal reimbursement under Title XXI </t>
  </si>
  <si>
    <t>SYMBOLS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</si>
</sst>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#,##0.0"/>
    <numFmt numFmtId="175" formatCode="#,##0.000"/>
    <numFmt numFmtId="176" formatCode="#,##0.000000"/>
    <numFmt numFmtId="177" formatCode="0.00_);\(0.00\)"/>
    <numFmt numFmtId="178" formatCode="0.00000"/>
    <numFmt numFmtId="179" formatCode="0.000"/>
  </numFmts>
  <fonts count="6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fill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right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15" applyNumberFormat="1" applyAlignment="1">
      <alignment/>
    </xf>
    <xf numFmtId="174" fontId="4" fillId="0" borderId="0" xfId="0" applyNumberFormat="1" applyFont="1" applyAlignment="1">
      <alignment/>
    </xf>
    <xf numFmtId="174" fontId="4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fill"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fill"/>
    </xf>
    <xf numFmtId="0" fontId="0" fillId="0" borderId="0" xfId="0" applyFont="1" applyBorder="1" applyAlignment="1">
      <alignment horizontal="fill"/>
    </xf>
    <xf numFmtId="0" fontId="0" fillId="0" borderId="0" xfId="0" applyBorder="1" applyAlignment="1">
      <alignment/>
    </xf>
    <xf numFmtId="175" fontId="0" fillId="0" borderId="0" xfId="0" applyNumberFormat="1" applyAlignment="1">
      <alignment/>
    </xf>
    <xf numFmtId="174" fontId="0" fillId="0" borderId="2" xfId="0" applyNumberFormat="1" applyBorder="1" applyAlignment="1">
      <alignment/>
    </xf>
    <xf numFmtId="174" fontId="0" fillId="0" borderId="2" xfId="0" applyNumberFormat="1" applyFont="1" applyBorder="1" applyAlignment="1">
      <alignment horizontal="right"/>
    </xf>
    <xf numFmtId="0" fontId="0" fillId="0" borderId="1" xfId="0" applyBorder="1" applyAlignment="1">
      <alignment/>
    </xf>
    <xf numFmtId="174" fontId="0" fillId="0" borderId="0" xfId="0" applyNumberFormat="1" applyAlignment="1">
      <alignment/>
    </xf>
    <xf numFmtId="174" fontId="4" fillId="0" borderId="0" xfId="0" applyNumberFormat="1" applyFont="1" applyBorder="1" applyAlignment="1">
      <alignment/>
    </xf>
    <xf numFmtId="174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Font="1" applyBorder="1" applyAlignment="1">
      <alignment horizontal="right"/>
    </xf>
    <xf numFmtId="174" fontId="0" fillId="0" borderId="0" xfId="0" applyNumberFormat="1" applyFont="1" applyAlignment="1">
      <alignment horizontal="right"/>
    </xf>
    <xf numFmtId="174" fontId="0" fillId="0" borderId="0" xfId="0" applyNumberFormat="1" applyAlignment="1">
      <alignment horizontal="right"/>
    </xf>
    <xf numFmtId="174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174" fontId="0" fillId="0" borderId="1" xfId="0" applyNumberFormat="1" applyBorder="1" applyAlignment="1">
      <alignment/>
    </xf>
    <xf numFmtId="174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174" fontId="0" fillId="0" borderId="0" xfId="0" applyNumberFormat="1" applyAlignment="1" quotePrefix="1">
      <alignment horizontal="right"/>
    </xf>
    <xf numFmtId="174" fontId="0" fillId="0" borderId="0" xfId="0" applyNumberFormat="1" applyFont="1" applyBorder="1" applyAlignment="1">
      <alignment horizontal="right"/>
    </xf>
    <xf numFmtId="174" fontId="0" fillId="0" borderId="0" xfId="0" applyNumberFormat="1" applyFill="1" applyBorder="1" applyAlignment="1">
      <alignment/>
    </xf>
    <xf numFmtId="174" fontId="4" fillId="0" borderId="0" xfId="0" applyNumberFormat="1" applyFont="1" applyBorder="1" applyAlignment="1">
      <alignment horizontal="right"/>
    </xf>
    <xf numFmtId="174" fontId="0" fillId="0" borderId="0" xfId="0" applyNumberFormat="1" applyBorder="1" applyAlignment="1">
      <alignment horizontal="right"/>
    </xf>
    <xf numFmtId="174" fontId="0" fillId="0" borderId="0" xfId="0" applyNumberFormat="1" applyBorder="1" applyAlignment="1" quotePrefix="1">
      <alignment horizontal="right"/>
    </xf>
    <xf numFmtId="174" fontId="0" fillId="0" borderId="0" xfId="0" applyNumberFormat="1" applyFill="1" applyBorder="1" applyAlignment="1">
      <alignment horizontal="right"/>
    </xf>
    <xf numFmtId="174" fontId="0" fillId="0" borderId="1" xfId="0" applyNumberFormat="1" applyFill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1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7" fontId="0" fillId="0" borderId="1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175" fontId="0" fillId="0" borderId="0" xfId="0" applyNumberFormat="1" applyFont="1" applyBorder="1" applyAlignment="1">
      <alignment horizontal="fill"/>
    </xf>
    <xf numFmtId="0" fontId="0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6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174" fontId="4" fillId="0" borderId="0" xfId="0" applyNumberFormat="1" applyFont="1" applyBorder="1" applyAlignment="1">
      <alignment/>
    </xf>
    <xf numFmtId="174" fontId="0" fillId="0" borderId="0" xfId="0" applyNumberFormat="1" applyBorder="1" applyAlignment="1">
      <alignment/>
    </xf>
    <xf numFmtId="0" fontId="4" fillId="0" borderId="6" xfId="0" applyFont="1" applyBorder="1" applyAlignment="1">
      <alignment horizontal="right"/>
    </xf>
    <xf numFmtId="0" fontId="0" fillId="0" borderId="7" xfId="0" applyFont="1" applyBorder="1" applyAlignment="1">
      <alignment/>
    </xf>
    <xf numFmtId="37" fontId="0" fillId="0" borderId="3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0" fillId="0" borderId="7" xfId="0" applyBorder="1" applyAlignment="1">
      <alignment/>
    </xf>
    <xf numFmtId="174" fontId="4" fillId="0" borderId="2" xfId="0" applyNumberFormat="1" applyFont="1" applyBorder="1" applyAlignment="1">
      <alignment/>
    </xf>
    <xf numFmtId="174" fontId="0" fillId="0" borderId="2" xfId="0" applyNumberFormat="1" applyBorder="1" applyAlignment="1">
      <alignment horizontal="right"/>
    </xf>
    <xf numFmtId="174" fontId="0" fillId="0" borderId="3" xfId="0" applyNumberFormat="1" applyBorder="1" applyAlignment="1">
      <alignment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ms.hhs.gov/schi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87"/>
  <sheetViews>
    <sheetView showGridLines="0" tabSelected="1" showOutlineSymbols="0" workbookViewId="0" topLeftCell="A1">
      <selection activeCell="A1" sqref="A1"/>
    </sheetView>
  </sheetViews>
  <sheetFormatPr defaultColWidth="8.796875" defaultRowHeight="15.75"/>
  <cols>
    <col min="1" max="1" width="23.5" style="0" customWidth="1"/>
    <col min="2" max="2" width="15.69921875" style="0" customWidth="1"/>
    <col min="3" max="5" width="14.69921875" style="0" customWidth="1"/>
    <col min="6" max="6" width="14" style="0" bestFit="1" customWidth="1"/>
    <col min="7" max="7" width="15.69921875" style="0" customWidth="1"/>
    <col min="8" max="8" width="16.69921875" style="0" customWidth="1"/>
    <col min="9" max="11" width="12.69921875" style="0" customWidth="1"/>
    <col min="12" max="12" width="11.796875" style="0" customWidth="1"/>
    <col min="13" max="13" width="16.69921875" style="0" customWidth="1"/>
    <col min="14" max="14" width="9.69921875" style="0" customWidth="1"/>
    <col min="15" max="15" width="12.3984375" style="0" customWidth="1"/>
    <col min="16" max="19" width="9.69921875" style="0" customWidth="1"/>
    <col min="38" max="16384" width="9.69921875" style="0" customWidth="1"/>
  </cols>
  <sheetData>
    <row r="2" ht="16.5">
      <c r="A2" s="57" t="s">
        <v>79</v>
      </c>
    </row>
    <row r="3" ht="16.5">
      <c r="A3" s="9" t="s">
        <v>83</v>
      </c>
    </row>
    <row r="5" ht="16.5">
      <c r="A5" s="9" t="s">
        <v>84</v>
      </c>
    </row>
    <row r="6" ht="15.75">
      <c r="A6" s="2" t="s">
        <v>0</v>
      </c>
    </row>
    <row r="7" ht="15.75">
      <c r="A7" s="2" t="s">
        <v>1</v>
      </c>
    </row>
    <row r="8" ht="15.75">
      <c r="A8" s="2" t="s">
        <v>2</v>
      </c>
    </row>
    <row r="9" ht="15.75">
      <c r="A9" s="2" t="s">
        <v>3</v>
      </c>
    </row>
    <row r="10" ht="16.5" customHeight="1">
      <c r="A10" s="2" t="s">
        <v>4</v>
      </c>
    </row>
    <row r="11" ht="15.75">
      <c r="A11" s="2" t="s">
        <v>5</v>
      </c>
    </row>
    <row r="12" spans="1:31" ht="15.75">
      <c r="A12" s="21"/>
      <c r="B12" s="17"/>
      <c r="C12" s="30"/>
      <c r="D12" s="30"/>
      <c r="E12" s="30"/>
      <c r="F12" s="44"/>
      <c r="G12" s="35"/>
      <c r="H12" s="17"/>
      <c r="I12" s="30"/>
      <c r="J12" s="30"/>
      <c r="K12" s="30"/>
      <c r="L12" s="21"/>
      <c r="M12" s="21"/>
      <c r="X12" s="2" t="s">
        <v>7</v>
      </c>
      <c r="Y12" s="2" t="s">
        <v>7</v>
      </c>
      <c r="Z12" s="2" t="s">
        <v>7</v>
      </c>
      <c r="AE12" s="2" t="s">
        <v>8</v>
      </c>
    </row>
    <row r="13" spans="2:26" ht="15.75">
      <c r="B13" s="64"/>
      <c r="C13" s="46"/>
      <c r="D13" s="46" t="s">
        <v>7</v>
      </c>
      <c r="E13" s="46"/>
      <c r="F13" s="59" t="s">
        <v>7</v>
      </c>
      <c r="G13" s="47"/>
      <c r="H13" s="64"/>
      <c r="I13" s="47"/>
      <c r="J13" s="47"/>
      <c r="K13" s="53" t="s">
        <v>77</v>
      </c>
      <c r="L13" s="47"/>
      <c r="M13" s="44"/>
      <c r="X13" s="7">
        <v>-1000</v>
      </c>
      <c r="Y13" s="7">
        <v>-1000</v>
      </c>
      <c r="Z13" s="7">
        <v>-1000</v>
      </c>
    </row>
    <row r="14" spans="1:36" ht="15.75">
      <c r="A14" s="4" t="s">
        <v>9</v>
      </c>
      <c r="B14" s="65"/>
      <c r="C14" s="48"/>
      <c r="D14" s="48">
        <v>-1000</v>
      </c>
      <c r="E14" s="48"/>
      <c r="F14" s="55">
        <v>-1000</v>
      </c>
      <c r="G14" s="49"/>
      <c r="H14" s="14"/>
      <c r="I14" s="21"/>
      <c r="J14" s="50"/>
      <c r="K14" s="54" t="s">
        <v>78</v>
      </c>
      <c r="L14" s="17"/>
      <c r="M14" s="21"/>
      <c r="T14">
        <v>1999</v>
      </c>
      <c r="U14">
        <v>2000</v>
      </c>
      <c r="V14">
        <v>2001</v>
      </c>
      <c r="W14" s="3" t="s">
        <v>6</v>
      </c>
      <c r="X14" s="3" t="s">
        <v>6</v>
      </c>
      <c r="Y14" s="3" t="s">
        <v>6</v>
      </c>
      <c r="Z14" s="3" t="s">
        <v>6</v>
      </c>
      <c r="AA14" s="3" t="s">
        <v>6</v>
      </c>
      <c r="AC14" s="3" t="s">
        <v>6</v>
      </c>
      <c r="AE14" s="3" t="s">
        <v>6</v>
      </c>
      <c r="AG14" s="3" t="s">
        <v>6</v>
      </c>
      <c r="AJ14" s="6"/>
    </row>
    <row r="15" spans="2:33" ht="16.5">
      <c r="B15" s="66">
        <v>2000</v>
      </c>
      <c r="C15" s="45">
        <v>2001</v>
      </c>
      <c r="D15" s="45">
        <v>2002</v>
      </c>
      <c r="E15" s="45">
        <v>2003</v>
      </c>
      <c r="F15" s="60">
        <v>2004</v>
      </c>
      <c r="G15" s="32">
        <v>2005</v>
      </c>
      <c r="H15" s="31">
        <v>2000</v>
      </c>
      <c r="I15" s="32">
        <v>2001</v>
      </c>
      <c r="J15" s="32">
        <v>2002</v>
      </c>
      <c r="K15" s="32">
        <v>2003</v>
      </c>
      <c r="L15" s="63">
        <v>2004</v>
      </c>
      <c r="M15" s="32">
        <v>2005</v>
      </c>
      <c r="W15">
        <v>1999</v>
      </c>
      <c r="X15">
        <v>2000</v>
      </c>
      <c r="Y15" s="2" t="s">
        <v>10</v>
      </c>
      <c r="Z15">
        <v>2002</v>
      </c>
      <c r="AA15">
        <v>1999</v>
      </c>
      <c r="AC15">
        <v>2000</v>
      </c>
      <c r="AE15">
        <v>2001</v>
      </c>
      <c r="AG15">
        <v>2002</v>
      </c>
    </row>
    <row r="16" spans="2:13" ht="15.75">
      <c r="B16" s="67"/>
      <c r="C16" s="17"/>
      <c r="F16" s="17"/>
      <c r="G16" s="17"/>
      <c r="H16" s="14"/>
      <c r="I16" s="17"/>
      <c r="L16" s="58"/>
      <c r="M16" s="51"/>
    </row>
    <row r="17" spans="1:33" ht="15.75">
      <c r="A17" s="13"/>
      <c r="B17" s="15"/>
      <c r="C17" s="13"/>
      <c r="D17" s="13"/>
      <c r="E17" s="13"/>
      <c r="F17" s="13"/>
      <c r="G17" s="13"/>
      <c r="H17" s="15"/>
      <c r="I17" s="13"/>
      <c r="J17" s="13"/>
      <c r="K17" s="13"/>
      <c r="L17" s="21"/>
      <c r="M17" s="52"/>
      <c r="T17" s="3" t="s">
        <v>6</v>
      </c>
      <c r="U17" s="3" t="s">
        <v>6</v>
      </c>
      <c r="V17" s="3" t="s">
        <v>6</v>
      </c>
      <c r="W17" s="3" t="s">
        <v>6</v>
      </c>
      <c r="X17" s="3" t="s">
        <v>6</v>
      </c>
      <c r="Y17" s="3" t="s">
        <v>6</v>
      </c>
      <c r="Z17" s="3" t="s">
        <v>6</v>
      </c>
      <c r="AA17" s="3" t="s">
        <v>6</v>
      </c>
      <c r="AC17" s="3" t="s">
        <v>6</v>
      </c>
      <c r="AE17" s="3" t="s">
        <v>6</v>
      </c>
      <c r="AG17" s="3" t="s">
        <v>6</v>
      </c>
    </row>
    <row r="18" spans="1:39" ht="16.5">
      <c r="A18" s="9" t="s">
        <v>11</v>
      </c>
      <c r="B18" s="68">
        <v>3357.417</v>
      </c>
      <c r="C18" s="23">
        <v>4597.535</v>
      </c>
      <c r="D18" s="12">
        <v>5353.84</v>
      </c>
      <c r="E18" s="12">
        <v>5984.772</v>
      </c>
      <c r="F18" s="39">
        <v>6102.784</v>
      </c>
      <c r="G18" s="39">
        <v>6000.117</v>
      </c>
      <c r="H18" s="68">
        <v>1928.8</v>
      </c>
      <c r="I18" s="23">
        <v>2671.629729</v>
      </c>
      <c r="J18" s="11">
        <v>3776.2</v>
      </c>
      <c r="K18" s="12">
        <v>4276.446614</v>
      </c>
      <c r="L18" s="61">
        <v>4603.731722</v>
      </c>
      <c r="M18" s="11">
        <v>5044.839839</v>
      </c>
      <c r="N18" s="18"/>
      <c r="O18" s="18"/>
      <c r="T18" s="7">
        <v>1959.33</v>
      </c>
      <c r="U18" s="7">
        <v>3333.879</v>
      </c>
      <c r="V18" s="7">
        <v>4601.098</v>
      </c>
      <c r="W18" s="7">
        <v>1959.33</v>
      </c>
      <c r="X18" s="7">
        <v>3333.879</v>
      </c>
      <c r="Y18" s="5" t="s">
        <v>13</v>
      </c>
      <c r="Z18" s="5" t="s">
        <v>12</v>
      </c>
      <c r="AA18" s="7">
        <v>921779016</v>
      </c>
      <c r="AB18" s="7">
        <f>AA18/1000</f>
        <v>921779.016</v>
      </c>
      <c r="AC18" s="7">
        <v>1928813382</v>
      </c>
      <c r="AD18" s="7">
        <f>AC18/1000</f>
        <v>1928813.382</v>
      </c>
      <c r="AE18" s="7">
        <v>2671629529</v>
      </c>
      <c r="AF18" s="7">
        <f>AE18/1000</f>
        <v>2671629.529</v>
      </c>
      <c r="AG18" s="7">
        <v>3776225221</v>
      </c>
      <c r="AH18" s="7">
        <f>AG18/1000000</f>
        <v>3776.225221</v>
      </c>
      <c r="AI18" s="7">
        <f>AG18/1000</f>
        <v>3776225.221</v>
      </c>
      <c r="AJ18" s="8">
        <f>AH18/1000</f>
        <v>3.7762252210000002</v>
      </c>
      <c r="AK18" s="7"/>
      <c r="AL18" s="7"/>
      <c r="AM18" s="7"/>
    </row>
    <row r="19" spans="2:36" ht="15.75">
      <c r="B19" s="19"/>
      <c r="C19" s="24"/>
      <c r="D19" s="22"/>
      <c r="E19" s="22"/>
      <c r="F19" s="40"/>
      <c r="G19" s="40"/>
      <c r="H19" s="19"/>
      <c r="I19" s="24"/>
      <c r="J19" s="25"/>
      <c r="K19" s="25"/>
      <c r="L19" s="62"/>
      <c r="M19" s="22"/>
      <c r="N19" s="18"/>
      <c r="O19" s="18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J19" s="7"/>
    </row>
    <row r="20" spans="1:36" ht="15.75">
      <c r="A20" s="2" t="s">
        <v>14</v>
      </c>
      <c r="B20" s="19">
        <v>37.587</v>
      </c>
      <c r="C20" s="24">
        <v>68.179</v>
      </c>
      <c r="D20" s="22">
        <v>83.359</v>
      </c>
      <c r="E20" s="22">
        <v>78.554</v>
      </c>
      <c r="F20" s="40">
        <v>79.407</v>
      </c>
      <c r="G20" s="40">
        <v>81.856</v>
      </c>
      <c r="H20" s="19">
        <v>31.947563</v>
      </c>
      <c r="I20" s="24">
        <v>41.648444</v>
      </c>
      <c r="J20" s="22">
        <v>54.993821</v>
      </c>
      <c r="K20" s="25">
        <v>71.318316</v>
      </c>
      <c r="L20" s="62">
        <v>72.822217</v>
      </c>
      <c r="M20" s="22">
        <v>80.15735</v>
      </c>
      <c r="N20" s="18"/>
      <c r="O20" s="18"/>
      <c r="T20" s="7">
        <v>38.98</v>
      </c>
      <c r="U20" s="7">
        <v>37.587</v>
      </c>
      <c r="V20" s="7">
        <v>68.179</v>
      </c>
      <c r="W20" s="7">
        <v>38.98</v>
      </c>
      <c r="X20" s="7">
        <v>37.587</v>
      </c>
      <c r="Y20" s="7">
        <f>68</f>
        <v>68</v>
      </c>
      <c r="Z20" s="7">
        <f>83</f>
        <v>83</v>
      </c>
      <c r="AA20" s="7">
        <v>22930303</v>
      </c>
      <c r="AB20" s="7">
        <f aca="true" t="shared" si="0" ref="AB20:AB51">AA20/1000</f>
        <v>22930.303</v>
      </c>
      <c r="AC20" s="7">
        <v>31947563</v>
      </c>
      <c r="AD20" s="7">
        <f aca="true" t="shared" si="1" ref="AD20:AD51">AC20/1000</f>
        <v>31947.563</v>
      </c>
      <c r="AE20" s="7">
        <v>41648444</v>
      </c>
      <c r="AF20" s="7">
        <f aca="true" t="shared" si="2" ref="AF20:AF51">AE20/1000</f>
        <v>41648.444</v>
      </c>
      <c r="AG20" s="7">
        <v>54993821</v>
      </c>
      <c r="AH20" s="7">
        <f aca="true" t="shared" si="3" ref="AH20:AH51">AG20/1000000</f>
        <v>54.993821</v>
      </c>
      <c r="AI20" s="7">
        <f aca="true" t="shared" si="4" ref="AI20:AI51">AG20/1000</f>
        <v>54993.821</v>
      </c>
      <c r="AJ20" s="7"/>
    </row>
    <row r="21" spans="1:36" ht="15.75">
      <c r="A21" s="2" t="s">
        <v>15</v>
      </c>
      <c r="B21" s="19">
        <v>13.413</v>
      </c>
      <c r="C21" s="24">
        <v>21.831</v>
      </c>
      <c r="D21" s="22">
        <v>22.306</v>
      </c>
      <c r="E21" s="22">
        <v>22.934</v>
      </c>
      <c r="F21" s="40">
        <v>21.966</v>
      </c>
      <c r="G21" s="40">
        <v>22.281</v>
      </c>
      <c r="H21" s="19">
        <v>18.088537</v>
      </c>
      <c r="I21" s="24">
        <v>23.575989</v>
      </c>
      <c r="J21" s="22">
        <v>21.011515</v>
      </c>
      <c r="K21" s="25">
        <v>23.96153</v>
      </c>
      <c r="L21" s="62">
        <v>19.434518</v>
      </c>
      <c r="M21" s="22">
        <v>24.414282</v>
      </c>
      <c r="N21" s="18"/>
      <c r="O21" s="18"/>
      <c r="T21" s="7">
        <v>8.033</v>
      </c>
      <c r="U21" s="7">
        <v>13.413</v>
      </c>
      <c r="V21" s="7">
        <v>21.831</v>
      </c>
      <c r="W21" s="7">
        <v>8.033</v>
      </c>
      <c r="X21" s="7">
        <v>13.413</v>
      </c>
      <c r="Y21" s="7">
        <f>22</f>
        <v>22</v>
      </c>
      <c r="Z21" s="7">
        <f>22</f>
        <v>22</v>
      </c>
      <c r="AA21" s="7">
        <v>3806310</v>
      </c>
      <c r="AB21" s="7">
        <f t="shared" si="0"/>
        <v>3806.31</v>
      </c>
      <c r="AC21" s="7">
        <v>18088537</v>
      </c>
      <c r="AD21" s="7">
        <f t="shared" si="1"/>
        <v>18088.537</v>
      </c>
      <c r="AE21" s="7">
        <v>23575989</v>
      </c>
      <c r="AF21" s="7">
        <f t="shared" si="2"/>
        <v>23575.989</v>
      </c>
      <c r="AG21" s="7">
        <v>21011515</v>
      </c>
      <c r="AH21" s="7">
        <f t="shared" si="3"/>
        <v>21.011515</v>
      </c>
      <c r="AI21" s="7">
        <f t="shared" si="4"/>
        <v>21011.515</v>
      </c>
      <c r="AJ21" s="7"/>
    </row>
    <row r="22" spans="1:36" ht="15.75">
      <c r="A22" s="2" t="s">
        <v>16</v>
      </c>
      <c r="B22" s="19">
        <v>59.601</v>
      </c>
      <c r="C22" s="24">
        <v>86.863</v>
      </c>
      <c r="D22" s="22">
        <v>92.673</v>
      </c>
      <c r="E22" s="22">
        <v>90.468</v>
      </c>
      <c r="F22" s="41">
        <v>87.681</v>
      </c>
      <c r="G22" s="41">
        <v>88.005</v>
      </c>
      <c r="H22" s="19">
        <v>29.405604</v>
      </c>
      <c r="I22" s="24">
        <v>47.987128</v>
      </c>
      <c r="J22" s="22">
        <v>126.775764</v>
      </c>
      <c r="K22" s="25">
        <v>186.652834</v>
      </c>
      <c r="L22" s="62">
        <v>258.900578</v>
      </c>
      <c r="M22" s="22">
        <v>198.024238</v>
      </c>
      <c r="N22" s="18"/>
      <c r="O22" s="18"/>
      <c r="T22" s="7">
        <v>26.807</v>
      </c>
      <c r="U22" s="7">
        <v>60.803</v>
      </c>
      <c r="V22" s="7">
        <v>86.863</v>
      </c>
      <c r="W22" s="7">
        <v>26.807</v>
      </c>
      <c r="X22" s="7">
        <v>60.803</v>
      </c>
      <c r="Y22" s="7">
        <f>87</f>
        <v>87</v>
      </c>
      <c r="Z22" s="7">
        <f>93</f>
        <v>93</v>
      </c>
      <c r="AA22" s="7">
        <v>8836785</v>
      </c>
      <c r="AB22" s="7">
        <f t="shared" si="0"/>
        <v>8836.785</v>
      </c>
      <c r="AC22" s="7">
        <v>29405604</v>
      </c>
      <c r="AD22" s="7">
        <f t="shared" si="1"/>
        <v>29405.604</v>
      </c>
      <c r="AE22" s="7">
        <v>47987128</v>
      </c>
      <c r="AF22" s="7">
        <f t="shared" si="2"/>
        <v>47987.128</v>
      </c>
      <c r="AG22" s="7">
        <v>126775764</v>
      </c>
      <c r="AH22" s="7">
        <f t="shared" si="3"/>
        <v>126.775764</v>
      </c>
      <c r="AI22" s="7">
        <f t="shared" si="4"/>
        <v>126775.764</v>
      </c>
      <c r="AJ22" s="7"/>
    </row>
    <row r="23" spans="1:36" ht="15.75">
      <c r="A23" s="2" t="s">
        <v>17</v>
      </c>
      <c r="B23" s="19">
        <v>1.892</v>
      </c>
      <c r="C23" s="24">
        <v>2.884</v>
      </c>
      <c r="D23" s="22">
        <v>1.912</v>
      </c>
      <c r="E23" s="36" t="s">
        <v>39</v>
      </c>
      <c r="F23" s="40">
        <v>0.799</v>
      </c>
      <c r="G23" s="40">
        <v>1.214</v>
      </c>
      <c r="H23" s="19">
        <v>1.522657</v>
      </c>
      <c r="I23" s="24">
        <v>2.466751</v>
      </c>
      <c r="J23" s="22">
        <v>1.54398</v>
      </c>
      <c r="K23" s="25">
        <v>32.688081</v>
      </c>
      <c r="L23" s="62">
        <v>28.522019</v>
      </c>
      <c r="M23" s="22">
        <v>63.042029</v>
      </c>
      <c r="N23" s="18"/>
      <c r="O23" s="18"/>
      <c r="T23" s="7">
        <v>0.913</v>
      </c>
      <c r="U23" s="7">
        <v>1.892</v>
      </c>
      <c r="V23" s="7">
        <v>2.884</v>
      </c>
      <c r="W23" s="7">
        <v>0.913</v>
      </c>
      <c r="X23" s="7">
        <v>1.892</v>
      </c>
      <c r="Y23" s="7">
        <f>3</f>
        <v>3</v>
      </c>
      <c r="Z23" s="7">
        <f>2</f>
        <v>2</v>
      </c>
      <c r="AA23" s="7">
        <v>680106</v>
      </c>
      <c r="AB23" s="7">
        <f t="shared" si="0"/>
        <v>680.106</v>
      </c>
      <c r="AC23" s="7">
        <v>1522657</v>
      </c>
      <c r="AD23" s="7">
        <f t="shared" si="1"/>
        <v>1522.657</v>
      </c>
      <c r="AE23" s="7">
        <v>2466751</v>
      </c>
      <c r="AF23" s="7">
        <f t="shared" si="2"/>
        <v>2466.751</v>
      </c>
      <c r="AG23" s="7">
        <v>1543980</v>
      </c>
      <c r="AH23" s="7">
        <f t="shared" si="3"/>
        <v>1.54398</v>
      </c>
      <c r="AI23" s="7">
        <f t="shared" si="4"/>
        <v>1543.98</v>
      </c>
      <c r="AJ23" s="7"/>
    </row>
    <row r="24" spans="1:36" ht="15.75">
      <c r="A24" s="2" t="s">
        <v>18</v>
      </c>
      <c r="B24" s="19">
        <v>484.359</v>
      </c>
      <c r="C24" s="24">
        <v>697.306</v>
      </c>
      <c r="D24" s="22">
        <v>861.445</v>
      </c>
      <c r="E24" s="22">
        <v>955.152</v>
      </c>
      <c r="F24" s="40">
        <v>1035.752</v>
      </c>
      <c r="G24" s="40">
        <v>1109.615</v>
      </c>
      <c r="H24" s="19">
        <v>187.278988</v>
      </c>
      <c r="I24" s="24">
        <v>311.456793</v>
      </c>
      <c r="J24" s="22">
        <v>454.189935</v>
      </c>
      <c r="K24" s="25">
        <v>565.02149</v>
      </c>
      <c r="L24" s="62">
        <v>661.557375</v>
      </c>
      <c r="M24" s="22">
        <v>760.019025</v>
      </c>
      <c r="N24" s="18"/>
      <c r="O24" s="18"/>
      <c r="T24" s="7">
        <v>222.351</v>
      </c>
      <c r="U24" s="7">
        <v>477.615</v>
      </c>
      <c r="V24" s="7">
        <v>693.048</v>
      </c>
      <c r="W24" s="7">
        <v>222.351</v>
      </c>
      <c r="X24" s="7">
        <v>477.615</v>
      </c>
      <c r="Y24" s="7">
        <f>697</f>
        <v>697</v>
      </c>
      <c r="Z24" s="7">
        <f>857</f>
        <v>857</v>
      </c>
      <c r="AA24" s="7">
        <v>67747222</v>
      </c>
      <c r="AB24" s="7">
        <f t="shared" si="0"/>
        <v>67747.222</v>
      </c>
      <c r="AC24" s="7">
        <v>187278988</v>
      </c>
      <c r="AD24" s="7">
        <f t="shared" si="1"/>
        <v>187278.988</v>
      </c>
      <c r="AE24" s="7">
        <v>311456793</v>
      </c>
      <c r="AF24" s="7">
        <f t="shared" si="2"/>
        <v>311456.793</v>
      </c>
      <c r="AG24" s="7">
        <v>454189935</v>
      </c>
      <c r="AH24" s="7">
        <f t="shared" si="3"/>
        <v>454.189935</v>
      </c>
      <c r="AI24" s="7">
        <f t="shared" si="4"/>
        <v>454189.935</v>
      </c>
      <c r="AJ24" s="7"/>
    </row>
    <row r="25" spans="1:36" ht="15.75">
      <c r="A25" s="2" t="s">
        <v>19</v>
      </c>
      <c r="B25" s="19">
        <v>34.889</v>
      </c>
      <c r="C25" s="24">
        <v>45.773</v>
      </c>
      <c r="D25" s="22">
        <v>51.826</v>
      </c>
      <c r="E25" s="22">
        <v>74.144</v>
      </c>
      <c r="F25" s="40">
        <v>57.244</v>
      </c>
      <c r="G25" s="40">
        <v>59.53</v>
      </c>
      <c r="H25" s="19">
        <v>13.918266</v>
      </c>
      <c r="I25" s="24">
        <v>20.942996</v>
      </c>
      <c r="J25" s="22">
        <v>31.181315</v>
      </c>
      <c r="K25" s="25">
        <v>40.597737</v>
      </c>
      <c r="L25" s="62">
        <v>37.627909</v>
      </c>
      <c r="M25" s="22">
        <v>38.67468</v>
      </c>
      <c r="N25" s="18"/>
      <c r="O25" s="18"/>
      <c r="T25" s="7">
        <v>24.116</v>
      </c>
      <c r="U25" s="7">
        <v>34.889</v>
      </c>
      <c r="V25" s="7">
        <v>45.773</v>
      </c>
      <c r="W25" s="7">
        <v>24.116</v>
      </c>
      <c r="X25" s="7">
        <v>34.889</v>
      </c>
      <c r="Y25" s="7">
        <f>46</f>
        <v>46</v>
      </c>
      <c r="Z25" s="7">
        <f>52</f>
        <v>52</v>
      </c>
      <c r="AA25" s="7">
        <v>9036470</v>
      </c>
      <c r="AB25" s="7">
        <f t="shared" si="0"/>
        <v>9036.47</v>
      </c>
      <c r="AC25" s="7">
        <v>13918266</v>
      </c>
      <c r="AD25" s="7">
        <f t="shared" si="1"/>
        <v>13918.266</v>
      </c>
      <c r="AE25" s="7">
        <v>20942996</v>
      </c>
      <c r="AF25" s="7">
        <f t="shared" si="2"/>
        <v>20942.996</v>
      </c>
      <c r="AG25" s="7">
        <v>31181315</v>
      </c>
      <c r="AH25" s="7">
        <f t="shared" si="3"/>
        <v>31.181315</v>
      </c>
      <c r="AI25" s="7">
        <f t="shared" si="4"/>
        <v>31181.315</v>
      </c>
      <c r="AJ25" s="7"/>
    </row>
    <row r="26" spans="1:36" ht="15.75">
      <c r="A26" s="2" t="s">
        <v>20</v>
      </c>
      <c r="B26" s="19">
        <v>19.925</v>
      </c>
      <c r="C26" s="24">
        <v>18.632</v>
      </c>
      <c r="D26" s="22">
        <v>20.5</v>
      </c>
      <c r="E26" s="22">
        <v>20.971</v>
      </c>
      <c r="F26" s="40">
        <v>21.438</v>
      </c>
      <c r="G26" s="40">
        <v>22.289</v>
      </c>
      <c r="H26" s="19">
        <v>12.761105</v>
      </c>
      <c r="I26" s="24">
        <v>13.17969</v>
      </c>
      <c r="J26" s="22">
        <v>16.168059</v>
      </c>
      <c r="K26" s="25">
        <v>17.392563</v>
      </c>
      <c r="L26" s="62">
        <v>17.171047</v>
      </c>
      <c r="M26" s="22">
        <v>20.519729</v>
      </c>
      <c r="N26" s="18"/>
      <c r="O26" s="18"/>
      <c r="T26" s="7">
        <v>9.912</v>
      </c>
      <c r="U26" s="7">
        <v>18.804</v>
      </c>
      <c r="V26" s="7">
        <v>18.72</v>
      </c>
      <c r="W26" s="7">
        <v>9.912</v>
      </c>
      <c r="X26" s="7">
        <v>18.804</v>
      </c>
      <c r="Y26" s="7">
        <f>19</f>
        <v>19</v>
      </c>
      <c r="Z26" s="7">
        <f>21</f>
        <v>21</v>
      </c>
      <c r="AA26" s="7">
        <v>12301470</v>
      </c>
      <c r="AB26" s="7">
        <f t="shared" si="0"/>
        <v>12301.47</v>
      </c>
      <c r="AC26" s="7">
        <v>12761105</v>
      </c>
      <c r="AD26" s="7">
        <f t="shared" si="1"/>
        <v>12761.105</v>
      </c>
      <c r="AE26" s="7">
        <v>13179690</v>
      </c>
      <c r="AF26" s="7">
        <f t="shared" si="2"/>
        <v>13179.69</v>
      </c>
      <c r="AG26" s="7">
        <v>16168059</v>
      </c>
      <c r="AH26" s="7">
        <f t="shared" si="3"/>
        <v>16.168059</v>
      </c>
      <c r="AI26" s="7">
        <f t="shared" si="4"/>
        <v>16168.059</v>
      </c>
      <c r="AJ26" s="7"/>
    </row>
    <row r="27" spans="1:36" ht="15.75">
      <c r="A27" s="2" t="s">
        <v>21</v>
      </c>
      <c r="B27" s="19">
        <v>4.474</v>
      </c>
      <c r="C27" s="24">
        <v>5.567</v>
      </c>
      <c r="D27" s="22">
        <v>9.719</v>
      </c>
      <c r="E27" s="22">
        <v>9.903</v>
      </c>
      <c r="F27" s="40">
        <v>10.069</v>
      </c>
      <c r="G27" s="40">
        <v>10.354</v>
      </c>
      <c r="H27" s="19">
        <v>1.541981</v>
      </c>
      <c r="I27" s="24">
        <v>2.289891</v>
      </c>
      <c r="J27" s="22">
        <v>2.61023</v>
      </c>
      <c r="K27" s="25">
        <v>4.604238</v>
      </c>
      <c r="L27" s="62">
        <v>5.275752</v>
      </c>
      <c r="M27" s="22">
        <v>6.41232</v>
      </c>
      <c r="N27" s="18"/>
      <c r="O27" s="18"/>
      <c r="T27" s="7">
        <v>2.433</v>
      </c>
      <c r="U27" s="7">
        <v>4.474</v>
      </c>
      <c r="V27" s="7">
        <v>5.567</v>
      </c>
      <c r="W27" s="7">
        <v>2.433</v>
      </c>
      <c r="X27" s="7">
        <v>4.474</v>
      </c>
      <c r="Y27" s="7">
        <f>6</f>
        <v>6</v>
      </c>
      <c r="Z27" s="7">
        <f>10</f>
        <v>10</v>
      </c>
      <c r="AA27" s="7">
        <v>747874</v>
      </c>
      <c r="AB27" s="7">
        <f t="shared" si="0"/>
        <v>747.874</v>
      </c>
      <c r="AC27" s="7">
        <v>1541981</v>
      </c>
      <c r="AD27" s="7">
        <f t="shared" si="1"/>
        <v>1541.981</v>
      </c>
      <c r="AE27" s="7">
        <v>2289891</v>
      </c>
      <c r="AF27" s="7">
        <f t="shared" si="2"/>
        <v>2289.891</v>
      </c>
      <c r="AG27" s="7">
        <v>2610230</v>
      </c>
      <c r="AH27" s="7">
        <f t="shared" si="3"/>
        <v>2.61023</v>
      </c>
      <c r="AI27" s="7">
        <f t="shared" si="4"/>
        <v>2610.23</v>
      </c>
      <c r="AJ27" s="7"/>
    </row>
    <row r="28" spans="1:36" ht="15.75">
      <c r="A28" s="2" t="s">
        <v>22</v>
      </c>
      <c r="B28" s="19">
        <v>2.264</v>
      </c>
      <c r="C28" s="24">
        <v>2.807</v>
      </c>
      <c r="D28" s="22">
        <v>5.06</v>
      </c>
      <c r="E28" s="22">
        <v>5.875</v>
      </c>
      <c r="F28" s="40">
        <v>6.093</v>
      </c>
      <c r="G28" s="40">
        <v>6.631</v>
      </c>
      <c r="H28" s="19">
        <v>5.76363</v>
      </c>
      <c r="I28" s="24">
        <v>5.276414</v>
      </c>
      <c r="J28" s="22">
        <v>5.469696</v>
      </c>
      <c r="K28" s="25">
        <v>6.016967</v>
      </c>
      <c r="L28" s="62">
        <v>7.221283</v>
      </c>
      <c r="M28" s="22">
        <v>7.447581</v>
      </c>
      <c r="N28" s="18"/>
      <c r="O28" s="18"/>
      <c r="T28" s="7">
        <v>3.029</v>
      </c>
      <c r="U28" s="7">
        <v>2.264</v>
      </c>
      <c r="V28" s="7">
        <v>2.807</v>
      </c>
      <c r="W28" s="7">
        <v>3.029</v>
      </c>
      <c r="X28" s="7">
        <v>2.264</v>
      </c>
      <c r="Y28" s="7">
        <f>3</f>
        <v>3</v>
      </c>
      <c r="Z28" s="7">
        <f>5</f>
        <v>5</v>
      </c>
      <c r="AA28" s="7">
        <v>498585</v>
      </c>
      <c r="AB28" s="7">
        <f t="shared" si="0"/>
        <v>498.585</v>
      </c>
      <c r="AC28" s="7">
        <v>5763630</v>
      </c>
      <c r="AD28" s="7">
        <f t="shared" si="1"/>
        <v>5763.63</v>
      </c>
      <c r="AE28" s="7">
        <v>5276414</v>
      </c>
      <c r="AF28" s="7">
        <f t="shared" si="2"/>
        <v>5276.414</v>
      </c>
      <c r="AG28" s="7">
        <v>5469696</v>
      </c>
      <c r="AH28" s="7">
        <f t="shared" si="3"/>
        <v>5.469696</v>
      </c>
      <c r="AI28" s="7">
        <f t="shared" si="4"/>
        <v>5469.696</v>
      </c>
      <c r="AJ28" s="7"/>
    </row>
    <row r="29" spans="1:36" ht="15.75">
      <c r="A29" s="2" t="s">
        <v>23</v>
      </c>
      <c r="B29" s="19">
        <v>227.463</v>
      </c>
      <c r="C29" s="24">
        <v>298.705</v>
      </c>
      <c r="D29" s="22">
        <v>368.18</v>
      </c>
      <c r="E29" s="22">
        <v>443.177</v>
      </c>
      <c r="F29" s="40">
        <v>417.676</v>
      </c>
      <c r="G29" s="40">
        <v>384.801</v>
      </c>
      <c r="H29" s="19">
        <v>125.683873</v>
      </c>
      <c r="I29" s="24">
        <v>195.218825</v>
      </c>
      <c r="J29" s="22">
        <v>269.996093</v>
      </c>
      <c r="K29" s="25">
        <v>357.696628</v>
      </c>
      <c r="L29" s="62">
        <v>176.527011</v>
      </c>
      <c r="M29" s="22">
        <v>244.022845</v>
      </c>
      <c r="N29" s="18"/>
      <c r="O29" s="18"/>
      <c r="T29" s="7">
        <v>154.594</v>
      </c>
      <c r="U29" s="7">
        <v>227.463</v>
      </c>
      <c r="V29" s="7">
        <v>298.705</v>
      </c>
      <c r="W29" s="7">
        <v>154.594</v>
      </c>
      <c r="X29" s="7">
        <v>227.463</v>
      </c>
      <c r="Y29" s="7">
        <f>299</f>
        <v>299</v>
      </c>
      <c r="Z29" s="7">
        <f>368</f>
        <v>368</v>
      </c>
      <c r="AA29" s="7">
        <v>51006205</v>
      </c>
      <c r="AB29" s="7">
        <f t="shared" si="0"/>
        <v>51006.205</v>
      </c>
      <c r="AC29" s="7">
        <v>125683873</v>
      </c>
      <c r="AD29" s="7">
        <f t="shared" si="1"/>
        <v>125683.873</v>
      </c>
      <c r="AE29" s="7">
        <v>195218825</v>
      </c>
      <c r="AF29" s="7">
        <f t="shared" si="2"/>
        <v>195218.825</v>
      </c>
      <c r="AG29" s="7">
        <v>269996093</v>
      </c>
      <c r="AH29" s="7">
        <f t="shared" si="3"/>
        <v>269.996093</v>
      </c>
      <c r="AI29" s="7">
        <f t="shared" si="4"/>
        <v>269996.093</v>
      </c>
      <c r="AJ29" s="7"/>
    </row>
    <row r="30" spans="1:36" ht="15.75">
      <c r="A30" s="2" t="s">
        <v>24</v>
      </c>
      <c r="B30" s="19">
        <v>120.626</v>
      </c>
      <c r="C30" s="24">
        <v>182.762</v>
      </c>
      <c r="D30" s="22">
        <v>221.005</v>
      </c>
      <c r="E30" s="22">
        <v>251.711</v>
      </c>
      <c r="F30" s="40">
        <v>280.083</v>
      </c>
      <c r="G30" s="40">
        <v>306.733</v>
      </c>
      <c r="H30" s="19">
        <v>48.749187</v>
      </c>
      <c r="I30" s="24">
        <v>77.077452</v>
      </c>
      <c r="J30" s="22">
        <v>105.8811</v>
      </c>
      <c r="K30" s="25">
        <v>179.691033</v>
      </c>
      <c r="L30" s="62">
        <v>214.954824</v>
      </c>
      <c r="M30" s="22">
        <v>201.645414</v>
      </c>
      <c r="N30" s="18"/>
      <c r="O30" s="18"/>
      <c r="T30" s="7">
        <v>47.581</v>
      </c>
      <c r="U30" s="7">
        <v>120.626</v>
      </c>
      <c r="V30" s="7">
        <v>182.762</v>
      </c>
      <c r="W30" s="7">
        <v>47.581</v>
      </c>
      <c r="X30" s="7">
        <v>120.626</v>
      </c>
      <c r="Y30" s="7">
        <f>183</f>
        <v>183</v>
      </c>
      <c r="Z30" s="7">
        <f>221</f>
        <v>221</v>
      </c>
      <c r="AA30" s="7">
        <v>7428825</v>
      </c>
      <c r="AB30" s="7">
        <f t="shared" si="0"/>
        <v>7428.825</v>
      </c>
      <c r="AC30" s="7">
        <v>48749187</v>
      </c>
      <c r="AD30" s="7">
        <f t="shared" si="1"/>
        <v>48749.187</v>
      </c>
      <c r="AE30" s="7">
        <v>77077452</v>
      </c>
      <c r="AF30" s="7">
        <f t="shared" si="2"/>
        <v>77077.452</v>
      </c>
      <c r="AG30" s="7">
        <v>105881100</v>
      </c>
      <c r="AH30" s="7">
        <f t="shared" si="3"/>
        <v>105.8811</v>
      </c>
      <c r="AI30" s="7">
        <f t="shared" si="4"/>
        <v>105881.1</v>
      </c>
      <c r="AJ30" s="7"/>
    </row>
    <row r="31" spans="1:36" ht="15.75">
      <c r="A31" s="2" t="s">
        <v>25</v>
      </c>
      <c r="B31" s="69" t="s">
        <v>38</v>
      </c>
      <c r="C31" s="24">
        <v>7.137</v>
      </c>
      <c r="D31" s="22">
        <v>8.474</v>
      </c>
      <c r="E31" s="22">
        <v>16.526</v>
      </c>
      <c r="F31" s="40">
        <v>19.237</v>
      </c>
      <c r="G31" s="40">
        <v>20.602</v>
      </c>
      <c r="H31" s="19">
        <v>0.420296</v>
      </c>
      <c r="I31" s="24">
        <v>3.042648</v>
      </c>
      <c r="J31" s="22">
        <v>3.900427</v>
      </c>
      <c r="K31" s="25">
        <v>7.293068</v>
      </c>
      <c r="L31" s="62">
        <v>10.453946</v>
      </c>
      <c r="M31" s="22">
        <v>13.023986</v>
      </c>
      <c r="N31" s="18"/>
      <c r="O31" s="18"/>
      <c r="T31" s="7">
        <v>0</v>
      </c>
      <c r="U31" s="7">
        <v>2.256</v>
      </c>
      <c r="V31" s="7">
        <v>7.137</v>
      </c>
      <c r="W31" s="7">
        <v>0</v>
      </c>
      <c r="X31" s="7">
        <v>2.256</v>
      </c>
      <c r="Y31" s="7">
        <f>7</f>
        <v>7</v>
      </c>
      <c r="Z31" s="7">
        <f>8</f>
        <v>8</v>
      </c>
      <c r="AA31" s="7">
        <v>0</v>
      </c>
      <c r="AB31" s="7">
        <f t="shared" si="0"/>
        <v>0</v>
      </c>
      <c r="AC31" s="7">
        <v>420296</v>
      </c>
      <c r="AD31" s="7">
        <f t="shared" si="1"/>
        <v>420.296</v>
      </c>
      <c r="AE31" s="7">
        <v>3042648</v>
      </c>
      <c r="AF31" s="7">
        <f t="shared" si="2"/>
        <v>3042.648</v>
      </c>
      <c r="AG31" s="7">
        <v>3900427</v>
      </c>
      <c r="AH31" s="7">
        <f t="shared" si="3"/>
        <v>3.900427</v>
      </c>
      <c r="AI31" s="7">
        <f t="shared" si="4"/>
        <v>3900.427</v>
      </c>
      <c r="AJ31" s="7"/>
    </row>
    <row r="32" spans="1:36" ht="15.75">
      <c r="A32" s="2" t="s">
        <v>26</v>
      </c>
      <c r="B32" s="19">
        <v>12.449</v>
      </c>
      <c r="C32" s="24">
        <v>16.896</v>
      </c>
      <c r="D32" s="22">
        <v>16.895</v>
      </c>
      <c r="E32" s="22">
        <v>16.877</v>
      </c>
      <c r="F32" s="40">
        <v>19.054</v>
      </c>
      <c r="G32" s="40">
        <v>21.839</v>
      </c>
      <c r="H32" s="19">
        <v>7.495531</v>
      </c>
      <c r="I32" s="24">
        <v>12.986971</v>
      </c>
      <c r="J32" s="22">
        <v>14.34996</v>
      </c>
      <c r="K32" s="25">
        <v>12.156178</v>
      </c>
      <c r="L32" s="62">
        <v>14.420274</v>
      </c>
      <c r="M32" s="22">
        <v>16.598402</v>
      </c>
      <c r="N32" s="18"/>
      <c r="O32" s="18"/>
      <c r="T32" s="7">
        <v>8.482</v>
      </c>
      <c r="U32" s="7">
        <v>12.449</v>
      </c>
      <c r="V32" s="7">
        <v>13.276</v>
      </c>
      <c r="W32" s="7">
        <v>8.482</v>
      </c>
      <c r="X32" s="7">
        <v>12.449</v>
      </c>
      <c r="Y32" s="7">
        <f>17</f>
        <v>17</v>
      </c>
      <c r="Z32" s="7">
        <f>17</f>
        <v>17</v>
      </c>
      <c r="AA32" s="7">
        <v>3913959</v>
      </c>
      <c r="AB32" s="7">
        <f t="shared" si="0"/>
        <v>3913.959</v>
      </c>
      <c r="AC32" s="7">
        <v>7495531</v>
      </c>
      <c r="AD32" s="7">
        <f t="shared" si="1"/>
        <v>7495.531</v>
      </c>
      <c r="AE32" s="7">
        <v>12986971</v>
      </c>
      <c r="AF32" s="7">
        <f t="shared" si="2"/>
        <v>12986.971</v>
      </c>
      <c r="AG32" s="7">
        <v>14349960</v>
      </c>
      <c r="AH32" s="7">
        <f t="shared" si="3"/>
        <v>14.34996</v>
      </c>
      <c r="AI32" s="7">
        <f t="shared" si="4"/>
        <v>14349.96</v>
      </c>
      <c r="AJ32" s="7"/>
    </row>
    <row r="33" spans="1:35" ht="15.75">
      <c r="A33" s="2" t="s">
        <v>27</v>
      </c>
      <c r="B33" s="19">
        <v>62.507</v>
      </c>
      <c r="C33" s="24">
        <v>49.159</v>
      </c>
      <c r="D33" s="22">
        <v>68.032</v>
      </c>
      <c r="E33" s="22">
        <v>135.609</v>
      </c>
      <c r="F33" s="40">
        <v>234.027</v>
      </c>
      <c r="G33" s="40">
        <v>281.432</v>
      </c>
      <c r="H33" s="19">
        <v>32.659668</v>
      </c>
      <c r="I33" s="24">
        <v>39.112147</v>
      </c>
      <c r="J33" s="22">
        <v>36.311644</v>
      </c>
      <c r="K33" s="25">
        <v>59.357323</v>
      </c>
      <c r="L33" s="62">
        <v>309.781972</v>
      </c>
      <c r="M33" s="22">
        <v>320.172429</v>
      </c>
      <c r="N33" s="18"/>
      <c r="O33" s="18"/>
      <c r="T33" s="7">
        <v>42.699</v>
      </c>
      <c r="U33" s="7">
        <v>62.507</v>
      </c>
      <c r="V33" s="7">
        <v>83.51</v>
      </c>
      <c r="W33" s="7">
        <v>42.699</v>
      </c>
      <c r="X33" s="7">
        <v>62.507</v>
      </c>
      <c r="Y33" s="7">
        <f>84</f>
        <v>84</v>
      </c>
      <c r="Z33" s="7">
        <f>68</f>
        <v>68</v>
      </c>
      <c r="AA33" s="7">
        <v>14730876</v>
      </c>
      <c r="AB33" s="7">
        <f t="shared" si="0"/>
        <v>14730.876</v>
      </c>
      <c r="AC33" s="7">
        <v>32659668</v>
      </c>
      <c r="AD33" s="7">
        <f t="shared" si="1"/>
        <v>32659.668</v>
      </c>
      <c r="AE33" s="7">
        <v>39112147</v>
      </c>
      <c r="AF33" s="7">
        <f t="shared" si="2"/>
        <v>39112.147</v>
      </c>
      <c r="AG33" s="7">
        <v>36311644</v>
      </c>
      <c r="AH33" s="7">
        <f t="shared" si="3"/>
        <v>36.311644</v>
      </c>
      <c r="AI33" s="7">
        <f t="shared" si="4"/>
        <v>36311.644</v>
      </c>
    </row>
    <row r="34" spans="1:35" ht="15.75">
      <c r="A34" s="2" t="s">
        <v>28</v>
      </c>
      <c r="B34" s="19">
        <v>44.373</v>
      </c>
      <c r="C34" s="24">
        <v>56.986</v>
      </c>
      <c r="D34" s="22">
        <v>66.225</v>
      </c>
      <c r="E34" s="22">
        <v>73.762</v>
      </c>
      <c r="F34" s="40">
        <v>80.698</v>
      </c>
      <c r="G34" s="40">
        <v>129.544</v>
      </c>
      <c r="H34" s="19">
        <v>53.704713</v>
      </c>
      <c r="I34" s="24">
        <v>59.961975</v>
      </c>
      <c r="J34" s="22">
        <v>60.404483</v>
      </c>
      <c r="K34" s="25">
        <v>61.688449</v>
      </c>
      <c r="L34" s="62">
        <v>65.443185</v>
      </c>
      <c r="M34" s="22">
        <v>76.055437</v>
      </c>
      <c r="N34" s="18"/>
      <c r="O34" s="18"/>
      <c r="T34" s="7">
        <v>31.246</v>
      </c>
      <c r="U34" s="7">
        <v>44.373</v>
      </c>
      <c r="V34" s="7">
        <v>56.986</v>
      </c>
      <c r="W34" s="7">
        <v>31.246</v>
      </c>
      <c r="X34" s="7">
        <v>44.373</v>
      </c>
      <c r="Y34" s="7">
        <f>57</f>
        <v>57</v>
      </c>
      <c r="Z34" s="7">
        <f>66</f>
        <v>66</v>
      </c>
      <c r="AA34" s="7">
        <v>61716155</v>
      </c>
      <c r="AB34" s="7">
        <f t="shared" si="0"/>
        <v>61716.155</v>
      </c>
      <c r="AC34" s="7">
        <v>53704713</v>
      </c>
      <c r="AD34" s="7">
        <f t="shared" si="1"/>
        <v>53704.713</v>
      </c>
      <c r="AE34" s="7">
        <v>59961975</v>
      </c>
      <c r="AF34" s="7">
        <f t="shared" si="2"/>
        <v>59961.975</v>
      </c>
      <c r="AG34" s="7">
        <v>60404483</v>
      </c>
      <c r="AH34" s="7">
        <f t="shared" si="3"/>
        <v>60.404483</v>
      </c>
      <c r="AI34" s="7">
        <f t="shared" si="4"/>
        <v>60404.483</v>
      </c>
    </row>
    <row r="35" spans="1:35" ht="15.75">
      <c r="A35" s="2" t="s">
        <v>29</v>
      </c>
      <c r="B35" s="19">
        <v>19.958</v>
      </c>
      <c r="C35" s="24">
        <v>23.27</v>
      </c>
      <c r="D35" s="22">
        <v>34.506</v>
      </c>
      <c r="E35" s="22">
        <v>37.06</v>
      </c>
      <c r="F35" s="40">
        <v>41.636</v>
      </c>
      <c r="G35" s="40">
        <v>46.562</v>
      </c>
      <c r="H35" s="19">
        <v>15.493125</v>
      </c>
      <c r="I35" s="24">
        <v>24.846556</v>
      </c>
      <c r="J35" s="22">
        <v>28.724907</v>
      </c>
      <c r="K35" s="25">
        <v>32.885307</v>
      </c>
      <c r="L35" s="62">
        <v>37.273256</v>
      </c>
      <c r="M35" s="22">
        <v>40.757756</v>
      </c>
      <c r="N35" s="18"/>
      <c r="O35" s="18"/>
      <c r="T35" s="7">
        <v>9.795</v>
      </c>
      <c r="U35" s="7">
        <v>19.958</v>
      </c>
      <c r="V35" s="7">
        <v>23.27</v>
      </c>
      <c r="W35" s="7">
        <v>9.795</v>
      </c>
      <c r="X35" s="7">
        <v>19.958</v>
      </c>
      <c r="Y35" s="7">
        <f>23</f>
        <v>23</v>
      </c>
      <c r="Z35" s="7">
        <f>35</f>
        <v>35</v>
      </c>
      <c r="AA35" s="7">
        <v>10562724</v>
      </c>
      <c r="AB35" s="7">
        <f t="shared" si="0"/>
        <v>10562.724</v>
      </c>
      <c r="AC35" s="7">
        <v>15493125</v>
      </c>
      <c r="AD35" s="7">
        <f t="shared" si="1"/>
        <v>15493.125</v>
      </c>
      <c r="AE35" s="7">
        <v>24846556</v>
      </c>
      <c r="AF35" s="7">
        <f t="shared" si="2"/>
        <v>24846.556</v>
      </c>
      <c r="AG35" s="7">
        <v>28724907</v>
      </c>
      <c r="AH35" s="7">
        <f t="shared" si="3"/>
        <v>28.724907</v>
      </c>
      <c r="AI35" s="7">
        <f t="shared" si="4"/>
        <v>28724.907</v>
      </c>
    </row>
    <row r="36" spans="1:35" ht="15.75">
      <c r="A36" s="2" t="s">
        <v>30</v>
      </c>
      <c r="B36" s="19">
        <v>26.306</v>
      </c>
      <c r="C36" s="24">
        <v>34.279</v>
      </c>
      <c r="D36" s="22">
        <v>40.838</v>
      </c>
      <c r="E36" s="22">
        <v>45.662</v>
      </c>
      <c r="F36" s="40">
        <v>44.35</v>
      </c>
      <c r="G36" s="40">
        <v>47.323</v>
      </c>
      <c r="H36" s="19">
        <v>12.771005</v>
      </c>
      <c r="I36" s="24">
        <v>24.609081</v>
      </c>
      <c r="J36" s="22">
        <v>35.93351</v>
      </c>
      <c r="K36" s="25">
        <v>36.8823</v>
      </c>
      <c r="L36" s="62">
        <v>39.600708</v>
      </c>
      <c r="M36" s="22">
        <v>43.139949</v>
      </c>
      <c r="N36" s="18"/>
      <c r="O36" s="18"/>
      <c r="T36" s="7">
        <v>14.443</v>
      </c>
      <c r="U36" s="7">
        <v>26.306</v>
      </c>
      <c r="V36" s="7">
        <v>34.241</v>
      </c>
      <c r="W36" s="7">
        <v>14.443</v>
      </c>
      <c r="X36" s="7">
        <v>26.306</v>
      </c>
      <c r="Y36" s="7">
        <f>34</f>
        <v>34</v>
      </c>
      <c r="Z36" s="7">
        <f>41</f>
        <v>41</v>
      </c>
      <c r="AA36" s="7">
        <v>8790887</v>
      </c>
      <c r="AB36" s="7">
        <f t="shared" si="0"/>
        <v>8790.887</v>
      </c>
      <c r="AC36" s="7">
        <v>12771005</v>
      </c>
      <c r="AD36" s="7">
        <f t="shared" si="1"/>
        <v>12771.005</v>
      </c>
      <c r="AE36" s="7">
        <v>24609081</v>
      </c>
      <c r="AF36" s="7">
        <f t="shared" si="2"/>
        <v>24609.081</v>
      </c>
      <c r="AG36" s="7">
        <v>35933510</v>
      </c>
      <c r="AH36" s="7">
        <f t="shared" si="3"/>
        <v>35.93351</v>
      </c>
      <c r="AI36" s="7">
        <f t="shared" si="4"/>
        <v>35933.51</v>
      </c>
    </row>
    <row r="37" spans="1:35" ht="15.75">
      <c r="A37" s="2" t="s">
        <v>31</v>
      </c>
      <c r="B37" s="19">
        <v>55.593</v>
      </c>
      <c r="C37" s="24">
        <v>68.273</v>
      </c>
      <c r="D37" s="22">
        <v>94.608</v>
      </c>
      <c r="E37" s="22">
        <v>94.053</v>
      </c>
      <c r="F37" s="40">
        <v>94.5</v>
      </c>
      <c r="G37" s="40">
        <v>63.728</v>
      </c>
      <c r="H37" s="19">
        <v>60.026778</v>
      </c>
      <c r="I37" s="24">
        <v>68.141781</v>
      </c>
      <c r="J37" s="22">
        <v>71.921223</v>
      </c>
      <c r="K37" s="25">
        <v>69.225359</v>
      </c>
      <c r="L37" s="62">
        <v>71.461719</v>
      </c>
      <c r="M37" s="22">
        <v>70.800056</v>
      </c>
      <c r="N37" s="18"/>
      <c r="O37" s="18"/>
      <c r="T37" s="7">
        <v>18.579</v>
      </c>
      <c r="U37" s="7">
        <v>55.593</v>
      </c>
      <c r="V37" s="7">
        <v>66.796</v>
      </c>
      <c r="W37" s="7">
        <v>18.579</v>
      </c>
      <c r="X37" s="7">
        <v>55.593</v>
      </c>
      <c r="Y37" s="7">
        <f>68</f>
        <v>68</v>
      </c>
      <c r="Z37" s="7">
        <f>94</f>
        <v>94</v>
      </c>
      <c r="AA37" s="7">
        <v>17825116</v>
      </c>
      <c r="AB37" s="7">
        <f t="shared" si="0"/>
        <v>17825.116</v>
      </c>
      <c r="AC37" s="7">
        <v>60026778</v>
      </c>
      <c r="AD37" s="7">
        <f t="shared" si="1"/>
        <v>60026.778</v>
      </c>
      <c r="AE37" s="7">
        <v>68141781</v>
      </c>
      <c r="AF37" s="7">
        <f t="shared" si="2"/>
        <v>68141.781</v>
      </c>
      <c r="AG37" s="7">
        <v>71921223</v>
      </c>
      <c r="AH37" s="7">
        <f t="shared" si="3"/>
        <v>71.921223</v>
      </c>
      <c r="AI37" s="7">
        <f t="shared" si="4"/>
        <v>71921.223</v>
      </c>
    </row>
    <row r="38" spans="1:35" ht="15.75">
      <c r="A38" s="2" t="s">
        <v>32</v>
      </c>
      <c r="B38" s="19">
        <v>49.995</v>
      </c>
      <c r="C38" s="24">
        <v>79.261</v>
      </c>
      <c r="D38" s="22">
        <v>74.654</v>
      </c>
      <c r="E38" s="22">
        <v>104.908</v>
      </c>
      <c r="F38" s="40">
        <v>105.58</v>
      </c>
      <c r="G38" s="40">
        <v>109.15</v>
      </c>
      <c r="H38" s="19">
        <v>25.293331</v>
      </c>
      <c r="I38" s="24">
        <v>39.699266</v>
      </c>
      <c r="J38" s="22">
        <v>65.08237</v>
      </c>
      <c r="K38" s="25">
        <v>78.364896</v>
      </c>
      <c r="L38" s="62">
        <v>94.437506</v>
      </c>
      <c r="M38" s="22">
        <v>109.914229</v>
      </c>
      <c r="N38" s="18"/>
      <c r="O38" s="18"/>
      <c r="T38" s="7">
        <v>21.58</v>
      </c>
      <c r="U38" s="7">
        <v>49.995</v>
      </c>
      <c r="V38" s="7">
        <v>69.579</v>
      </c>
      <c r="W38" s="7">
        <v>21.58</v>
      </c>
      <c r="X38" s="7">
        <v>49.995</v>
      </c>
      <c r="Y38" s="7">
        <f>70</f>
        <v>70</v>
      </c>
      <c r="Z38" s="7">
        <f>88</f>
        <v>88</v>
      </c>
      <c r="AA38" s="7">
        <v>10361817</v>
      </c>
      <c r="AB38" s="7">
        <f t="shared" si="0"/>
        <v>10361.817</v>
      </c>
      <c r="AC38" s="7">
        <v>25293331</v>
      </c>
      <c r="AD38" s="7">
        <f t="shared" si="1"/>
        <v>25293.331</v>
      </c>
      <c r="AE38" s="7">
        <v>39699266</v>
      </c>
      <c r="AF38" s="7">
        <f t="shared" si="2"/>
        <v>39699.266</v>
      </c>
      <c r="AG38" s="7">
        <v>65082370</v>
      </c>
      <c r="AH38" s="7">
        <f t="shared" si="3"/>
        <v>65.08237</v>
      </c>
      <c r="AI38" s="7">
        <f t="shared" si="4"/>
        <v>65082.37</v>
      </c>
    </row>
    <row r="39" spans="1:35" ht="15.75">
      <c r="A39" s="2" t="s">
        <v>33</v>
      </c>
      <c r="B39" s="19">
        <v>22.742</v>
      </c>
      <c r="C39" s="24">
        <v>27.003</v>
      </c>
      <c r="D39" s="22">
        <v>22.586</v>
      </c>
      <c r="E39" s="22">
        <v>29.474</v>
      </c>
      <c r="F39" s="40">
        <v>29.171</v>
      </c>
      <c r="G39" s="40">
        <v>30.654</v>
      </c>
      <c r="H39" s="19">
        <v>11.401641</v>
      </c>
      <c r="I39" s="24">
        <v>14.137752</v>
      </c>
      <c r="J39" s="22">
        <v>17.799771</v>
      </c>
      <c r="K39" s="25">
        <v>21.072835</v>
      </c>
      <c r="L39" s="62">
        <v>25.228542</v>
      </c>
      <c r="M39" s="22">
        <v>20.570105</v>
      </c>
      <c r="N39" s="18"/>
      <c r="O39" s="18"/>
      <c r="T39" s="7">
        <v>13.657</v>
      </c>
      <c r="U39" s="7">
        <v>22.742</v>
      </c>
      <c r="V39" s="7">
        <v>27.003</v>
      </c>
      <c r="W39" s="7">
        <v>13.657</v>
      </c>
      <c r="X39" s="7">
        <v>22.742</v>
      </c>
      <c r="Y39" s="7">
        <f>27</f>
        <v>27</v>
      </c>
      <c r="Z39" s="7">
        <f>23</f>
        <v>23</v>
      </c>
      <c r="AA39" s="7">
        <v>5617064</v>
      </c>
      <c r="AB39" s="7">
        <f t="shared" si="0"/>
        <v>5617.064</v>
      </c>
      <c r="AC39" s="7">
        <v>11401641</v>
      </c>
      <c r="AD39" s="7">
        <f t="shared" si="1"/>
        <v>11401.641</v>
      </c>
      <c r="AE39" s="7">
        <v>14137752</v>
      </c>
      <c r="AF39" s="7">
        <f t="shared" si="2"/>
        <v>14137.752</v>
      </c>
      <c r="AG39" s="7">
        <v>17799771</v>
      </c>
      <c r="AH39" s="7">
        <f t="shared" si="3"/>
        <v>17.799771</v>
      </c>
      <c r="AI39" s="7">
        <f t="shared" si="4"/>
        <v>17799.771</v>
      </c>
    </row>
    <row r="40" spans="1:35" ht="15.75">
      <c r="A40" s="2" t="s">
        <v>34</v>
      </c>
      <c r="B40" s="19">
        <v>93.081</v>
      </c>
      <c r="C40" s="24">
        <v>109.983</v>
      </c>
      <c r="D40" s="22">
        <v>125.18</v>
      </c>
      <c r="E40" s="22">
        <v>130.161</v>
      </c>
      <c r="F40" s="40">
        <v>111.488</v>
      </c>
      <c r="G40" s="40">
        <v>120.316</v>
      </c>
      <c r="H40" s="19">
        <v>92.158722</v>
      </c>
      <c r="I40" s="24">
        <v>92.879868</v>
      </c>
      <c r="J40" s="22">
        <v>119.19814</v>
      </c>
      <c r="K40" s="25">
        <v>137.690826</v>
      </c>
      <c r="L40" s="62">
        <v>106.435919</v>
      </c>
      <c r="M40" s="22">
        <v>122.362453</v>
      </c>
      <c r="N40" s="18"/>
      <c r="O40" s="18"/>
      <c r="T40" s="7">
        <v>18.072</v>
      </c>
      <c r="U40" s="7">
        <v>93.081</v>
      </c>
      <c r="V40" s="7">
        <v>109.983</v>
      </c>
      <c r="W40" s="7">
        <v>18.072</v>
      </c>
      <c r="X40" s="7">
        <v>93.081</v>
      </c>
      <c r="Y40" s="7">
        <f>110</f>
        <v>110</v>
      </c>
      <c r="Z40" s="7">
        <f>125</f>
        <v>125</v>
      </c>
      <c r="AA40" s="7">
        <v>13433236</v>
      </c>
      <c r="AB40" s="7">
        <f t="shared" si="0"/>
        <v>13433.236</v>
      </c>
      <c r="AC40" s="7">
        <v>92158722</v>
      </c>
      <c r="AD40" s="7">
        <f t="shared" si="1"/>
        <v>92158.722</v>
      </c>
      <c r="AE40" s="7">
        <v>92879868</v>
      </c>
      <c r="AF40" s="7">
        <f t="shared" si="2"/>
        <v>92879.868</v>
      </c>
      <c r="AG40" s="7">
        <v>119198140</v>
      </c>
      <c r="AH40" s="7">
        <f t="shared" si="3"/>
        <v>119.19814</v>
      </c>
      <c r="AI40" s="7">
        <f t="shared" si="4"/>
        <v>119198.14</v>
      </c>
    </row>
    <row r="41" spans="1:35" ht="15.75">
      <c r="A41" s="2" t="s">
        <v>35</v>
      </c>
      <c r="B41" s="19">
        <v>113.034</v>
      </c>
      <c r="C41" s="24">
        <v>108.308</v>
      </c>
      <c r="D41" s="22">
        <v>119.732</v>
      </c>
      <c r="E41" s="22">
        <v>128.79</v>
      </c>
      <c r="F41" s="37">
        <v>166.508</v>
      </c>
      <c r="G41" s="37">
        <v>162.679</v>
      </c>
      <c r="H41" s="19">
        <v>44.165148</v>
      </c>
      <c r="I41" s="24">
        <v>50.255986</v>
      </c>
      <c r="J41" s="22">
        <v>59.909653</v>
      </c>
      <c r="K41" s="25">
        <v>71.635045</v>
      </c>
      <c r="L41" s="62">
        <v>119.097274</v>
      </c>
      <c r="M41" s="22">
        <v>121.467832</v>
      </c>
      <c r="N41" s="18"/>
      <c r="O41" s="18"/>
      <c r="T41" s="7">
        <v>67.852</v>
      </c>
      <c r="U41" s="7">
        <v>113.034</v>
      </c>
      <c r="V41" s="7">
        <v>105.072</v>
      </c>
      <c r="W41" s="7">
        <v>67.852</v>
      </c>
      <c r="X41" s="7">
        <v>113.034</v>
      </c>
      <c r="Y41" s="7">
        <f>108</f>
        <v>108</v>
      </c>
      <c r="Z41" s="7">
        <f>117</f>
        <v>117</v>
      </c>
      <c r="AA41" s="7">
        <v>35385895</v>
      </c>
      <c r="AB41" s="7">
        <f t="shared" si="0"/>
        <v>35385.895</v>
      </c>
      <c r="AC41" s="7">
        <v>44165148</v>
      </c>
      <c r="AD41" s="7">
        <f t="shared" si="1"/>
        <v>44165.148</v>
      </c>
      <c r="AE41" s="7">
        <v>50255986</v>
      </c>
      <c r="AF41" s="7">
        <f t="shared" si="2"/>
        <v>50255.986</v>
      </c>
      <c r="AG41" s="7">
        <v>59909653</v>
      </c>
      <c r="AH41" s="7">
        <f t="shared" si="3"/>
        <v>59.909653</v>
      </c>
      <c r="AI41" s="7">
        <f t="shared" si="4"/>
        <v>59909.653</v>
      </c>
    </row>
    <row r="42" spans="1:35" ht="15.75">
      <c r="A42" s="2" t="s">
        <v>36</v>
      </c>
      <c r="B42" s="19">
        <v>55.375</v>
      </c>
      <c r="C42" s="24">
        <v>76.181</v>
      </c>
      <c r="D42" s="22">
        <v>71.882</v>
      </c>
      <c r="E42" s="22">
        <v>77.467</v>
      </c>
      <c r="F42" s="40">
        <v>87.563</v>
      </c>
      <c r="G42" s="40">
        <v>89.257</v>
      </c>
      <c r="H42" s="19">
        <v>36.150187</v>
      </c>
      <c r="I42" s="24">
        <v>37.514282</v>
      </c>
      <c r="J42" s="22">
        <v>39.568929</v>
      </c>
      <c r="K42" s="25">
        <v>60.825634</v>
      </c>
      <c r="L42" s="62">
        <v>159.463575</v>
      </c>
      <c r="M42" s="22">
        <v>172.195374</v>
      </c>
      <c r="N42" s="18"/>
      <c r="O42" s="18"/>
      <c r="T42" s="7">
        <v>26.652</v>
      </c>
      <c r="U42" s="7">
        <v>37.148</v>
      </c>
      <c r="V42" s="7">
        <v>76.181</v>
      </c>
      <c r="W42" s="7">
        <v>26.652</v>
      </c>
      <c r="X42" s="7">
        <v>37.148</v>
      </c>
      <c r="Y42" s="7">
        <f>76</f>
        <v>76</v>
      </c>
      <c r="Z42" s="7">
        <f>72</f>
        <v>72</v>
      </c>
      <c r="AA42" s="7">
        <v>14918731</v>
      </c>
      <c r="AB42" s="7">
        <f t="shared" si="0"/>
        <v>14918.731</v>
      </c>
      <c r="AC42" s="7">
        <v>36150187</v>
      </c>
      <c r="AD42" s="7">
        <f t="shared" si="1"/>
        <v>36150.187</v>
      </c>
      <c r="AE42" s="7">
        <v>37514282</v>
      </c>
      <c r="AF42" s="7">
        <f t="shared" si="2"/>
        <v>37514.282</v>
      </c>
      <c r="AG42" s="7">
        <v>39568929</v>
      </c>
      <c r="AH42" s="7">
        <f t="shared" si="3"/>
        <v>39.568929</v>
      </c>
      <c r="AI42" s="7">
        <f t="shared" si="4"/>
        <v>39568.929</v>
      </c>
    </row>
    <row r="43" spans="1:35" ht="15.75">
      <c r="A43" s="2" t="s">
        <v>37</v>
      </c>
      <c r="B43" s="20" t="s">
        <v>38</v>
      </c>
      <c r="C43" s="37" t="s">
        <v>75</v>
      </c>
      <c r="D43" s="29" t="s">
        <v>75</v>
      </c>
      <c r="E43" s="29">
        <v>4.366</v>
      </c>
      <c r="F43" s="40">
        <v>4.784</v>
      </c>
      <c r="G43" s="40">
        <v>5.076</v>
      </c>
      <c r="H43" s="20" t="s">
        <v>38</v>
      </c>
      <c r="I43" s="26">
        <v>0.691689</v>
      </c>
      <c r="J43" s="22">
        <v>64.715779</v>
      </c>
      <c r="K43" s="27" t="s">
        <v>38</v>
      </c>
      <c r="L43" s="62">
        <v>72.703815</v>
      </c>
      <c r="M43" s="22">
        <v>71.547198</v>
      </c>
      <c r="N43" s="18"/>
      <c r="O43" s="18"/>
      <c r="T43" s="7">
        <v>0.021</v>
      </c>
      <c r="U43" s="7">
        <v>0.024</v>
      </c>
      <c r="V43" s="7">
        <v>0.049</v>
      </c>
      <c r="W43" s="5" t="s">
        <v>38</v>
      </c>
      <c r="X43" s="5" t="s">
        <v>38</v>
      </c>
      <c r="Y43" s="5" t="s">
        <v>38</v>
      </c>
      <c r="Z43" s="5" t="s">
        <v>38</v>
      </c>
      <c r="AA43" s="7">
        <v>7189</v>
      </c>
      <c r="AB43" s="7">
        <f t="shared" si="0"/>
        <v>7.189</v>
      </c>
      <c r="AC43" s="7">
        <v>8032</v>
      </c>
      <c r="AD43" s="7">
        <f t="shared" si="1"/>
        <v>8.032</v>
      </c>
      <c r="AE43" s="7">
        <v>691689</v>
      </c>
      <c r="AF43" s="7">
        <f t="shared" si="2"/>
        <v>691.689</v>
      </c>
      <c r="AG43" s="7">
        <v>64715779</v>
      </c>
      <c r="AH43" s="7">
        <f t="shared" si="3"/>
        <v>64.715779</v>
      </c>
      <c r="AI43" s="7">
        <f t="shared" si="4"/>
        <v>64715.779</v>
      </c>
    </row>
    <row r="44" spans="1:35" ht="15.75">
      <c r="A44" s="2" t="s">
        <v>40</v>
      </c>
      <c r="B44" s="19">
        <v>12.156</v>
      </c>
      <c r="C44" s="24">
        <v>52.436</v>
      </c>
      <c r="D44" s="22">
        <v>64.805</v>
      </c>
      <c r="E44" s="22">
        <v>75.01</v>
      </c>
      <c r="F44" s="40">
        <v>82.9</v>
      </c>
      <c r="G44" s="40">
        <v>79.352</v>
      </c>
      <c r="H44" s="19">
        <v>21.086359</v>
      </c>
      <c r="I44" s="24">
        <v>48.998466</v>
      </c>
      <c r="J44" s="22">
        <v>69.735044</v>
      </c>
      <c r="K44" s="25">
        <v>88.70479</v>
      </c>
      <c r="L44" s="62">
        <v>101.857303</v>
      </c>
      <c r="M44" s="22">
        <v>112.462868</v>
      </c>
      <c r="N44" s="18"/>
      <c r="O44" s="18"/>
      <c r="T44" s="7">
        <v>13.218</v>
      </c>
      <c r="U44" s="7">
        <v>20.451</v>
      </c>
      <c r="V44" s="7">
        <v>52.436</v>
      </c>
      <c r="W44" s="7">
        <v>13.218</v>
      </c>
      <c r="X44" s="7">
        <v>20.451</v>
      </c>
      <c r="Y44" s="7">
        <f>52</f>
        <v>52</v>
      </c>
      <c r="Z44" s="7">
        <f>65</f>
        <v>65</v>
      </c>
      <c r="AA44" s="7">
        <v>8092064</v>
      </c>
      <c r="AB44" s="7">
        <f t="shared" si="0"/>
        <v>8092.064</v>
      </c>
      <c r="AC44" s="7">
        <v>21086359</v>
      </c>
      <c r="AD44" s="7">
        <f t="shared" si="1"/>
        <v>21086.359</v>
      </c>
      <c r="AE44" s="7">
        <v>48998466</v>
      </c>
      <c r="AF44" s="7">
        <f t="shared" si="2"/>
        <v>48998.466</v>
      </c>
      <c r="AG44" s="7">
        <v>69735044</v>
      </c>
      <c r="AH44" s="7">
        <f t="shared" si="3"/>
        <v>69.735044</v>
      </c>
      <c r="AI44" s="7">
        <f t="shared" si="4"/>
        <v>69735.044</v>
      </c>
    </row>
    <row r="45" spans="1:35" ht="15.75">
      <c r="A45" s="2" t="s">
        <v>41</v>
      </c>
      <c r="B45" s="19">
        <v>72.825</v>
      </c>
      <c r="C45" s="24">
        <v>106.594</v>
      </c>
      <c r="D45" s="22">
        <v>150.533</v>
      </c>
      <c r="E45" s="22">
        <v>150.954</v>
      </c>
      <c r="F45" s="40">
        <v>176.014</v>
      </c>
      <c r="G45" s="40">
        <v>115.355</v>
      </c>
      <c r="H45" s="19">
        <v>41.201045</v>
      </c>
      <c r="I45" s="24">
        <v>52.306886</v>
      </c>
      <c r="J45" s="22">
        <v>62.187478</v>
      </c>
      <c r="K45" s="25">
        <v>71.569871</v>
      </c>
      <c r="L45" s="62">
        <v>80.224683</v>
      </c>
      <c r="M45" s="22">
        <v>88.689577</v>
      </c>
      <c r="N45" s="18"/>
      <c r="O45" s="18"/>
      <c r="T45" s="7">
        <v>49.529</v>
      </c>
      <c r="U45" s="7">
        <v>73.825</v>
      </c>
      <c r="V45" s="7">
        <v>106.594</v>
      </c>
      <c r="W45" s="7">
        <v>49.529</v>
      </c>
      <c r="X45" s="7">
        <v>73.825</v>
      </c>
      <c r="Y45" s="7">
        <f>107</f>
        <v>107</v>
      </c>
      <c r="Z45" s="7">
        <f>112</f>
        <v>112</v>
      </c>
      <c r="AA45" s="7">
        <v>19708219</v>
      </c>
      <c r="AB45" s="7">
        <f t="shared" si="0"/>
        <v>19708.219</v>
      </c>
      <c r="AC45" s="7">
        <v>41201045</v>
      </c>
      <c r="AD45" s="7">
        <f t="shared" si="1"/>
        <v>41201.045</v>
      </c>
      <c r="AE45" s="7">
        <v>52306886</v>
      </c>
      <c r="AF45" s="7">
        <f t="shared" si="2"/>
        <v>52306.886</v>
      </c>
      <c r="AG45" s="7">
        <v>62187478</v>
      </c>
      <c r="AH45" s="7">
        <f t="shared" si="3"/>
        <v>62.187478</v>
      </c>
      <c r="AI45" s="7">
        <f t="shared" si="4"/>
        <v>62187.478</v>
      </c>
    </row>
    <row r="46" spans="1:35" ht="15.75">
      <c r="A46" s="2" t="s">
        <v>42</v>
      </c>
      <c r="B46" s="19">
        <v>8.317</v>
      </c>
      <c r="C46" s="24">
        <v>13.518</v>
      </c>
      <c r="D46" s="22">
        <v>13.875</v>
      </c>
      <c r="E46" s="22">
        <v>13.084</v>
      </c>
      <c r="F46" s="40">
        <v>15.281</v>
      </c>
      <c r="G46" s="40">
        <v>15.841</v>
      </c>
      <c r="H46" s="19">
        <v>4.288006</v>
      </c>
      <c r="I46" s="24">
        <v>13.855721</v>
      </c>
      <c r="J46" s="22">
        <v>12.095451</v>
      </c>
      <c r="K46" s="25">
        <v>12.042675</v>
      </c>
      <c r="L46" s="62">
        <v>14.323061</v>
      </c>
      <c r="M46" s="22">
        <v>12.788469</v>
      </c>
      <c r="N46" s="18"/>
      <c r="O46" s="18"/>
      <c r="T46" s="7">
        <v>1.019</v>
      </c>
      <c r="U46" s="7">
        <v>8.317</v>
      </c>
      <c r="V46" s="7">
        <v>13.518</v>
      </c>
      <c r="W46" s="7">
        <v>1.019</v>
      </c>
      <c r="X46" s="7">
        <v>8.317</v>
      </c>
      <c r="Y46" s="7">
        <f>14</f>
        <v>14</v>
      </c>
      <c r="Z46" s="7">
        <f>14</f>
        <v>14</v>
      </c>
      <c r="AA46" s="7">
        <v>599352</v>
      </c>
      <c r="AB46" s="7">
        <f t="shared" si="0"/>
        <v>599.352</v>
      </c>
      <c r="AC46" s="7">
        <v>4288006</v>
      </c>
      <c r="AD46" s="7">
        <f t="shared" si="1"/>
        <v>4288.006</v>
      </c>
      <c r="AE46" s="7">
        <v>13855721</v>
      </c>
      <c r="AF46" s="7">
        <f t="shared" si="2"/>
        <v>13855.721</v>
      </c>
      <c r="AG46" s="7">
        <v>12095451</v>
      </c>
      <c r="AH46" s="7">
        <f t="shared" si="3"/>
        <v>12.095451</v>
      </c>
      <c r="AI46" s="7">
        <f t="shared" si="4"/>
        <v>12095.451</v>
      </c>
    </row>
    <row r="47" spans="1:35" ht="15.75">
      <c r="A47" s="2" t="s">
        <v>43</v>
      </c>
      <c r="B47" s="19">
        <v>11.4</v>
      </c>
      <c r="C47" s="24">
        <v>13.933</v>
      </c>
      <c r="D47" s="22">
        <v>16.227</v>
      </c>
      <c r="E47" s="22">
        <v>45.49</v>
      </c>
      <c r="F47" s="40">
        <v>44.646</v>
      </c>
      <c r="G47" s="40">
        <v>44.706</v>
      </c>
      <c r="H47" s="19">
        <v>6.107399</v>
      </c>
      <c r="I47" s="24">
        <v>9.448788</v>
      </c>
      <c r="J47" s="22">
        <v>11.807964</v>
      </c>
      <c r="K47" s="25">
        <v>24.939958</v>
      </c>
      <c r="L47" s="62">
        <v>35.255567</v>
      </c>
      <c r="M47" s="22">
        <v>34.023115</v>
      </c>
      <c r="N47" s="18"/>
      <c r="O47" s="18"/>
      <c r="T47" s="7">
        <v>9.713</v>
      </c>
      <c r="U47" s="7">
        <v>11.4</v>
      </c>
      <c r="V47" s="7">
        <v>13.933</v>
      </c>
      <c r="W47" s="7">
        <v>9.713</v>
      </c>
      <c r="X47" s="7">
        <v>11.4</v>
      </c>
      <c r="Y47" s="7">
        <f>14</f>
        <v>14</v>
      </c>
      <c r="Z47" s="7">
        <f>16</f>
        <v>16</v>
      </c>
      <c r="AA47" s="7">
        <v>3769747</v>
      </c>
      <c r="AB47" s="7">
        <f t="shared" si="0"/>
        <v>3769.747</v>
      </c>
      <c r="AC47" s="7">
        <v>6107399</v>
      </c>
      <c r="AD47" s="7">
        <f t="shared" si="1"/>
        <v>6107.399</v>
      </c>
      <c r="AE47" s="7">
        <v>9448788</v>
      </c>
      <c r="AF47" s="7">
        <f t="shared" si="2"/>
        <v>9448.788</v>
      </c>
      <c r="AG47" s="7">
        <v>11807964</v>
      </c>
      <c r="AH47" s="7">
        <f t="shared" si="3"/>
        <v>11.807964</v>
      </c>
      <c r="AI47" s="7">
        <f t="shared" si="4"/>
        <v>11807.964</v>
      </c>
    </row>
    <row r="48" spans="1:35" ht="15.75">
      <c r="A48" s="2" t="s">
        <v>44</v>
      </c>
      <c r="B48" s="19">
        <v>15.946</v>
      </c>
      <c r="C48" s="24">
        <v>28.026</v>
      </c>
      <c r="D48" s="22">
        <v>37.878</v>
      </c>
      <c r="E48" s="22">
        <v>47.183</v>
      </c>
      <c r="F48" s="40">
        <v>38.519</v>
      </c>
      <c r="G48" s="40">
        <v>39.316</v>
      </c>
      <c r="H48" s="19">
        <v>8.953691</v>
      </c>
      <c r="I48" s="24">
        <v>14.481406</v>
      </c>
      <c r="J48" s="22">
        <v>20.432048</v>
      </c>
      <c r="K48" s="25">
        <v>22.298807</v>
      </c>
      <c r="L48" s="62">
        <v>20.633096</v>
      </c>
      <c r="M48" s="22">
        <v>26.574447</v>
      </c>
      <c r="N48" s="18"/>
      <c r="O48" s="18"/>
      <c r="T48" s="7">
        <v>7.802</v>
      </c>
      <c r="U48" s="7">
        <v>15.946</v>
      </c>
      <c r="V48" s="7">
        <v>28.026</v>
      </c>
      <c r="W48" s="7">
        <v>7.802</v>
      </c>
      <c r="X48" s="7">
        <v>15.946</v>
      </c>
      <c r="Y48" s="7">
        <f>28</f>
        <v>28</v>
      </c>
      <c r="Z48" s="7">
        <f>38</f>
        <v>38</v>
      </c>
      <c r="AA48" s="7">
        <v>4110173</v>
      </c>
      <c r="AB48" s="7">
        <f t="shared" si="0"/>
        <v>4110.173</v>
      </c>
      <c r="AC48" s="7">
        <v>8953691</v>
      </c>
      <c r="AD48" s="7">
        <f t="shared" si="1"/>
        <v>8953.691</v>
      </c>
      <c r="AE48" s="7">
        <v>14481406</v>
      </c>
      <c r="AF48" s="7">
        <f t="shared" si="2"/>
        <v>14481.406</v>
      </c>
      <c r="AG48" s="7">
        <v>20432048</v>
      </c>
      <c r="AH48" s="7">
        <f t="shared" si="3"/>
        <v>20.432048</v>
      </c>
      <c r="AI48" s="7">
        <f t="shared" si="4"/>
        <v>20432.048</v>
      </c>
    </row>
    <row r="49" spans="1:35" ht="15.75">
      <c r="A49" s="2" t="s">
        <v>45</v>
      </c>
      <c r="B49" s="19">
        <v>4.272</v>
      </c>
      <c r="C49" s="24">
        <v>5.982</v>
      </c>
      <c r="D49" s="22">
        <v>8.138</v>
      </c>
      <c r="E49" s="22">
        <v>9.893</v>
      </c>
      <c r="F49" s="40">
        <v>10.969</v>
      </c>
      <c r="G49" s="40">
        <v>11.892</v>
      </c>
      <c r="H49" s="19">
        <v>1.636808</v>
      </c>
      <c r="I49" s="24">
        <v>2.957118</v>
      </c>
      <c r="J49" s="22">
        <v>3.916626</v>
      </c>
      <c r="K49" s="25">
        <v>4.365795</v>
      </c>
      <c r="L49" s="62">
        <v>7.256473</v>
      </c>
      <c r="M49" s="22">
        <v>7.564771</v>
      </c>
      <c r="N49" s="18"/>
      <c r="O49" s="18"/>
      <c r="T49" s="7">
        <v>4.554</v>
      </c>
      <c r="U49" s="7">
        <v>4.272</v>
      </c>
      <c r="V49" s="7">
        <v>5.982</v>
      </c>
      <c r="W49" s="7">
        <v>4.554</v>
      </c>
      <c r="X49" s="7">
        <v>4.272</v>
      </c>
      <c r="Y49" s="7">
        <f>6</f>
        <v>6</v>
      </c>
      <c r="Z49" s="7">
        <f>8</f>
        <v>8</v>
      </c>
      <c r="AA49" s="7">
        <v>902442</v>
      </c>
      <c r="AB49" s="7">
        <f t="shared" si="0"/>
        <v>902.442</v>
      </c>
      <c r="AC49" s="7">
        <v>1636808</v>
      </c>
      <c r="AD49" s="7">
        <f t="shared" si="1"/>
        <v>1636.808</v>
      </c>
      <c r="AE49" s="7">
        <v>2957118</v>
      </c>
      <c r="AF49" s="7">
        <f t="shared" si="2"/>
        <v>2957.118</v>
      </c>
      <c r="AG49" s="7">
        <v>3916626</v>
      </c>
      <c r="AH49" s="7">
        <f t="shared" si="3"/>
        <v>3.916626</v>
      </c>
      <c r="AI49" s="7">
        <f t="shared" si="4"/>
        <v>3916.626</v>
      </c>
    </row>
    <row r="50" spans="1:35" ht="15.75">
      <c r="A50" s="2" t="s">
        <v>46</v>
      </c>
      <c r="B50" s="19">
        <v>89.034</v>
      </c>
      <c r="C50" s="24">
        <v>99.847</v>
      </c>
      <c r="D50" s="22">
        <v>117.053</v>
      </c>
      <c r="E50" s="22">
        <v>119.272</v>
      </c>
      <c r="F50" s="40">
        <v>127.244</v>
      </c>
      <c r="G50" s="40">
        <v>129.591</v>
      </c>
      <c r="H50" s="19">
        <v>46.851431</v>
      </c>
      <c r="I50" s="24">
        <v>128.882674</v>
      </c>
      <c r="J50" s="22">
        <v>252.50747</v>
      </c>
      <c r="K50" s="25">
        <v>262.5906</v>
      </c>
      <c r="L50" s="62">
        <v>221.921443</v>
      </c>
      <c r="M50" s="22">
        <v>204.947566</v>
      </c>
      <c r="N50" s="18"/>
      <c r="O50" s="18"/>
      <c r="T50" s="7">
        <v>75.652</v>
      </c>
      <c r="U50" s="7">
        <v>89.034</v>
      </c>
      <c r="V50" s="7">
        <v>99.847</v>
      </c>
      <c r="W50" s="7">
        <v>75.652</v>
      </c>
      <c r="X50" s="7">
        <v>89.034</v>
      </c>
      <c r="Y50" s="7">
        <f>100</f>
        <v>100</v>
      </c>
      <c r="Z50" s="7">
        <f>117</f>
        <v>117</v>
      </c>
      <c r="AA50" s="7">
        <v>19615743</v>
      </c>
      <c r="AB50" s="7">
        <f t="shared" si="0"/>
        <v>19615.743</v>
      </c>
      <c r="AC50" s="7">
        <v>46851431</v>
      </c>
      <c r="AD50" s="7">
        <f t="shared" si="1"/>
        <v>46851.431</v>
      </c>
      <c r="AE50" s="7">
        <v>128882674</v>
      </c>
      <c r="AF50" s="7">
        <f t="shared" si="2"/>
        <v>128882.674</v>
      </c>
      <c r="AG50" s="7">
        <v>252507470</v>
      </c>
      <c r="AH50" s="7">
        <f t="shared" si="3"/>
        <v>252.50747</v>
      </c>
      <c r="AI50" s="7">
        <f t="shared" si="4"/>
        <v>252507.47</v>
      </c>
    </row>
    <row r="51" spans="1:35" ht="15.75">
      <c r="A51" s="2" t="s">
        <v>47</v>
      </c>
      <c r="B51" s="19">
        <v>7.971</v>
      </c>
      <c r="C51" s="24">
        <v>10.347</v>
      </c>
      <c r="D51" s="22">
        <v>19.94</v>
      </c>
      <c r="E51" s="22">
        <v>18.841</v>
      </c>
      <c r="F51" s="40">
        <v>20.804</v>
      </c>
      <c r="G51" s="40">
        <v>24.31</v>
      </c>
      <c r="H51" s="19">
        <v>3.442273</v>
      </c>
      <c r="I51" s="24">
        <v>8.023809</v>
      </c>
      <c r="J51" s="22">
        <v>13.893959</v>
      </c>
      <c r="K51" s="25">
        <v>18.203719</v>
      </c>
      <c r="L51" s="62">
        <v>21.356566</v>
      </c>
      <c r="M51" s="22">
        <v>23.186694</v>
      </c>
      <c r="N51" s="18"/>
      <c r="O51" s="18"/>
      <c r="T51" s="7">
        <v>4.5</v>
      </c>
      <c r="U51" s="7">
        <v>6.106</v>
      </c>
      <c r="V51" s="7">
        <v>10.347</v>
      </c>
      <c r="W51" s="7">
        <v>4.5</v>
      </c>
      <c r="X51" s="7">
        <v>6.106</v>
      </c>
      <c r="Y51" s="7">
        <f>10</f>
        <v>10</v>
      </c>
      <c r="Z51" s="7">
        <f>20</f>
        <v>20</v>
      </c>
      <c r="AA51" s="7">
        <v>767955</v>
      </c>
      <c r="AB51" s="7">
        <f t="shared" si="0"/>
        <v>767.955</v>
      </c>
      <c r="AC51" s="7">
        <v>3442273</v>
      </c>
      <c r="AD51" s="7">
        <f t="shared" si="1"/>
        <v>3442.273</v>
      </c>
      <c r="AE51" s="7">
        <v>8023809</v>
      </c>
      <c r="AF51" s="7">
        <f t="shared" si="2"/>
        <v>8023.809</v>
      </c>
      <c r="AG51" s="7">
        <v>13893959</v>
      </c>
      <c r="AH51" s="7">
        <f t="shared" si="3"/>
        <v>13.893959</v>
      </c>
      <c r="AI51" s="7">
        <f t="shared" si="4"/>
        <v>13893.959</v>
      </c>
    </row>
    <row r="52" spans="1:35" ht="15.75">
      <c r="A52" s="2" t="s">
        <v>48</v>
      </c>
      <c r="B52" s="19">
        <v>769.457</v>
      </c>
      <c r="C52" s="24">
        <v>872.949</v>
      </c>
      <c r="D52" s="22">
        <v>807.145</v>
      </c>
      <c r="E52" s="22">
        <v>896.728</v>
      </c>
      <c r="F52" s="40">
        <v>765.03</v>
      </c>
      <c r="G52" s="40">
        <v>618.973</v>
      </c>
      <c r="H52" s="19">
        <v>401.009677</v>
      </c>
      <c r="I52" s="24">
        <v>343.753853</v>
      </c>
      <c r="J52" s="22">
        <v>371.562639</v>
      </c>
      <c r="K52" s="25">
        <v>352.160811</v>
      </c>
      <c r="L52" s="62">
        <v>296.939517</v>
      </c>
      <c r="M52" s="22">
        <v>362.545278</v>
      </c>
      <c r="N52" s="18"/>
      <c r="O52" s="18"/>
      <c r="T52" s="7">
        <v>521.301</v>
      </c>
      <c r="U52" s="7">
        <v>769.457</v>
      </c>
      <c r="V52" s="7">
        <v>872.949</v>
      </c>
      <c r="W52" s="7">
        <v>521.301</v>
      </c>
      <c r="X52" s="7">
        <v>769.457</v>
      </c>
      <c r="Y52" s="7">
        <f>873</f>
        <v>873</v>
      </c>
      <c r="Z52" s="7">
        <f>807</f>
        <v>807</v>
      </c>
      <c r="AA52" s="7">
        <v>239428023</v>
      </c>
      <c r="AB52" s="7">
        <f aca="true" t="shared" si="5" ref="AB52:AB70">AA52/1000</f>
        <v>239428.023</v>
      </c>
      <c r="AC52" s="7">
        <v>401009677</v>
      </c>
      <c r="AD52" s="7">
        <f aca="true" t="shared" si="6" ref="AD52:AD70">AC52/1000</f>
        <v>401009.677</v>
      </c>
      <c r="AE52" s="7">
        <v>343753853</v>
      </c>
      <c r="AF52" s="7">
        <f aca="true" t="shared" si="7" ref="AF52:AF70">AE52/1000</f>
        <v>343753.853</v>
      </c>
      <c r="AG52" s="7">
        <v>371562639</v>
      </c>
      <c r="AH52" s="7">
        <f aca="true" t="shared" si="8" ref="AH52:AH70">AG52/1000000</f>
        <v>371.562639</v>
      </c>
      <c r="AI52" s="7">
        <f aca="true" t="shared" si="9" ref="AI52:AI70">AG52/1000</f>
        <v>371562.639</v>
      </c>
    </row>
    <row r="53" spans="1:35" ht="15.75">
      <c r="A53" s="2" t="s">
        <v>49</v>
      </c>
      <c r="B53" s="19">
        <v>103.567</v>
      </c>
      <c r="C53" s="24">
        <v>99.995</v>
      </c>
      <c r="D53" s="22">
        <v>120.378</v>
      </c>
      <c r="E53" s="22">
        <v>150.444</v>
      </c>
      <c r="F53" s="40">
        <v>174.434</v>
      </c>
      <c r="G53" s="40">
        <v>196.181</v>
      </c>
      <c r="H53" s="19">
        <v>65.489635</v>
      </c>
      <c r="I53" s="24">
        <v>70.869193</v>
      </c>
      <c r="J53" s="22">
        <v>86.032756</v>
      </c>
      <c r="K53" s="25">
        <v>130.708875</v>
      </c>
      <c r="L53" s="62">
        <v>166.24175</v>
      </c>
      <c r="M53" s="22">
        <v>210.977348</v>
      </c>
      <c r="N53" s="18"/>
      <c r="O53" s="18"/>
      <c r="T53" s="7">
        <v>57.3</v>
      </c>
      <c r="U53" s="7">
        <v>103.567</v>
      </c>
      <c r="V53" s="7">
        <v>98.65</v>
      </c>
      <c r="W53" s="7">
        <v>57.3</v>
      </c>
      <c r="X53" s="7">
        <v>103.567</v>
      </c>
      <c r="Y53" s="7">
        <f>100</f>
        <v>100</v>
      </c>
      <c r="Z53" s="7">
        <f>120</f>
        <v>120</v>
      </c>
      <c r="AA53" s="7">
        <v>34921018</v>
      </c>
      <c r="AB53" s="7">
        <f t="shared" si="5"/>
        <v>34921.018</v>
      </c>
      <c r="AC53" s="7">
        <v>65489635</v>
      </c>
      <c r="AD53" s="7">
        <f t="shared" si="6"/>
        <v>65489.635</v>
      </c>
      <c r="AE53" s="7">
        <v>70869193</v>
      </c>
      <c r="AF53" s="7">
        <f t="shared" si="7"/>
        <v>70869.193</v>
      </c>
      <c r="AG53" s="7">
        <v>86032756</v>
      </c>
      <c r="AH53" s="7">
        <f t="shared" si="8"/>
        <v>86.032756</v>
      </c>
      <c r="AI53" s="7">
        <f t="shared" si="9"/>
        <v>86032.756</v>
      </c>
    </row>
    <row r="54" spans="1:35" ht="15.75">
      <c r="A54" s="2" t="s">
        <v>50</v>
      </c>
      <c r="B54" s="19">
        <v>2.573</v>
      </c>
      <c r="C54" s="24">
        <v>3.404</v>
      </c>
      <c r="D54" s="22">
        <v>4.463</v>
      </c>
      <c r="E54" s="22">
        <v>4.953</v>
      </c>
      <c r="F54" s="40">
        <v>5.137</v>
      </c>
      <c r="G54" s="40">
        <v>5.725</v>
      </c>
      <c r="H54" s="19">
        <v>1.783451</v>
      </c>
      <c r="I54" s="24">
        <v>2.47975</v>
      </c>
      <c r="J54" s="22">
        <v>3.825164</v>
      </c>
      <c r="K54" s="25">
        <v>5.100694</v>
      </c>
      <c r="L54" s="62">
        <v>6.858392</v>
      </c>
      <c r="M54" s="22">
        <v>8.25105</v>
      </c>
      <c r="N54" s="18"/>
      <c r="O54" s="18"/>
      <c r="T54" s="7">
        <v>0.266</v>
      </c>
      <c r="U54" s="7">
        <v>2.573</v>
      </c>
      <c r="V54" s="7">
        <v>3.404</v>
      </c>
      <c r="W54" s="5" t="s">
        <v>38</v>
      </c>
      <c r="X54" s="7">
        <v>2.573</v>
      </c>
      <c r="Y54" s="7">
        <f>3</f>
        <v>3</v>
      </c>
      <c r="Z54" s="7">
        <f>4</f>
        <v>4</v>
      </c>
      <c r="AA54" s="7">
        <v>75874</v>
      </c>
      <c r="AB54" s="7">
        <f t="shared" si="5"/>
        <v>75.874</v>
      </c>
      <c r="AC54" s="7">
        <v>1783451</v>
      </c>
      <c r="AD54" s="7">
        <f t="shared" si="6"/>
        <v>1783.451</v>
      </c>
      <c r="AE54" s="7">
        <v>2479750</v>
      </c>
      <c r="AF54" s="7">
        <f t="shared" si="7"/>
        <v>2479.75</v>
      </c>
      <c r="AG54" s="7">
        <v>3825164</v>
      </c>
      <c r="AH54" s="7">
        <f t="shared" si="8"/>
        <v>3.825164</v>
      </c>
      <c r="AI54" s="7">
        <f t="shared" si="9"/>
        <v>3825.164</v>
      </c>
    </row>
    <row r="55" spans="1:35" ht="15.75">
      <c r="A55" s="2" t="s">
        <v>51</v>
      </c>
      <c r="B55" s="19">
        <v>118.29</v>
      </c>
      <c r="C55" s="24">
        <v>162.446</v>
      </c>
      <c r="D55" s="22">
        <v>183.034</v>
      </c>
      <c r="E55" s="22">
        <v>207.854</v>
      </c>
      <c r="F55" s="40">
        <v>220.19</v>
      </c>
      <c r="G55" s="40">
        <v>216.495</v>
      </c>
      <c r="H55" s="19">
        <v>53.069445</v>
      </c>
      <c r="I55" s="24">
        <v>100.155035</v>
      </c>
      <c r="J55" s="22">
        <v>129.032772</v>
      </c>
      <c r="K55" s="25">
        <v>138.518821</v>
      </c>
      <c r="L55" s="62">
        <v>167.117345</v>
      </c>
      <c r="M55" s="22">
        <v>172.340509</v>
      </c>
      <c r="N55" s="18"/>
      <c r="O55" s="18"/>
      <c r="T55" s="7">
        <v>83.688</v>
      </c>
      <c r="U55" s="7">
        <v>111.436</v>
      </c>
      <c r="V55" s="7">
        <v>158.265</v>
      </c>
      <c r="W55" s="7">
        <v>83.688</v>
      </c>
      <c r="X55" s="7">
        <v>111.436</v>
      </c>
      <c r="Y55" s="7">
        <f>162</f>
        <v>162</v>
      </c>
      <c r="Z55" s="7">
        <f>183</f>
        <v>183</v>
      </c>
      <c r="AA55" s="7">
        <v>35871992</v>
      </c>
      <c r="AB55" s="7">
        <f t="shared" si="5"/>
        <v>35871.992</v>
      </c>
      <c r="AC55" s="7">
        <v>53069445</v>
      </c>
      <c r="AD55" s="7">
        <f t="shared" si="6"/>
        <v>53069.445</v>
      </c>
      <c r="AE55" s="7">
        <v>100155035</v>
      </c>
      <c r="AF55" s="7">
        <f t="shared" si="7"/>
        <v>100155.035</v>
      </c>
      <c r="AG55" s="7">
        <v>129032772</v>
      </c>
      <c r="AH55" s="7">
        <f t="shared" si="8"/>
        <v>129.032772</v>
      </c>
      <c r="AI55" s="7">
        <f t="shared" si="9"/>
        <v>129032.772</v>
      </c>
    </row>
    <row r="56" spans="1:35" ht="15.75">
      <c r="A56" s="2" t="s">
        <v>52</v>
      </c>
      <c r="B56" s="19">
        <v>57.719</v>
      </c>
      <c r="C56" s="24">
        <v>38.858</v>
      </c>
      <c r="D56" s="22">
        <v>84.49</v>
      </c>
      <c r="E56" s="22">
        <v>91.914</v>
      </c>
      <c r="F56" s="40">
        <v>100.761</v>
      </c>
      <c r="G56" s="40">
        <v>108.1</v>
      </c>
      <c r="H56" s="19">
        <v>51.257243</v>
      </c>
      <c r="I56" s="24">
        <v>25.903411</v>
      </c>
      <c r="J56" s="22">
        <v>30.156974</v>
      </c>
      <c r="K56" s="25">
        <v>38.324254</v>
      </c>
      <c r="L56" s="62">
        <v>46.134374</v>
      </c>
      <c r="M56" s="22">
        <v>63.562104</v>
      </c>
      <c r="N56" s="18"/>
      <c r="O56" s="18"/>
      <c r="T56" s="7">
        <v>40.196</v>
      </c>
      <c r="U56" s="7">
        <v>57.719</v>
      </c>
      <c r="V56" s="7">
        <v>38.858</v>
      </c>
      <c r="W56" s="7">
        <v>40.196</v>
      </c>
      <c r="X56" s="7">
        <v>57.719</v>
      </c>
      <c r="Y56" s="7">
        <f>39</f>
        <v>39</v>
      </c>
      <c r="Z56" s="7">
        <f>84</f>
        <v>84</v>
      </c>
      <c r="AA56" s="7">
        <v>0</v>
      </c>
      <c r="AB56" s="7">
        <f t="shared" si="5"/>
        <v>0</v>
      </c>
      <c r="AC56" s="7">
        <v>51257243</v>
      </c>
      <c r="AD56" s="7">
        <f t="shared" si="6"/>
        <v>51257.243</v>
      </c>
      <c r="AE56" s="7">
        <v>25903211</v>
      </c>
      <c r="AF56" s="7">
        <f t="shared" si="7"/>
        <v>25903.211</v>
      </c>
      <c r="AG56" s="7">
        <v>30156974</v>
      </c>
      <c r="AH56" s="7">
        <f t="shared" si="8"/>
        <v>30.156974</v>
      </c>
      <c r="AI56" s="7">
        <f t="shared" si="9"/>
        <v>30156.974</v>
      </c>
    </row>
    <row r="57" spans="1:35" ht="15.75">
      <c r="A57" s="2" t="s">
        <v>53</v>
      </c>
      <c r="B57" s="19">
        <v>37.092</v>
      </c>
      <c r="C57" s="24">
        <v>41.468</v>
      </c>
      <c r="D57" s="22">
        <v>42.976</v>
      </c>
      <c r="E57" s="22">
        <v>44.752</v>
      </c>
      <c r="F57" s="40">
        <v>46.72</v>
      </c>
      <c r="G57" s="40">
        <v>52.722</v>
      </c>
      <c r="H57" s="19">
        <v>12.509268</v>
      </c>
      <c r="I57" s="24">
        <v>14.793063</v>
      </c>
      <c r="J57" s="22">
        <v>16.28596</v>
      </c>
      <c r="K57" s="25">
        <v>19.834535</v>
      </c>
      <c r="L57" s="62">
        <v>25.267409</v>
      </c>
      <c r="M57" s="22">
        <v>38.590395</v>
      </c>
      <c r="N57" s="18"/>
      <c r="O57" s="18"/>
      <c r="T57" s="7">
        <v>27.285</v>
      </c>
      <c r="U57" s="7">
        <v>37.092</v>
      </c>
      <c r="V57" s="7">
        <v>41.468</v>
      </c>
      <c r="W57" s="7">
        <v>27.285</v>
      </c>
      <c r="X57" s="7">
        <v>37.092</v>
      </c>
      <c r="Y57" s="7">
        <f>41</f>
        <v>41</v>
      </c>
      <c r="Z57" s="7">
        <f>43</f>
        <v>43</v>
      </c>
      <c r="AA57" s="7">
        <v>7246681</v>
      </c>
      <c r="AB57" s="7">
        <f t="shared" si="5"/>
        <v>7246.681</v>
      </c>
      <c r="AC57" s="7">
        <v>12509268</v>
      </c>
      <c r="AD57" s="7">
        <f t="shared" si="6"/>
        <v>12509.268</v>
      </c>
      <c r="AE57" s="7">
        <v>14793063</v>
      </c>
      <c r="AF57" s="7">
        <f t="shared" si="7"/>
        <v>14793.063</v>
      </c>
      <c r="AG57" s="7">
        <v>16285960</v>
      </c>
      <c r="AH57" s="7">
        <f t="shared" si="8"/>
        <v>16.28596</v>
      </c>
      <c r="AI57" s="7">
        <f t="shared" si="9"/>
        <v>16285.96</v>
      </c>
    </row>
    <row r="58" spans="1:35" ht="15.75">
      <c r="A58" s="2" t="s">
        <v>54</v>
      </c>
      <c r="B58" s="19">
        <v>119.71</v>
      </c>
      <c r="C58" s="24">
        <v>141.163</v>
      </c>
      <c r="D58" s="22">
        <v>148.689</v>
      </c>
      <c r="E58" s="22">
        <v>160.015</v>
      </c>
      <c r="F58" s="40">
        <v>177.415</v>
      </c>
      <c r="G58" s="40">
        <v>179.807</v>
      </c>
      <c r="H58" s="19">
        <v>70.683861</v>
      </c>
      <c r="I58" s="24">
        <v>90.653376</v>
      </c>
      <c r="J58" s="22">
        <v>104.009578</v>
      </c>
      <c r="K58" s="25">
        <v>120.304708</v>
      </c>
      <c r="L58" s="62">
        <v>126.615991</v>
      </c>
      <c r="M58" s="22">
        <v>140.892439</v>
      </c>
      <c r="N58" s="18"/>
      <c r="O58" s="18"/>
      <c r="T58" s="7">
        <v>81.758</v>
      </c>
      <c r="U58" s="7">
        <v>119.71</v>
      </c>
      <c r="V58" s="7">
        <v>141.163</v>
      </c>
      <c r="W58" s="7">
        <v>81.758</v>
      </c>
      <c r="X58" s="7">
        <v>119.71</v>
      </c>
      <c r="Y58" s="7">
        <f>141</f>
        <v>141</v>
      </c>
      <c r="Z58" s="7">
        <f>149</f>
        <v>149</v>
      </c>
      <c r="AA58" s="7">
        <v>42260916</v>
      </c>
      <c r="AB58" s="7">
        <f t="shared" si="5"/>
        <v>42260.916</v>
      </c>
      <c r="AC58" s="7">
        <v>70683861</v>
      </c>
      <c r="AD58" s="7">
        <f t="shared" si="6"/>
        <v>70683.861</v>
      </c>
      <c r="AE58" s="7">
        <v>90653376</v>
      </c>
      <c r="AF58" s="7">
        <f t="shared" si="7"/>
        <v>90653.376</v>
      </c>
      <c r="AG58" s="7">
        <v>104009578</v>
      </c>
      <c r="AH58" s="7">
        <f t="shared" si="8"/>
        <v>104.009578</v>
      </c>
      <c r="AI58" s="7">
        <f t="shared" si="9"/>
        <v>104009.578</v>
      </c>
    </row>
    <row r="59" spans="1:35" ht="15.75">
      <c r="A59" s="2" t="s">
        <v>55</v>
      </c>
      <c r="B59" s="19">
        <v>11.539</v>
      </c>
      <c r="C59" s="24">
        <v>17.398</v>
      </c>
      <c r="D59" s="22">
        <v>19.515</v>
      </c>
      <c r="E59" s="22">
        <v>24.505</v>
      </c>
      <c r="F59" s="40">
        <v>25.573</v>
      </c>
      <c r="G59" s="40">
        <v>27.144</v>
      </c>
      <c r="H59" s="19">
        <v>10.350177</v>
      </c>
      <c r="I59" s="24">
        <v>18.343906</v>
      </c>
      <c r="J59" s="22">
        <v>34.506325</v>
      </c>
      <c r="K59" s="25">
        <v>38.653564</v>
      </c>
      <c r="L59" s="62">
        <v>25.215427</v>
      </c>
      <c r="M59" s="22">
        <v>56.440564</v>
      </c>
      <c r="N59" s="18"/>
      <c r="O59" s="18"/>
      <c r="T59" s="7">
        <v>7.288</v>
      </c>
      <c r="U59" s="7">
        <v>11.539</v>
      </c>
      <c r="V59" s="7">
        <v>17.398</v>
      </c>
      <c r="W59" s="7">
        <v>7.288</v>
      </c>
      <c r="X59" s="7">
        <v>11.539</v>
      </c>
      <c r="Y59" s="7">
        <f>17</f>
        <v>17</v>
      </c>
      <c r="Z59" s="7">
        <f>20</f>
        <v>20</v>
      </c>
      <c r="AA59" s="7">
        <v>2321095</v>
      </c>
      <c r="AB59" s="7">
        <f t="shared" si="5"/>
        <v>2321.095</v>
      </c>
      <c r="AC59" s="7">
        <v>10350177</v>
      </c>
      <c r="AD59" s="7">
        <f t="shared" si="6"/>
        <v>10350.177</v>
      </c>
      <c r="AE59" s="7">
        <v>18343906</v>
      </c>
      <c r="AF59" s="7">
        <f t="shared" si="7"/>
        <v>18343.906</v>
      </c>
      <c r="AG59" s="7">
        <v>34506325</v>
      </c>
      <c r="AH59" s="7">
        <f t="shared" si="8"/>
        <v>34.506325</v>
      </c>
      <c r="AI59" s="7">
        <f t="shared" si="9"/>
        <v>34506.325</v>
      </c>
    </row>
    <row r="60" spans="1:35" ht="15.75">
      <c r="A60" s="2" t="s">
        <v>56</v>
      </c>
      <c r="B60" s="19">
        <v>60.415</v>
      </c>
      <c r="C60" s="38">
        <v>66.183</v>
      </c>
      <c r="D60" s="22">
        <v>66.591</v>
      </c>
      <c r="E60" s="22">
        <v>90.764</v>
      </c>
      <c r="F60" s="40">
        <v>75.597</v>
      </c>
      <c r="G60" s="40">
        <v>80.646</v>
      </c>
      <c r="H60" s="19">
        <v>46.59072</v>
      </c>
      <c r="I60" s="24">
        <v>48.516408</v>
      </c>
      <c r="J60" s="22">
        <v>41.550241</v>
      </c>
      <c r="K60" s="25">
        <v>44.89347</v>
      </c>
      <c r="L60" s="62">
        <v>50.755121</v>
      </c>
      <c r="M60" s="22">
        <v>57.330011</v>
      </c>
      <c r="N60" s="18"/>
      <c r="O60" s="18"/>
      <c r="T60" s="7">
        <v>45.737</v>
      </c>
      <c r="U60" s="7">
        <v>59.853</v>
      </c>
      <c r="V60" s="7">
        <v>66.183</v>
      </c>
      <c r="W60" s="7">
        <v>45.737</v>
      </c>
      <c r="X60" s="7">
        <v>59.853</v>
      </c>
      <c r="Y60" s="7">
        <f>66</f>
        <v>66</v>
      </c>
      <c r="Z60" s="7">
        <f>69</f>
        <v>69</v>
      </c>
      <c r="AA60" s="7">
        <v>43205043</v>
      </c>
      <c r="AB60" s="7">
        <f t="shared" si="5"/>
        <v>43205.043</v>
      </c>
      <c r="AC60" s="7">
        <v>46590720</v>
      </c>
      <c r="AD60" s="7">
        <f t="shared" si="6"/>
        <v>46590.72</v>
      </c>
      <c r="AE60" s="7">
        <v>48516408</v>
      </c>
      <c r="AF60" s="7">
        <f t="shared" si="7"/>
        <v>48516.408</v>
      </c>
      <c r="AG60" s="7">
        <v>41550241</v>
      </c>
      <c r="AH60" s="7">
        <f t="shared" si="8"/>
        <v>41.550241</v>
      </c>
      <c r="AI60" s="7">
        <f t="shared" si="9"/>
        <v>41550.241</v>
      </c>
    </row>
    <row r="61" spans="1:35" ht="15.75">
      <c r="A61" s="2" t="s">
        <v>57</v>
      </c>
      <c r="B61" s="19">
        <v>5.888</v>
      </c>
      <c r="C61" s="24">
        <v>9.043</v>
      </c>
      <c r="D61" s="22">
        <v>11.233</v>
      </c>
      <c r="E61" s="22">
        <v>12.288</v>
      </c>
      <c r="F61" s="40">
        <v>13.397</v>
      </c>
      <c r="G61" s="40">
        <v>14.038</v>
      </c>
      <c r="H61" s="19">
        <v>3.109216</v>
      </c>
      <c r="I61" s="24">
        <v>5.229694</v>
      </c>
      <c r="J61" s="22">
        <v>8.657394</v>
      </c>
      <c r="K61" s="25">
        <v>9.137945</v>
      </c>
      <c r="L61" s="62">
        <v>10.852632</v>
      </c>
      <c r="M61" s="22">
        <v>11.893911</v>
      </c>
      <c r="N61" s="18"/>
      <c r="O61" s="18"/>
      <c r="T61" s="7">
        <v>3.191</v>
      </c>
      <c r="U61" s="7">
        <v>5.888</v>
      </c>
      <c r="V61" s="7">
        <v>8.937</v>
      </c>
      <c r="W61" s="7">
        <v>3.191</v>
      </c>
      <c r="X61" s="7">
        <v>5.888</v>
      </c>
      <c r="Y61" s="7">
        <f>9</f>
        <v>9</v>
      </c>
      <c r="Z61" s="7">
        <f>11</f>
        <v>11</v>
      </c>
      <c r="AA61" s="7">
        <v>1494027</v>
      </c>
      <c r="AB61" s="7">
        <f t="shared" si="5"/>
        <v>1494.027</v>
      </c>
      <c r="AC61" s="7">
        <v>3109216</v>
      </c>
      <c r="AD61" s="7">
        <f t="shared" si="6"/>
        <v>3109.216</v>
      </c>
      <c r="AE61" s="7">
        <v>5229694</v>
      </c>
      <c r="AF61" s="7">
        <f t="shared" si="7"/>
        <v>5229.694</v>
      </c>
      <c r="AG61" s="7">
        <v>8657394</v>
      </c>
      <c r="AH61" s="7">
        <f t="shared" si="8"/>
        <v>8.657394</v>
      </c>
      <c r="AI61" s="7">
        <f t="shared" si="9"/>
        <v>8657.394</v>
      </c>
    </row>
    <row r="62" spans="1:35" ht="15.75">
      <c r="A62" s="2" t="s">
        <v>58</v>
      </c>
      <c r="B62" s="19">
        <v>14.861</v>
      </c>
      <c r="C62" s="24">
        <v>8.615</v>
      </c>
      <c r="D62" s="29">
        <v>10.216</v>
      </c>
      <c r="E62" s="29" t="s">
        <v>39</v>
      </c>
      <c r="F62" s="40" t="s">
        <v>39</v>
      </c>
      <c r="G62" s="40" t="s">
        <v>39</v>
      </c>
      <c r="H62" s="19">
        <v>41.705133</v>
      </c>
      <c r="I62" s="24">
        <v>14.439397</v>
      </c>
      <c r="J62" s="22">
        <v>3.994469</v>
      </c>
      <c r="K62" s="28" t="s">
        <v>39</v>
      </c>
      <c r="L62" s="62">
        <v>4.465223</v>
      </c>
      <c r="M62" s="22">
        <v>3.420306</v>
      </c>
      <c r="N62" s="18"/>
      <c r="O62" s="18"/>
      <c r="T62" s="7">
        <v>9.732</v>
      </c>
      <c r="U62" s="7">
        <v>14.861</v>
      </c>
      <c r="V62" s="7">
        <v>8.615</v>
      </c>
      <c r="W62" s="7">
        <v>9.732</v>
      </c>
      <c r="X62" s="7">
        <v>14.861</v>
      </c>
      <c r="Y62" s="7">
        <f>9</f>
        <v>9</v>
      </c>
      <c r="Z62" s="1" t="s">
        <v>6</v>
      </c>
      <c r="AA62" s="7">
        <v>0</v>
      </c>
      <c r="AB62" s="7">
        <f t="shared" si="5"/>
        <v>0</v>
      </c>
      <c r="AC62" s="7">
        <v>41705133</v>
      </c>
      <c r="AD62" s="7">
        <f t="shared" si="6"/>
        <v>41705.133</v>
      </c>
      <c r="AE62" s="7">
        <v>14439397</v>
      </c>
      <c r="AF62" s="7">
        <f t="shared" si="7"/>
        <v>14439.397</v>
      </c>
      <c r="AG62" s="7">
        <v>3994469</v>
      </c>
      <c r="AH62" s="7">
        <f t="shared" si="8"/>
        <v>3.994469</v>
      </c>
      <c r="AI62" s="7">
        <f t="shared" si="9"/>
        <v>3994.469</v>
      </c>
    </row>
    <row r="63" spans="1:35" ht="15.75">
      <c r="A63" s="2" t="s">
        <v>59</v>
      </c>
      <c r="B63" s="19">
        <v>131.096</v>
      </c>
      <c r="C63" s="24">
        <v>501.167</v>
      </c>
      <c r="D63" s="22">
        <v>727.459</v>
      </c>
      <c r="E63" s="22">
        <v>726.428</v>
      </c>
      <c r="F63" s="40">
        <v>650.856</v>
      </c>
      <c r="G63" s="40">
        <v>526.406</v>
      </c>
      <c r="H63" s="19">
        <v>41.432546</v>
      </c>
      <c r="I63" s="24">
        <v>264.017608</v>
      </c>
      <c r="J63" s="22">
        <v>535.735402</v>
      </c>
      <c r="K63" s="25">
        <v>405.628641</v>
      </c>
      <c r="L63" s="62">
        <v>282.484151</v>
      </c>
      <c r="M63" s="22">
        <v>287.658739</v>
      </c>
      <c r="N63" s="18"/>
      <c r="O63" s="18"/>
      <c r="T63" s="7">
        <v>50.878</v>
      </c>
      <c r="U63" s="7">
        <v>130.519</v>
      </c>
      <c r="V63" s="7">
        <v>500.95</v>
      </c>
      <c r="W63" s="7">
        <v>50.878</v>
      </c>
      <c r="X63" s="7">
        <v>130.519</v>
      </c>
      <c r="Y63" s="7">
        <f>501</f>
        <v>501</v>
      </c>
      <c r="Z63" s="7">
        <f>727</f>
        <v>727</v>
      </c>
      <c r="AA63" s="7">
        <v>38520425</v>
      </c>
      <c r="AB63" s="7">
        <f t="shared" si="5"/>
        <v>38520.425</v>
      </c>
      <c r="AC63" s="7">
        <v>41432546</v>
      </c>
      <c r="AD63" s="7">
        <f t="shared" si="6"/>
        <v>41432.546</v>
      </c>
      <c r="AE63" s="7">
        <v>264017608</v>
      </c>
      <c r="AF63" s="7">
        <f t="shared" si="7"/>
        <v>264017.608</v>
      </c>
      <c r="AG63" s="7">
        <v>535735402</v>
      </c>
      <c r="AH63" s="7">
        <f t="shared" si="8"/>
        <v>535.735402</v>
      </c>
      <c r="AI63" s="7">
        <f t="shared" si="9"/>
        <v>535735.402</v>
      </c>
    </row>
    <row r="64" spans="1:35" ht="15.75">
      <c r="A64" s="2" t="s">
        <v>60</v>
      </c>
      <c r="B64" s="19">
        <v>25.294</v>
      </c>
      <c r="C64" s="24">
        <v>34.655</v>
      </c>
      <c r="D64" s="22">
        <v>33.808</v>
      </c>
      <c r="E64" s="22">
        <v>37.766</v>
      </c>
      <c r="F64" s="40">
        <v>38.856</v>
      </c>
      <c r="G64" s="40">
        <v>43.931</v>
      </c>
      <c r="H64" s="19">
        <v>12.841653</v>
      </c>
      <c r="I64" s="24">
        <v>22.558457</v>
      </c>
      <c r="J64" s="22">
        <v>25.838081</v>
      </c>
      <c r="K64" s="25">
        <v>20.090252</v>
      </c>
      <c r="L64" s="62">
        <v>28.04152</v>
      </c>
      <c r="M64" s="22">
        <v>28.68918</v>
      </c>
      <c r="N64" s="18"/>
      <c r="O64" s="18"/>
      <c r="T64" s="7">
        <v>13.04</v>
      </c>
      <c r="U64" s="7">
        <v>25.294</v>
      </c>
      <c r="V64" s="7">
        <v>34.655</v>
      </c>
      <c r="W64" s="7">
        <v>13.04</v>
      </c>
      <c r="X64" s="7">
        <v>25.294</v>
      </c>
      <c r="Y64" s="7">
        <f>35</f>
        <v>35</v>
      </c>
      <c r="Z64" s="7">
        <f>34</f>
        <v>34</v>
      </c>
      <c r="AA64" s="7">
        <v>7994253</v>
      </c>
      <c r="AB64" s="7">
        <f t="shared" si="5"/>
        <v>7994.253</v>
      </c>
      <c r="AC64" s="7">
        <v>12841653</v>
      </c>
      <c r="AD64" s="7">
        <f t="shared" si="6"/>
        <v>12841.653</v>
      </c>
      <c r="AE64" s="7">
        <v>22558457</v>
      </c>
      <c r="AF64" s="7">
        <f t="shared" si="7"/>
        <v>22558.457</v>
      </c>
      <c r="AG64" s="7">
        <v>25838081</v>
      </c>
      <c r="AH64" s="7">
        <f t="shared" si="8"/>
        <v>25.838081</v>
      </c>
      <c r="AI64" s="7">
        <f t="shared" si="9"/>
        <v>25838.081</v>
      </c>
    </row>
    <row r="65" spans="1:35" ht="15.75">
      <c r="A65" s="2" t="s">
        <v>61</v>
      </c>
      <c r="B65" s="19">
        <v>4.081</v>
      </c>
      <c r="C65" s="24">
        <v>5.352</v>
      </c>
      <c r="D65" s="22">
        <v>6.162</v>
      </c>
      <c r="E65" s="22">
        <v>6.541</v>
      </c>
      <c r="F65" s="40">
        <v>6.693</v>
      </c>
      <c r="G65" s="40">
        <v>6.614</v>
      </c>
      <c r="H65" s="19">
        <v>1.430488</v>
      </c>
      <c r="I65" s="24">
        <v>2.33963</v>
      </c>
      <c r="J65" s="22">
        <v>2.553015</v>
      </c>
      <c r="K65" s="25">
        <v>3.083899</v>
      </c>
      <c r="L65" s="62">
        <v>3.24664</v>
      </c>
      <c r="M65" s="22">
        <v>3.664187</v>
      </c>
      <c r="N65" s="18"/>
      <c r="O65" s="18"/>
      <c r="T65" s="7">
        <v>2.055</v>
      </c>
      <c r="U65" s="7">
        <v>4.081</v>
      </c>
      <c r="V65" s="7">
        <v>2.996</v>
      </c>
      <c r="W65" s="7">
        <v>2.055</v>
      </c>
      <c r="X65" s="7">
        <v>4.081</v>
      </c>
      <c r="Y65" s="7">
        <f>5</f>
        <v>5</v>
      </c>
      <c r="Z65" s="7">
        <f>6</f>
        <v>6</v>
      </c>
      <c r="AA65" s="7">
        <v>524624</v>
      </c>
      <c r="AB65" s="7">
        <f t="shared" si="5"/>
        <v>524.624</v>
      </c>
      <c r="AC65" s="7">
        <v>1430488</v>
      </c>
      <c r="AD65" s="7">
        <f t="shared" si="6"/>
        <v>1430.488</v>
      </c>
      <c r="AE65" s="7">
        <v>2339630</v>
      </c>
      <c r="AF65" s="7">
        <f t="shared" si="7"/>
        <v>2339.63</v>
      </c>
      <c r="AG65" s="7">
        <v>2553015</v>
      </c>
      <c r="AH65" s="7">
        <f t="shared" si="8"/>
        <v>2.553015</v>
      </c>
      <c r="AI65" s="7">
        <f t="shared" si="9"/>
        <v>2553.015</v>
      </c>
    </row>
    <row r="66" spans="1:35" ht="15.75">
      <c r="A66" s="2" t="s">
        <v>62</v>
      </c>
      <c r="B66" s="19">
        <v>37.681</v>
      </c>
      <c r="C66" s="24">
        <v>73.102</v>
      </c>
      <c r="D66" s="22">
        <v>67.974</v>
      </c>
      <c r="E66" s="22">
        <v>83.716</v>
      </c>
      <c r="F66" s="40">
        <v>99.569</v>
      </c>
      <c r="G66" s="40">
        <v>124.055</v>
      </c>
      <c r="H66" s="19">
        <v>18.55776</v>
      </c>
      <c r="I66" s="24">
        <v>28.926766</v>
      </c>
      <c r="J66" s="22">
        <v>39.733144</v>
      </c>
      <c r="K66" s="25">
        <v>51.252096</v>
      </c>
      <c r="L66" s="62">
        <v>62.955316</v>
      </c>
      <c r="M66" s="22">
        <v>79.808094</v>
      </c>
      <c r="N66" s="18"/>
      <c r="O66" s="18"/>
      <c r="T66" s="7">
        <v>16.895</v>
      </c>
      <c r="U66" s="7">
        <v>37.681</v>
      </c>
      <c r="V66" s="7">
        <v>73.102</v>
      </c>
      <c r="W66" s="7">
        <v>16.895</v>
      </c>
      <c r="X66" s="7">
        <v>37.681</v>
      </c>
      <c r="Y66" s="7">
        <f>73</f>
        <v>73</v>
      </c>
      <c r="Z66" s="7">
        <f>68</f>
        <v>68</v>
      </c>
      <c r="AA66" s="7">
        <v>4992151</v>
      </c>
      <c r="AB66" s="7">
        <f t="shared" si="5"/>
        <v>4992.151</v>
      </c>
      <c r="AC66" s="7">
        <v>18557760</v>
      </c>
      <c r="AD66" s="7">
        <f t="shared" si="6"/>
        <v>18557.76</v>
      </c>
      <c r="AE66" s="7">
        <v>28926766</v>
      </c>
      <c r="AF66" s="7">
        <f t="shared" si="7"/>
        <v>28926.766</v>
      </c>
      <c r="AG66" s="7">
        <v>39733144</v>
      </c>
      <c r="AH66" s="7">
        <f t="shared" si="8"/>
        <v>39.733144</v>
      </c>
      <c r="AI66" s="7">
        <f t="shared" si="9"/>
        <v>39733.144</v>
      </c>
    </row>
    <row r="67" spans="1:35" ht="15.75">
      <c r="A67" s="2" t="s">
        <v>63</v>
      </c>
      <c r="B67" s="19">
        <v>2.616</v>
      </c>
      <c r="C67" s="24">
        <v>7.621</v>
      </c>
      <c r="D67" s="22">
        <v>8.754</v>
      </c>
      <c r="E67" s="22">
        <v>9.571</v>
      </c>
      <c r="F67" s="42">
        <v>17.002</v>
      </c>
      <c r="G67" s="42">
        <v>15.547</v>
      </c>
      <c r="H67" s="19">
        <v>0.604279</v>
      </c>
      <c r="I67" s="24">
        <v>5.534659</v>
      </c>
      <c r="J67" s="22">
        <v>8.041411</v>
      </c>
      <c r="K67" s="25">
        <v>16.153508</v>
      </c>
      <c r="L67" s="62">
        <v>39.21118</v>
      </c>
      <c r="M67" s="22">
        <v>40.295674</v>
      </c>
      <c r="N67" s="18"/>
      <c r="O67" s="18"/>
      <c r="T67" s="7">
        <v>0</v>
      </c>
      <c r="U67" s="7">
        <v>2.616</v>
      </c>
      <c r="V67" s="7">
        <v>7.621</v>
      </c>
      <c r="W67" s="7">
        <v>0</v>
      </c>
      <c r="X67" s="7">
        <v>2.616</v>
      </c>
      <c r="Y67" s="7">
        <f>8</f>
        <v>8</v>
      </c>
      <c r="Z67" s="7">
        <f>9</f>
        <v>9</v>
      </c>
      <c r="AA67" s="7">
        <v>0</v>
      </c>
      <c r="AB67" s="7">
        <f t="shared" si="5"/>
        <v>0</v>
      </c>
      <c r="AC67" s="7">
        <v>604279</v>
      </c>
      <c r="AD67" s="7">
        <f t="shared" si="6"/>
        <v>604.279</v>
      </c>
      <c r="AE67" s="7">
        <v>5534659</v>
      </c>
      <c r="AF67" s="7">
        <f t="shared" si="7"/>
        <v>5534.659</v>
      </c>
      <c r="AG67" s="7">
        <v>8041411</v>
      </c>
      <c r="AH67" s="7">
        <f t="shared" si="8"/>
        <v>8.041411</v>
      </c>
      <c r="AI67" s="7">
        <f t="shared" si="9"/>
        <v>8041.411</v>
      </c>
    </row>
    <row r="68" spans="1:35" ht="15.75">
      <c r="A68" s="2" t="s">
        <v>64</v>
      </c>
      <c r="B68" s="19">
        <v>21.659</v>
      </c>
      <c r="C68" s="24">
        <v>33.144</v>
      </c>
      <c r="D68" s="22">
        <v>35.949</v>
      </c>
      <c r="E68" s="22">
        <v>35.32</v>
      </c>
      <c r="F68" s="42">
        <v>36.906</v>
      </c>
      <c r="G68" s="42">
        <v>38.614</v>
      </c>
      <c r="H68" s="19">
        <v>9.692128</v>
      </c>
      <c r="I68" s="24">
        <v>22.197075</v>
      </c>
      <c r="J68" s="22">
        <v>26.89162</v>
      </c>
      <c r="K68" s="25">
        <v>26.960799</v>
      </c>
      <c r="L68" s="62">
        <v>30.822231</v>
      </c>
      <c r="M68" s="22">
        <v>33.250441</v>
      </c>
      <c r="N68" s="18"/>
      <c r="O68" s="18"/>
      <c r="T68" s="7">
        <v>7.957</v>
      </c>
      <c r="U68" s="7">
        <v>21.659</v>
      </c>
      <c r="V68" s="7">
        <v>33.144</v>
      </c>
      <c r="W68" s="7">
        <v>7.957</v>
      </c>
      <c r="X68" s="7">
        <v>21.659</v>
      </c>
      <c r="Y68" s="7">
        <f>33</f>
        <v>33</v>
      </c>
      <c r="Z68" s="7">
        <f>36</f>
        <v>36</v>
      </c>
      <c r="AA68" s="7">
        <v>1075534</v>
      </c>
      <c r="AB68" s="7">
        <f t="shared" si="5"/>
        <v>1075.534</v>
      </c>
      <c r="AC68" s="7">
        <v>9692128</v>
      </c>
      <c r="AD68" s="7">
        <f t="shared" si="6"/>
        <v>9692.128</v>
      </c>
      <c r="AE68" s="7">
        <v>22197075</v>
      </c>
      <c r="AF68" s="7">
        <f t="shared" si="7"/>
        <v>22197.075</v>
      </c>
      <c r="AG68" s="7">
        <v>26891620</v>
      </c>
      <c r="AH68" s="7">
        <f t="shared" si="8"/>
        <v>26.89162</v>
      </c>
      <c r="AI68" s="7">
        <f t="shared" si="9"/>
        <v>26891.62</v>
      </c>
    </row>
    <row r="69" spans="1:35" ht="15.75">
      <c r="A69" s="2" t="s">
        <v>65</v>
      </c>
      <c r="B69" s="19">
        <v>47.14</v>
      </c>
      <c r="C69" s="24">
        <v>57.183</v>
      </c>
      <c r="D69" s="22">
        <v>59.85</v>
      </c>
      <c r="E69" s="22">
        <v>68.641</v>
      </c>
      <c r="F69" s="42">
        <v>67.893</v>
      </c>
      <c r="G69" s="42">
        <v>57.165</v>
      </c>
      <c r="H69" s="19">
        <v>21.39421</v>
      </c>
      <c r="I69" s="24">
        <v>55.593342</v>
      </c>
      <c r="J69" s="22">
        <v>80.272444</v>
      </c>
      <c r="K69" s="25">
        <v>94.908765</v>
      </c>
      <c r="L69" s="62">
        <v>96.689527</v>
      </c>
      <c r="M69" s="22">
        <v>86.272384</v>
      </c>
      <c r="N69" s="18"/>
      <c r="O69" s="18"/>
      <c r="T69" s="7">
        <v>12.949</v>
      </c>
      <c r="U69" s="7">
        <v>47.14</v>
      </c>
      <c r="V69" s="7">
        <v>57.183</v>
      </c>
      <c r="W69" s="7">
        <v>12.949</v>
      </c>
      <c r="X69" s="7">
        <v>47.14</v>
      </c>
      <c r="Y69" s="7">
        <f>57</f>
        <v>57</v>
      </c>
      <c r="Z69" s="7">
        <f>62</f>
        <v>62</v>
      </c>
      <c r="AA69" s="7">
        <v>2067151</v>
      </c>
      <c r="AB69" s="7">
        <f t="shared" si="5"/>
        <v>2067.151</v>
      </c>
      <c r="AC69" s="7">
        <v>21394210</v>
      </c>
      <c r="AD69" s="7">
        <f t="shared" si="6"/>
        <v>21394.21</v>
      </c>
      <c r="AE69" s="7">
        <v>55593342</v>
      </c>
      <c r="AF69" s="7">
        <f t="shared" si="7"/>
        <v>55593.342</v>
      </c>
      <c r="AG69" s="7">
        <v>80272444</v>
      </c>
      <c r="AH69" s="7">
        <f t="shared" si="8"/>
        <v>80.272444</v>
      </c>
      <c r="AI69" s="7">
        <f t="shared" si="9"/>
        <v>80272.444</v>
      </c>
    </row>
    <row r="70" spans="1:35" ht="15.75">
      <c r="A70" s="35" t="s">
        <v>66</v>
      </c>
      <c r="B70" s="70">
        <v>2.547</v>
      </c>
      <c r="C70" s="33">
        <v>4.652</v>
      </c>
      <c r="D70" s="33">
        <v>5.059</v>
      </c>
      <c r="E70" s="33">
        <v>5.241</v>
      </c>
      <c r="F70" s="43">
        <v>5.525</v>
      </c>
      <c r="G70" s="43">
        <v>6.12</v>
      </c>
      <c r="H70" s="70">
        <v>1.040982</v>
      </c>
      <c r="I70" s="33">
        <v>2.960315</v>
      </c>
      <c r="J70" s="33">
        <v>3.158772</v>
      </c>
      <c r="K70" s="34">
        <v>3.908943</v>
      </c>
      <c r="L70" s="34">
        <v>5.17356</v>
      </c>
      <c r="M70" s="33">
        <v>5.735019</v>
      </c>
      <c r="N70" s="18"/>
      <c r="O70" s="18"/>
      <c r="T70" s="7">
        <v>0</v>
      </c>
      <c r="U70" s="7">
        <v>2.547</v>
      </c>
      <c r="V70" s="7">
        <v>4.652</v>
      </c>
      <c r="W70" s="7">
        <v>0</v>
      </c>
      <c r="X70" s="7">
        <v>2.547</v>
      </c>
      <c r="Y70" s="7">
        <f>5</f>
        <v>5</v>
      </c>
      <c r="Z70" s="7">
        <f>5</f>
        <v>5</v>
      </c>
      <c r="AA70" s="7">
        <v>0</v>
      </c>
      <c r="AB70" s="7">
        <f t="shared" si="5"/>
        <v>0</v>
      </c>
      <c r="AC70" s="7">
        <v>1040982</v>
      </c>
      <c r="AD70" s="7">
        <f t="shared" si="6"/>
        <v>1040.982</v>
      </c>
      <c r="AE70" s="7">
        <v>2960315</v>
      </c>
      <c r="AF70" s="7">
        <f t="shared" si="7"/>
        <v>2960.315</v>
      </c>
      <c r="AG70" s="7">
        <v>3158772</v>
      </c>
      <c r="AH70" s="7">
        <f t="shared" si="8"/>
        <v>3.158772</v>
      </c>
      <c r="AI70" s="7">
        <f t="shared" si="9"/>
        <v>3158.772</v>
      </c>
    </row>
    <row r="71" spans="1:33" ht="15.75">
      <c r="A71" s="2" t="s">
        <v>87</v>
      </c>
      <c r="B71" s="56"/>
      <c r="C71" s="16"/>
      <c r="D71" s="16"/>
      <c r="E71" s="16"/>
      <c r="F71" s="16"/>
      <c r="G71" s="16"/>
      <c r="H71" s="16"/>
      <c r="I71" s="16"/>
      <c r="J71" s="16"/>
      <c r="K71" s="16"/>
      <c r="T71" s="3" t="s">
        <v>6</v>
      </c>
      <c r="U71" s="3" t="s">
        <v>6</v>
      </c>
      <c r="V71" s="3" t="s">
        <v>6</v>
      </c>
      <c r="W71" s="3" t="s">
        <v>6</v>
      </c>
      <c r="X71" s="3" t="s">
        <v>6</v>
      </c>
      <c r="Y71" s="3" t="s">
        <v>67</v>
      </c>
      <c r="Z71" s="3" t="s">
        <v>6</v>
      </c>
      <c r="AA71" s="3" t="s">
        <v>6</v>
      </c>
      <c r="AC71" s="3" t="s">
        <v>6</v>
      </c>
      <c r="AE71" s="3" t="s">
        <v>6</v>
      </c>
      <c r="AG71" s="3" t="s">
        <v>6</v>
      </c>
    </row>
    <row r="72" spans="1:11" ht="15.75">
      <c r="A72" s="2" t="s">
        <v>68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ht="15.75">
      <c r="A73" s="2" t="s">
        <v>69</v>
      </c>
    </row>
    <row r="74" ht="15.75">
      <c r="A74" s="2" t="s">
        <v>73</v>
      </c>
    </row>
    <row r="75" ht="15.75">
      <c r="A75" s="2" t="s">
        <v>85</v>
      </c>
    </row>
    <row r="76" ht="15.75">
      <c r="A76" s="2" t="s">
        <v>86</v>
      </c>
    </row>
    <row r="77" ht="15.75">
      <c r="A77" s="2" t="s">
        <v>81</v>
      </c>
    </row>
    <row r="78" ht="15.75">
      <c r="A78" s="2"/>
    </row>
    <row r="79" ht="15.75">
      <c r="A79" s="2" t="s">
        <v>70</v>
      </c>
    </row>
    <row r="80" ht="15.75">
      <c r="A80" s="2" t="s">
        <v>71</v>
      </c>
    </row>
    <row r="81" ht="15.75">
      <c r="A81" s="2" t="s">
        <v>80</v>
      </c>
    </row>
    <row r="82" ht="15.75">
      <c r="A82" s="2" t="s">
        <v>76</v>
      </c>
    </row>
    <row r="83" ht="15.75">
      <c r="A83" t="s">
        <v>82</v>
      </c>
    </row>
    <row r="85" ht="15.75">
      <c r="A85" t="s">
        <v>74</v>
      </c>
    </row>
    <row r="86" ht="15.75">
      <c r="A86" s="10" t="s">
        <v>72</v>
      </c>
    </row>
    <row r="87" ht="15.75">
      <c r="A87" s="10"/>
    </row>
  </sheetData>
  <hyperlinks>
    <hyperlink ref="A86" r:id="rId1" display="http://www.cms.hhs.gov/schip"/>
  </hyperlinks>
  <printOptions/>
  <pageMargins left="0.5" right="0.5" top="0.5" bottom="0.5" header="0.5" footer="0.5"/>
  <pageSetup horizontalDpi="600" verticalDpi="600" orientation="portrait" paperSize="17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ACSD, SCB</Manager>
  <Company>U.S.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Children's Health Insurance Program (SCHIP)--Enrollment and Expenditures by State</dc:title>
  <dc:subject>Health and Nutriton</dc:subject>
  <dc:creator>U.S. Centers for Medicare and Medicaid Services</dc:creator>
  <cp:keywords/>
  <dc:description/>
  <cp:lastModifiedBy>mcc</cp:lastModifiedBy>
  <cp:lastPrinted>2006-07-17T17:30:41Z</cp:lastPrinted>
  <dcterms:created xsi:type="dcterms:W3CDTF">2005-02-04T14:00:10Z</dcterms:created>
  <dcterms:modified xsi:type="dcterms:W3CDTF">2006-11-09T20:24:10Z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