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40" sheetId="1" r:id="rId1"/>
  </sheets>
  <definedNames>
    <definedName name="_xlnm.Print_Area" localSheetId="0">'t-40'!$A$1:$Q$68</definedName>
    <definedName name="Print_Area_MI">'t-40'!$B$1:$Q$71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<sst xmlns="http://schemas.openxmlformats.org/spreadsheetml/2006/main" count="82" uniqueCount="77">
  <si>
    <t xml:space="preserve"> </t>
  </si>
  <si>
    <t xml:space="preserve">   STATE</t>
  </si>
  <si>
    <t>10-YEAR</t>
  </si>
  <si>
    <t>% of</t>
  </si>
  <si>
    <t>TOTAL</t>
  </si>
  <si>
    <t>Total</t>
  </si>
  <si>
    <t xml:space="preserve">   TOTAL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</si>
  <si>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</si>
  <si>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</si>
  <si>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</si>
  <si>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</si>
  <si>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</si>
  <si>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</si>
  <si>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</si>
  <si>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</si>
  <si>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</si>
  <si>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</si>
  <si>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</si>
  <si>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</si>
  <si>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</si>
  <si>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</si>
  <si>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</si>
  <si>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</si>
  <si>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</si>
  <si>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</si>
  <si>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</si>
  <si>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</si>
  <si>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</si>
  <si>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</si>
  <si>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</si>
  <si>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</si>
  <si>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</si>
  <si>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</si>
  <si>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</si>
  <si>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</si>
  <si>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</si>
  <si>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</si>
  <si>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</si>
  <si>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</si>
  <si>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</si>
  <si>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</si>
  <si>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</si>
  <si>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</si>
  <si>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No.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</si>
  <si>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</si>
  <si>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</si>
  <si>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</si>
  <si>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</si>
  <si>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</si>
  <si>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</si>
  <si>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</si>
  <si>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</si>
  <si>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</si>
  <si>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</si>
  <si>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</si>
  <si>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</si>
  <si>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</si>
  <si>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</si>
  <si>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</si>
  <si>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</si>
  <si>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</si>
  <si>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</si>
  <si>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% of 10-yr Total</t>
  </si>
  <si>
    <t>FY 1994</t>
  </si>
  <si>
    <t>FY 1995</t>
  </si>
  <si>
    <t>FY 1996</t>
  </si>
  <si>
    <t>FY 1997</t>
  </si>
  <si>
    <t>FY 1998</t>
  </si>
  <si>
    <t>FY 1999</t>
  </si>
  <si>
    <t>NON-URBANIZED AREA FORMULA PROGRAM OBLIGATIONS</t>
  </si>
  <si>
    <t>FY 2000</t>
  </si>
  <si>
    <t>Rank</t>
  </si>
  <si>
    <t>FY 2001</t>
  </si>
  <si>
    <t>FY 2002</t>
  </si>
  <si>
    <t>TABLE 63</t>
  </si>
  <si>
    <t>FISCAL YEARS 1994 - 2003</t>
  </si>
  <si>
    <t>FY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</si>
</sst>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Times New Roman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Fill="1" applyAlignment="1">
      <alignment/>
    </xf>
    <xf numFmtId="5" fontId="0" fillId="0" borderId="0" xfId="0" applyNumberFormat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5" fontId="0" fillId="0" borderId="11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3" fillId="0" borderId="14" xfId="0" applyFont="1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37" fontId="0" fillId="0" borderId="21" xfId="0" applyNumberForma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7" fontId="7" fillId="0" borderId="0" xfId="0" applyNumberFormat="1" applyFont="1" applyFill="1" applyAlignment="1" applyProtection="1">
      <alignment/>
      <protection/>
    </xf>
    <xf numFmtId="37" fontId="7" fillId="0" borderId="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 horizontal="center"/>
    </xf>
    <xf numFmtId="5" fontId="0" fillId="0" borderId="0" xfId="0" applyNumberFormat="1" applyFont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1"/>
  <sheetViews>
    <sheetView tabSelected="1" defaultGridColor="0" zoomScale="77" zoomScaleNormal="77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77734375" defaultRowHeight="15"/>
  <cols>
    <col min="1" max="1" width="0.9921875" style="0" customWidth="1"/>
    <col min="2" max="2" width="21.77734375" style="0" customWidth="1"/>
    <col min="3" max="12" width="12.77734375" style="0" customWidth="1"/>
    <col min="13" max="13" width="1.77734375" style="0" customWidth="1"/>
    <col min="14" max="14" width="15.77734375" style="0" customWidth="1"/>
    <col min="15" max="15" width="6.77734375" style="0" customWidth="1"/>
    <col min="16" max="16" width="4.3359375" style="0" customWidth="1"/>
    <col min="17" max="17" width="1.33203125" style="0" customWidth="1"/>
    <col min="18" max="18" width="12.77734375" style="0" customWidth="1"/>
    <col min="19" max="16384" width="11.4453125" style="0" customWidth="1"/>
  </cols>
  <sheetData>
    <row r="1" spans="2:16" ht="18">
      <c r="B1" s="53" t="s">
        <v>74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18">
      <c r="B2" s="53" t="s">
        <v>69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8" customHeight="1">
      <c r="B3" s="54" t="s">
        <v>75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5" spans="2:16" ht="13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9"/>
      <c r="O5" s="13"/>
      <c r="P5" s="39"/>
    </row>
    <row r="6" spans="2:16" ht="13.5" customHeight="1">
      <c r="B6" s="14" t="s">
        <v>1</v>
      </c>
      <c r="C6" s="9" t="s">
        <v>63</v>
      </c>
      <c r="D6" s="9" t="s">
        <v>64</v>
      </c>
      <c r="E6" s="9" t="s">
        <v>65</v>
      </c>
      <c r="F6" s="9" t="s">
        <v>66</v>
      </c>
      <c r="G6" s="9" t="s">
        <v>67</v>
      </c>
      <c r="H6" s="9" t="s">
        <v>68</v>
      </c>
      <c r="I6" s="9" t="s">
        <v>70</v>
      </c>
      <c r="J6" s="9" t="s">
        <v>72</v>
      </c>
      <c r="K6" s="9" t="s">
        <v>73</v>
      </c>
      <c r="L6" s="9" t="s">
        <v>76</v>
      </c>
      <c r="M6" s="10"/>
      <c r="N6" s="20" t="s">
        <v>2</v>
      </c>
      <c r="O6" s="15" t="s">
        <v>3</v>
      </c>
      <c r="P6" s="47" t="s">
        <v>71</v>
      </c>
    </row>
    <row r="7" spans="2:16" ht="13.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 t="s">
        <v>4</v>
      </c>
      <c r="O7" s="18" t="s">
        <v>5</v>
      </c>
      <c r="P7" s="40"/>
    </row>
    <row r="8" spans="2:16" ht="13.5" customHeight="1">
      <c r="B8" s="1"/>
      <c r="N8" s="22"/>
      <c r="O8" s="3"/>
      <c r="P8" s="3"/>
    </row>
    <row r="9" spans="2:19" ht="14.25" customHeight="1">
      <c r="B9" s="43" t="s">
        <v>7</v>
      </c>
      <c r="C9" s="4">
        <v>3885148</v>
      </c>
      <c r="D9" s="4">
        <f>404958+140387+1059613+386293+1+5292+16820+18695+877888+475660+2695402</f>
        <v>6081009</v>
      </c>
      <c r="E9" s="4">
        <v>4533964</v>
      </c>
      <c r="F9" s="4">
        <v>4776271</v>
      </c>
      <c r="G9" s="4">
        <v>5051357</v>
      </c>
      <c r="H9" s="4">
        <v>6301633</v>
      </c>
      <c r="I9" s="4">
        <v>0</v>
      </c>
      <c r="J9" s="4">
        <v>5949434</v>
      </c>
      <c r="K9" s="4">
        <v>10638561</v>
      </c>
      <c r="L9" s="4">
        <v>6194808</v>
      </c>
      <c r="M9" s="4"/>
      <c r="N9" s="23">
        <f aca="true" t="shared" si="0" ref="N9:N40">SUM(C9:M9)</f>
        <v>53412185</v>
      </c>
      <c r="O9" s="5">
        <f aca="true" t="shared" si="1" ref="O9:O40">(N9/$N$66)*100</f>
        <v>2.7734838568200035</v>
      </c>
      <c r="P9" s="45">
        <f>RANK(N9,N$9:N$63,0)</f>
        <v>12</v>
      </c>
      <c r="Q9" s="2"/>
      <c r="S9" s="2"/>
    </row>
    <row r="10" spans="2:19" ht="14.25" customHeight="1">
      <c r="B10" s="43" t="s">
        <v>8</v>
      </c>
      <c r="C10" s="2">
        <v>704605</v>
      </c>
      <c r="D10" s="2">
        <f>70931+401943+120000</f>
        <v>592874</v>
      </c>
      <c r="E10" s="2">
        <v>439172</v>
      </c>
      <c r="F10" s="2">
        <v>1541789</v>
      </c>
      <c r="G10" s="2">
        <v>1566431</v>
      </c>
      <c r="H10" s="2">
        <v>3318533</v>
      </c>
      <c r="I10" s="2">
        <v>686467</v>
      </c>
      <c r="J10" s="2">
        <v>2990746</v>
      </c>
      <c r="K10" s="2">
        <v>2912762</v>
      </c>
      <c r="L10" s="2">
        <v>1122072</v>
      </c>
      <c r="M10" s="2"/>
      <c r="N10" s="24">
        <f t="shared" si="0"/>
        <v>15875451</v>
      </c>
      <c r="O10" s="5">
        <f t="shared" si="1"/>
        <v>0.8243494825803697</v>
      </c>
      <c r="P10" s="45">
        <f aca="true" t="shared" si="2" ref="P10:P63">RANK(N10,N$9:N$63,0)</f>
        <v>41</v>
      </c>
      <c r="Q10" s="2"/>
      <c r="S10" s="2"/>
    </row>
    <row r="11" spans="2:19" ht="14.25" customHeight="1">
      <c r="B11" s="43" t="s">
        <v>9</v>
      </c>
      <c r="C11" s="2">
        <v>117868</v>
      </c>
      <c r="D11" s="2">
        <f>15529+65793+52083+67399</f>
        <v>200804</v>
      </c>
      <c r="E11" s="2">
        <v>108156</v>
      </c>
      <c r="F11" s="2">
        <v>0</v>
      </c>
      <c r="G11" s="2">
        <v>110934</v>
      </c>
      <c r="H11" s="2">
        <v>233246</v>
      </c>
      <c r="I11" s="2">
        <v>161211</v>
      </c>
      <c r="J11" s="2">
        <v>168181</v>
      </c>
      <c r="K11" s="2">
        <v>179032</v>
      </c>
      <c r="L11" s="2">
        <v>223948</v>
      </c>
      <c r="M11" s="2"/>
      <c r="N11" s="24">
        <f t="shared" si="0"/>
        <v>1503380</v>
      </c>
      <c r="O11" s="5">
        <f t="shared" si="1"/>
        <v>0.07806458696018627</v>
      </c>
      <c r="P11" s="45">
        <f t="shared" si="2"/>
        <v>55</v>
      </c>
      <c r="Q11" s="2"/>
      <c r="S11" s="2"/>
    </row>
    <row r="12" spans="2:19" ht="14.25" customHeight="1">
      <c r="B12" s="43" t="s">
        <v>10</v>
      </c>
      <c r="C12" s="2">
        <v>1785597</v>
      </c>
      <c r="D12" s="2">
        <f>93417+311402+116997+218143+1236144</f>
        <v>1976103</v>
      </c>
      <c r="E12" s="2">
        <v>1662962</v>
      </c>
      <c r="F12" s="2">
        <v>1603175</v>
      </c>
      <c r="G12" s="2">
        <v>1819099</v>
      </c>
      <c r="H12" s="2">
        <v>2400229</v>
      </c>
      <c r="I12" s="2">
        <v>3178335</v>
      </c>
      <c r="J12" s="2">
        <v>3453874</v>
      </c>
      <c r="K12" s="2">
        <v>3358747</v>
      </c>
      <c r="L12" s="2">
        <v>4317876</v>
      </c>
      <c r="M12" s="2"/>
      <c r="N12" s="24">
        <f t="shared" si="0"/>
        <v>25555997</v>
      </c>
      <c r="O12" s="5">
        <f t="shared" si="1"/>
        <v>1.3270220105101567</v>
      </c>
      <c r="P12" s="45">
        <f t="shared" si="2"/>
        <v>30</v>
      </c>
      <c r="Q12" s="2"/>
      <c r="S12" s="2"/>
    </row>
    <row r="13" spans="2:19" ht="14.25" customHeight="1">
      <c r="B13" s="44" t="s">
        <v>11</v>
      </c>
      <c r="C13" s="6">
        <v>2373190</v>
      </c>
      <c r="D13" s="6">
        <f>184669+46881+187057+380270+1921338</f>
        <v>2720215</v>
      </c>
      <c r="E13" s="6">
        <v>2353879</v>
      </c>
      <c r="F13" s="6">
        <v>2016455</v>
      </c>
      <c r="G13" s="6">
        <v>2634574</v>
      </c>
      <c r="H13" s="6">
        <v>3396444</v>
      </c>
      <c r="I13" s="6">
        <v>3680231</v>
      </c>
      <c r="J13" s="6">
        <v>3924065</v>
      </c>
      <c r="K13" s="6">
        <v>4323645</v>
      </c>
      <c r="L13" s="6">
        <v>4832217</v>
      </c>
      <c r="M13" s="6"/>
      <c r="N13" s="25">
        <f t="shared" si="0"/>
        <v>32254915</v>
      </c>
      <c r="O13" s="7">
        <f t="shared" si="1"/>
        <v>1.6748703700401206</v>
      </c>
      <c r="P13" s="46">
        <f t="shared" si="2"/>
        <v>26</v>
      </c>
      <c r="Q13" s="2"/>
      <c r="S13" s="2"/>
    </row>
    <row r="14" spans="2:19" ht="14.25" customHeight="1">
      <c r="B14" s="43" t="s">
        <v>12</v>
      </c>
      <c r="C14" s="2">
        <v>7473396</v>
      </c>
      <c r="D14" s="2">
        <f>100000+1008822+54560+252684+928116+5259318+781031+368000+1098250</f>
        <v>9850781</v>
      </c>
      <c r="E14" s="2">
        <v>9192438</v>
      </c>
      <c r="F14" s="2">
        <v>8538794</v>
      </c>
      <c r="G14" s="2">
        <v>9165467</v>
      </c>
      <c r="H14" s="2">
        <v>12378476</v>
      </c>
      <c r="I14" s="2">
        <v>17103593</v>
      </c>
      <c r="J14" s="2">
        <v>16556413</v>
      </c>
      <c r="K14" s="2">
        <v>15907734</v>
      </c>
      <c r="L14" s="2">
        <v>13924418</v>
      </c>
      <c r="M14" s="2"/>
      <c r="N14" s="24">
        <f t="shared" si="0"/>
        <v>120091510</v>
      </c>
      <c r="O14" s="5">
        <f t="shared" si="1"/>
        <v>6.235877905502987</v>
      </c>
      <c r="P14" s="45">
        <f>RANK(N14,N$9:N$63,0)</f>
        <v>1</v>
      </c>
      <c r="Q14" s="2"/>
      <c r="S14" s="2"/>
    </row>
    <row r="15" spans="2:19" ht="14.25" customHeight="1">
      <c r="B15" s="43" t="s">
        <v>13</v>
      </c>
      <c r="C15" s="2">
        <v>1289294</v>
      </c>
      <c r="D15" s="2">
        <f>198115+1122655</f>
        <v>1320770</v>
      </c>
      <c r="E15" s="2">
        <v>1179076</v>
      </c>
      <c r="F15" s="2">
        <v>1155663</v>
      </c>
      <c r="G15" s="2">
        <v>2341318</v>
      </c>
      <c r="H15" s="2">
        <v>1789501</v>
      </c>
      <c r="I15" s="2">
        <v>1917350</v>
      </c>
      <c r="J15" s="2">
        <v>2044385</v>
      </c>
      <c r="K15" s="2">
        <v>2252560</v>
      </c>
      <c r="L15" s="2">
        <v>2813576</v>
      </c>
      <c r="M15" s="2"/>
      <c r="N15" s="24">
        <f t="shared" si="0"/>
        <v>18103493</v>
      </c>
      <c r="O15" s="5">
        <f t="shared" si="1"/>
        <v>0.9400429057068895</v>
      </c>
      <c r="P15" s="45">
        <f t="shared" si="2"/>
        <v>38</v>
      </c>
      <c r="Q15" s="2"/>
      <c r="S15" s="2"/>
    </row>
    <row r="16" spans="2:19" ht="14.25" customHeight="1">
      <c r="B16" s="43" t="s">
        <v>14</v>
      </c>
      <c r="C16" s="2">
        <v>1433566</v>
      </c>
      <c r="D16" s="2">
        <f>74920+81055+319553+123700+1074363</f>
        <v>1673591</v>
      </c>
      <c r="E16" s="2">
        <v>1493151</v>
      </c>
      <c r="F16" s="2">
        <v>1507840</v>
      </c>
      <c r="G16" s="2">
        <v>867828</v>
      </c>
      <c r="H16" s="2">
        <v>2675527</v>
      </c>
      <c r="I16" s="2">
        <v>2157725</v>
      </c>
      <c r="J16" s="2">
        <v>2374236</v>
      </c>
      <c r="K16" s="2">
        <v>2481792</v>
      </c>
      <c r="L16" s="2">
        <v>1758505</v>
      </c>
      <c r="M16" s="2"/>
      <c r="N16" s="24">
        <f t="shared" si="0"/>
        <v>18423761</v>
      </c>
      <c r="O16" s="5">
        <f t="shared" si="1"/>
        <v>0.9566731582954333</v>
      </c>
      <c r="P16" s="45">
        <f t="shared" si="2"/>
        <v>37</v>
      </c>
      <c r="Q16" s="2"/>
      <c r="S16" s="2"/>
    </row>
    <row r="17" spans="2:19" ht="14.25" customHeight="1">
      <c r="B17" s="43" t="s">
        <v>15</v>
      </c>
      <c r="C17" s="2">
        <v>324372</v>
      </c>
      <c r="D17" s="2">
        <v>0</v>
      </c>
      <c r="E17" s="2">
        <v>486348</v>
      </c>
      <c r="F17" s="2">
        <v>324050</v>
      </c>
      <c r="G17" s="2">
        <v>150000</v>
      </c>
      <c r="H17" s="2">
        <v>457076</v>
      </c>
      <c r="I17" s="2">
        <v>365639</v>
      </c>
      <c r="J17" s="2">
        <v>150000</v>
      </c>
      <c r="K17" s="2">
        <v>153943</v>
      </c>
      <c r="L17" s="2">
        <v>645119</v>
      </c>
      <c r="M17" s="2"/>
      <c r="N17" s="24">
        <f t="shared" si="0"/>
        <v>3056547</v>
      </c>
      <c r="O17" s="5">
        <f t="shared" si="1"/>
        <v>0.15871441623501473</v>
      </c>
      <c r="P17" s="45">
        <f t="shared" si="2"/>
        <v>53</v>
      </c>
      <c r="Q17" s="2"/>
      <c r="S17" s="2"/>
    </row>
    <row r="18" spans="2:19" ht="14.25" customHeight="1">
      <c r="B18" s="44" t="s">
        <v>16</v>
      </c>
      <c r="C18" s="6">
        <v>4882769</v>
      </c>
      <c r="D18" s="6">
        <f>1500000+3977556</f>
        <v>5477556</v>
      </c>
      <c r="E18" s="6">
        <v>3326778</v>
      </c>
      <c r="F18" s="6">
        <v>5075978</v>
      </c>
      <c r="G18" s="6">
        <v>4039438</v>
      </c>
      <c r="H18" s="6">
        <v>5328929</v>
      </c>
      <c r="I18" s="6">
        <v>7649183</v>
      </c>
      <c r="J18" s="6">
        <v>6156753</v>
      </c>
      <c r="K18" s="6">
        <v>8783682</v>
      </c>
      <c r="L18" s="6">
        <v>6697284</v>
      </c>
      <c r="M18" s="6"/>
      <c r="N18" s="25">
        <f t="shared" si="0"/>
        <v>57418350</v>
      </c>
      <c r="O18" s="7">
        <f t="shared" si="1"/>
        <v>2.981508186011129</v>
      </c>
      <c r="P18" s="46">
        <f t="shared" si="2"/>
        <v>10</v>
      </c>
      <c r="Q18" s="2"/>
      <c r="S18" s="2"/>
    </row>
    <row r="19" spans="2:19" ht="14.25" customHeight="1">
      <c r="B19" s="43" t="s">
        <v>17</v>
      </c>
      <c r="C19" s="2">
        <v>4525942</v>
      </c>
      <c r="D19" s="2">
        <f>695464+3940968</f>
        <v>4636432</v>
      </c>
      <c r="E19" s="2">
        <v>3877855</v>
      </c>
      <c r="F19" s="2">
        <v>4056840</v>
      </c>
      <c r="G19" s="2">
        <v>0</v>
      </c>
      <c r="H19" s="2">
        <v>4708565</v>
      </c>
      <c r="I19" s="2">
        <v>10451701</v>
      </c>
      <c r="J19" s="2">
        <v>0</v>
      </c>
      <c r="K19" s="2">
        <v>8093502</v>
      </c>
      <c r="L19" s="2">
        <v>9317087</v>
      </c>
      <c r="M19" s="2"/>
      <c r="N19" s="24">
        <f t="shared" si="0"/>
        <v>49667924</v>
      </c>
      <c r="O19" s="5">
        <f t="shared" si="1"/>
        <v>2.5790591681610255</v>
      </c>
      <c r="P19" s="45">
        <f>RANK(N19,N$9:N$63,0)</f>
        <v>14</v>
      </c>
      <c r="Q19" s="2"/>
      <c r="S19" s="2"/>
    </row>
    <row r="20" spans="2:19" ht="14.25" customHeight="1">
      <c r="B20" s="43" t="s">
        <v>18</v>
      </c>
      <c r="C20" s="2">
        <v>332127</v>
      </c>
      <c r="D20" s="2">
        <f>131927+191870+12923</f>
        <v>336720</v>
      </c>
      <c r="E20" s="2">
        <v>304274</v>
      </c>
      <c r="F20" s="2">
        <v>312260</v>
      </c>
      <c r="G20" s="2">
        <v>340208</v>
      </c>
      <c r="H20" s="2">
        <v>403001</v>
      </c>
      <c r="I20" s="2">
        <v>424385</v>
      </c>
      <c r="J20" s="2">
        <v>444319</v>
      </c>
      <c r="K20" s="2">
        <v>475344</v>
      </c>
      <c r="L20" s="2">
        <v>0</v>
      </c>
      <c r="M20" s="2"/>
      <c r="N20" s="24">
        <f t="shared" si="0"/>
        <v>3372638</v>
      </c>
      <c r="O20" s="5">
        <f t="shared" si="1"/>
        <v>0.17512777370739846</v>
      </c>
      <c r="P20" s="45">
        <f t="shared" si="2"/>
        <v>52</v>
      </c>
      <c r="Q20" s="2"/>
      <c r="S20" s="2"/>
    </row>
    <row r="21" spans="2:19" ht="14.25" customHeight="1">
      <c r="B21" s="43" t="s">
        <v>19</v>
      </c>
      <c r="C21" s="2">
        <v>0</v>
      </c>
      <c r="D21" s="2">
        <f>82873+425095+2385000</f>
        <v>2892968</v>
      </c>
      <c r="E21" s="2">
        <v>1497369</v>
      </c>
      <c r="F21" s="2">
        <v>1033230</v>
      </c>
      <c r="G21" s="2">
        <v>1179020</v>
      </c>
      <c r="H21" s="2">
        <v>2913927</v>
      </c>
      <c r="I21" s="2">
        <v>0</v>
      </c>
      <c r="J21" s="2">
        <v>639974</v>
      </c>
      <c r="K21" s="2">
        <v>1420906</v>
      </c>
      <c r="L21" s="2">
        <v>1888754</v>
      </c>
      <c r="M21" s="2"/>
      <c r="N21" s="24">
        <f t="shared" si="0"/>
        <v>13466148</v>
      </c>
      <c r="O21" s="5">
        <f t="shared" si="1"/>
        <v>0.6992438914743702</v>
      </c>
      <c r="P21" s="45">
        <f t="shared" si="2"/>
        <v>43</v>
      </c>
      <c r="Q21" s="2"/>
      <c r="S21" s="2"/>
    </row>
    <row r="22" spans="2:19" ht="14.25" customHeight="1">
      <c r="B22" s="43" t="s">
        <v>20</v>
      </c>
      <c r="C22" s="2">
        <v>1900252</v>
      </c>
      <c r="D22" s="2">
        <f>2000+269295+157474+892355</f>
        <v>1321124</v>
      </c>
      <c r="E22" s="2">
        <v>0</v>
      </c>
      <c r="F22" s="2">
        <v>2318655</v>
      </c>
      <c r="G22" s="2">
        <v>1066162</v>
      </c>
      <c r="H22" s="2">
        <v>1406508</v>
      </c>
      <c r="I22" s="2">
        <v>1614027</v>
      </c>
      <c r="J22" s="2">
        <v>1726928</v>
      </c>
      <c r="K22" s="2">
        <v>2077195</v>
      </c>
      <c r="L22" s="2">
        <v>2436651</v>
      </c>
      <c r="M22" s="2"/>
      <c r="N22" s="24">
        <f t="shared" si="0"/>
        <v>15867502</v>
      </c>
      <c r="O22" s="5">
        <f t="shared" si="1"/>
        <v>0.8239367223988145</v>
      </c>
      <c r="P22" s="45">
        <f t="shared" si="2"/>
        <v>42</v>
      </c>
      <c r="Q22" s="2"/>
      <c r="S22" s="2"/>
    </row>
    <row r="23" spans="2:19" ht="14.25" customHeight="1">
      <c r="B23" s="44" t="s">
        <v>21</v>
      </c>
      <c r="C23" s="6">
        <v>4514573</v>
      </c>
      <c r="D23" s="6">
        <f>316075+52895+12105+185000+3959601</f>
        <v>4525676</v>
      </c>
      <c r="E23" s="6">
        <v>3665963</v>
      </c>
      <c r="F23" s="6">
        <v>3721924</v>
      </c>
      <c r="G23" s="6">
        <v>4319845</v>
      </c>
      <c r="H23" s="6">
        <v>5698850</v>
      </c>
      <c r="I23" s="6">
        <v>6175012</v>
      </c>
      <c r="J23" s="6">
        <v>6584138</v>
      </c>
      <c r="K23" s="6">
        <v>7254587</v>
      </c>
      <c r="L23" s="6">
        <v>7149265</v>
      </c>
      <c r="M23" s="6"/>
      <c r="N23" s="25">
        <f t="shared" si="0"/>
        <v>53609833</v>
      </c>
      <c r="O23" s="7">
        <f t="shared" si="1"/>
        <v>2.7837469370016654</v>
      </c>
      <c r="P23" s="46">
        <f t="shared" si="2"/>
        <v>11</v>
      </c>
      <c r="Q23" s="2"/>
      <c r="S23" s="2"/>
    </row>
    <row r="24" spans="2:19" ht="14.25" customHeight="1">
      <c r="B24" s="43" t="s">
        <v>22</v>
      </c>
      <c r="C24" s="2">
        <v>2993637</v>
      </c>
      <c r="D24" s="2">
        <v>4011024</v>
      </c>
      <c r="E24" s="2">
        <v>4108946</v>
      </c>
      <c r="F24" s="2">
        <v>3436672</v>
      </c>
      <c r="G24" s="2">
        <v>3595294</v>
      </c>
      <c r="H24" s="2">
        <v>3135272</v>
      </c>
      <c r="I24" s="2">
        <v>5504960</v>
      </c>
      <c r="J24" s="2">
        <v>5964922</v>
      </c>
      <c r="K24" s="2">
        <v>6360128</v>
      </c>
      <c r="L24" s="2">
        <v>7007767</v>
      </c>
      <c r="M24" s="2"/>
      <c r="N24" s="24">
        <f t="shared" si="0"/>
        <v>46118622</v>
      </c>
      <c r="O24" s="5">
        <f t="shared" si="1"/>
        <v>2.394757930531841</v>
      </c>
      <c r="P24" s="45">
        <f>RANK(N24,N$9:N$63,0)</f>
        <v>16</v>
      </c>
      <c r="Q24" s="2"/>
      <c r="S24" s="2"/>
    </row>
    <row r="25" spans="2:19" ht="14.25" customHeight="1">
      <c r="B25" s="43" t="s">
        <v>23</v>
      </c>
      <c r="C25" s="2">
        <v>2580803</v>
      </c>
      <c r="D25" s="2">
        <f>83967+153850+2405098+25000+80000</f>
        <v>2747915</v>
      </c>
      <c r="E25" s="2">
        <v>2413842</v>
      </c>
      <c r="F25" s="2">
        <v>2781560</v>
      </c>
      <c r="G25" s="2">
        <v>3399916</v>
      </c>
      <c r="H25" s="2">
        <v>3860484</v>
      </c>
      <c r="I25" s="2">
        <v>4449684</v>
      </c>
      <c r="J25" s="2">
        <v>4670775</v>
      </c>
      <c r="K25" s="2">
        <v>5239649</v>
      </c>
      <c r="L25" s="2">
        <v>5068534</v>
      </c>
      <c r="M25" s="2"/>
      <c r="N25" s="24">
        <f t="shared" si="0"/>
        <v>37213162</v>
      </c>
      <c r="O25" s="5">
        <f t="shared" si="1"/>
        <v>1.93233255797769</v>
      </c>
      <c r="P25" s="45">
        <f t="shared" si="2"/>
        <v>22</v>
      </c>
      <c r="Q25" s="2"/>
      <c r="S25" s="2"/>
    </row>
    <row r="26" spans="2:19" ht="14.25" customHeight="1">
      <c r="B26" s="43" t="s">
        <v>24</v>
      </c>
      <c r="C26" s="2">
        <v>2052253</v>
      </c>
      <c r="D26" s="2">
        <f>11+52500+2029030+20814</f>
        <v>2102355</v>
      </c>
      <c r="E26" s="2">
        <v>1773432</v>
      </c>
      <c r="F26" s="2">
        <v>1839543</v>
      </c>
      <c r="G26" s="2">
        <v>3063428</v>
      </c>
      <c r="H26" s="2">
        <v>3091276</v>
      </c>
      <c r="I26" s="2">
        <v>3392713</v>
      </c>
      <c r="J26" s="2">
        <v>3363104</v>
      </c>
      <c r="K26" s="2">
        <v>3694957</v>
      </c>
      <c r="L26" s="2">
        <v>3989048</v>
      </c>
      <c r="M26" s="2"/>
      <c r="N26" s="24">
        <f t="shared" si="0"/>
        <v>28362109</v>
      </c>
      <c r="O26" s="5">
        <f t="shared" si="1"/>
        <v>1.4727323260950536</v>
      </c>
      <c r="P26" s="45">
        <f t="shared" si="2"/>
        <v>28</v>
      </c>
      <c r="Q26" s="2"/>
      <c r="S26" s="2"/>
    </row>
    <row r="27" spans="2:19" ht="14.25" customHeight="1">
      <c r="B27" s="43" t="s">
        <v>25</v>
      </c>
      <c r="C27" s="2">
        <v>3387822</v>
      </c>
      <c r="D27" s="2">
        <f>282737+3+292898+200003+3270524</f>
        <v>4046165</v>
      </c>
      <c r="E27" s="2">
        <v>2902708</v>
      </c>
      <c r="F27" s="2">
        <v>3310296</v>
      </c>
      <c r="G27" s="2">
        <v>3524520</v>
      </c>
      <c r="H27" s="2">
        <v>4649640</v>
      </c>
      <c r="I27" s="2">
        <v>5038137</v>
      </c>
      <c r="J27" s="2">
        <v>5371940</v>
      </c>
      <c r="K27" s="2">
        <v>5918953</v>
      </c>
      <c r="L27" s="2">
        <v>6597942</v>
      </c>
      <c r="M27" s="2"/>
      <c r="N27" s="24">
        <f t="shared" si="0"/>
        <v>44748123</v>
      </c>
      <c r="O27" s="5">
        <f t="shared" si="1"/>
        <v>2.3235933291906314</v>
      </c>
      <c r="P27" s="45">
        <f t="shared" si="2"/>
        <v>17</v>
      </c>
      <c r="Q27" s="2"/>
      <c r="S27" s="2"/>
    </row>
    <row r="28" spans="2:19" ht="14.25" customHeight="1">
      <c r="B28" s="44" t="s">
        <v>26</v>
      </c>
      <c r="C28" s="6">
        <v>2801973</v>
      </c>
      <c r="D28" s="6">
        <f>430556+2439823</f>
        <v>2870379</v>
      </c>
      <c r="E28" s="6">
        <v>2400749</v>
      </c>
      <c r="F28" s="6">
        <v>2511558</v>
      </c>
      <c r="G28" s="6">
        <v>2915035</v>
      </c>
      <c r="H28" s="6">
        <v>3845589</v>
      </c>
      <c r="I28" s="6">
        <v>3541869</v>
      </c>
      <c r="J28" s="6">
        <v>5068018</v>
      </c>
      <c r="K28" s="6">
        <v>4895402</v>
      </c>
      <c r="L28" s="6">
        <v>5115351</v>
      </c>
      <c r="M28" s="6"/>
      <c r="N28" s="25">
        <f t="shared" si="0"/>
        <v>35965923</v>
      </c>
      <c r="O28" s="7">
        <f t="shared" si="1"/>
        <v>1.8675683617161754</v>
      </c>
      <c r="P28" s="46">
        <f t="shared" si="2"/>
        <v>24</v>
      </c>
      <c r="Q28" s="2"/>
      <c r="S28" s="2"/>
    </row>
    <row r="29" spans="2:19" ht="14.25" customHeight="1">
      <c r="B29" s="43" t="s">
        <v>27</v>
      </c>
      <c r="C29" s="2">
        <v>2092061</v>
      </c>
      <c r="D29" s="2">
        <f>3840+600000+200000+2+207760+1177308</f>
        <v>2188910</v>
      </c>
      <c r="E29" s="2">
        <v>1639655</v>
      </c>
      <c r="F29" s="2">
        <v>1752125</v>
      </c>
      <c r="G29" s="2">
        <v>2298116</v>
      </c>
      <c r="H29" s="2">
        <v>1740558</v>
      </c>
      <c r="I29" s="2">
        <v>2160030</v>
      </c>
      <c r="J29" s="2">
        <v>1843028</v>
      </c>
      <c r="K29" s="2">
        <v>2335649</v>
      </c>
      <c r="L29" s="2">
        <v>3175379</v>
      </c>
      <c r="M29" s="2"/>
      <c r="N29" s="24">
        <f t="shared" si="0"/>
        <v>21225511</v>
      </c>
      <c r="O29" s="5">
        <f t="shared" si="1"/>
        <v>1.102156972444685</v>
      </c>
      <c r="P29" s="45">
        <f>RANK(N29,N$9:N$63,0)</f>
        <v>34</v>
      </c>
      <c r="Q29" s="2"/>
      <c r="S29" s="2"/>
    </row>
    <row r="30" spans="2:19" ht="14.25" customHeight="1">
      <c r="B30" s="43" t="s">
        <v>28</v>
      </c>
      <c r="C30" s="2">
        <v>1687984</v>
      </c>
      <c r="D30" s="2">
        <f>14985+17288+2377+15000+1714193</f>
        <v>1763843</v>
      </c>
      <c r="E30" s="2">
        <v>1475887</v>
      </c>
      <c r="F30" s="2">
        <v>1555329</v>
      </c>
      <c r="G30" s="2">
        <v>1799752</v>
      </c>
      <c r="H30" s="2">
        <v>2352478</v>
      </c>
      <c r="I30" s="2">
        <v>2510254</v>
      </c>
      <c r="J30" s="2">
        <v>2676572</v>
      </c>
      <c r="K30" s="2">
        <v>2949121</v>
      </c>
      <c r="L30" s="2">
        <v>2663229</v>
      </c>
      <c r="M30" s="2"/>
      <c r="N30" s="24">
        <f t="shared" si="0"/>
        <v>21434449</v>
      </c>
      <c r="O30" s="5">
        <f t="shared" si="1"/>
        <v>1.1130062977451993</v>
      </c>
      <c r="P30" s="45">
        <f t="shared" si="2"/>
        <v>33</v>
      </c>
      <c r="Q30" s="2"/>
      <c r="S30" s="2"/>
    </row>
    <row r="31" spans="2:19" ht="14.25" customHeight="1">
      <c r="B31" s="43" t="s">
        <v>29</v>
      </c>
      <c r="C31" s="2">
        <v>1912703</v>
      </c>
      <c r="D31" s="2">
        <f>372+277975+1574823</f>
        <v>1853170</v>
      </c>
      <c r="E31" s="2">
        <v>2235981</v>
      </c>
      <c r="F31" s="2">
        <v>2076519</v>
      </c>
      <c r="G31" s="2">
        <v>2062001</v>
      </c>
      <c r="H31" s="2">
        <v>3939460</v>
      </c>
      <c r="I31" s="2">
        <v>2766591</v>
      </c>
      <c r="J31" s="2">
        <v>386600</v>
      </c>
      <c r="K31" s="2">
        <v>7115790</v>
      </c>
      <c r="L31" s="2">
        <v>2039314</v>
      </c>
      <c r="M31" s="2"/>
      <c r="N31" s="24">
        <f t="shared" si="0"/>
        <v>26388129</v>
      </c>
      <c r="O31" s="5">
        <f t="shared" si="1"/>
        <v>1.3702313394066126</v>
      </c>
      <c r="P31" s="45">
        <f t="shared" si="2"/>
        <v>29</v>
      </c>
      <c r="Q31" s="2"/>
      <c r="S31" s="2"/>
    </row>
    <row r="32" spans="2:19" ht="14.25" customHeight="1">
      <c r="B32" s="43" t="s">
        <v>30</v>
      </c>
      <c r="C32" s="2">
        <v>6209927</v>
      </c>
      <c r="D32" s="2">
        <f>8888+152000+50000+74810+196688+1021949+5018699</f>
        <v>6523034</v>
      </c>
      <c r="E32" s="2">
        <v>5507977</v>
      </c>
      <c r="F32" s="2">
        <v>5652254</v>
      </c>
      <c r="G32" s="2">
        <v>6439085</v>
      </c>
      <c r="H32" s="2">
        <v>8594816</v>
      </c>
      <c r="I32" s="2">
        <v>8527715</v>
      </c>
      <c r="J32" s="2">
        <v>9419191</v>
      </c>
      <c r="K32" s="2">
        <v>10332392</v>
      </c>
      <c r="L32" s="2">
        <v>6645069</v>
      </c>
      <c r="M32" s="2"/>
      <c r="N32" s="24">
        <f t="shared" si="0"/>
        <v>73851460</v>
      </c>
      <c r="O32" s="5">
        <f t="shared" si="1"/>
        <v>3.8348146984173783</v>
      </c>
      <c r="P32" s="45">
        <f t="shared" si="2"/>
        <v>7</v>
      </c>
      <c r="Q32" s="2"/>
      <c r="S32" s="2"/>
    </row>
    <row r="33" spans="2:19" ht="14.25" customHeight="1">
      <c r="B33" s="44" t="s">
        <v>31</v>
      </c>
      <c r="C33" s="6">
        <v>617768</v>
      </c>
      <c r="D33" s="6">
        <f>422872+257192+2592365+380000+116000+132000+226782+433196+2279267+30509+145000</f>
        <v>7015183</v>
      </c>
      <c r="E33" s="6">
        <v>2229211</v>
      </c>
      <c r="F33" s="6">
        <v>5074624</v>
      </c>
      <c r="G33" s="6">
        <v>5042150</v>
      </c>
      <c r="H33" s="6">
        <v>6691068</v>
      </c>
      <c r="I33" s="6">
        <v>6601630</v>
      </c>
      <c r="J33" s="6">
        <v>5535353</v>
      </c>
      <c r="K33" s="6">
        <v>5760992</v>
      </c>
      <c r="L33" s="6">
        <v>3461350</v>
      </c>
      <c r="M33" s="6"/>
      <c r="N33" s="25">
        <f t="shared" si="0"/>
        <v>48029329</v>
      </c>
      <c r="O33" s="7">
        <f t="shared" si="1"/>
        <v>2.4939734001781964</v>
      </c>
      <c r="P33" s="46">
        <f t="shared" si="2"/>
        <v>15</v>
      </c>
      <c r="Q33" s="2"/>
      <c r="S33" s="2"/>
    </row>
    <row r="34" spans="2:19" ht="14.25" customHeight="1">
      <c r="B34" s="43" t="s">
        <v>32</v>
      </c>
      <c r="C34" s="2">
        <v>2891768</v>
      </c>
      <c r="D34" s="2">
        <f>1+175000+422743+2395542</f>
        <v>2993286</v>
      </c>
      <c r="E34" s="2">
        <v>2929646</v>
      </c>
      <c r="F34" s="2">
        <v>3141768</v>
      </c>
      <c r="G34" s="2">
        <v>3462132</v>
      </c>
      <c r="H34" s="2">
        <v>0</v>
      </c>
      <c r="I34" s="2">
        <v>3775797</v>
      </c>
      <c r="J34" s="2">
        <v>9119349</v>
      </c>
      <c r="K34" s="2">
        <v>5312210</v>
      </c>
      <c r="L34" s="2">
        <v>7249148</v>
      </c>
      <c r="M34" s="2"/>
      <c r="N34" s="24">
        <f t="shared" si="0"/>
        <v>40875104</v>
      </c>
      <c r="O34" s="5">
        <f t="shared" si="1"/>
        <v>2.1224827460220688</v>
      </c>
      <c r="P34" s="45">
        <f>RANK(N34,N$9:N$63,0)</f>
        <v>19</v>
      </c>
      <c r="Q34" s="2"/>
      <c r="S34" s="2"/>
    </row>
    <row r="35" spans="2:19" ht="14.25" customHeight="1">
      <c r="B35" s="43" t="s">
        <v>33</v>
      </c>
      <c r="C35" s="2">
        <v>3283580</v>
      </c>
      <c r="D35" s="2">
        <f>159319+3193743</f>
        <v>3353062</v>
      </c>
      <c r="E35" s="2">
        <v>2633690</v>
      </c>
      <c r="F35" s="2">
        <v>2697640</v>
      </c>
      <c r="G35" s="2">
        <v>2657640</v>
      </c>
      <c r="H35" s="2">
        <v>6146398</v>
      </c>
      <c r="I35" s="2">
        <v>4883117</v>
      </c>
      <c r="J35" s="2">
        <v>5206649</v>
      </c>
      <c r="K35" s="2">
        <v>5879831</v>
      </c>
      <c r="L35" s="2">
        <v>6676739</v>
      </c>
      <c r="M35" s="2"/>
      <c r="N35" s="24">
        <f t="shared" si="0"/>
        <v>43418346</v>
      </c>
      <c r="O35" s="5">
        <f t="shared" si="1"/>
        <v>2.2545432605092897</v>
      </c>
      <c r="P35" s="45">
        <f t="shared" si="2"/>
        <v>18</v>
      </c>
      <c r="Q35" s="2"/>
      <c r="S35" s="2"/>
    </row>
    <row r="36" spans="2:19" ht="14.25" customHeight="1">
      <c r="B36" s="43" t="s">
        <v>34</v>
      </c>
      <c r="C36" s="2">
        <v>830176</v>
      </c>
      <c r="D36" s="2">
        <f>127566+722878</f>
        <v>850444</v>
      </c>
      <c r="E36" s="2">
        <v>711301</v>
      </c>
      <c r="F36" s="2">
        <v>744131</v>
      </c>
      <c r="G36" s="2">
        <v>863675</v>
      </c>
      <c r="H36" s="2">
        <v>1139382</v>
      </c>
      <c r="I36" s="2">
        <v>1234582</v>
      </c>
      <c r="J36" s="2">
        <v>1616379</v>
      </c>
      <c r="K36" s="2">
        <v>1450423</v>
      </c>
      <c r="L36" s="2">
        <v>1780772</v>
      </c>
      <c r="M36" s="2"/>
      <c r="N36" s="24">
        <f t="shared" si="0"/>
        <v>11221265</v>
      </c>
      <c r="O36" s="5">
        <f t="shared" si="1"/>
        <v>0.582675981718391</v>
      </c>
      <c r="P36" s="45">
        <f t="shared" si="2"/>
        <v>44</v>
      </c>
      <c r="Q36" s="2"/>
      <c r="S36" s="2"/>
    </row>
    <row r="37" spans="2:19" ht="14.25" customHeight="1">
      <c r="B37" s="43" t="s">
        <v>35</v>
      </c>
      <c r="C37" s="2">
        <v>1252631</v>
      </c>
      <c r="D37" s="2">
        <f>1860+17482+1263870</f>
        <v>1283212</v>
      </c>
      <c r="E37" s="2">
        <v>1075123</v>
      </c>
      <c r="F37" s="2">
        <v>1122800</v>
      </c>
      <c r="G37" s="2">
        <v>1303176</v>
      </c>
      <c r="H37" s="2">
        <v>1719183</v>
      </c>
      <c r="I37" s="2">
        <v>1862828</v>
      </c>
      <c r="J37" s="2">
        <v>1986250</v>
      </c>
      <c r="K37" s="2">
        <v>2188506</v>
      </c>
      <c r="L37" s="2">
        <v>2415643</v>
      </c>
      <c r="M37" s="2"/>
      <c r="N37" s="24">
        <f t="shared" si="0"/>
        <v>16209352</v>
      </c>
      <c r="O37" s="5">
        <f t="shared" si="1"/>
        <v>0.8416876430258945</v>
      </c>
      <c r="P37" s="45">
        <f t="shared" si="2"/>
        <v>40</v>
      </c>
      <c r="Q37" s="2"/>
      <c r="S37" s="2"/>
    </row>
    <row r="38" spans="2:19" ht="14.25" customHeight="1">
      <c r="B38" s="44" t="s">
        <v>36</v>
      </c>
      <c r="C38" s="6">
        <v>408965</v>
      </c>
      <c r="D38" s="6">
        <f>62841+356108</f>
        <v>418949</v>
      </c>
      <c r="E38" s="6">
        <v>350404</v>
      </c>
      <c r="F38" s="6">
        <v>366577</v>
      </c>
      <c r="G38" s="6">
        <v>425467</v>
      </c>
      <c r="H38" s="6">
        <v>561287</v>
      </c>
      <c r="I38" s="6">
        <v>608185</v>
      </c>
      <c r="J38" s="6">
        <v>648480</v>
      </c>
      <c r="K38" s="6">
        <v>714514</v>
      </c>
      <c r="L38" s="6">
        <v>858257</v>
      </c>
      <c r="M38" s="6"/>
      <c r="N38" s="25">
        <f t="shared" si="0"/>
        <v>5361085</v>
      </c>
      <c r="O38" s="7">
        <f t="shared" si="1"/>
        <v>0.27837997457958086</v>
      </c>
      <c r="P38" s="46">
        <f t="shared" si="2"/>
        <v>51</v>
      </c>
      <c r="Q38" s="2"/>
      <c r="S38" s="2"/>
    </row>
    <row r="39" spans="2:19" ht="14.25" customHeight="1">
      <c r="B39" s="43" t="s">
        <v>37</v>
      </c>
      <c r="C39" s="2">
        <v>1693440</v>
      </c>
      <c r="D39" s="2">
        <f>108403+166384+942884+49140</f>
        <v>1266811</v>
      </c>
      <c r="E39" s="2">
        <v>1863858</v>
      </c>
      <c r="F39" s="2">
        <v>1063847</v>
      </c>
      <c r="G39" s="2">
        <v>3785534</v>
      </c>
      <c r="H39" s="2">
        <v>1637887</v>
      </c>
      <c r="I39" s="2">
        <v>2483648</v>
      </c>
      <c r="J39" s="2">
        <v>2962390</v>
      </c>
      <c r="K39" s="2">
        <v>1898750</v>
      </c>
      <c r="L39" s="2">
        <v>2025694</v>
      </c>
      <c r="M39" s="2"/>
      <c r="N39" s="24">
        <f t="shared" si="0"/>
        <v>20681859</v>
      </c>
      <c r="O39" s="5">
        <f t="shared" si="1"/>
        <v>1.073927270818962</v>
      </c>
      <c r="P39" s="45">
        <f>RANK(N39,N$9:N$63,0)</f>
        <v>35</v>
      </c>
      <c r="Q39" s="2"/>
      <c r="S39" s="2"/>
    </row>
    <row r="40" spans="2:19" ht="14.25" customHeight="1">
      <c r="B40" s="43" t="s">
        <v>38</v>
      </c>
      <c r="C40" s="2">
        <v>0</v>
      </c>
      <c r="D40" s="2">
        <f>1+1548220</f>
        <v>1548221</v>
      </c>
      <c r="E40" s="2">
        <v>2912544</v>
      </c>
      <c r="F40" s="2">
        <v>0</v>
      </c>
      <c r="G40" s="2">
        <v>2998446</v>
      </c>
      <c r="H40" s="2">
        <v>0</v>
      </c>
      <c r="I40" s="2">
        <v>4427276</v>
      </c>
      <c r="J40" s="2">
        <v>0</v>
      </c>
      <c r="K40" s="2">
        <v>5159893</v>
      </c>
      <c r="L40" s="2">
        <v>0</v>
      </c>
      <c r="M40" s="2"/>
      <c r="N40" s="24">
        <f t="shared" si="0"/>
        <v>17046380</v>
      </c>
      <c r="O40" s="5">
        <f t="shared" si="1"/>
        <v>0.8851512018693743</v>
      </c>
      <c r="P40" s="45">
        <f t="shared" si="2"/>
        <v>39</v>
      </c>
      <c r="Q40" s="2"/>
      <c r="S40" s="2"/>
    </row>
    <row r="41" spans="2:19" ht="14.25" customHeight="1">
      <c r="B41" s="43" t="s">
        <v>39</v>
      </c>
      <c r="C41" s="2">
        <v>1436944</v>
      </c>
      <c r="D41" s="2">
        <f>368437+242293+1004557</f>
        <v>1615287</v>
      </c>
      <c r="E41" s="2">
        <v>1042850</v>
      </c>
      <c r="F41" s="2">
        <v>0</v>
      </c>
      <c r="G41" s="2">
        <v>1380201</v>
      </c>
      <c r="H41" s="2">
        <v>3913563</v>
      </c>
      <c r="I41" s="2">
        <v>2223936</v>
      </c>
      <c r="J41" s="2">
        <v>2840779</v>
      </c>
      <c r="K41" s="2">
        <v>2676491</v>
      </c>
      <c r="L41" s="2">
        <v>3202530</v>
      </c>
      <c r="M41" s="2"/>
      <c r="N41" s="24">
        <f aca="true" t="shared" si="3" ref="N41:N63">SUM(C41:M41)</f>
        <v>20332581</v>
      </c>
      <c r="O41" s="5">
        <f aca="true" t="shared" si="4" ref="O41:O63">(N41/$N$66)*100</f>
        <v>1.0557906434830389</v>
      </c>
      <c r="P41" s="45">
        <f t="shared" si="2"/>
        <v>36</v>
      </c>
      <c r="Q41" s="2"/>
      <c r="S41" s="2"/>
    </row>
    <row r="42" spans="2:19" ht="14.25" customHeight="1">
      <c r="B42" s="43" t="s">
        <v>40</v>
      </c>
      <c r="C42" s="2">
        <v>6801924</v>
      </c>
      <c r="D42" s="2">
        <f>194708+784000+291032+5582974+426000+200000</f>
        <v>7478714</v>
      </c>
      <c r="E42" s="2">
        <v>5502767</v>
      </c>
      <c r="F42" s="2">
        <v>6111228</v>
      </c>
      <c r="G42" s="2">
        <v>6473428</v>
      </c>
      <c r="H42" s="2">
        <v>7588916</v>
      </c>
      <c r="I42" s="2">
        <v>9989155</v>
      </c>
      <c r="J42" s="2">
        <v>8102536</v>
      </c>
      <c r="K42" s="2">
        <v>10332880</v>
      </c>
      <c r="L42" s="2">
        <v>9700315</v>
      </c>
      <c r="M42" s="2"/>
      <c r="N42" s="24">
        <f t="shared" si="3"/>
        <v>78081863</v>
      </c>
      <c r="O42" s="5">
        <f t="shared" si="4"/>
        <v>4.054482821493469</v>
      </c>
      <c r="P42" s="45">
        <f t="shared" si="2"/>
        <v>5</v>
      </c>
      <c r="Q42" s="2"/>
      <c r="S42" s="2"/>
    </row>
    <row r="43" spans="2:19" ht="14.25" customHeight="1">
      <c r="B43" s="44" t="s">
        <v>41</v>
      </c>
      <c r="C43" s="6">
        <v>3252102</v>
      </c>
      <c r="D43" s="6">
        <f>4913401+2886073+839615+1692584+843432+61970+7093</f>
        <v>11244168</v>
      </c>
      <c r="E43" s="6">
        <v>4960420</v>
      </c>
      <c r="F43" s="6">
        <v>5189372</v>
      </c>
      <c r="G43" s="6">
        <v>5562456</v>
      </c>
      <c r="H43" s="6">
        <v>6770370</v>
      </c>
      <c r="I43" s="6">
        <v>10676338</v>
      </c>
      <c r="J43" s="6">
        <v>9203937</v>
      </c>
      <c r="K43" s="6">
        <v>10080091</v>
      </c>
      <c r="L43" s="6">
        <v>11110929</v>
      </c>
      <c r="M43" s="6"/>
      <c r="N43" s="25">
        <f t="shared" si="3"/>
        <v>78050183</v>
      </c>
      <c r="O43" s="7">
        <f t="shared" si="4"/>
        <v>4.0528378041891955</v>
      </c>
      <c r="P43" s="46">
        <f t="shared" si="2"/>
        <v>6</v>
      </c>
      <c r="Q43" s="2"/>
      <c r="S43" s="2"/>
    </row>
    <row r="44" spans="2:19" ht="14.25" customHeight="1">
      <c r="B44" s="43" t="s">
        <v>42</v>
      </c>
      <c r="C44" s="2">
        <v>613953</v>
      </c>
      <c r="D44" s="2">
        <f>21132+24323+604618</f>
        <v>650073</v>
      </c>
      <c r="E44" s="2">
        <v>526039</v>
      </c>
      <c r="F44" s="2">
        <v>550318</v>
      </c>
      <c r="G44" s="2">
        <v>638726</v>
      </c>
      <c r="H44" s="2">
        <v>842624</v>
      </c>
      <c r="I44" s="2">
        <v>913029</v>
      </c>
      <c r="J44" s="2">
        <v>973521</v>
      </c>
      <c r="K44" s="2">
        <v>1072653</v>
      </c>
      <c r="L44" s="2">
        <v>1096729</v>
      </c>
      <c r="M44" s="2"/>
      <c r="N44" s="24">
        <f t="shared" si="3"/>
        <v>7877665</v>
      </c>
      <c r="O44" s="5">
        <f t="shared" si="4"/>
        <v>0.4090560366878073</v>
      </c>
      <c r="P44" s="45">
        <f>RANK(N44,N$9:N$63,0)</f>
        <v>46</v>
      </c>
      <c r="Q44" s="2"/>
      <c r="S44" s="2"/>
    </row>
    <row r="45" spans="2:19" ht="14.25" customHeight="1">
      <c r="B45" s="43" t="s">
        <v>43</v>
      </c>
      <c r="C45" s="2">
        <v>123819</v>
      </c>
      <c r="D45" s="2">
        <f>1488+60971+51902+62460+10952</f>
        <v>187773</v>
      </c>
      <c r="E45" s="2">
        <v>114801</v>
      </c>
      <c r="F45" s="2">
        <v>117372</v>
      </c>
      <c r="G45" s="2">
        <v>126428</v>
      </c>
      <c r="H45" s="2">
        <v>146836</v>
      </c>
      <c r="I45" s="2">
        <v>153758</v>
      </c>
      <c r="J45" s="2">
        <v>160215</v>
      </c>
      <c r="K45" s="2">
        <v>170265</v>
      </c>
      <c r="L45" s="2">
        <v>763824</v>
      </c>
      <c r="M45" s="2"/>
      <c r="N45" s="24">
        <f t="shared" si="3"/>
        <v>2065091</v>
      </c>
      <c r="O45" s="5">
        <f t="shared" si="4"/>
        <v>0.10723202114581679</v>
      </c>
      <c r="P45" s="45">
        <f t="shared" si="2"/>
        <v>54</v>
      </c>
      <c r="Q45" s="2"/>
      <c r="S45" s="2"/>
    </row>
    <row r="46" spans="2:19" ht="14.25" customHeight="1">
      <c r="B46" s="43" t="s">
        <v>44</v>
      </c>
      <c r="C46" s="2">
        <v>6008771</v>
      </c>
      <c r="D46" s="2">
        <f>517153+905690+5132243+592000</f>
        <v>7147086</v>
      </c>
      <c r="E46" s="2">
        <v>5050053</v>
      </c>
      <c r="F46" s="2">
        <v>5622967</v>
      </c>
      <c r="G46" s="2">
        <v>6244363</v>
      </c>
      <c r="H46" s="2">
        <v>8089320</v>
      </c>
      <c r="I46" s="2">
        <v>10465216</v>
      </c>
      <c r="J46" s="2">
        <v>11139871</v>
      </c>
      <c r="K46" s="2">
        <v>10297635</v>
      </c>
      <c r="L46" s="2">
        <v>12298859</v>
      </c>
      <c r="M46" s="2"/>
      <c r="N46" s="24">
        <f t="shared" si="3"/>
        <v>82364141</v>
      </c>
      <c r="O46" s="5">
        <f t="shared" si="4"/>
        <v>4.276844608479256</v>
      </c>
      <c r="P46" s="45">
        <f t="shared" si="2"/>
        <v>4</v>
      </c>
      <c r="Q46" s="2"/>
      <c r="S46" s="2"/>
    </row>
    <row r="47" spans="2:19" ht="14.25" customHeight="1">
      <c r="B47" s="43" t="s">
        <v>45</v>
      </c>
      <c r="C47" s="2">
        <v>3812080</v>
      </c>
      <c r="D47" s="2">
        <f>67697+233268+515221+250000+2298105</f>
        <v>3364291</v>
      </c>
      <c r="E47" s="2">
        <v>2691421</v>
      </c>
      <c r="F47" s="2">
        <v>2671148</v>
      </c>
      <c r="G47" s="2">
        <v>2621311</v>
      </c>
      <c r="H47" s="2">
        <v>3458101</v>
      </c>
      <c r="I47" s="2">
        <v>5663134</v>
      </c>
      <c r="J47" s="2">
        <v>3995300</v>
      </c>
      <c r="K47" s="2">
        <v>4402133</v>
      </c>
      <c r="L47" s="2">
        <v>5243722</v>
      </c>
      <c r="M47" s="2"/>
      <c r="N47" s="24">
        <f t="shared" si="3"/>
        <v>37922641</v>
      </c>
      <c r="O47" s="5">
        <f t="shared" si="4"/>
        <v>1.9691730009075716</v>
      </c>
      <c r="P47" s="45">
        <f t="shared" si="2"/>
        <v>21</v>
      </c>
      <c r="Q47" s="2"/>
      <c r="S47" s="2"/>
    </row>
    <row r="48" spans="2:19" ht="14.25" customHeight="1">
      <c r="B48" s="44" t="s">
        <v>46</v>
      </c>
      <c r="C48" s="6">
        <v>0</v>
      </c>
      <c r="D48" s="6">
        <f>496990+11842+254796+1235312+510509+383990+1665469</f>
        <v>4558908</v>
      </c>
      <c r="E48" s="6">
        <v>0</v>
      </c>
      <c r="F48" s="6">
        <v>3741566</v>
      </c>
      <c r="G48" s="6">
        <v>2721780</v>
      </c>
      <c r="H48" s="6">
        <v>987886</v>
      </c>
      <c r="I48" s="6">
        <v>8046489</v>
      </c>
      <c r="J48" s="6">
        <v>1614880</v>
      </c>
      <c r="K48" s="6">
        <v>5126958</v>
      </c>
      <c r="L48" s="6">
        <v>3495332</v>
      </c>
      <c r="M48" s="6"/>
      <c r="N48" s="25">
        <f t="shared" si="3"/>
        <v>30293799</v>
      </c>
      <c r="O48" s="7">
        <f t="shared" si="4"/>
        <v>1.5730373600752332</v>
      </c>
      <c r="P48" s="46">
        <f t="shared" si="2"/>
        <v>27</v>
      </c>
      <c r="Q48" s="2"/>
      <c r="S48" s="2"/>
    </row>
    <row r="49" spans="2:19" ht="14.25" customHeight="1">
      <c r="B49" s="43" t="s">
        <v>47</v>
      </c>
      <c r="C49" s="2">
        <v>5964779</v>
      </c>
      <c r="D49" s="2">
        <f>400000+266084+6374053</f>
        <v>7040137</v>
      </c>
      <c r="E49" s="2">
        <v>5779387</v>
      </c>
      <c r="F49" s="2">
        <v>5893400</v>
      </c>
      <c r="G49" s="2">
        <v>7111489</v>
      </c>
      <c r="H49" s="2">
        <v>9413720</v>
      </c>
      <c r="I49" s="2">
        <v>9797689</v>
      </c>
      <c r="J49" s="2">
        <v>11097512</v>
      </c>
      <c r="K49" s="2">
        <v>12372119</v>
      </c>
      <c r="L49" s="2">
        <v>10970052</v>
      </c>
      <c r="M49" s="2"/>
      <c r="N49" s="24">
        <f t="shared" si="3"/>
        <v>85440284</v>
      </c>
      <c r="O49" s="5">
        <f t="shared" si="4"/>
        <v>4.436576567614982</v>
      </c>
      <c r="P49" s="45">
        <f>RANK(N49,N$9:N$63,0)</f>
        <v>3</v>
      </c>
      <c r="Q49" s="2"/>
      <c r="S49" s="2"/>
    </row>
    <row r="50" spans="2:19" ht="14.25" customHeight="1">
      <c r="B50" s="43" t="s">
        <v>48</v>
      </c>
      <c r="C50" s="2">
        <v>1964776</v>
      </c>
      <c r="D50" s="2">
        <f>301912+1710831</f>
        <v>2012743</v>
      </c>
      <c r="E50" s="2">
        <v>1683432</v>
      </c>
      <c r="F50" s="2">
        <v>0</v>
      </c>
      <c r="G50" s="2">
        <v>2805190</v>
      </c>
      <c r="H50" s="2">
        <v>0</v>
      </c>
      <c r="I50" s="2">
        <v>2696572</v>
      </c>
      <c r="J50" s="2">
        <v>2921881</v>
      </c>
      <c r="K50" s="2">
        <v>3115471</v>
      </c>
      <c r="L50" s="2">
        <v>4317551</v>
      </c>
      <c r="M50" s="2"/>
      <c r="N50" s="24">
        <f t="shared" si="3"/>
        <v>21517616</v>
      </c>
      <c r="O50" s="5">
        <f t="shared" si="4"/>
        <v>1.117324831651276</v>
      </c>
      <c r="P50" s="45">
        <f t="shared" si="2"/>
        <v>32</v>
      </c>
      <c r="Q50" s="2"/>
      <c r="S50" s="2"/>
    </row>
    <row r="51" spans="2:19" ht="14.25" customHeight="1">
      <c r="B51" s="43" t="s">
        <v>49</v>
      </c>
      <c r="C51" s="2">
        <v>304312</v>
      </c>
      <c r="D51" s="2">
        <f>1+5000+252836</f>
        <v>257837</v>
      </c>
      <c r="E51" s="2">
        <v>697814</v>
      </c>
      <c r="F51" s="2">
        <v>776426</v>
      </c>
      <c r="G51" s="2">
        <v>614720</v>
      </c>
      <c r="H51" s="2">
        <v>761000</v>
      </c>
      <c r="I51" s="2">
        <v>884298</v>
      </c>
      <c r="J51" s="2">
        <v>399097</v>
      </c>
      <c r="K51" s="2">
        <v>439736</v>
      </c>
      <c r="L51" s="2">
        <v>1022255</v>
      </c>
      <c r="M51" s="2"/>
      <c r="N51" s="24">
        <f t="shared" si="3"/>
        <v>6157495</v>
      </c>
      <c r="O51" s="5">
        <f t="shared" si="4"/>
        <v>0.3197344010725247</v>
      </c>
      <c r="P51" s="45">
        <f t="shared" si="2"/>
        <v>50</v>
      </c>
      <c r="Q51" s="2"/>
      <c r="S51" s="2"/>
    </row>
    <row r="52" spans="2:19" ht="14.25" customHeight="1">
      <c r="B52" s="43" t="s">
        <v>50</v>
      </c>
      <c r="C52" s="2">
        <v>2897641</v>
      </c>
      <c r="D52" s="2">
        <f>445256+2523123</f>
        <v>2968379</v>
      </c>
      <c r="E52" s="2">
        <v>2723459</v>
      </c>
      <c r="F52" s="2">
        <v>2597304</v>
      </c>
      <c r="G52" s="2">
        <v>3014566</v>
      </c>
      <c r="H52" s="2">
        <v>3976885</v>
      </c>
      <c r="I52" s="2">
        <v>4309170</v>
      </c>
      <c r="J52" s="2">
        <v>4775968</v>
      </c>
      <c r="K52" s="2">
        <v>5062540</v>
      </c>
      <c r="L52" s="2">
        <v>5700044</v>
      </c>
      <c r="M52" s="2"/>
      <c r="N52" s="24">
        <f t="shared" si="3"/>
        <v>38025956</v>
      </c>
      <c r="O52" s="5">
        <f t="shared" si="4"/>
        <v>1.974537740894662</v>
      </c>
      <c r="P52" s="45">
        <f t="shared" si="2"/>
        <v>20</v>
      </c>
      <c r="Q52" s="2"/>
      <c r="S52" s="2"/>
    </row>
    <row r="53" spans="2:19" ht="14.25" customHeight="1">
      <c r="B53" s="44" t="s">
        <v>51</v>
      </c>
      <c r="C53" s="6">
        <v>748360</v>
      </c>
      <c r="D53" s="6">
        <f>36620+8654+3+156885+39710+726920</f>
        <v>968792</v>
      </c>
      <c r="E53" s="6">
        <v>641200</v>
      </c>
      <c r="F53" s="6">
        <v>670795</v>
      </c>
      <c r="G53" s="6">
        <v>778557</v>
      </c>
      <c r="H53" s="6">
        <v>1027093</v>
      </c>
      <c r="I53" s="6">
        <v>1112911</v>
      </c>
      <c r="J53" s="6">
        <v>1186647</v>
      </c>
      <c r="K53" s="6">
        <v>1307480</v>
      </c>
      <c r="L53" s="6">
        <v>1493555</v>
      </c>
      <c r="M53" s="6"/>
      <c r="N53" s="25">
        <f t="shared" si="3"/>
        <v>9935390</v>
      </c>
      <c r="O53" s="7">
        <f t="shared" si="4"/>
        <v>0.51590557053996</v>
      </c>
      <c r="P53" s="46">
        <f t="shared" si="2"/>
        <v>45</v>
      </c>
      <c r="Q53" s="2"/>
      <c r="S53" s="2"/>
    </row>
    <row r="54" spans="2:19" ht="14.25" customHeight="1">
      <c r="B54" s="43" t="s">
        <v>52</v>
      </c>
      <c r="C54" s="2">
        <v>3740519</v>
      </c>
      <c r="D54" s="2">
        <f>792000+473600+366400+3131837+224000</f>
        <v>4987837</v>
      </c>
      <c r="E54" s="2">
        <v>4516756</v>
      </c>
      <c r="F54" s="2">
        <v>3446335</v>
      </c>
      <c r="G54" s="2">
        <v>3891440</v>
      </c>
      <c r="H54" s="2">
        <v>5396690</v>
      </c>
      <c r="I54" s="2">
        <v>5824177</v>
      </c>
      <c r="J54" s="2">
        <v>5931199</v>
      </c>
      <c r="K54" s="2">
        <v>6535161</v>
      </c>
      <c r="L54" s="2">
        <v>7263205</v>
      </c>
      <c r="M54" s="2"/>
      <c r="N54" s="24">
        <f t="shared" si="3"/>
        <v>51533319</v>
      </c>
      <c r="O54" s="5">
        <f t="shared" si="4"/>
        <v>2.675921764572177</v>
      </c>
      <c r="P54" s="45">
        <f>RANK(N54,N$9:N$63,0)</f>
        <v>13</v>
      </c>
      <c r="Q54" s="2"/>
      <c r="S54" s="2"/>
    </row>
    <row r="55" spans="2:19" ht="14.25" customHeight="1">
      <c r="B55" s="43" t="s">
        <v>53</v>
      </c>
      <c r="C55" s="2">
        <v>10638275</v>
      </c>
      <c r="D55" s="2">
        <f>150000+500000+7590072</f>
        <v>8240072</v>
      </c>
      <c r="E55" s="2">
        <v>11885441</v>
      </c>
      <c r="F55" s="2">
        <v>7078748</v>
      </c>
      <c r="G55" s="2">
        <v>0</v>
      </c>
      <c r="H55" s="2">
        <v>23910616</v>
      </c>
      <c r="I55" s="2">
        <v>11744291</v>
      </c>
      <c r="J55" s="2">
        <v>519370</v>
      </c>
      <c r="K55" s="2">
        <v>28130075</v>
      </c>
      <c r="L55" s="2">
        <v>16371510</v>
      </c>
      <c r="M55" s="2"/>
      <c r="N55" s="24">
        <f t="shared" si="3"/>
        <v>118518398</v>
      </c>
      <c r="O55" s="5">
        <f t="shared" si="4"/>
        <v>6.154192411135552</v>
      </c>
      <c r="P55" s="45">
        <f t="shared" si="2"/>
        <v>2</v>
      </c>
      <c r="Q55" s="2"/>
      <c r="S55" s="2"/>
    </row>
    <row r="56" spans="2:19" ht="14.25" customHeight="1">
      <c r="B56" s="43" t="s">
        <v>54</v>
      </c>
      <c r="C56" s="2">
        <v>567298</v>
      </c>
      <c r="D56" s="2">
        <f>87172+493976</f>
        <v>581148</v>
      </c>
      <c r="E56" s="2">
        <v>486065</v>
      </c>
      <c r="F56" s="2">
        <v>508500</v>
      </c>
      <c r="G56" s="2">
        <v>590189</v>
      </c>
      <c r="H56" s="2">
        <v>0</v>
      </c>
      <c r="I56" s="2">
        <v>781227</v>
      </c>
      <c r="J56" s="2">
        <v>1740558</v>
      </c>
      <c r="K56" s="2">
        <v>991142</v>
      </c>
      <c r="L56" s="2">
        <v>1293163</v>
      </c>
      <c r="M56" s="2"/>
      <c r="N56" s="24">
        <f t="shared" si="3"/>
        <v>7539290</v>
      </c>
      <c r="O56" s="5">
        <f t="shared" si="4"/>
        <v>0.3914855590888949</v>
      </c>
      <c r="P56" s="45">
        <f t="shared" si="2"/>
        <v>48</v>
      </c>
      <c r="Q56" s="2"/>
      <c r="S56" s="2"/>
    </row>
    <row r="57" spans="2:19" ht="14.25" customHeight="1">
      <c r="B57" s="43" t="s">
        <v>55</v>
      </c>
      <c r="C57" s="2">
        <v>2133319</v>
      </c>
      <c r="D57" s="2">
        <f>685429+100000+1830800+132000</f>
        <v>2748229</v>
      </c>
      <c r="E57" s="2">
        <v>2340888</v>
      </c>
      <c r="F57" s="2">
        <v>5347097</v>
      </c>
      <c r="G57" s="2">
        <v>6042898</v>
      </c>
      <c r="H57" s="2">
        <v>3995132</v>
      </c>
      <c r="I57" s="2">
        <v>4487977</v>
      </c>
      <c r="J57" s="2">
        <v>4187756</v>
      </c>
      <c r="K57" s="2">
        <v>1580762</v>
      </c>
      <c r="L57" s="2">
        <v>3263822</v>
      </c>
      <c r="M57" s="2"/>
      <c r="N57" s="24">
        <f t="shared" si="3"/>
        <v>36127880</v>
      </c>
      <c r="O57" s="5">
        <f t="shared" si="4"/>
        <v>1.8759781492019147</v>
      </c>
      <c r="P57" s="45">
        <f t="shared" si="2"/>
        <v>23</v>
      </c>
      <c r="Q57" s="2"/>
      <c r="S57" s="2"/>
    </row>
    <row r="58" spans="2:16" ht="14.25" customHeight="1">
      <c r="B58" s="44" t="s">
        <v>56</v>
      </c>
      <c r="C58" s="6">
        <v>1523959</v>
      </c>
      <c r="D58" s="6">
        <f>22006+124699</f>
        <v>146705</v>
      </c>
      <c r="E58" s="6">
        <v>122703</v>
      </c>
      <c r="F58" s="6">
        <v>4228366</v>
      </c>
      <c r="G58" s="6">
        <v>148988</v>
      </c>
      <c r="H58" s="6">
        <v>0</v>
      </c>
      <c r="I58" s="6">
        <v>0</v>
      </c>
      <c r="J58" s="6">
        <v>409519</v>
      </c>
      <c r="K58" s="6">
        <v>0</v>
      </c>
      <c r="L58" s="6">
        <v>1000000</v>
      </c>
      <c r="M58" s="6"/>
      <c r="N58" s="25">
        <f t="shared" si="3"/>
        <v>7580240</v>
      </c>
      <c r="O58" s="7">
        <f t="shared" si="4"/>
        <v>0.3936119308884529</v>
      </c>
      <c r="P58" s="46">
        <f t="shared" si="2"/>
        <v>47</v>
      </c>
    </row>
    <row r="59" spans="2:16" ht="14.25" customHeight="1">
      <c r="B59" s="43" t="s">
        <v>57</v>
      </c>
      <c r="C59" s="2">
        <v>3631658</v>
      </c>
      <c r="D59" s="2">
        <f>102176+3397295</f>
        <v>3499471</v>
      </c>
      <c r="E59" s="2">
        <v>3972891</v>
      </c>
      <c r="F59" s="2">
        <v>3594315</v>
      </c>
      <c r="G59" s="2">
        <v>4520048</v>
      </c>
      <c r="H59" s="2">
        <v>6265144</v>
      </c>
      <c r="I59" s="2">
        <v>4947191</v>
      </c>
      <c r="J59" s="2">
        <v>9226795</v>
      </c>
      <c r="K59" s="2">
        <v>7882253</v>
      </c>
      <c r="L59" s="2">
        <v>12951247</v>
      </c>
      <c r="M59" s="2"/>
      <c r="N59" s="24">
        <f t="shared" si="3"/>
        <v>60491013</v>
      </c>
      <c r="O59" s="5">
        <f t="shared" si="4"/>
        <v>3.1410594424884315</v>
      </c>
      <c r="P59" s="45">
        <f>RANK(N59,N$9:N$63,0)</f>
        <v>9</v>
      </c>
    </row>
    <row r="60" spans="2:19" ht="14.25" customHeight="1">
      <c r="B60" s="43" t="s">
        <v>58</v>
      </c>
      <c r="C60" s="2">
        <v>2374113</v>
      </c>
      <c r="D60" s="2">
        <f>285653+2094780</f>
        <v>2380433</v>
      </c>
      <c r="E60" s="2">
        <v>2831313</v>
      </c>
      <c r="F60" s="2">
        <v>2221283</v>
      </c>
      <c r="G60" s="2">
        <v>2800387</v>
      </c>
      <c r="H60" s="2">
        <v>3645566</v>
      </c>
      <c r="I60" s="2">
        <v>4090479</v>
      </c>
      <c r="J60" s="2">
        <v>3653740</v>
      </c>
      <c r="K60" s="2">
        <v>4351564</v>
      </c>
      <c r="L60" s="2">
        <v>4064036</v>
      </c>
      <c r="M60" s="2"/>
      <c r="N60" s="24">
        <f t="shared" si="3"/>
        <v>32412914</v>
      </c>
      <c r="O60" s="5">
        <f t="shared" si="4"/>
        <v>1.6830746342149285</v>
      </c>
      <c r="P60" s="45">
        <f t="shared" si="2"/>
        <v>25</v>
      </c>
      <c r="Q60" s="2"/>
      <c r="S60" s="2"/>
    </row>
    <row r="61" spans="2:19" ht="14.25" customHeight="1">
      <c r="B61" s="43" t="s">
        <v>59</v>
      </c>
      <c r="C61" s="2">
        <v>1975825</v>
      </c>
      <c r="D61" s="2">
        <f>303609+1720453</f>
        <v>2024062</v>
      </c>
      <c r="E61" s="2">
        <v>1692900</v>
      </c>
      <c r="F61" s="2">
        <v>1771037</v>
      </c>
      <c r="G61" s="2">
        <v>2055552</v>
      </c>
      <c r="H61" s="2">
        <v>2711736</v>
      </c>
      <c r="I61" s="2">
        <v>2938313</v>
      </c>
      <c r="J61" s="2">
        <v>3132991</v>
      </c>
      <c r="K61" s="2">
        <v>3452017</v>
      </c>
      <c r="L61" s="2">
        <v>3447683</v>
      </c>
      <c r="M61" s="2"/>
      <c r="N61" s="24">
        <f t="shared" si="3"/>
        <v>25202116</v>
      </c>
      <c r="O61" s="5">
        <f t="shared" si="4"/>
        <v>1.3086463675602322</v>
      </c>
      <c r="P61" s="45">
        <f t="shared" si="2"/>
        <v>31</v>
      </c>
      <c r="Q61" s="2"/>
      <c r="S61" s="2"/>
    </row>
    <row r="62" spans="2:19" ht="14.25" customHeight="1">
      <c r="B62" s="43" t="s">
        <v>60</v>
      </c>
      <c r="C62" s="2">
        <v>3846015</v>
      </c>
      <c r="D62" s="2">
        <f>488545+172081+90000+3043297+364044</f>
        <v>4157967</v>
      </c>
      <c r="E62" s="2">
        <v>4685140</v>
      </c>
      <c r="F62" s="2">
        <v>5410386</v>
      </c>
      <c r="G62" s="2">
        <v>4761124</v>
      </c>
      <c r="H62" s="2">
        <v>8237965</v>
      </c>
      <c r="I62" s="2">
        <v>7859672</v>
      </c>
      <c r="J62" s="2">
        <v>7153359</v>
      </c>
      <c r="K62" s="2">
        <v>7995831</v>
      </c>
      <c r="L62" s="2">
        <v>7465516</v>
      </c>
      <c r="M62" s="2"/>
      <c r="N62" s="24">
        <f t="shared" si="3"/>
        <v>61572975</v>
      </c>
      <c r="O62" s="5">
        <f t="shared" si="4"/>
        <v>3.1972414567739857</v>
      </c>
      <c r="P62" s="45">
        <f t="shared" si="2"/>
        <v>8</v>
      </c>
      <c r="Q62" s="2"/>
      <c r="S62" s="2"/>
    </row>
    <row r="63" spans="2:19" ht="14.25" customHeight="1">
      <c r="B63" s="43" t="s">
        <v>61</v>
      </c>
      <c r="C63" s="2">
        <v>477486</v>
      </c>
      <c r="D63" s="2">
        <f>3981+210642+377+48914+440229</f>
        <v>704143</v>
      </c>
      <c r="E63" s="2">
        <v>409113</v>
      </c>
      <c r="F63" s="2">
        <v>427996</v>
      </c>
      <c r="G63" s="2">
        <v>496753</v>
      </c>
      <c r="H63" s="2">
        <v>655329</v>
      </c>
      <c r="I63" s="2">
        <v>710084</v>
      </c>
      <c r="J63" s="2">
        <v>757131</v>
      </c>
      <c r="K63" s="2">
        <v>200000</v>
      </c>
      <c r="L63" s="2">
        <v>2104881</v>
      </c>
      <c r="M63" s="2"/>
      <c r="N63" s="24">
        <f t="shared" si="3"/>
        <v>6942916</v>
      </c>
      <c r="O63" s="5">
        <f t="shared" si="4"/>
        <v>0.3605182121880487</v>
      </c>
      <c r="P63" s="52">
        <f t="shared" si="2"/>
        <v>49</v>
      </c>
      <c r="Q63" s="2"/>
      <c r="S63" s="2"/>
    </row>
    <row r="64" spans="2:19" ht="13.5" customHeight="1" thickBot="1">
      <c r="B64" s="1"/>
      <c r="C64" s="2"/>
      <c r="D64" s="2"/>
      <c r="E64" s="2"/>
      <c r="F64" s="2"/>
      <c r="G64" s="2" t="s">
        <v>0</v>
      </c>
      <c r="H64" s="2"/>
      <c r="I64" s="2"/>
      <c r="J64" s="2"/>
      <c r="K64" s="2"/>
      <c r="L64" s="2"/>
      <c r="M64" s="2"/>
      <c r="N64" s="24" t="s">
        <v>0</v>
      </c>
      <c r="O64" s="8"/>
      <c r="P64" s="8"/>
      <c r="Q64" s="2"/>
      <c r="R64" s="2"/>
      <c r="S64" s="2"/>
    </row>
    <row r="65" spans="2:19" ht="13.5" customHeight="1" thickTop="1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41"/>
      <c r="P65" s="29"/>
      <c r="Q65" s="2"/>
      <c r="R65" s="2"/>
      <c r="S65" s="2"/>
    </row>
    <row r="66" spans="2:19" ht="13.5" customHeight="1">
      <c r="B66" s="30" t="s">
        <v>6</v>
      </c>
      <c r="C66" s="48">
        <f aca="true" t="shared" si="5" ref="C66:K66">SUM(C9:C63)</f>
        <v>137078118</v>
      </c>
      <c r="D66" s="48">
        <f t="shared" si="5"/>
        <v>169406841</v>
      </c>
      <c r="E66" s="48">
        <f t="shared" si="5"/>
        <v>137643192</v>
      </c>
      <c r="F66" s="48">
        <f t="shared" si="5"/>
        <v>145086126</v>
      </c>
      <c r="G66" s="48">
        <f t="shared" si="5"/>
        <v>149687642</v>
      </c>
      <c r="H66" s="48">
        <f t="shared" si="5"/>
        <v>208309715</v>
      </c>
      <c r="I66" s="48">
        <f t="shared" si="5"/>
        <v>229648981</v>
      </c>
      <c r="J66" s="48">
        <f t="shared" si="5"/>
        <v>214127008</v>
      </c>
      <c r="K66" s="48">
        <f t="shared" si="5"/>
        <v>275096409</v>
      </c>
      <c r="L66" s="48">
        <f>SUM(L9:L63)</f>
        <v>259731576</v>
      </c>
      <c r="M66" s="48"/>
      <c r="N66" s="49">
        <f>SUM(C66:M66)</f>
        <v>1925815608</v>
      </c>
      <c r="O66" s="38">
        <f>SUM(O9:O64)</f>
        <v>99.99999999999999</v>
      </c>
      <c r="P66" s="31"/>
      <c r="Q66" s="2" t="s">
        <v>0</v>
      </c>
      <c r="R66" s="2" t="s">
        <v>0</v>
      </c>
      <c r="S66" s="2" t="s">
        <v>0</v>
      </c>
    </row>
    <row r="67" spans="2:19" ht="13.5" customHeight="1">
      <c r="B67" s="37" t="s">
        <v>62</v>
      </c>
      <c r="C67" s="50">
        <f aca="true" t="shared" si="6" ref="C67:L67">(C66/$N66)*100</f>
        <v>7.117925383435775</v>
      </c>
      <c r="D67" s="50">
        <f t="shared" si="6"/>
        <v>8.796628311468124</v>
      </c>
      <c r="E67" s="50">
        <f t="shared" si="6"/>
        <v>7.14726744493183</v>
      </c>
      <c r="F67" s="50">
        <f t="shared" si="6"/>
        <v>7.533749617424432</v>
      </c>
      <c r="G67" s="50">
        <f t="shared" si="6"/>
        <v>7.772688173165953</v>
      </c>
      <c r="H67" s="50">
        <f t="shared" si="6"/>
        <v>10.816700941391478</v>
      </c>
      <c r="I67" s="50">
        <f t="shared" si="6"/>
        <v>11.924764761798524</v>
      </c>
      <c r="J67" s="50">
        <f t="shared" si="6"/>
        <v>11.118769995969418</v>
      </c>
      <c r="K67" s="50">
        <f t="shared" si="6"/>
        <v>14.284670238273403</v>
      </c>
      <c r="L67" s="50">
        <f t="shared" si="6"/>
        <v>13.486835132141062</v>
      </c>
      <c r="M67" s="48"/>
      <c r="N67" s="51">
        <f>SUM(C67:M67)</f>
        <v>100.00000000000001</v>
      </c>
      <c r="O67" s="38"/>
      <c r="P67" s="31"/>
      <c r="Q67" s="2"/>
      <c r="R67" s="2"/>
      <c r="S67" s="2"/>
    </row>
    <row r="68" spans="2:19" ht="16.5" thickBot="1">
      <c r="B68" s="36"/>
      <c r="C68" s="32"/>
      <c r="D68" s="33"/>
      <c r="E68" s="32"/>
      <c r="F68" s="33"/>
      <c r="G68" s="33"/>
      <c r="H68" s="33"/>
      <c r="I68" s="33"/>
      <c r="J68" s="33"/>
      <c r="K68" s="33"/>
      <c r="L68" s="33"/>
      <c r="M68" s="33"/>
      <c r="N68" s="34"/>
      <c r="O68" s="42"/>
      <c r="P68" s="35"/>
      <c r="Q68" s="2"/>
      <c r="R68" s="2"/>
      <c r="S68" s="2"/>
    </row>
    <row r="69" spans="3:19" ht="15.75" thickTop="1">
      <c r="C69" s="2"/>
      <c r="E69" s="2"/>
      <c r="N69" s="2"/>
      <c r="O69" s="2"/>
      <c r="P69" s="2"/>
      <c r="Q69" s="2" t="s">
        <v>0</v>
      </c>
      <c r="R69" s="2"/>
      <c r="S69" s="2"/>
    </row>
    <row r="70" spans="3:19" ht="15">
      <c r="C70" s="2"/>
      <c r="E70" s="2"/>
      <c r="N70" s="2"/>
      <c r="O70" s="2"/>
      <c r="P70" s="2"/>
      <c r="Q70" s="2"/>
      <c r="R70" s="2"/>
      <c r="S70" s="2"/>
    </row>
    <row r="71" spans="3:19" ht="15">
      <c r="C71" s="2"/>
      <c r="E71" s="2"/>
      <c r="N71" s="2"/>
      <c r="O71" s="2"/>
      <c r="P71" s="2"/>
      <c r="Q71" s="2"/>
      <c r="R71" s="2"/>
      <c r="S71" s="2"/>
    </row>
  </sheetData>
  <mergeCells count="3">
    <mergeCell ref="B1:P1"/>
    <mergeCell ref="B2:P2"/>
    <mergeCell ref="B3:P3"/>
  </mergeCells>
  <printOptions horizontalCentered="1"/>
  <pageMargins left="0.25" right="0.25" top="0.25" bottom="0.25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2003-03-17T18:58:37Z</cp:lastPrinted>
  <dcterms:created xsi:type="dcterms:W3CDTF">1999-02-24T14:22:47Z</dcterms:created>
  <dcterms:modified xsi:type="dcterms:W3CDTF">2004-03-13T14:03:26Z</dcterms:modified>
  <cp:category/>
  <cp:version/>
  <cp:contentType/>
  <cp:contentStatus/>
</cp:coreProperties>
</file>