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875" windowHeight="145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t_b_cur_ac">'[1]1-Variables'!$C$14</definedName>
    <definedName name="at_b_new_ac">'[1]1-Variables'!$K$14</definedName>
    <definedName name="at_b_total_ac">'[1]1-Variables'!$I$14</definedName>
    <definedName name="at_b_unch_ac">'[1]1-Variables'!$J$14</definedName>
    <definedName name="at_p_cur_ac">'[1]1-Variables'!$C$21</definedName>
    <definedName name="at_p_new_ac">'[1]1-Variables'!$K$21</definedName>
    <definedName name="at_p_total_ac">'[1]1-Variables'!$I$21</definedName>
    <definedName name="at_p_unch_ac">'[1]1-Variables'!$J$21</definedName>
    <definedName name="at_r_cur_ac">'[1]1-Variables'!$C$27</definedName>
    <definedName name="at_r_new_ac">'[1]1-Variables'!$K$27</definedName>
    <definedName name="at_r_total_ac">'[1]1-Variables'!$I$27</definedName>
    <definedName name="at_r_unch_ac">'[1]1-Variables'!$J$27</definedName>
    <definedName name="calc_part_rate">'[1]1-Variables'!$G$9</definedName>
    <definedName name="cost_share_rate">'[1]1-Variables'!$K$7</definedName>
    <definedName name="huc_code">'[1]1-Variables'!$H$3</definedName>
    <definedName name="huc_name">'[1]1-Variables'!$C$3</definedName>
    <definedName name="int_rate">'[1]1-Variables'!$K$5</definedName>
    <definedName name="landuse">'[1]1-Variables'!$C$5</definedName>
    <definedName name="landuse_acres">'[1]1-Variables'!$H$5</definedName>
    <definedName name="res_con1">'[1]RapidAssessment'!$I$6</definedName>
    <definedName name="res_con2">'[1]RapidAssessment'!$J$6</definedName>
    <definedName name="res_con3">'[1]RapidAssessment'!$K$6</definedName>
    <definedName name="res_con4">'[1]RapidAssessment'!$L$6</definedName>
    <definedName name="ta_of_fa">'[1]1-Variables'!$H$7</definedName>
    <definedName name="TU">'[1]1-Variables'!$C$7</definedName>
  </definedNames>
  <calcPr fullCalcOnLoad="1"/>
</workbook>
</file>

<file path=xl/comments1.xml><?xml version="1.0" encoding="utf-8"?>
<comments xmlns="http://schemas.openxmlformats.org/spreadsheetml/2006/main">
  <authors>
    <author>Lisa Greber</author>
  </authors>
  <commentList>
    <comment ref="A3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A50" authorId="0">
      <text>
        <r>
          <rPr>
            <b/>
            <sz val="8"/>
            <rFont val="Tahoma"/>
            <family val="0"/>
          </rPr>
          <t>You can hide the rows below with no practices listed to make the final report more streamline.</t>
        </r>
      </text>
    </comment>
    <comment ref="E52" authorId="0">
      <text>
        <r>
          <rPr>
            <b/>
            <sz val="8"/>
            <rFont val="Tahoma"/>
            <family val="0"/>
          </rPr>
          <t>Technical Assistance costs are more applicable to the system than the individual practices.</t>
        </r>
      </text>
    </comment>
  </commentList>
</comments>
</file>

<file path=xl/sharedStrings.xml><?xml version="1.0" encoding="utf-8"?>
<sst xmlns="http://schemas.openxmlformats.org/spreadsheetml/2006/main" count="41" uniqueCount="34">
  <si>
    <t>WATERSHED NAME &amp; CODE</t>
  </si>
  <si>
    <t>LANDUSE ACRES</t>
  </si>
  <si>
    <t>LANDUSE TYPE</t>
  </si>
  <si>
    <t>TYPICAL UNIT SIZE ACRES</t>
  </si>
  <si>
    <t>ASSESSMENT INFORMATION</t>
  </si>
  <si>
    <t>ESTIMATED PARTICIPATION</t>
  </si>
  <si>
    <t xml:space="preserve">CONSERVATION SYSTEMS
BY TREATMENT LEVELS </t>
  </si>
  <si>
    <t>CURRENT CONDITIONS</t>
  </si>
  <si>
    <t>FUTURE CONDITIONS</t>
  </si>
  <si>
    <t>RESOURCE CONCERNS</t>
  </si>
  <si>
    <t>Total
Units</t>
  </si>
  <si>
    <t>Existing
Unchanged
Units</t>
  </si>
  <si>
    <t>New
Treatment
Units</t>
  </si>
  <si>
    <t>Baseline System</t>
  </si>
  <si>
    <t>System Rating -&gt;</t>
  </si>
  <si>
    <t>Total Acreage at Baseline Level</t>
  </si>
  <si>
    <t>Progressive System</t>
  </si>
  <si>
    <t>Total Acreage at Progressive Level</t>
  </si>
  <si>
    <t>Resource Management System (RMS)</t>
  </si>
  <si>
    <t>Total Acreage at RMS Level</t>
  </si>
  <si>
    <t>CONSERVATION INVESTMENT INFORMATION</t>
  </si>
  <si>
    <t>FUTURE</t>
  </si>
  <si>
    <t>USDA INVESTMENT</t>
  </si>
  <si>
    <t>PRIVATE INVESTMENT</t>
  </si>
  <si>
    <t>New Treatment Units</t>
  </si>
  <si>
    <t>Installation
Cost</t>
  </si>
  <si>
    <t>Management
Cost - 3 yrs</t>
  </si>
  <si>
    <t>Technical
Assistance</t>
  </si>
  <si>
    <t>Total Present Value Cost</t>
  </si>
  <si>
    <t>Annual O &amp; M
+ Mgt Costs</t>
  </si>
  <si>
    <t>Progressive System Acres Treated</t>
  </si>
  <si>
    <t>Subtotal</t>
  </si>
  <si>
    <t>Resource Management System (RMS) Acres Treated</t>
  </si>
  <si>
    <t>TOTAL ACRES TREATED / ESTIMATED TREATMENT COSTS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</si>
</sst>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sz val="8"/>
      <color indexed="9"/>
      <name val="Arial"/>
      <family val="2"/>
    </font>
    <font>
      <b/>
      <sz val="8"/>
      <name val="Tahoma"/>
      <family val="0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double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1" xfId="19" applyFont="1" applyFill="1" applyBorder="1" applyAlignment="1">
      <alignment horizontal="right" vertical="center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 wrapText="1"/>
      <protection/>
    </xf>
    <xf numFmtId="0" fontId="1" fillId="5" borderId="1" xfId="19" applyFont="1" applyFill="1" applyBorder="1" applyAlignment="1">
      <alignment vertical="center" wrapText="1"/>
      <protection/>
    </xf>
    <xf numFmtId="0" fontId="2" fillId="6" borderId="1" xfId="19" applyFont="1" applyFill="1" applyBorder="1" applyAlignment="1">
      <alignment vertical="center"/>
      <protection/>
    </xf>
    <xf numFmtId="1" fontId="2" fillId="6" borderId="1" xfId="19" applyNumberFormat="1" applyFont="1" applyFill="1" applyBorder="1" applyAlignment="1">
      <alignment horizontal="center" vertical="center"/>
      <protection/>
    </xf>
    <xf numFmtId="3" fontId="2" fillId="7" borderId="1" xfId="19" applyNumberFormat="1" applyFont="1" applyFill="1" applyBorder="1" applyAlignment="1">
      <alignment horizontal="right"/>
      <protection/>
    </xf>
    <xf numFmtId="3" fontId="2" fillId="7" borderId="1" xfId="19" applyNumberFormat="1" applyFont="1" applyFill="1" applyBorder="1" applyAlignment="1">
      <alignment horizontal="center"/>
      <protection/>
    </xf>
    <xf numFmtId="0" fontId="4" fillId="0" borderId="1" xfId="19" applyFont="1" applyBorder="1">
      <alignment/>
      <protection/>
    </xf>
    <xf numFmtId="3" fontId="4" fillId="0" borderId="1" xfId="19" applyNumberFormat="1" applyFont="1" applyBorder="1" applyAlignment="1">
      <alignment horizontal="center"/>
      <protection/>
    </xf>
    <xf numFmtId="0" fontId="4" fillId="0" borderId="1" xfId="19" applyFont="1" applyBorder="1" applyAlignment="1">
      <alignment horizontal="center"/>
      <protection/>
    </xf>
    <xf numFmtId="0" fontId="2" fillId="7" borderId="1" xfId="19" applyFont="1" applyFill="1" applyBorder="1" applyAlignment="1">
      <alignment horizontal="right"/>
      <protection/>
    </xf>
    <xf numFmtId="0" fontId="1" fillId="8" borderId="2" xfId="19" applyFont="1" applyFill="1" applyBorder="1" applyAlignment="1">
      <alignment vertical="center"/>
      <protection/>
    </xf>
    <xf numFmtId="0" fontId="1" fillId="4" borderId="3" xfId="19" applyFont="1" applyFill="1" applyBorder="1" applyAlignment="1">
      <alignment horizontal="center" vertical="center"/>
      <protection/>
    </xf>
    <xf numFmtId="0" fontId="2" fillId="9" borderId="2" xfId="19" applyFont="1" applyFill="1" applyBorder="1" applyAlignment="1">
      <alignment horizontal="left" vertical="center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9" fontId="5" fillId="5" borderId="5" xfId="20" applyFont="1" applyFill="1" applyBorder="1" applyAlignment="1">
      <alignment horizontal="center" vertical="center" wrapText="1"/>
    </xf>
    <xf numFmtId="9" fontId="5" fillId="10" borderId="5" xfId="20" applyFont="1" applyFill="1" applyBorder="1" applyAlignment="1">
      <alignment horizontal="center" vertical="center" wrapText="1"/>
    </xf>
    <xf numFmtId="0" fontId="2" fillId="6" borderId="1" xfId="19" applyFont="1" applyFill="1" applyBorder="1" applyAlignment="1">
      <alignment horizontal="center" vertical="center"/>
      <protection/>
    </xf>
    <xf numFmtId="0" fontId="2" fillId="6" borderId="6" xfId="19" applyFont="1" applyFill="1" applyBorder="1" applyAlignment="1">
      <alignment vertical="center"/>
      <protection/>
    </xf>
    <xf numFmtId="0" fontId="2" fillId="6" borderId="3" xfId="19" applyFont="1" applyFill="1" applyBorder="1" applyAlignment="1">
      <alignment vertical="center"/>
      <protection/>
    </xf>
    <xf numFmtId="0" fontId="4" fillId="0" borderId="1" xfId="19" applyFont="1" applyFill="1" applyBorder="1" applyAlignment="1">
      <alignment horizontal="left" indent="1"/>
      <protection/>
    </xf>
    <xf numFmtId="3" fontId="4" fillId="0" borderId="2" xfId="19" applyNumberFormat="1" applyFont="1" applyFill="1" applyBorder="1" applyAlignment="1">
      <alignment horizontal="center"/>
      <protection/>
    </xf>
    <xf numFmtId="164" fontId="4" fillId="11" borderId="1" xfId="19" applyNumberFormat="1" applyFont="1" applyFill="1" applyBorder="1" applyAlignment="1">
      <alignment/>
      <protection/>
    </xf>
    <xf numFmtId="164" fontId="4" fillId="7" borderId="1" xfId="19" applyNumberFormat="1" applyFont="1" applyFill="1" applyBorder="1" applyAlignment="1">
      <alignment/>
      <protection/>
    </xf>
    <xf numFmtId="0" fontId="4" fillId="0" borderId="7" xfId="19" applyFont="1" applyFill="1" applyBorder="1" applyAlignment="1">
      <alignment horizontal="left" indent="1"/>
      <protection/>
    </xf>
    <xf numFmtId="3" fontId="4" fillId="0" borderId="8" xfId="19" applyNumberFormat="1" applyFont="1" applyFill="1" applyBorder="1" applyAlignment="1">
      <alignment horizontal="center"/>
      <protection/>
    </xf>
    <xf numFmtId="3" fontId="2" fillId="9" borderId="9" xfId="19" applyNumberFormat="1" applyFont="1" applyFill="1" applyBorder="1" applyAlignment="1">
      <alignment/>
      <protection/>
    </xf>
    <xf numFmtId="3" fontId="2" fillId="9" borderId="9" xfId="19" applyNumberFormat="1" applyFont="1" applyFill="1" applyBorder="1" applyAlignment="1">
      <alignment horizontal="center"/>
      <protection/>
    </xf>
    <xf numFmtId="164" fontId="2" fillId="11" borderId="10" xfId="19" applyNumberFormat="1" applyFont="1" applyFill="1" applyBorder="1" applyAlignment="1">
      <alignment/>
      <protection/>
    </xf>
    <xf numFmtId="164" fontId="2" fillId="7" borderId="10" xfId="19" applyNumberFormat="1" applyFont="1" applyFill="1" applyBorder="1" applyAlignment="1">
      <alignment/>
      <protection/>
    </xf>
    <xf numFmtId="0" fontId="1" fillId="2" borderId="11" xfId="19" applyFont="1" applyFill="1" applyBorder="1" applyAlignment="1">
      <alignment horizontal="center" vertical="center"/>
      <protection/>
    </xf>
    <xf numFmtId="0" fontId="1" fillId="2" borderId="12" xfId="19" applyFont="1" applyFill="1" applyBorder="1" applyAlignment="1">
      <alignment horizontal="center" vertical="center"/>
      <protection/>
    </xf>
    <xf numFmtId="0" fontId="2" fillId="6" borderId="1" xfId="19" applyFont="1" applyFill="1" applyBorder="1" applyAlignment="1">
      <alignment horizontal="left" vertical="center"/>
      <protection/>
    </xf>
    <xf numFmtId="3" fontId="4" fillId="0" borderId="1" xfId="19" applyNumberFormat="1" applyFont="1" applyFill="1" applyBorder="1" applyAlignment="1">
      <alignment horizontal="center"/>
      <protection/>
    </xf>
    <xf numFmtId="3" fontId="2" fillId="9" borderId="13" xfId="19" applyNumberFormat="1" applyFont="1" applyFill="1" applyBorder="1" applyAlignment="1">
      <alignment/>
      <protection/>
    </xf>
    <xf numFmtId="3" fontId="2" fillId="9" borderId="14" xfId="19" applyNumberFormat="1" applyFont="1" applyFill="1" applyBorder="1" applyAlignment="1">
      <alignment horizontal="center"/>
      <protection/>
    </xf>
    <xf numFmtId="164" fontId="2" fillId="11" borderId="14" xfId="19" applyNumberFormat="1" applyFont="1" applyFill="1" applyBorder="1" applyAlignment="1">
      <alignment/>
      <protection/>
    </xf>
    <xf numFmtId="164" fontId="2" fillId="7" borderId="14" xfId="19" applyNumberFormat="1" applyFont="1" applyFill="1" applyBorder="1" applyAlignment="1">
      <alignment/>
      <protection/>
    </xf>
    <xf numFmtId="0" fontId="2" fillId="12" borderId="5" xfId="19" applyFont="1" applyFill="1" applyBorder="1" applyAlignment="1">
      <alignment horizontal="left" vertical="center"/>
      <protection/>
    </xf>
    <xf numFmtId="0" fontId="2" fillId="12" borderId="5" xfId="19" applyFont="1" applyFill="1" applyBorder="1" applyAlignment="1">
      <alignment horizontal="center" vertical="center"/>
      <protection/>
    </xf>
    <xf numFmtId="164" fontId="2" fillId="12" borderId="5" xfId="19" applyNumberFormat="1" applyFont="1" applyFill="1" applyBorder="1" applyAlignment="1">
      <alignment horizontal="right" vertical="center"/>
      <protection/>
    </xf>
    <xf numFmtId="0" fontId="1" fillId="13" borderId="2" xfId="19" applyFont="1" applyFill="1" applyBorder="1" applyAlignment="1">
      <alignment horizontal="center" vertical="center"/>
      <protection/>
    </xf>
    <xf numFmtId="0" fontId="1" fillId="13" borderId="6" xfId="19" applyFont="1" applyFill="1" applyBorder="1" applyAlignment="1">
      <alignment horizontal="center" vertical="center"/>
      <protection/>
    </xf>
    <xf numFmtId="0" fontId="1" fillId="13" borderId="3" xfId="19" applyFont="1" applyFill="1" applyBorder="1" applyAlignment="1">
      <alignment horizontal="center" vertical="center"/>
      <protection/>
    </xf>
    <xf numFmtId="0" fontId="4" fillId="13" borderId="2" xfId="19" applyFont="1" applyFill="1" applyBorder="1" applyAlignment="1">
      <alignment horizontal="center"/>
      <protection/>
    </xf>
    <xf numFmtId="0" fontId="4" fillId="13" borderId="6" xfId="19" applyFont="1" applyFill="1" applyBorder="1" applyAlignment="1">
      <alignment horizontal="center"/>
      <protection/>
    </xf>
    <xf numFmtId="0" fontId="4" fillId="13" borderId="3" xfId="19" applyFont="1" applyFill="1" applyBorder="1" applyAlignment="1">
      <alignment horizontal="center"/>
      <protection/>
    </xf>
    <xf numFmtId="0" fontId="3" fillId="8" borderId="8" xfId="19" applyFont="1" applyFill="1" applyBorder="1" applyAlignment="1">
      <alignment horizontal="center" vertical="center" wrapText="1"/>
      <protection/>
    </xf>
    <xf numFmtId="0" fontId="3" fillId="8" borderId="15" xfId="19" applyFont="1" applyFill="1" applyBorder="1" applyAlignment="1">
      <alignment horizontal="center" vertical="center"/>
      <protection/>
    </xf>
    <xf numFmtId="3" fontId="5" fillId="4" borderId="16" xfId="19" applyNumberFormat="1" applyFont="1" applyFill="1" applyBorder="1" applyAlignment="1">
      <alignment horizontal="center" vertical="center" wrapText="1"/>
      <protection/>
    </xf>
    <xf numFmtId="3" fontId="5" fillId="4" borderId="11" xfId="19" applyNumberFormat="1" applyFont="1" applyFill="1" applyBorder="1" applyAlignment="1">
      <alignment horizontal="center" vertical="center" wrapText="1"/>
      <protection/>
    </xf>
    <xf numFmtId="3" fontId="5" fillId="5" borderId="4" xfId="19" applyNumberFormat="1" applyFont="1" applyFill="1" applyBorder="1" applyAlignment="1">
      <alignment horizontal="center" vertical="center" wrapText="1"/>
      <protection/>
    </xf>
    <xf numFmtId="3" fontId="5" fillId="5" borderId="5" xfId="19" applyNumberFormat="1" applyFont="1" applyFill="1" applyBorder="1" applyAlignment="1">
      <alignment horizontal="center" vertical="center" wrapText="1"/>
      <protection/>
    </xf>
    <xf numFmtId="0" fontId="5" fillId="10" borderId="4" xfId="19" applyFont="1" applyFill="1" applyBorder="1" applyAlignment="1">
      <alignment horizontal="center" vertical="center" wrapText="1"/>
      <protection/>
    </xf>
    <xf numFmtId="0" fontId="5" fillId="10" borderId="5" xfId="19" applyFont="1" applyFill="1" applyBorder="1" applyAlignment="1">
      <alignment horizontal="center" vertical="center" wrapText="1"/>
      <protection/>
    </xf>
    <xf numFmtId="3" fontId="2" fillId="7" borderId="2" xfId="19" applyNumberFormat="1" applyFont="1" applyFill="1" applyBorder="1" applyAlignment="1">
      <alignment horizontal="center"/>
      <protection/>
    </xf>
    <xf numFmtId="3" fontId="2" fillId="7" borderId="6" xfId="19" applyNumberFormat="1" applyFont="1" applyFill="1" applyBorder="1" applyAlignment="1">
      <alignment horizontal="center"/>
      <protection/>
    </xf>
    <xf numFmtId="3" fontId="2" fillId="7" borderId="3" xfId="19" applyNumberFormat="1" applyFont="1" applyFill="1" applyBorder="1" applyAlignment="1">
      <alignment horizontal="center"/>
      <protection/>
    </xf>
    <xf numFmtId="0" fontId="1" fillId="2" borderId="8" xfId="19" applyFont="1" applyFill="1" applyBorder="1" applyAlignment="1">
      <alignment horizontal="center" vertical="center"/>
      <protection/>
    </xf>
    <xf numFmtId="0" fontId="1" fillId="2" borderId="16" xfId="19" applyFont="1" applyFill="1" applyBorder="1" applyAlignment="1">
      <alignment horizontal="center" vertical="center"/>
      <protection/>
    </xf>
    <xf numFmtId="0" fontId="1" fillId="2" borderId="17" xfId="19" applyFont="1" applyFill="1" applyBorder="1" applyAlignment="1">
      <alignment horizontal="center" vertical="center"/>
      <protection/>
    </xf>
    <xf numFmtId="0" fontId="1" fillId="2" borderId="15" xfId="19" applyFont="1" applyFill="1" applyBorder="1" applyAlignment="1">
      <alignment horizontal="center" vertical="center"/>
      <protection/>
    </xf>
    <xf numFmtId="0" fontId="2" fillId="9" borderId="6" xfId="19" applyFont="1" applyFill="1" applyBorder="1" applyAlignment="1">
      <alignment horizontal="left" vertical="center"/>
      <protection/>
    </xf>
    <xf numFmtId="0" fontId="2" fillId="9" borderId="3" xfId="19" applyFont="1" applyFill="1" applyBorder="1" applyAlignment="1">
      <alignment horizontal="left" vertical="center"/>
      <protection/>
    </xf>
    <xf numFmtId="3" fontId="1" fillId="5" borderId="8" xfId="19" applyNumberFormat="1" applyFont="1" applyFill="1" applyBorder="1" applyAlignment="1">
      <alignment horizontal="center" vertical="center"/>
      <protection/>
    </xf>
    <xf numFmtId="3" fontId="1" fillId="5" borderId="16" xfId="19" applyNumberFormat="1" applyFont="1" applyFill="1" applyBorder="1" applyAlignment="1">
      <alignment horizontal="center" vertical="center"/>
      <protection/>
    </xf>
    <xf numFmtId="3" fontId="1" fillId="5" borderId="17" xfId="19" applyNumberFormat="1" applyFont="1" applyFill="1" applyBorder="1" applyAlignment="1">
      <alignment horizontal="center" vertical="center"/>
      <protection/>
    </xf>
    <xf numFmtId="1" fontId="1" fillId="10" borderId="2" xfId="19" applyNumberFormat="1" applyFont="1" applyFill="1" applyBorder="1" applyAlignment="1">
      <alignment horizontal="center" vertical="center"/>
      <protection/>
    </xf>
    <xf numFmtId="1" fontId="1" fillId="10" borderId="6" xfId="19" applyNumberFormat="1" applyFont="1" applyFill="1" applyBorder="1" applyAlignment="1">
      <alignment horizontal="center" vertical="center"/>
      <protection/>
    </xf>
    <xf numFmtId="1" fontId="1" fillId="10" borderId="3" xfId="19" applyNumberFormat="1" applyFont="1" applyFill="1" applyBorder="1" applyAlignment="1">
      <alignment horizontal="center" vertical="center"/>
      <protection/>
    </xf>
    <xf numFmtId="3" fontId="2" fillId="6" borderId="1" xfId="19" applyNumberFormat="1" applyFont="1" applyFill="1" applyBorder="1" applyAlignment="1">
      <alignment horizontal="right" vertical="center"/>
      <protection/>
    </xf>
    <xf numFmtId="0" fontId="4" fillId="13" borderId="1" xfId="19" applyFont="1" applyFill="1" applyBorder="1" applyAlignment="1">
      <alignment horizontal="center"/>
      <protection/>
    </xf>
    <xf numFmtId="0" fontId="1" fillId="13" borderId="1" xfId="19" applyFont="1" applyFill="1" applyBorder="1" applyAlignment="1">
      <alignment horizontal="center" vertical="center" wrapText="1"/>
      <protection/>
    </xf>
    <xf numFmtId="0" fontId="1" fillId="2" borderId="1" xfId="19" applyFont="1" applyFill="1" applyBorder="1" applyAlignment="1">
      <alignment horizontal="right" vertical="center"/>
      <protection/>
    </xf>
    <xf numFmtId="9" fontId="2" fillId="0" borderId="1" xfId="19" applyNumberFormat="1" applyFont="1" applyFill="1" applyBorder="1" applyAlignment="1">
      <alignment horizontal="center" vertical="center"/>
      <protection/>
    </xf>
    <xf numFmtId="0" fontId="3" fillId="8" borderId="4" xfId="19" applyFont="1" applyFill="1" applyBorder="1" applyAlignment="1">
      <alignment horizontal="center" vertical="center" wrapText="1"/>
      <protection/>
    </xf>
    <xf numFmtId="0" fontId="3" fillId="8" borderId="18" xfId="19" applyFont="1" applyFill="1" applyBorder="1" applyAlignment="1">
      <alignment horizontal="center" vertical="center" wrapText="1"/>
      <protection/>
    </xf>
    <xf numFmtId="0" fontId="3" fillId="8" borderId="5" xfId="19" applyFont="1" applyFill="1" applyBorder="1" applyAlignment="1">
      <alignment horizontal="center" vertical="center" wrapText="1"/>
      <protection/>
    </xf>
    <xf numFmtId="3" fontId="1" fillId="3" borderId="1" xfId="19" applyNumberFormat="1" applyFont="1" applyFill="1" applyBorder="1" applyAlignment="1">
      <alignment horizontal="center" vertical="center" wrapText="1"/>
      <protection/>
    </xf>
    <xf numFmtId="3" fontId="1" fillId="4" borderId="1" xfId="19" applyNumberFormat="1" applyFont="1" applyFill="1" applyBorder="1" applyAlignment="1">
      <alignment horizontal="center" vertical="center"/>
      <protection/>
    </xf>
    <xf numFmtId="0" fontId="1" fillId="5" borderId="1" xfId="19" applyFont="1" applyFill="1" applyBorder="1" applyAlignment="1">
      <alignment horizontal="center" vertical="center"/>
      <protection/>
    </xf>
    <xf numFmtId="3" fontId="2" fillId="0" borderId="1" xfId="19" applyNumberFormat="1" applyFont="1" applyFill="1" applyBorder="1" applyAlignment="1">
      <alignment horizontal="center" vertical="center"/>
      <protection/>
    </xf>
    <xf numFmtId="3" fontId="2" fillId="0" borderId="1" xfId="15" applyNumberFormat="1" applyFont="1" applyFill="1" applyBorder="1" applyAlignment="1">
      <alignment horizontal="center" vertical="center"/>
    </xf>
    <xf numFmtId="3" fontId="2" fillId="0" borderId="1" xfId="19" applyNumberFormat="1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WA_AssessmentTool_v14" xfId="19"/>
    <cellStyle name="Percent" xfId="20"/>
  </cellStyles>
  <dxfs count="1">
    <dxf>
      <font>
        <color rgb="FFCCCCFF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WA_Matrix_Tool_LG_Wolf_Pasture%20and%20Hayl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1-Variables"/>
      <sheetName val="2-Select Concerns-Practices"/>
      <sheetName val="3-Practice Effects"/>
      <sheetName val="4-Treatment Levels"/>
      <sheetName val="5-Practice_Factor"/>
      <sheetName val="6-Template"/>
      <sheetName val="7-FundingSources"/>
      <sheetName val="RWA_Output"/>
      <sheetName val="Computations"/>
      <sheetName val="RapidAssessment"/>
      <sheetName val="CPPE"/>
      <sheetName val="CostList"/>
      <sheetName val="ProblemDefinitions"/>
      <sheetName val="Practice Descriptions"/>
      <sheetName val="LOOKUP"/>
    </sheetNames>
    <sheetDataSet>
      <sheetData sheetId="1">
        <row r="3">
          <cell r="C3" t="str">
            <v>Wolf</v>
          </cell>
          <cell r="H3" t="str">
            <v>04030202</v>
          </cell>
        </row>
        <row r="5">
          <cell r="C5" t="str">
            <v>Pasture and Hayland</v>
          </cell>
          <cell r="H5">
            <v>410848</v>
          </cell>
          <cell r="K5">
            <v>0.06</v>
          </cell>
        </row>
        <row r="7">
          <cell r="C7">
            <v>25</v>
          </cell>
          <cell r="H7">
            <v>0.2</v>
          </cell>
          <cell r="K7">
            <v>0.5</v>
          </cell>
        </row>
        <row r="9">
          <cell r="G9">
            <v>0.11249999999999995</v>
          </cell>
        </row>
        <row r="14">
          <cell r="C14">
            <v>41084.8</v>
          </cell>
          <cell r="I14">
            <v>32867.840000000004</v>
          </cell>
          <cell r="J14">
            <v>32867.840000000004</v>
          </cell>
          <cell r="K14">
            <v>0</v>
          </cell>
        </row>
        <row r="21">
          <cell r="C21">
            <v>287593.6</v>
          </cell>
          <cell r="I21">
            <v>264996.95999999996</v>
          </cell>
          <cell r="J21">
            <v>258834.24</v>
          </cell>
          <cell r="K21">
            <v>6162.719999999972</v>
          </cell>
        </row>
        <row r="27">
          <cell r="C27">
            <v>82169.6</v>
          </cell>
          <cell r="I27">
            <v>112983.20000000001</v>
          </cell>
          <cell r="J27">
            <v>82169.6</v>
          </cell>
          <cell r="K27">
            <v>30813.600000000006</v>
          </cell>
        </row>
      </sheetData>
      <sheetData sheetId="9">
        <row r="5">
          <cell r="A5" t="str">
            <v>Fence   (ft.)  382</v>
          </cell>
          <cell r="B5">
            <v>382</v>
          </cell>
          <cell r="G5">
            <v>657356.8</v>
          </cell>
          <cell r="H5">
            <v>525885.4400000001</v>
          </cell>
          <cell r="I5">
            <v>0</v>
          </cell>
          <cell r="J5">
            <v>525885.4400000001</v>
          </cell>
          <cell r="K5">
            <v>1</v>
          </cell>
          <cell r="L5">
            <v>1</v>
          </cell>
          <cell r="M5">
            <v>1</v>
          </cell>
          <cell r="N5">
            <v>0</v>
          </cell>
        </row>
        <row r="6">
          <cell r="A6" t="str">
            <v>Pasture &amp; Hayland Planting   (ac.)  512</v>
          </cell>
          <cell r="B6">
            <v>512</v>
          </cell>
          <cell r="G6">
            <v>32867.840000000004</v>
          </cell>
          <cell r="H6">
            <v>26294.272000000004</v>
          </cell>
          <cell r="I6">
            <v>0</v>
          </cell>
          <cell r="J6">
            <v>26294.272000000004</v>
          </cell>
          <cell r="K6">
            <v>2</v>
          </cell>
          <cell r="L6">
            <v>5</v>
          </cell>
          <cell r="M6">
            <v>5</v>
          </cell>
          <cell r="N6">
            <v>0</v>
          </cell>
        </row>
        <row r="7">
          <cell r="A7" t="str">
            <v>na</v>
          </cell>
          <cell r="B7" t="str">
            <v>na</v>
          </cell>
          <cell r="G7" t="str">
            <v>0</v>
          </cell>
          <cell r="H7" t="str">
            <v>0</v>
          </cell>
          <cell r="I7" t="str">
            <v>0</v>
          </cell>
          <cell r="J7" t="str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na</v>
          </cell>
          <cell r="B8" t="str">
            <v>na</v>
          </cell>
          <cell r="G8" t="str">
            <v>0</v>
          </cell>
          <cell r="H8" t="str">
            <v>0</v>
          </cell>
          <cell r="I8" t="str">
            <v>0</v>
          </cell>
          <cell r="J8" t="str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A9" t="str">
            <v>na</v>
          </cell>
          <cell r="B9" t="str">
            <v>na</v>
          </cell>
          <cell r="G9" t="str">
            <v>0</v>
          </cell>
          <cell r="H9" t="str">
            <v>0</v>
          </cell>
          <cell r="I9" t="str">
            <v>0</v>
          </cell>
          <cell r="J9" t="str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3">
          <cell r="A13" t="str">
            <v>Animal Trails and Walkways (ac.)  575</v>
          </cell>
          <cell r="B13">
            <v>575</v>
          </cell>
          <cell r="C13">
            <v>5.2</v>
          </cell>
          <cell r="D13">
            <v>10</v>
          </cell>
          <cell r="E13">
            <v>0.02</v>
          </cell>
          <cell r="G13">
            <v>71.8984</v>
          </cell>
          <cell r="H13">
            <v>64.70856</v>
          </cell>
          <cell r="I13">
            <v>1.5406799999999805</v>
          </cell>
          <cell r="J13">
            <v>66.24923999999999</v>
          </cell>
          <cell r="K13">
            <v>3</v>
          </cell>
          <cell r="L13">
            <v>1</v>
          </cell>
          <cell r="M13">
            <v>0</v>
          </cell>
          <cell r="N13">
            <v>0</v>
          </cell>
        </row>
        <row r="14">
          <cell r="A14" t="str">
            <v>Fence   (ft.)  382</v>
          </cell>
          <cell r="B14">
            <v>382</v>
          </cell>
          <cell r="C14">
            <v>2.5</v>
          </cell>
          <cell r="D14">
            <v>20</v>
          </cell>
          <cell r="E14">
            <v>0.02</v>
          </cell>
          <cell r="G14">
            <v>5751872</v>
          </cell>
          <cell r="H14">
            <v>5275288.319999999</v>
          </cell>
          <cell r="I14">
            <v>24650.87999999989</v>
          </cell>
          <cell r="J14">
            <v>5299939.199999999</v>
          </cell>
          <cell r="K14">
            <v>1</v>
          </cell>
          <cell r="L14">
            <v>1</v>
          </cell>
          <cell r="M14">
            <v>1</v>
          </cell>
          <cell r="N14">
            <v>0</v>
          </cell>
        </row>
        <row r="15">
          <cell r="A15" t="str">
            <v>Forage Harvest Management  (ac.) 511</v>
          </cell>
          <cell r="B15">
            <v>511</v>
          </cell>
          <cell r="C15">
            <v>8</v>
          </cell>
          <cell r="D15">
            <v>1</v>
          </cell>
          <cell r="E15">
            <v>0</v>
          </cell>
          <cell r="G15">
            <v>230074.88</v>
          </cell>
          <cell r="H15">
            <v>207067.392</v>
          </cell>
          <cell r="I15">
            <v>4930.175999999978</v>
          </cell>
          <cell r="J15">
            <v>211997.56799999997</v>
          </cell>
          <cell r="K15">
            <v>3</v>
          </cell>
          <cell r="L15">
            <v>5</v>
          </cell>
          <cell r="M15">
            <v>3</v>
          </cell>
          <cell r="N15">
            <v>0</v>
          </cell>
        </row>
        <row r="16">
          <cell r="A16" t="str">
            <v>Nutrient Management   (ac.)  590</v>
          </cell>
          <cell r="B16">
            <v>590</v>
          </cell>
          <cell r="C16">
            <v>10.5</v>
          </cell>
          <cell r="D16">
            <v>1</v>
          </cell>
          <cell r="E16">
            <v>0</v>
          </cell>
          <cell r="G16">
            <v>201315.51999999996</v>
          </cell>
          <cell r="H16">
            <v>181183.968</v>
          </cell>
          <cell r="I16">
            <v>4313.90399999998</v>
          </cell>
          <cell r="J16">
            <v>185497.87199999997</v>
          </cell>
          <cell r="K16">
            <v>5</v>
          </cell>
          <cell r="L16">
            <v>5</v>
          </cell>
          <cell r="M16">
            <v>2</v>
          </cell>
          <cell r="N16">
            <v>1</v>
          </cell>
        </row>
        <row r="17">
          <cell r="A17" t="str">
            <v>Pasture &amp; Hayland Planting   (ac.)  512</v>
          </cell>
          <cell r="B17">
            <v>512</v>
          </cell>
          <cell r="C17">
            <v>157</v>
          </cell>
          <cell r="D17">
            <v>10</v>
          </cell>
          <cell r="E17">
            <v>0.01</v>
          </cell>
          <cell r="G17">
            <v>244454.55999999997</v>
          </cell>
          <cell r="H17">
            <v>224939.28</v>
          </cell>
          <cell r="I17">
            <v>308.1359999999695</v>
          </cell>
          <cell r="J17">
            <v>225247.41599999997</v>
          </cell>
          <cell r="K17">
            <v>2</v>
          </cell>
          <cell r="L17">
            <v>5</v>
          </cell>
          <cell r="M17">
            <v>5</v>
          </cell>
          <cell r="N17">
            <v>0</v>
          </cell>
        </row>
        <row r="18">
          <cell r="A18" t="str">
            <v>Pest Management   (ac.)  595</v>
          </cell>
          <cell r="B18">
            <v>595</v>
          </cell>
          <cell r="C18">
            <v>8.25</v>
          </cell>
          <cell r="D18">
            <v>1</v>
          </cell>
          <cell r="E18">
            <v>0</v>
          </cell>
          <cell r="G18">
            <v>143796.8</v>
          </cell>
          <cell r="H18">
            <v>129417.12</v>
          </cell>
          <cell r="I18">
            <v>3081.359999999986</v>
          </cell>
          <cell r="J18">
            <v>132498.47999999998</v>
          </cell>
          <cell r="K18">
            <v>0</v>
          </cell>
          <cell r="L18">
            <v>3</v>
          </cell>
          <cell r="M18">
            <v>3</v>
          </cell>
          <cell r="N18">
            <v>0</v>
          </cell>
        </row>
        <row r="19">
          <cell r="A19" t="str">
            <v>na</v>
          </cell>
          <cell r="B19" t="str">
            <v>na</v>
          </cell>
          <cell r="C19" t="str">
            <v>0</v>
          </cell>
          <cell r="D19" t="str">
            <v>0</v>
          </cell>
          <cell r="E19" t="str">
            <v>0</v>
          </cell>
          <cell r="G19" t="str">
            <v>0</v>
          </cell>
          <cell r="H19">
            <v>0</v>
          </cell>
          <cell r="I19">
            <v>0</v>
          </cell>
          <cell r="J19" t="str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 t="str">
            <v>na</v>
          </cell>
          <cell r="B20" t="str">
            <v>na</v>
          </cell>
          <cell r="C20" t="str">
            <v>0</v>
          </cell>
          <cell r="D20" t="str">
            <v>0</v>
          </cell>
          <cell r="E20" t="str">
            <v>0</v>
          </cell>
          <cell r="G20" t="str">
            <v>0</v>
          </cell>
          <cell r="H20">
            <v>0</v>
          </cell>
          <cell r="I20">
            <v>0</v>
          </cell>
          <cell r="J20" t="str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 t="str">
            <v>na</v>
          </cell>
          <cell r="B21" t="str">
            <v>na</v>
          </cell>
          <cell r="C21" t="str">
            <v>0</v>
          </cell>
          <cell r="D21" t="str">
            <v>0</v>
          </cell>
          <cell r="E21" t="str">
            <v>0</v>
          </cell>
          <cell r="G21" t="str">
            <v>0</v>
          </cell>
          <cell r="H21">
            <v>0</v>
          </cell>
          <cell r="I21">
            <v>0</v>
          </cell>
          <cell r="J21" t="str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 t="str">
            <v>na</v>
          </cell>
          <cell r="B22" t="str">
            <v>na</v>
          </cell>
          <cell r="C22" t="str">
            <v>0</v>
          </cell>
          <cell r="D22" t="str">
            <v>0</v>
          </cell>
          <cell r="E22" t="str">
            <v>0</v>
          </cell>
          <cell r="G22" t="str">
            <v>0</v>
          </cell>
          <cell r="H22">
            <v>0</v>
          </cell>
          <cell r="I22">
            <v>0</v>
          </cell>
          <cell r="J22" t="str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6">
          <cell r="A26" t="str">
            <v>Animal Trails and Walkways (ac.)  575</v>
          </cell>
          <cell r="B26">
            <v>575</v>
          </cell>
          <cell r="C26">
            <v>5.2</v>
          </cell>
          <cell r="D26">
            <v>10</v>
          </cell>
          <cell r="E26">
            <v>0.02</v>
          </cell>
          <cell r="G26">
            <v>41.0848</v>
          </cell>
          <cell r="H26">
            <v>48.274640000000005</v>
          </cell>
          <cell r="I26">
            <v>8.21696</v>
          </cell>
          <cell r="J26">
            <v>56.491600000000005</v>
          </cell>
          <cell r="K26">
            <v>3</v>
          </cell>
          <cell r="L26">
            <v>1</v>
          </cell>
          <cell r="M26">
            <v>0</v>
          </cell>
          <cell r="N26">
            <v>0</v>
          </cell>
        </row>
        <row r="27">
          <cell r="A27" t="str">
            <v>Fence   (ft.)  382</v>
          </cell>
          <cell r="B27">
            <v>382</v>
          </cell>
          <cell r="C27">
            <v>2.5</v>
          </cell>
          <cell r="D27">
            <v>20</v>
          </cell>
          <cell r="E27">
            <v>0.02</v>
          </cell>
          <cell r="G27">
            <v>1972070.4000000001</v>
          </cell>
          <cell r="H27">
            <v>2580125.44</v>
          </cell>
          <cell r="I27">
            <v>131471.36000000034</v>
          </cell>
          <cell r="J27">
            <v>2711596.8000000003</v>
          </cell>
          <cell r="K27">
            <v>1</v>
          </cell>
          <cell r="L27">
            <v>1</v>
          </cell>
          <cell r="M27">
            <v>1</v>
          </cell>
          <cell r="N27">
            <v>0</v>
          </cell>
        </row>
        <row r="28">
          <cell r="A28" t="str">
            <v>Forage Harvest Management  (ac.) 511</v>
          </cell>
          <cell r="B28">
            <v>511</v>
          </cell>
          <cell r="C28">
            <v>8</v>
          </cell>
          <cell r="D28">
            <v>1</v>
          </cell>
          <cell r="E28">
            <v>0</v>
          </cell>
          <cell r="G28">
            <v>65735.68000000001</v>
          </cell>
          <cell r="H28">
            <v>88743.168</v>
          </cell>
          <cell r="I28">
            <v>1643.392000000007</v>
          </cell>
          <cell r="J28">
            <v>90386.56000000001</v>
          </cell>
          <cell r="K28">
            <v>3</v>
          </cell>
          <cell r="L28">
            <v>5</v>
          </cell>
          <cell r="M28">
            <v>3</v>
          </cell>
          <cell r="N28">
            <v>0</v>
          </cell>
        </row>
        <row r="29">
          <cell r="A29" t="str">
            <v>Nutrient Management   (ac.)  590</v>
          </cell>
          <cell r="B29">
            <v>590</v>
          </cell>
          <cell r="C29">
            <v>10.5</v>
          </cell>
          <cell r="D29">
            <v>1</v>
          </cell>
          <cell r="E29">
            <v>0</v>
          </cell>
          <cell r="G29">
            <v>82169.6</v>
          </cell>
          <cell r="H29">
            <v>102301.152</v>
          </cell>
          <cell r="I29">
            <v>10682.04800000001</v>
          </cell>
          <cell r="J29">
            <v>112983.20000000001</v>
          </cell>
          <cell r="K29">
            <v>5</v>
          </cell>
          <cell r="L29">
            <v>5</v>
          </cell>
          <cell r="M29">
            <v>2</v>
          </cell>
          <cell r="N29">
            <v>1</v>
          </cell>
        </row>
        <row r="30">
          <cell r="A30" t="str">
            <v>Pasture &amp; Hayland Planting   (ac.)  512</v>
          </cell>
          <cell r="B30">
            <v>512</v>
          </cell>
          <cell r="C30">
            <v>157</v>
          </cell>
          <cell r="D30">
            <v>10</v>
          </cell>
          <cell r="E30">
            <v>0.01</v>
          </cell>
          <cell r="G30">
            <v>73952.64000000001</v>
          </cell>
          <cell r="H30">
            <v>100041.48800000003</v>
          </cell>
          <cell r="I30">
            <v>1643.3919999999925</v>
          </cell>
          <cell r="J30">
            <v>101684.88000000002</v>
          </cell>
          <cell r="K30">
            <v>2</v>
          </cell>
          <cell r="L30">
            <v>5</v>
          </cell>
          <cell r="M30">
            <v>5</v>
          </cell>
          <cell r="N30">
            <v>0</v>
          </cell>
        </row>
        <row r="31">
          <cell r="A31" t="str">
            <v>Pest Management   (ac.)  595</v>
          </cell>
          <cell r="B31">
            <v>595</v>
          </cell>
          <cell r="C31">
            <v>8.25</v>
          </cell>
          <cell r="D31">
            <v>1</v>
          </cell>
          <cell r="E31">
            <v>0</v>
          </cell>
          <cell r="G31">
            <v>82169.6</v>
          </cell>
          <cell r="H31">
            <v>96549.28</v>
          </cell>
          <cell r="I31">
            <v>16433.920000000013</v>
          </cell>
          <cell r="J31">
            <v>112983.20000000001</v>
          </cell>
          <cell r="K31">
            <v>0</v>
          </cell>
          <cell r="L31">
            <v>3</v>
          </cell>
          <cell r="M31">
            <v>3</v>
          </cell>
          <cell r="N31">
            <v>0</v>
          </cell>
        </row>
        <row r="32">
          <cell r="A32" t="str">
            <v>Pipeline   (ft.)  516</v>
          </cell>
          <cell r="B32">
            <v>516</v>
          </cell>
          <cell r="C32">
            <v>1.2</v>
          </cell>
          <cell r="D32">
            <v>20</v>
          </cell>
          <cell r="E32">
            <v>0.02</v>
          </cell>
          <cell r="G32">
            <v>65735.68000000001</v>
          </cell>
          <cell r="H32">
            <v>65735.68000000001</v>
          </cell>
          <cell r="I32">
            <v>24650.880000000005</v>
          </cell>
          <cell r="J32">
            <v>90386.56000000001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A33" t="str">
            <v>Prescribed Grazing   (ac.)  528</v>
          </cell>
          <cell r="B33">
            <v>528</v>
          </cell>
          <cell r="C33">
            <v>34</v>
          </cell>
          <cell r="D33">
            <v>5</v>
          </cell>
          <cell r="E33">
            <v>0</v>
          </cell>
          <cell r="G33">
            <v>4930.176</v>
          </cell>
          <cell r="H33">
            <v>4930.176</v>
          </cell>
          <cell r="I33">
            <v>1848.8159999999998</v>
          </cell>
          <cell r="J33">
            <v>6778.992</v>
          </cell>
          <cell r="K33">
            <v>3</v>
          </cell>
          <cell r="L33">
            <v>5</v>
          </cell>
          <cell r="M33">
            <v>3</v>
          </cell>
          <cell r="N33">
            <v>0</v>
          </cell>
        </row>
        <row r="34">
          <cell r="A34" t="str">
            <v>Watering Facility (no.)  614</v>
          </cell>
          <cell r="B34">
            <v>614</v>
          </cell>
          <cell r="C34">
            <v>1000</v>
          </cell>
          <cell r="D34">
            <v>10</v>
          </cell>
          <cell r="E34">
            <v>0.03</v>
          </cell>
          <cell r="G34">
            <v>65.73568</v>
          </cell>
          <cell r="H34">
            <v>65.73568</v>
          </cell>
          <cell r="I34">
            <v>24.650880000000015</v>
          </cell>
          <cell r="J34">
            <v>90.38656000000002</v>
          </cell>
          <cell r="K34">
            <v>4</v>
          </cell>
          <cell r="L34">
            <v>1</v>
          </cell>
          <cell r="M34">
            <v>1</v>
          </cell>
          <cell r="N34">
            <v>4</v>
          </cell>
        </row>
        <row r="35">
          <cell r="A35" t="str">
            <v>na</v>
          </cell>
          <cell r="B35" t="str">
            <v>na</v>
          </cell>
          <cell r="C35" t="str">
            <v>0</v>
          </cell>
          <cell r="D35" t="str">
            <v>0</v>
          </cell>
          <cell r="E35" t="str">
            <v>0</v>
          </cell>
          <cell r="G35" t="str">
            <v>0</v>
          </cell>
          <cell r="H35">
            <v>0</v>
          </cell>
          <cell r="I35">
            <v>0</v>
          </cell>
          <cell r="J35" t="str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na</v>
          </cell>
          <cell r="B36" t="str">
            <v>na</v>
          </cell>
          <cell r="C36" t="str">
            <v>0</v>
          </cell>
          <cell r="D36" t="str">
            <v>0</v>
          </cell>
          <cell r="E36" t="str">
            <v>0</v>
          </cell>
          <cell r="G36" t="str">
            <v>0</v>
          </cell>
          <cell r="H36">
            <v>0</v>
          </cell>
          <cell r="I36">
            <v>0</v>
          </cell>
          <cell r="J36" t="str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A37" t="str">
            <v>na</v>
          </cell>
          <cell r="B37" t="str">
            <v>na</v>
          </cell>
          <cell r="C37" t="str">
            <v>0</v>
          </cell>
          <cell r="D37" t="str">
            <v>0</v>
          </cell>
          <cell r="E37" t="str">
            <v>0</v>
          </cell>
          <cell r="G37" t="str">
            <v>0</v>
          </cell>
          <cell r="H37">
            <v>0</v>
          </cell>
          <cell r="I37">
            <v>0</v>
          </cell>
          <cell r="J37" t="str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 t="str">
            <v>na</v>
          </cell>
          <cell r="B38" t="str">
            <v>na</v>
          </cell>
          <cell r="C38" t="str">
            <v>0</v>
          </cell>
          <cell r="D38" t="str">
            <v>0</v>
          </cell>
          <cell r="E38" t="str">
            <v>0</v>
          </cell>
          <cell r="G38" t="str">
            <v>0</v>
          </cell>
          <cell r="H38">
            <v>0</v>
          </cell>
          <cell r="I38">
            <v>0</v>
          </cell>
          <cell r="J38" t="str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 t="str">
            <v>na</v>
          </cell>
          <cell r="B39" t="str">
            <v>na</v>
          </cell>
          <cell r="C39" t="str">
            <v>0</v>
          </cell>
          <cell r="D39" t="str">
            <v>0</v>
          </cell>
          <cell r="E39" t="str">
            <v>0</v>
          </cell>
          <cell r="G39" t="str">
            <v>0</v>
          </cell>
          <cell r="H39">
            <v>0</v>
          </cell>
          <cell r="I39">
            <v>0</v>
          </cell>
          <cell r="J39" t="str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 t="str">
            <v>na</v>
          </cell>
          <cell r="B40" t="str">
            <v>na</v>
          </cell>
          <cell r="C40" t="str">
            <v>0</v>
          </cell>
          <cell r="D40" t="str">
            <v>0</v>
          </cell>
          <cell r="E40" t="str">
            <v>0</v>
          </cell>
          <cell r="G40" t="str">
            <v>0</v>
          </cell>
          <cell r="H40">
            <v>0</v>
          </cell>
          <cell r="I40">
            <v>0</v>
          </cell>
          <cell r="J40" t="str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 t="str">
            <v>na</v>
          </cell>
          <cell r="B41" t="str">
            <v>na</v>
          </cell>
          <cell r="C41" t="str">
            <v>0</v>
          </cell>
          <cell r="D41" t="str">
            <v>0</v>
          </cell>
          <cell r="E41" t="str">
            <v>0</v>
          </cell>
          <cell r="G41" t="str">
            <v>0</v>
          </cell>
          <cell r="H41">
            <v>0</v>
          </cell>
          <cell r="I41">
            <v>0</v>
          </cell>
          <cell r="J41" t="str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 t="str">
            <v>na</v>
          </cell>
          <cell r="B42" t="str">
            <v>na</v>
          </cell>
          <cell r="C42" t="str">
            <v>0</v>
          </cell>
          <cell r="D42" t="str">
            <v>0</v>
          </cell>
          <cell r="E42" t="str">
            <v>0</v>
          </cell>
          <cell r="G42" t="str">
            <v>0</v>
          </cell>
          <cell r="H42">
            <v>0</v>
          </cell>
          <cell r="I42">
            <v>0</v>
          </cell>
          <cell r="J42" t="str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72">
          <cell r="K72">
            <v>1</v>
          </cell>
          <cell r="L72">
            <v>3</v>
          </cell>
          <cell r="M72">
            <v>3</v>
          </cell>
          <cell r="N72">
            <v>0</v>
          </cell>
        </row>
        <row r="113">
          <cell r="K113">
            <v>4</v>
          </cell>
          <cell r="L113">
            <v>5</v>
          </cell>
          <cell r="M113">
            <v>4</v>
          </cell>
          <cell r="N113">
            <v>0</v>
          </cell>
        </row>
        <row r="175">
          <cell r="K175">
            <v>5</v>
          </cell>
          <cell r="L175">
            <v>5</v>
          </cell>
          <cell r="M175">
            <v>4</v>
          </cell>
          <cell r="N175">
            <v>2</v>
          </cell>
        </row>
      </sheetData>
      <sheetData sheetId="10">
        <row r="6">
          <cell r="I6" t="str">
            <v>Water Quality – Excessive Nutrients and Organics in Surface Water</v>
          </cell>
          <cell r="J6" t="str">
            <v>Plant Condition – Productivity, Health and Vigor</v>
          </cell>
          <cell r="K6" t="str">
            <v>Plant Condition – Forage Quality and Palatability</v>
          </cell>
          <cell r="L6" t="str">
            <v>Domestic Animals – Inadequate Stock 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J48" sqref="A48:IV48"/>
    </sheetView>
  </sheetViews>
  <sheetFormatPr defaultColWidth="9.140625" defaultRowHeight="12.75"/>
  <cols>
    <col min="1" max="1" width="46.57421875" style="0" customWidth="1"/>
    <col min="2" max="2" width="13.28125" style="0" customWidth="1"/>
    <col min="3" max="3" width="13.57421875" style="0" customWidth="1"/>
    <col min="4" max="4" width="12.140625" style="0" customWidth="1"/>
    <col min="5" max="5" width="9.57421875" style="0" customWidth="1"/>
    <col min="6" max="6" width="16.421875" style="0" customWidth="1"/>
    <col min="7" max="7" width="12.00390625" style="0" customWidth="1"/>
    <col min="8" max="8" width="12.28125" style="0" customWidth="1"/>
    <col min="9" max="9" width="13.00390625" style="0" customWidth="1"/>
  </cols>
  <sheetData>
    <row r="1" spans="1:9" ht="12.75">
      <c r="A1" s="1" t="s">
        <v>0</v>
      </c>
      <c r="B1" s="84" t="str">
        <f>UPPER(CONCATENATE(huc_name," - ",huc_code))</f>
        <v>WOLF - 04030202</v>
      </c>
      <c r="C1" s="84"/>
      <c r="D1" s="84"/>
      <c r="E1" s="84"/>
      <c r="F1" s="76" t="s">
        <v>1</v>
      </c>
      <c r="G1" s="76"/>
      <c r="H1" s="85">
        <f>landuse_acres</f>
        <v>410848</v>
      </c>
      <c r="I1" s="85"/>
    </row>
    <row r="2" spans="1:9" ht="12.75">
      <c r="A2" s="1" t="s">
        <v>2</v>
      </c>
      <c r="B2" s="86" t="str">
        <f>UPPER(landuse)</f>
        <v>PASTURE AND HAYLAND</v>
      </c>
      <c r="C2" s="86"/>
      <c r="D2" s="86"/>
      <c r="E2" s="86"/>
      <c r="F2" s="76" t="s">
        <v>3</v>
      </c>
      <c r="G2" s="76"/>
      <c r="H2" s="84">
        <f>TU</f>
        <v>25</v>
      </c>
      <c r="I2" s="84"/>
    </row>
    <row r="3" spans="1:9" ht="12.75">
      <c r="A3" s="15" t="s">
        <v>4</v>
      </c>
      <c r="B3" s="65"/>
      <c r="C3" s="65"/>
      <c r="D3" s="65"/>
      <c r="E3" s="66"/>
      <c r="F3" s="76" t="s">
        <v>5</v>
      </c>
      <c r="G3" s="76"/>
      <c r="H3" s="77">
        <f>calc_part_rate</f>
        <v>0.11249999999999995</v>
      </c>
      <c r="I3" s="77"/>
    </row>
    <row r="4" spans="1:9" ht="12.75">
      <c r="A4" s="78" t="s">
        <v>6</v>
      </c>
      <c r="B4" s="81" t="s">
        <v>7</v>
      </c>
      <c r="C4" s="82" t="s">
        <v>8</v>
      </c>
      <c r="D4" s="82"/>
      <c r="E4" s="82"/>
      <c r="F4" s="83" t="s">
        <v>9</v>
      </c>
      <c r="G4" s="83"/>
      <c r="H4" s="83"/>
      <c r="I4" s="83"/>
    </row>
    <row r="5" spans="1:9" ht="12.75">
      <c r="A5" s="79"/>
      <c r="B5" s="81"/>
      <c r="C5" s="82"/>
      <c r="D5" s="82"/>
      <c r="E5" s="82"/>
      <c r="F5" s="83"/>
      <c r="G5" s="83"/>
      <c r="H5" s="83"/>
      <c r="I5" s="83"/>
    </row>
    <row r="6" spans="1:9" ht="56.25">
      <c r="A6" s="80"/>
      <c r="B6" s="2" t="s">
        <v>10</v>
      </c>
      <c r="C6" s="3" t="s">
        <v>11</v>
      </c>
      <c r="D6" s="3" t="s">
        <v>12</v>
      </c>
      <c r="E6" s="3" t="s">
        <v>10</v>
      </c>
      <c r="F6" s="4" t="str">
        <f>res_con1</f>
        <v>Water Quality – Excessive Nutrients and Organics in Surface Water</v>
      </c>
      <c r="G6" s="4" t="str">
        <f>res_con2</f>
        <v>Plant Condition – Productivity, Health and Vigor</v>
      </c>
      <c r="H6" s="4" t="str">
        <f>res_con3</f>
        <v>Plant Condition – Forage Quality and Palatability</v>
      </c>
      <c r="I6" s="4" t="str">
        <f>res_con4</f>
        <v>Domestic Animals – Inadequate Stock Water</v>
      </c>
    </row>
    <row r="7" spans="1:9" ht="12.75">
      <c r="A7" s="75"/>
      <c r="B7" s="75"/>
      <c r="C7" s="75"/>
      <c r="D7" s="75"/>
      <c r="E7" s="75"/>
      <c r="F7" s="75"/>
      <c r="G7" s="75"/>
      <c r="H7" s="75"/>
      <c r="I7" s="75"/>
    </row>
    <row r="8" spans="1:9" ht="12.75">
      <c r="A8" s="5" t="s">
        <v>13</v>
      </c>
      <c r="B8" s="73" t="s">
        <v>14</v>
      </c>
      <c r="C8" s="73"/>
      <c r="D8" s="73"/>
      <c r="E8" s="73"/>
      <c r="F8" s="6">
        <f>'[1]Computations'!K72</f>
        <v>1</v>
      </c>
      <c r="G8" s="6">
        <f>'[1]Computations'!L72</f>
        <v>3</v>
      </c>
      <c r="H8" s="6">
        <f>'[1]Computations'!M72</f>
        <v>3</v>
      </c>
      <c r="I8" s="6">
        <f>'[1]Computations'!N72</f>
        <v>0</v>
      </c>
    </row>
    <row r="9" spans="1:9" ht="12.75">
      <c r="A9" s="7" t="s">
        <v>15</v>
      </c>
      <c r="B9" s="8">
        <f>at_b_cur_ac</f>
        <v>41084.8</v>
      </c>
      <c r="C9" s="8">
        <f>at_b_unch_ac</f>
        <v>32867.840000000004</v>
      </c>
      <c r="D9" s="8">
        <f>at_b_new_ac</f>
        <v>0</v>
      </c>
      <c r="E9" s="8">
        <f>at_b_total_ac</f>
        <v>32867.840000000004</v>
      </c>
      <c r="F9" s="58"/>
      <c r="G9" s="59"/>
      <c r="H9" s="59"/>
      <c r="I9" s="60"/>
    </row>
    <row r="10" spans="1:9" ht="12.75">
      <c r="A10" s="9" t="str">
        <f>IF('[1]Computations'!$B5="na","No Conservation Practices being applied at this level",'[1]Computations'!A5)</f>
        <v>Fence   (ft.)  382</v>
      </c>
      <c r="B10" s="10">
        <f>IF($A10="na","na",'[1]Computations'!G5)</f>
        <v>657356.8</v>
      </c>
      <c r="C10" s="10">
        <f>IF($A10="na","na",'[1]Computations'!H5)</f>
        <v>525885.4400000001</v>
      </c>
      <c r="D10" s="10">
        <f>IF($A10="na","na",'[1]Computations'!I5)</f>
        <v>0</v>
      </c>
      <c r="E10" s="10">
        <f>IF($A10="na","na",'[1]Computations'!J5)</f>
        <v>525885.4400000001</v>
      </c>
      <c r="F10" s="11">
        <f>IF($A10="na","na",'[1]Computations'!K5)</f>
        <v>1</v>
      </c>
      <c r="G10" s="11">
        <f>IF($A10="na","na",'[1]Computations'!L5)</f>
        <v>1</v>
      </c>
      <c r="H10" s="11">
        <f>IF($A10="na","na",'[1]Computations'!M5)</f>
        <v>1</v>
      </c>
      <c r="I10" s="11">
        <f>IF($A10="na","na",'[1]Computations'!N5)</f>
        <v>0</v>
      </c>
    </row>
    <row r="11" spans="1:9" ht="12.75">
      <c r="A11" s="9" t="str">
        <f>IF('[1]Computations'!$B6="na","na",'[1]Computations'!A6)</f>
        <v>Pasture &amp; Hayland Planting   (ac.)  512</v>
      </c>
      <c r="B11" s="10">
        <f>IF($A11="na","na",'[1]Computations'!G6)</f>
        <v>32867.840000000004</v>
      </c>
      <c r="C11" s="10">
        <f>IF($A11="na","na",'[1]Computations'!H6)</f>
        <v>26294.272000000004</v>
      </c>
      <c r="D11" s="10">
        <f>IF($A11="na","na",'[1]Computations'!I6)</f>
        <v>0</v>
      </c>
      <c r="E11" s="10">
        <f>IF($A11="na","na",'[1]Computations'!J6)</f>
        <v>26294.272000000004</v>
      </c>
      <c r="F11" s="11">
        <f>IF($A11="na","na",'[1]Computations'!K6)</f>
        <v>2</v>
      </c>
      <c r="G11" s="11">
        <f>IF($A11="na","na",'[1]Computations'!L6)</f>
        <v>5</v>
      </c>
      <c r="H11" s="11">
        <f>IF($A11="na","na",'[1]Computations'!M6)</f>
        <v>5</v>
      </c>
      <c r="I11" s="11">
        <f>IF($A11="na","na",'[1]Computations'!N6)</f>
        <v>0</v>
      </c>
    </row>
    <row r="12" spans="1:9" ht="12.75" hidden="1">
      <c r="A12" s="9" t="str">
        <f>IF('[1]Computations'!$B7="na","na",'[1]Computations'!A7)</f>
        <v>na</v>
      </c>
      <c r="B12" s="10" t="str">
        <f>IF($A12="na","na",'[1]Computations'!G7)</f>
        <v>na</v>
      </c>
      <c r="C12" s="10" t="str">
        <f>IF($A12="na","na",'[1]Computations'!H7)</f>
        <v>na</v>
      </c>
      <c r="D12" s="10" t="str">
        <f>IF($A12="na","na",'[1]Computations'!I7)</f>
        <v>na</v>
      </c>
      <c r="E12" s="10" t="str">
        <f>IF($A12="na","na",'[1]Computations'!J7)</f>
        <v>na</v>
      </c>
      <c r="F12" s="11" t="str">
        <f>IF($A12="na","na",'[1]Computations'!K7)</f>
        <v>na</v>
      </c>
      <c r="G12" s="11" t="str">
        <f>IF($A12="na","na",'[1]Computations'!L7)</f>
        <v>na</v>
      </c>
      <c r="H12" s="11" t="str">
        <f>IF($A12="na","na",'[1]Computations'!M7)</f>
        <v>na</v>
      </c>
      <c r="I12" s="11" t="str">
        <f>IF($A12="na","na",'[1]Computations'!N7)</f>
        <v>na</v>
      </c>
    </row>
    <row r="13" spans="1:9" ht="12.75" hidden="1">
      <c r="A13" s="9" t="str">
        <f>IF('[1]Computations'!$B8="na","na",'[1]Computations'!A8)</f>
        <v>na</v>
      </c>
      <c r="B13" s="10" t="str">
        <f>IF($A13="na","na",'[1]Computations'!G8)</f>
        <v>na</v>
      </c>
      <c r="C13" s="10" t="str">
        <f>IF($A13="na","na",'[1]Computations'!H8)</f>
        <v>na</v>
      </c>
      <c r="D13" s="10" t="str">
        <f>IF($A13="na","na",'[1]Computations'!I8)</f>
        <v>na</v>
      </c>
      <c r="E13" s="10" t="str">
        <f>IF($A13="na","na",'[1]Computations'!J8)</f>
        <v>na</v>
      </c>
      <c r="F13" s="11" t="str">
        <f>IF($A13="na","na",'[1]Computations'!K8)</f>
        <v>na</v>
      </c>
      <c r="G13" s="11" t="str">
        <f>IF($A13="na","na",'[1]Computations'!L8)</f>
        <v>na</v>
      </c>
      <c r="H13" s="11" t="str">
        <f>IF($A13="na","na",'[1]Computations'!M8)</f>
        <v>na</v>
      </c>
      <c r="I13" s="11" t="str">
        <f>IF($A13="na","na",'[1]Computations'!N8)</f>
        <v>na</v>
      </c>
    </row>
    <row r="14" spans="1:9" ht="12.75" hidden="1">
      <c r="A14" s="9" t="str">
        <f>IF('[1]Computations'!$B9="na","na",'[1]Computations'!A9)</f>
        <v>na</v>
      </c>
      <c r="B14" s="10" t="str">
        <f>IF($A14="na","na",'[1]Computations'!G9)</f>
        <v>na</v>
      </c>
      <c r="C14" s="10" t="str">
        <f>IF($A14="na","na",'[1]Computations'!H9)</f>
        <v>na</v>
      </c>
      <c r="D14" s="10" t="str">
        <f>IF($A14="na","na",'[1]Computations'!I9)</f>
        <v>na</v>
      </c>
      <c r="E14" s="10" t="str">
        <f>IF($A14="na","na",'[1]Computations'!J9)</f>
        <v>na</v>
      </c>
      <c r="F14" s="11" t="str">
        <f>IF($A14="na","na",'[1]Computations'!K9)</f>
        <v>na</v>
      </c>
      <c r="G14" s="11" t="str">
        <f>IF($A14="na","na",'[1]Computations'!L9)</f>
        <v>na</v>
      </c>
      <c r="H14" s="11" t="str">
        <f>IF($A14="na","na",'[1]Computations'!M9)</f>
        <v>na</v>
      </c>
      <c r="I14" s="11" t="str">
        <f>IF($A14="na","na",'[1]Computations'!N9)</f>
        <v>na</v>
      </c>
    </row>
    <row r="15" spans="1:9" ht="12.75">
      <c r="A15" s="74"/>
      <c r="B15" s="74"/>
      <c r="C15" s="74"/>
      <c r="D15" s="74"/>
      <c r="E15" s="74"/>
      <c r="F15" s="74"/>
      <c r="G15" s="74"/>
      <c r="H15" s="74"/>
      <c r="I15" s="74"/>
    </row>
    <row r="16" spans="1:9" ht="12.75">
      <c r="A16" s="5" t="s">
        <v>16</v>
      </c>
      <c r="B16" s="73" t="s">
        <v>14</v>
      </c>
      <c r="C16" s="73"/>
      <c r="D16" s="73"/>
      <c r="E16" s="73"/>
      <c r="F16" s="6">
        <f>'[1]Computations'!K113</f>
        <v>4</v>
      </c>
      <c r="G16" s="6">
        <f>'[1]Computations'!L113</f>
        <v>5</v>
      </c>
      <c r="H16" s="6">
        <f>'[1]Computations'!M113</f>
        <v>4</v>
      </c>
      <c r="I16" s="6">
        <f>'[1]Computations'!N113</f>
        <v>0</v>
      </c>
    </row>
    <row r="17" spans="1:9" ht="12.75">
      <c r="A17" s="7" t="s">
        <v>17</v>
      </c>
      <c r="B17" s="8">
        <f>at_p_cur_ac</f>
        <v>287593.6</v>
      </c>
      <c r="C17" s="8">
        <f>at_p_unch_ac</f>
        <v>258834.24</v>
      </c>
      <c r="D17" s="8">
        <f>at_p_new_ac</f>
        <v>6162.719999999972</v>
      </c>
      <c r="E17" s="8">
        <f>at_p_total_ac</f>
        <v>264996.95999999996</v>
      </c>
      <c r="F17" s="58"/>
      <c r="G17" s="59"/>
      <c r="H17" s="59"/>
      <c r="I17" s="60"/>
    </row>
    <row r="18" spans="1:9" ht="12.75">
      <c r="A18" s="9" t="str">
        <f>IF('[1]Computations'!$B13="na","No Conservation Practices being applied at this level",'[1]Computations'!A13)</f>
        <v>Animal Trails and Walkways (ac.)  575</v>
      </c>
      <c r="B18" s="10">
        <f>IF($A18="na","na",'[1]Computations'!G13)</f>
        <v>71.8984</v>
      </c>
      <c r="C18" s="10">
        <f>IF($A18="na","na",'[1]Computations'!H13)</f>
        <v>64.70856</v>
      </c>
      <c r="D18" s="10">
        <f>IF($A18="na","na",'[1]Computations'!I13)</f>
        <v>1.5406799999999805</v>
      </c>
      <c r="E18" s="10">
        <f>IF($A18="na","na",'[1]Computations'!J13)</f>
        <v>66.24923999999999</v>
      </c>
      <c r="F18" s="11">
        <f>IF($A18="na","na",'[1]Computations'!K13)</f>
        <v>3</v>
      </c>
      <c r="G18" s="11">
        <f>IF($A18="na","na",'[1]Computations'!L13)</f>
        <v>1</v>
      </c>
      <c r="H18" s="11">
        <f>IF($A18="na","na",'[1]Computations'!M13)</f>
        <v>0</v>
      </c>
      <c r="I18" s="11">
        <f>IF($A18="na","na",'[1]Computations'!N13)</f>
        <v>0</v>
      </c>
    </row>
    <row r="19" spans="1:9" ht="12.75">
      <c r="A19" s="9" t="str">
        <f>IF('[1]Computations'!$B14="na","na",'[1]Computations'!A14)</f>
        <v>Fence   (ft.)  382</v>
      </c>
      <c r="B19" s="10">
        <f>IF($A19="na","na",'[1]Computations'!G14)</f>
        <v>5751872</v>
      </c>
      <c r="C19" s="10">
        <f>IF($A19="na","na",'[1]Computations'!H14)</f>
        <v>5275288.319999999</v>
      </c>
      <c r="D19" s="10">
        <f>IF($A19="na","na",'[1]Computations'!I14)</f>
        <v>24650.87999999989</v>
      </c>
      <c r="E19" s="10">
        <f>IF($A19="na","na",'[1]Computations'!J14)</f>
        <v>5299939.199999999</v>
      </c>
      <c r="F19" s="11">
        <f>IF($A19="na","na",'[1]Computations'!K14)</f>
        <v>1</v>
      </c>
      <c r="G19" s="11">
        <f>IF($A19="na","na",'[1]Computations'!L14)</f>
        <v>1</v>
      </c>
      <c r="H19" s="11">
        <f>IF($A19="na","na",'[1]Computations'!M14)</f>
        <v>1</v>
      </c>
      <c r="I19" s="11">
        <f>IF($A19="na","na",'[1]Computations'!N14)</f>
        <v>0</v>
      </c>
    </row>
    <row r="20" spans="1:9" ht="12.75">
      <c r="A20" s="9" t="str">
        <f>IF('[1]Computations'!$B15="na","na",'[1]Computations'!A15)</f>
        <v>Forage Harvest Management  (ac.) 511</v>
      </c>
      <c r="B20" s="10">
        <f>IF($A20="na","na",'[1]Computations'!G15)</f>
        <v>230074.88</v>
      </c>
      <c r="C20" s="10">
        <f>IF($A20="na","na",'[1]Computations'!H15)</f>
        <v>207067.392</v>
      </c>
      <c r="D20" s="10">
        <f>IF($A20="na","na",'[1]Computations'!I15)</f>
        <v>4930.175999999978</v>
      </c>
      <c r="E20" s="10">
        <f>IF($A20="na","na",'[1]Computations'!J15)</f>
        <v>211997.56799999997</v>
      </c>
      <c r="F20" s="11">
        <f>IF($A20="na","na",'[1]Computations'!K15)</f>
        <v>3</v>
      </c>
      <c r="G20" s="11">
        <f>IF($A20="na","na",'[1]Computations'!L15)</f>
        <v>5</v>
      </c>
      <c r="H20" s="11">
        <f>IF($A20="na","na",'[1]Computations'!M15)</f>
        <v>3</v>
      </c>
      <c r="I20" s="11">
        <f>IF($A20="na","na",'[1]Computations'!N15)</f>
        <v>0</v>
      </c>
    </row>
    <row r="21" spans="1:9" ht="12.75">
      <c r="A21" s="9" t="str">
        <f>IF('[1]Computations'!$B16="na","na",'[1]Computations'!A16)</f>
        <v>Nutrient Management   (ac.)  590</v>
      </c>
      <c r="B21" s="10">
        <f>IF($A21="na","na",'[1]Computations'!G16)</f>
        <v>201315.51999999996</v>
      </c>
      <c r="C21" s="10">
        <f>IF($A21="na","na",'[1]Computations'!H16)</f>
        <v>181183.968</v>
      </c>
      <c r="D21" s="10">
        <f>IF($A21="na","na",'[1]Computations'!I16)</f>
        <v>4313.90399999998</v>
      </c>
      <c r="E21" s="10">
        <f>IF($A21="na","na",'[1]Computations'!J16)</f>
        <v>185497.87199999997</v>
      </c>
      <c r="F21" s="11">
        <f>IF($A21="na","na",'[1]Computations'!K16)</f>
        <v>5</v>
      </c>
      <c r="G21" s="11">
        <f>IF($A21="na","na",'[1]Computations'!L16)</f>
        <v>5</v>
      </c>
      <c r="H21" s="11">
        <f>IF($A21="na","na",'[1]Computations'!M16)</f>
        <v>2</v>
      </c>
      <c r="I21" s="11">
        <f>IF($A21="na","na",'[1]Computations'!N16)</f>
        <v>1</v>
      </c>
    </row>
    <row r="22" spans="1:9" ht="12.75">
      <c r="A22" s="9" t="str">
        <f>IF('[1]Computations'!$B17="na","na",'[1]Computations'!A17)</f>
        <v>Pasture &amp; Hayland Planting   (ac.)  512</v>
      </c>
      <c r="B22" s="10">
        <f>IF($A22="na","na",'[1]Computations'!G17)</f>
        <v>244454.55999999997</v>
      </c>
      <c r="C22" s="10">
        <f>IF($A22="na","na",'[1]Computations'!H17)</f>
        <v>224939.28</v>
      </c>
      <c r="D22" s="10">
        <f>IF($A22="na","na",'[1]Computations'!I17)</f>
        <v>308.1359999999695</v>
      </c>
      <c r="E22" s="10">
        <f>IF($A22="na","na",'[1]Computations'!J17)</f>
        <v>225247.41599999997</v>
      </c>
      <c r="F22" s="11">
        <f>IF($A22="na","na",'[1]Computations'!K17)</f>
        <v>2</v>
      </c>
      <c r="G22" s="11">
        <f>IF($A22="na","na",'[1]Computations'!L17)</f>
        <v>5</v>
      </c>
      <c r="H22" s="11">
        <f>IF($A22="na","na",'[1]Computations'!M17)</f>
        <v>5</v>
      </c>
      <c r="I22" s="11">
        <f>IF($A22="na","na",'[1]Computations'!N17)</f>
        <v>0</v>
      </c>
    </row>
    <row r="23" spans="1:9" ht="12.75">
      <c r="A23" s="9" t="str">
        <f>IF('[1]Computations'!$B18="na","na",'[1]Computations'!A18)</f>
        <v>Pest Management   (ac.)  595</v>
      </c>
      <c r="B23" s="10">
        <f>IF($A23="na","na",'[1]Computations'!G18)</f>
        <v>143796.8</v>
      </c>
      <c r="C23" s="10">
        <f>IF($A23="na","na",'[1]Computations'!H18)</f>
        <v>129417.12</v>
      </c>
      <c r="D23" s="10">
        <f>IF($A23="na","na",'[1]Computations'!I18)</f>
        <v>3081.359999999986</v>
      </c>
      <c r="E23" s="10">
        <f>IF($A23="na","na",'[1]Computations'!J18)</f>
        <v>132498.47999999998</v>
      </c>
      <c r="F23" s="11">
        <f>IF($A23="na","na",'[1]Computations'!K18)</f>
        <v>0</v>
      </c>
      <c r="G23" s="11">
        <f>IF($A23="na","na",'[1]Computations'!L18)</f>
        <v>3</v>
      </c>
      <c r="H23" s="11">
        <f>IF($A23="na","na",'[1]Computations'!M18)</f>
        <v>3</v>
      </c>
      <c r="I23" s="11">
        <f>IF($A23="na","na",'[1]Computations'!N18)</f>
        <v>0</v>
      </c>
    </row>
    <row r="24" spans="1:9" ht="12.75" hidden="1">
      <c r="A24" s="9" t="str">
        <f>IF('[1]Computations'!$B19="na","na",'[1]Computations'!A19)</f>
        <v>na</v>
      </c>
      <c r="B24" s="10" t="str">
        <f>IF($A24="na","na",'[1]Computations'!G19)</f>
        <v>na</v>
      </c>
      <c r="C24" s="10" t="str">
        <f>IF($A24="na","na",'[1]Computations'!H19)</f>
        <v>na</v>
      </c>
      <c r="D24" s="10" t="str">
        <f>IF($A24="na","na",'[1]Computations'!I19)</f>
        <v>na</v>
      </c>
      <c r="E24" s="10" t="str">
        <f>IF($A24="na","na",'[1]Computations'!J19)</f>
        <v>na</v>
      </c>
      <c r="F24" s="11" t="str">
        <f>IF($A24="na","na",'[1]Computations'!K19)</f>
        <v>na</v>
      </c>
      <c r="G24" s="11" t="str">
        <f>IF($A24="na","na",'[1]Computations'!L19)</f>
        <v>na</v>
      </c>
      <c r="H24" s="11" t="str">
        <f>IF($A24="na","na",'[1]Computations'!M19)</f>
        <v>na</v>
      </c>
      <c r="I24" s="11" t="str">
        <f>IF($A24="na","na",'[1]Computations'!N19)</f>
        <v>na</v>
      </c>
    </row>
    <row r="25" spans="1:9" ht="12.75" hidden="1">
      <c r="A25" s="9" t="str">
        <f>IF('[1]Computations'!$B20="na","na",'[1]Computations'!A20)</f>
        <v>na</v>
      </c>
      <c r="B25" s="10" t="str">
        <f>IF($A25="na","na",'[1]Computations'!G20)</f>
        <v>na</v>
      </c>
      <c r="C25" s="10" t="str">
        <f>IF($A25="na","na",'[1]Computations'!H20)</f>
        <v>na</v>
      </c>
      <c r="D25" s="10" t="str">
        <f>IF($A25="na","na",'[1]Computations'!I20)</f>
        <v>na</v>
      </c>
      <c r="E25" s="10" t="str">
        <f>IF($A25="na","na",'[1]Computations'!J20)</f>
        <v>na</v>
      </c>
      <c r="F25" s="11" t="str">
        <f>IF($A25="na","na",'[1]Computations'!K20)</f>
        <v>na</v>
      </c>
      <c r="G25" s="11" t="str">
        <f>IF($A25="na","na",'[1]Computations'!L20)</f>
        <v>na</v>
      </c>
      <c r="H25" s="11" t="str">
        <f>IF($A25="na","na",'[1]Computations'!M20)</f>
        <v>na</v>
      </c>
      <c r="I25" s="11" t="str">
        <f>IF($A25="na","na",'[1]Computations'!N20)</f>
        <v>na</v>
      </c>
    </row>
    <row r="26" spans="1:9" ht="12.75" hidden="1">
      <c r="A26" s="9" t="str">
        <f>IF('[1]Computations'!$B21="na","na",'[1]Computations'!A21)</f>
        <v>na</v>
      </c>
      <c r="B26" s="10" t="str">
        <f>IF($A26="na","na",'[1]Computations'!G21)</f>
        <v>na</v>
      </c>
      <c r="C26" s="10" t="str">
        <f>IF($A26="na","na",'[1]Computations'!H21)</f>
        <v>na</v>
      </c>
      <c r="D26" s="10" t="str">
        <f>IF($A26="na","na",'[1]Computations'!I21)</f>
        <v>na</v>
      </c>
      <c r="E26" s="10" t="str">
        <f>IF($A26="na","na",'[1]Computations'!J21)</f>
        <v>na</v>
      </c>
      <c r="F26" s="11" t="str">
        <f>IF($A26="na","na",'[1]Computations'!K21)</f>
        <v>na</v>
      </c>
      <c r="G26" s="11" t="str">
        <f>IF($A26="na","na",'[1]Computations'!L21)</f>
        <v>na</v>
      </c>
      <c r="H26" s="11" t="str">
        <f>IF($A26="na","na",'[1]Computations'!M21)</f>
        <v>na</v>
      </c>
      <c r="I26" s="11" t="str">
        <f>IF($A26="na","na",'[1]Computations'!N21)</f>
        <v>na</v>
      </c>
    </row>
    <row r="27" spans="1:9" ht="12.75" hidden="1">
      <c r="A27" s="9" t="str">
        <f>IF('[1]Computations'!$B22="na","na",'[1]Computations'!A22)</f>
        <v>na</v>
      </c>
      <c r="B27" s="10" t="str">
        <f>IF($A27="na","na",'[1]Computations'!G22)</f>
        <v>na</v>
      </c>
      <c r="C27" s="10" t="str">
        <f>IF($A27="na","na",'[1]Computations'!H22)</f>
        <v>na</v>
      </c>
      <c r="D27" s="10" t="str">
        <f>IF($A27="na","na",'[1]Computations'!I22)</f>
        <v>na</v>
      </c>
      <c r="E27" s="10" t="str">
        <f>IF($A27="na","na",'[1]Computations'!J22)</f>
        <v>na</v>
      </c>
      <c r="F27" s="11" t="str">
        <f>IF($A27="na","na",'[1]Computations'!K22)</f>
        <v>na</v>
      </c>
      <c r="G27" s="11" t="str">
        <f>IF($A27="na","na",'[1]Computations'!L22)</f>
        <v>na</v>
      </c>
      <c r="H27" s="11" t="str">
        <f>IF($A27="na","na",'[1]Computations'!M22)</f>
        <v>na</v>
      </c>
      <c r="I27" s="11" t="str">
        <f>IF($A27="na","na",'[1]Computations'!N22)</f>
        <v>na</v>
      </c>
    </row>
    <row r="28" spans="1:9" ht="12.75">
      <c r="A28" s="74"/>
      <c r="B28" s="74"/>
      <c r="C28" s="74"/>
      <c r="D28" s="74"/>
      <c r="E28" s="74"/>
      <c r="F28" s="74"/>
      <c r="G28" s="74"/>
      <c r="H28" s="74"/>
      <c r="I28" s="74"/>
    </row>
    <row r="29" spans="1:9" ht="12.75">
      <c r="A29" s="5" t="s">
        <v>18</v>
      </c>
      <c r="B29" s="73" t="s">
        <v>14</v>
      </c>
      <c r="C29" s="73"/>
      <c r="D29" s="73"/>
      <c r="E29" s="73"/>
      <c r="F29" s="6">
        <f>'[1]Computations'!K175</f>
        <v>5</v>
      </c>
      <c r="G29" s="6">
        <f>'[1]Computations'!L175</f>
        <v>5</v>
      </c>
      <c r="H29" s="6">
        <f>'[1]Computations'!M175</f>
        <v>4</v>
      </c>
      <c r="I29" s="6">
        <f>'[1]Computations'!N175</f>
        <v>2</v>
      </c>
    </row>
    <row r="30" spans="1:9" ht="12.75">
      <c r="A30" s="12" t="s">
        <v>19</v>
      </c>
      <c r="B30" s="8">
        <f>at_r_cur_ac</f>
        <v>82169.6</v>
      </c>
      <c r="C30" s="8">
        <f>at_r_unch_ac</f>
        <v>82169.6</v>
      </c>
      <c r="D30" s="8">
        <f>at_r_new_ac</f>
        <v>30813.600000000006</v>
      </c>
      <c r="E30" s="8">
        <f>at_r_total_ac</f>
        <v>112983.20000000001</v>
      </c>
      <c r="F30" s="58"/>
      <c r="G30" s="59"/>
      <c r="H30" s="59"/>
      <c r="I30" s="60"/>
    </row>
    <row r="31" spans="1:9" ht="12.75">
      <c r="A31" s="9" t="str">
        <f>IF('[1]Computations'!$B26="na","No Conservation Practices being applied at this level",'[1]Computations'!A26)</f>
        <v>Animal Trails and Walkways (ac.)  575</v>
      </c>
      <c r="B31" s="10">
        <f>IF($A31="na","na",'[1]Computations'!G26)</f>
        <v>41.0848</v>
      </c>
      <c r="C31" s="10">
        <f>IF($A31="na","na",'[1]Computations'!H26)</f>
        <v>48.274640000000005</v>
      </c>
      <c r="D31" s="10">
        <f>IF($A31="na","na",'[1]Computations'!I26)</f>
        <v>8.21696</v>
      </c>
      <c r="E31" s="10">
        <f>IF($A31="na","na",'[1]Computations'!J26)</f>
        <v>56.491600000000005</v>
      </c>
      <c r="F31" s="10">
        <f>IF($A31="na","na",'[1]Computations'!K26)</f>
        <v>3</v>
      </c>
      <c r="G31" s="10">
        <f>IF($A31="na","na",'[1]Computations'!L26)</f>
        <v>1</v>
      </c>
      <c r="H31" s="10">
        <f>IF($A31="na","na",'[1]Computations'!M26)</f>
        <v>0</v>
      </c>
      <c r="I31" s="10">
        <f>IF($A31="na","na",'[1]Computations'!N26)</f>
        <v>0</v>
      </c>
    </row>
    <row r="32" spans="1:9" ht="12.75">
      <c r="A32" s="9" t="str">
        <f>IF('[1]Computations'!$B27="na","na",'[1]Computations'!A27)</f>
        <v>Fence   (ft.)  382</v>
      </c>
      <c r="B32" s="10">
        <f>IF($A32="na","na",'[1]Computations'!G27)</f>
        <v>1972070.4000000001</v>
      </c>
      <c r="C32" s="10">
        <f>IF($A32="na","na",'[1]Computations'!H27)</f>
        <v>2580125.44</v>
      </c>
      <c r="D32" s="10">
        <f>IF($A32="na","na",'[1]Computations'!I27)</f>
        <v>131471.36000000034</v>
      </c>
      <c r="E32" s="10">
        <f>IF($A32="na","na",'[1]Computations'!J27)</f>
        <v>2711596.8000000003</v>
      </c>
      <c r="F32" s="10">
        <f>IF($A32="na","na",'[1]Computations'!K27)</f>
        <v>1</v>
      </c>
      <c r="G32" s="10">
        <f>IF($A32="na","na",'[1]Computations'!L27)</f>
        <v>1</v>
      </c>
      <c r="H32" s="10">
        <f>IF($A32="na","na",'[1]Computations'!M27)</f>
        <v>1</v>
      </c>
      <c r="I32" s="10">
        <f>IF($A32="na","na",'[1]Computations'!N27)</f>
        <v>0</v>
      </c>
    </row>
    <row r="33" spans="1:9" ht="12.75">
      <c r="A33" s="9" t="str">
        <f>IF('[1]Computations'!$B28="na","na",'[1]Computations'!A28)</f>
        <v>Forage Harvest Management  (ac.) 511</v>
      </c>
      <c r="B33" s="10">
        <f>IF($A33="na","na",'[1]Computations'!G28)</f>
        <v>65735.68000000001</v>
      </c>
      <c r="C33" s="10">
        <f>IF($A33="na","na",'[1]Computations'!H28)</f>
        <v>88743.168</v>
      </c>
      <c r="D33" s="10">
        <f>IF($A33="na","na",'[1]Computations'!I28)</f>
        <v>1643.392000000007</v>
      </c>
      <c r="E33" s="10">
        <f>IF($A33="na","na",'[1]Computations'!J28)</f>
        <v>90386.56000000001</v>
      </c>
      <c r="F33" s="10">
        <f>IF($A33="na","na",'[1]Computations'!K28)</f>
        <v>3</v>
      </c>
      <c r="G33" s="10">
        <f>IF($A33="na","na",'[1]Computations'!L28)</f>
        <v>5</v>
      </c>
      <c r="H33" s="10">
        <f>IF($A33="na","na",'[1]Computations'!M28)</f>
        <v>3</v>
      </c>
      <c r="I33" s="10">
        <f>IF($A33="na","na",'[1]Computations'!N28)</f>
        <v>0</v>
      </c>
    </row>
    <row r="34" spans="1:9" ht="12.75">
      <c r="A34" s="9" t="str">
        <f>IF('[1]Computations'!$B29="na","na",'[1]Computations'!A29)</f>
        <v>Nutrient Management   (ac.)  590</v>
      </c>
      <c r="B34" s="10">
        <f>IF($A34="na","na",'[1]Computations'!G29)</f>
        <v>82169.6</v>
      </c>
      <c r="C34" s="10">
        <f>IF($A34="na","na",'[1]Computations'!H29)</f>
        <v>102301.152</v>
      </c>
      <c r="D34" s="10">
        <f>IF($A34="na","na",'[1]Computations'!I29)</f>
        <v>10682.04800000001</v>
      </c>
      <c r="E34" s="10">
        <f>IF($A34="na","na",'[1]Computations'!J29)</f>
        <v>112983.20000000001</v>
      </c>
      <c r="F34" s="10">
        <f>IF($A34="na","na",'[1]Computations'!K29)</f>
        <v>5</v>
      </c>
      <c r="G34" s="10">
        <f>IF($A34="na","na",'[1]Computations'!L29)</f>
        <v>5</v>
      </c>
      <c r="H34" s="10">
        <f>IF($A34="na","na",'[1]Computations'!M29)</f>
        <v>2</v>
      </c>
      <c r="I34" s="10">
        <f>IF($A34="na","na",'[1]Computations'!N29)</f>
        <v>1</v>
      </c>
    </row>
    <row r="35" spans="1:9" ht="12.75">
      <c r="A35" s="9" t="str">
        <f>IF('[1]Computations'!$B30="na","na",'[1]Computations'!A30)</f>
        <v>Pasture &amp; Hayland Planting   (ac.)  512</v>
      </c>
      <c r="B35" s="10">
        <f>IF($A35="na","na",'[1]Computations'!G30)</f>
        <v>73952.64000000001</v>
      </c>
      <c r="C35" s="10">
        <f>IF($A35="na","na",'[1]Computations'!H30)</f>
        <v>100041.48800000003</v>
      </c>
      <c r="D35" s="10">
        <f>IF($A35="na","na",'[1]Computations'!I30)</f>
        <v>1643.3919999999925</v>
      </c>
      <c r="E35" s="10">
        <f>IF($A35="na","na",'[1]Computations'!J30)</f>
        <v>101684.88000000002</v>
      </c>
      <c r="F35" s="10">
        <f>IF($A35="na","na",'[1]Computations'!K30)</f>
        <v>2</v>
      </c>
      <c r="G35" s="10">
        <f>IF($A35="na","na",'[1]Computations'!L30)</f>
        <v>5</v>
      </c>
      <c r="H35" s="10">
        <f>IF($A35="na","na",'[1]Computations'!M30)</f>
        <v>5</v>
      </c>
      <c r="I35" s="10">
        <f>IF($A35="na","na",'[1]Computations'!N30)</f>
        <v>0</v>
      </c>
    </row>
    <row r="36" spans="1:9" ht="12.75">
      <c r="A36" s="9" t="str">
        <f>IF('[1]Computations'!$B31="na","na",'[1]Computations'!A31)</f>
        <v>Pest Management   (ac.)  595</v>
      </c>
      <c r="B36" s="10">
        <f>IF($A36="na","na",'[1]Computations'!G31)</f>
        <v>82169.6</v>
      </c>
      <c r="C36" s="10">
        <f>IF($A36="na","na",'[1]Computations'!H31)</f>
        <v>96549.28</v>
      </c>
      <c r="D36" s="10">
        <f>IF($A36="na","na",'[1]Computations'!I31)</f>
        <v>16433.920000000013</v>
      </c>
      <c r="E36" s="10">
        <f>IF($A36="na","na",'[1]Computations'!J31)</f>
        <v>112983.20000000001</v>
      </c>
      <c r="F36" s="10">
        <f>IF($A36="na","na",'[1]Computations'!K31)</f>
        <v>0</v>
      </c>
      <c r="G36" s="10">
        <f>IF($A36="na","na",'[1]Computations'!L31)</f>
        <v>3</v>
      </c>
      <c r="H36" s="10">
        <f>IF($A36="na","na",'[1]Computations'!M31)</f>
        <v>3</v>
      </c>
      <c r="I36" s="10">
        <f>IF($A36="na","na",'[1]Computations'!N31)</f>
        <v>0</v>
      </c>
    </row>
    <row r="37" spans="1:9" ht="12.75">
      <c r="A37" s="9" t="str">
        <f>IF('[1]Computations'!$B32="na","na",'[1]Computations'!A32)</f>
        <v>Pipeline   (ft.)  516</v>
      </c>
      <c r="B37" s="10">
        <f>IF($A37="na","na",'[1]Computations'!G32)</f>
        <v>65735.68000000001</v>
      </c>
      <c r="C37" s="10">
        <f>IF($A37="na","na",'[1]Computations'!H32)</f>
        <v>65735.68000000001</v>
      </c>
      <c r="D37" s="10">
        <f>IF($A37="na","na",'[1]Computations'!I32)</f>
        <v>24650.880000000005</v>
      </c>
      <c r="E37" s="10">
        <f>IF($A37="na","na",'[1]Computations'!J32)</f>
        <v>90386.56000000001</v>
      </c>
      <c r="F37" s="10">
        <f>IF($A37="na","na",'[1]Computations'!K32)</f>
        <v>0</v>
      </c>
      <c r="G37" s="10">
        <f>IF($A37="na","na",'[1]Computations'!L32)</f>
        <v>0</v>
      </c>
      <c r="H37" s="10">
        <f>IF($A37="na","na",'[1]Computations'!M32)</f>
        <v>0</v>
      </c>
      <c r="I37" s="10">
        <f>IF($A37="na","na",'[1]Computations'!N32)</f>
        <v>0</v>
      </c>
    </row>
    <row r="38" spans="1:9" ht="12.75">
      <c r="A38" s="9" t="str">
        <f>IF('[1]Computations'!$B33="na","na",'[1]Computations'!A33)</f>
        <v>Prescribed Grazing   (ac.)  528</v>
      </c>
      <c r="B38" s="10">
        <f>IF($A38="na","na",'[1]Computations'!G33)</f>
        <v>4930.176</v>
      </c>
      <c r="C38" s="10">
        <f>IF($A38="na","na",'[1]Computations'!H33)</f>
        <v>4930.176</v>
      </c>
      <c r="D38" s="10">
        <f>IF($A38="na","na",'[1]Computations'!I33)</f>
        <v>1848.8159999999998</v>
      </c>
      <c r="E38" s="10">
        <f>IF($A38="na","na",'[1]Computations'!J33)</f>
        <v>6778.992</v>
      </c>
      <c r="F38" s="10">
        <f>IF($A38="na","na",'[1]Computations'!K33)</f>
        <v>3</v>
      </c>
      <c r="G38" s="10">
        <f>IF($A38="na","na",'[1]Computations'!L33)</f>
        <v>5</v>
      </c>
      <c r="H38" s="10">
        <f>IF($A38="na","na",'[1]Computations'!M33)</f>
        <v>3</v>
      </c>
      <c r="I38" s="10">
        <f>IF($A38="na","na",'[1]Computations'!N33)</f>
        <v>0</v>
      </c>
    </row>
    <row r="39" spans="1:9" ht="12.75">
      <c r="A39" s="9" t="str">
        <f>IF('[1]Computations'!$B34="na","na",'[1]Computations'!A34)</f>
        <v>Watering Facility (no.)  614</v>
      </c>
      <c r="B39" s="10">
        <f>IF($A39="na","na",'[1]Computations'!G34)</f>
        <v>65.73568</v>
      </c>
      <c r="C39" s="10">
        <f>IF($A39="na","na",'[1]Computations'!H34)</f>
        <v>65.73568</v>
      </c>
      <c r="D39" s="10">
        <f>IF($A39="na","na",'[1]Computations'!I34)</f>
        <v>24.650880000000015</v>
      </c>
      <c r="E39" s="10">
        <f>IF($A39="na","na",'[1]Computations'!J34)</f>
        <v>90.38656000000002</v>
      </c>
      <c r="F39" s="10">
        <f>IF($A39="na","na",'[1]Computations'!K34)</f>
        <v>4</v>
      </c>
      <c r="G39" s="10">
        <f>IF($A39="na","na",'[1]Computations'!L34)</f>
        <v>1</v>
      </c>
      <c r="H39" s="10">
        <f>IF($A39="na","na",'[1]Computations'!M34)</f>
        <v>1</v>
      </c>
      <c r="I39" s="10">
        <f>IF($A39="na","na",'[1]Computations'!N34)</f>
        <v>4</v>
      </c>
    </row>
    <row r="40" spans="1:9" ht="12.75" hidden="1">
      <c r="A40" s="9" t="str">
        <f>IF('[1]Computations'!$B35="na","na",'[1]Computations'!A35)</f>
        <v>na</v>
      </c>
      <c r="B40" s="10" t="str">
        <f>IF($A40="na","na",'[1]Computations'!G35)</f>
        <v>na</v>
      </c>
      <c r="C40" s="10" t="str">
        <f>IF($A40="na","na",'[1]Computations'!H35)</f>
        <v>na</v>
      </c>
      <c r="D40" s="10" t="str">
        <f>IF($A40="na","na",'[1]Computations'!I35)</f>
        <v>na</v>
      </c>
      <c r="E40" s="10" t="str">
        <f>IF($A40="na","na",'[1]Computations'!J35)</f>
        <v>na</v>
      </c>
      <c r="F40" s="10" t="str">
        <f>IF($A40="na","na",'[1]Computations'!K35)</f>
        <v>na</v>
      </c>
      <c r="G40" s="10" t="str">
        <f>IF($A40="na","na",'[1]Computations'!L35)</f>
        <v>na</v>
      </c>
      <c r="H40" s="10" t="str">
        <f>IF($A40="na","na",'[1]Computations'!M35)</f>
        <v>na</v>
      </c>
      <c r="I40" s="10" t="str">
        <f>IF($A40="na","na",'[1]Computations'!N35)</f>
        <v>na</v>
      </c>
    </row>
    <row r="41" spans="1:9" ht="12.75" hidden="1">
      <c r="A41" s="9" t="str">
        <f>IF('[1]Computations'!$B36="na","na",'[1]Computations'!A36)</f>
        <v>na</v>
      </c>
      <c r="B41" s="10" t="str">
        <f>IF($A41="na","na",'[1]Computations'!G36)</f>
        <v>na</v>
      </c>
      <c r="C41" s="10" t="str">
        <f>IF($A41="na","na",'[1]Computations'!H36)</f>
        <v>na</v>
      </c>
      <c r="D41" s="10" t="str">
        <f>IF($A41="na","na",'[1]Computations'!I36)</f>
        <v>na</v>
      </c>
      <c r="E41" s="10" t="str">
        <f>IF($A41="na","na",'[1]Computations'!J36)</f>
        <v>na</v>
      </c>
      <c r="F41" s="10" t="str">
        <f>IF($A41="na","na",'[1]Computations'!K36)</f>
        <v>na</v>
      </c>
      <c r="G41" s="10" t="str">
        <f>IF($A41="na","na",'[1]Computations'!L36)</f>
        <v>na</v>
      </c>
      <c r="H41" s="10" t="str">
        <f>IF($A41="na","na",'[1]Computations'!M36)</f>
        <v>na</v>
      </c>
      <c r="I41" s="10" t="str">
        <f>IF($A41="na","na",'[1]Computations'!N36)</f>
        <v>na</v>
      </c>
    </row>
    <row r="42" spans="1:9" ht="12.75" hidden="1">
      <c r="A42" s="9" t="str">
        <f>IF('[1]Computations'!$B37="na","na",'[1]Computations'!A37)</f>
        <v>na</v>
      </c>
      <c r="B42" s="10" t="str">
        <f>IF($A42="na","na",'[1]Computations'!G37)</f>
        <v>na</v>
      </c>
      <c r="C42" s="10" t="str">
        <f>IF($A42="na","na",'[1]Computations'!H37)</f>
        <v>na</v>
      </c>
      <c r="D42" s="10" t="str">
        <f>IF($A42="na","na",'[1]Computations'!I37)</f>
        <v>na</v>
      </c>
      <c r="E42" s="10" t="str">
        <f>IF($A42="na","na",'[1]Computations'!J37)</f>
        <v>na</v>
      </c>
      <c r="F42" s="10" t="str">
        <f>IF($A42="na","na",'[1]Computations'!K37)</f>
        <v>na</v>
      </c>
      <c r="G42" s="10" t="str">
        <f>IF($A42="na","na",'[1]Computations'!L37)</f>
        <v>na</v>
      </c>
      <c r="H42" s="10" t="str">
        <f>IF($A42="na","na",'[1]Computations'!M37)</f>
        <v>na</v>
      </c>
      <c r="I42" s="10" t="str">
        <f>IF($A42="na","na",'[1]Computations'!N37)</f>
        <v>na</v>
      </c>
    </row>
    <row r="43" spans="1:9" ht="12.75" hidden="1">
      <c r="A43" s="9" t="str">
        <f>IF('[1]Computations'!$B38="na","na",'[1]Computations'!A38)</f>
        <v>na</v>
      </c>
      <c r="B43" s="10" t="str">
        <f>IF($A43="na","na",'[1]Computations'!G38)</f>
        <v>na</v>
      </c>
      <c r="C43" s="10" t="str">
        <f>IF($A43="na","na",'[1]Computations'!H38)</f>
        <v>na</v>
      </c>
      <c r="D43" s="10" t="str">
        <f>IF($A43="na","na",'[1]Computations'!I38)</f>
        <v>na</v>
      </c>
      <c r="E43" s="10" t="str">
        <f>IF($A43="na","na",'[1]Computations'!J38)</f>
        <v>na</v>
      </c>
      <c r="F43" s="10" t="str">
        <f>IF($A43="na","na",'[1]Computations'!K38)</f>
        <v>na</v>
      </c>
      <c r="G43" s="10" t="str">
        <f>IF($A43="na","na",'[1]Computations'!L38)</f>
        <v>na</v>
      </c>
      <c r="H43" s="10" t="str">
        <f>IF($A43="na","na",'[1]Computations'!M38)</f>
        <v>na</v>
      </c>
      <c r="I43" s="10" t="str">
        <f>IF($A43="na","na",'[1]Computations'!N38)</f>
        <v>na</v>
      </c>
    </row>
    <row r="44" spans="1:9" ht="12.75" hidden="1">
      <c r="A44" s="9" t="str">
        <f>IF('[1]Computations'!$B39="na","na",'[1]Computations'!A39)</f>
        <v>na</v>
      </c>
      <c r="B44" s="10" t="str">
        <f>IF($A44="na","na",'[1]Computations'!G39)</f>
        <v>na</v>
      </c>
      <c r="C44" s="10" t="str">
        <f>IF($A44="na","na",'[1]Computations'!H39)</f>
        <v>na</v>
      </c>
      <c r="D44" s="10" t="str">
        <f>IF($A44="na","na",'[1]Computations'!I39)</f>
        <v>na</v>
      </c>
      <c r="E44" s="10" t="str">
        <f>IF($A44="na","na",'[1]Computations'!J39)</f>
        <v>na</v>
      </c>
      <c r="F44" s="10" t="str">
        <f>IF($A44="na","na",'[1]Computations'!K39)</f>
        <v>na</v>
      </c>
      <c r="G44" s="10" t="str">
        <f>IF($A44="na","na",'[1]Computations'!L39)</f>
        <v>na</v>
      </c>
      <c r="H44" s="10" t="str">
        <f>IF($A44="na","na",'[1]Computations'!M39)</f>
        <v>na</v>
      </c>
      <c r="I44" s="10" t="str">
        <f>IF($A44="na","na",'[1]Computations'!N39)</f>
        <v>na</v>
      </c>
    </row>
    <row r="45" spans="1:9" ht="12.75" hidden="1">
      <c r="A45" s="9" t="str">
        <f>IF('[1]Computations'!$B40="na","na",'[1]Computations'!A40)</f>
        <v>na</v>
      </c>
      <c r="B45" s="10" t="str">
        <f>IF($A45="na","na",'[1]Computations'!G40)</f>
        <v>na</v>
      </c>
      <c r="C45" s="10" t="str">
        <f>IF($A45="na","na",'[1]Computations'!H40)</f>
        <v>na</v>
      </c>
      <c r="D45" s="10" t="str">
        <f>IF($A45="na","na",'[1]Computations'!I40)</f>
        <v>na</v>
      </c>
      <c r="E45" s="10" t="str">
        <f>IF($A45="na","na",'[1]Computations'!J40)</f>
        <v>na</v>
      </c>
      <c r="F45" s="10" t="str">
        <f>IF($A45="na","na",'[1]Computations'!K40)</f>
        <v>na</v>
      </c>
      <c r="G45" s="10" t="str">
        <f>IF($A45="na","na",'[1]Computations'!L40)</f>
        <v>na</v>
      </c>
      <c r="H45" s="10" t="str">
        <f>IF($A45="na","na",'[1]Computations'!M40)</f>
        <v>na</v>
      </c>
      <c r="I45" s="10" t="str">
        <f>IF($A45="na","na",'[1]Computations'!N40)</f>
        <v>na</v>
      </c>
    </row>
    <row r="46" spans="1:9" ht="12.75" hidden="1">
      <c r="A46" s="9" t="str">
        <f>IF('[1]Computations'!$B41="na","na",'[1]Computations'!A41)</f>
        <v>na</v>
      </c>
      <c r="B46" s="10" t="str">
        <f>IF($A46="na","na",'[1]Computations'!G41)</f>
        <v>na</v>
      </c>
      <c r="C46" s="10" t="str">
        <f>IF($A46="na","na",'[1]Computations'!H41)</f>
        <v>na</v>
      </c>
      <c r="D46" s="10" t="str">
        <f>IF($A46="na","na",'[1]Computations'!I41)</f>
        <v>na</v>
      </c>
      <c r="E46" s="10" t="str">
        <f>IF($A46="na","na",'[1]Computations'!J41)</f>
        <v>na</v>
      </c>
      <c r="F46" s="10" t="str">
        <f>IF($A46="na","na",'[1]Computations'!K41)</f>
        <v>na</v>
      </c>
      <c r="G46" s="10" t="str">
        <f>IF($A46="na","na",'[1]Computations'!L41)</f>
        <v>na</v>
      </c>
      <c r="H46" s="10" t="str">
        <f>IF($A46="na","na",'[1]Computations'!M41)</f>
        <v>na</v>
      </c>
      <c r="I46" s="10" t="str">
        <f>IF($A46="na","na",'[1]Computations'!N41)</f>
        <v>na</v>
      </c>
    </row>
    <row r="47" spans="1:9" ht="12.75" hidden="1">
      <c r="A47" s="9" t="str">
        <f>IF('[1]Computations'!$B42="na","na",'[1]Computations'!A42)</f>
        <v>na</v>
      </c>
      <c r="B47" s="10" t="str">
        <f>IF($A47="na","na",'[1]Computations'!G42)</f>
        <v>na</v>
      </c>
      <c r="C47" s="10" t="str">
        <f>IF($A47="na","na",'[1]Computations'!H42)</f>
        <v>na</v>
      </c>
      <c r="D47" s="10" t="str">
        <f>IF($A47="na","na",'[1]Computations'!I42)</f>
        <v>na</v>
      </c>
      <c r="E47" s="10" t="str">
        <f>IF($A47="na","na",'[1]Computations'!J42)</f>
        <v>na</v>
      </c>
      <c r="F47" s="10" t="str">
        <f>IF($A47="na","na",'[1]Computations'!K42)</f>
        <v>na</v>
      </c>
      <c r="G47" s="10" t="str">
        <f>IF($A47="na","na",'[1]Computations'!L42)</f>
        <v>na</v>
      </c>
      <c r="H47" s="10" t="str">
        <f>IF($A47="na","na",'[1]Computations'!M42)</f>
        <v>na</v>
      </c>
      <c r="I47" s="10" t="str">
        <f>IF($A47="na","na",'[1]Computations'!N42)</f>
        <v>na</v>
      </c>
    </row>
    <row r="48" spans="1:9" ht="12.75" hidden="1">
      <c r="A48" s="61"/>
      <c r="B48" s="62"/>
      <c r="C48" s="62"/>
      <c r="D48" s="62"/>
      <c r="E48" s="62"/>
      <c r="F48" s="62"/>
      <c r="G48" s="62"/>
      <c r="H48" s="62"/>
      <c r="I48" s="63"/>
    </row>
    <row r="49" spans="1:9" ht="12.75">
      <c r="A49" s="64"/>
      <c r="B49" s="33"/>
      <c r="C49" s="33"/>
      <c r="D49" s="33"/>
      <c r="E49" s="33"/>
      <c r="F49" s="33"/>
      <c r="G49" s="33"/>
      <c r="H49" s="33"/>
      <c r="I49" s="34"/>
    </row>
    <row r="50" spans="1:9" ht="12.75">
      <c r="A50" s="15" t="s">
        <v>20</v>
      </c>
      <c r="B50" s="65"/>
      <c r="C50" s="65"/>
      <c r="D50" s="65"/>
      <c r="E50" s="65"/>
      <c r="F50" s="65"/>
      <c r="G50" s="65"/>
      <c r="H50" s="65"/>
      <c r="I50" s="66"/>
    </row>
    <row r="51" spans="1:9" ht="12.75">
      <c r="A51" s="13"/>
      <c r="B51" s="14" t="s">
        <v>21</v>
      </c>
      <c r="C51" s="67" t="s">
        <v>22</v>
      </c>
      <c r="D51" s="68"/>
      <c r="E51" s="68"/>
      <c r="F51" s="69"/>
      <c r="G51" s="70" t="s">
        <v>23</v>
      </c>
      <c r="H51" s="71"/>
      <c r="I51" s="72"/>
    </row>
    <row r="52" spans="1:9" ht="22.5">
      <c r="A52" s="50" t="s">
        <v>6</v>
      </c>
      <c r="B52" s="52" t="s">
        <v>24</v>
      </c>
      <c r="C52" s="16" t="s">
        <v>25</v>
      </c>
      <c r="D52" s="16" t="s">
        <v>26</v>
      </c>
      <c r="E52" s="16" t="s">
        <v>27</v>
      </c>
      <c r="F52" s="54" t="s">
        <v>28</v>
      </c>
      <c r="G52" s="17" t="s">
        <v>25</v>
      </c>
      <c r="H52" s="17" t="s">
        <v>29</v>
      </c>
      <c r="I52" s="56" t="s">
        <v>28</v>
      </c>
    </row>
    <row r="53" spans="1:9" ht="12.75">
      <c r="A53" s="51"/>
      <c r="B53" s="53"/>
      <c r="C53" s="18">
        <f>cost_share_rate</f>
        <v>0.5</v>
      </c>
      <c r="D53" s="18">
        <v>1</v>
      </c>
      <c r="E53" s="18">
        <f>ta_of_fa</f>
        <v>0.2</v>
      </c>
      <c r="F53" s="55"/>
      <c r="G53" s="19">
        <f>1-cost_share_rate</f>
        <v>0.5</v>
      </c>
      <c r="H53" s="19">
        <v>1</v>
      </c>
      <c r="I53" s="57"/>
    </row>
    <row r="54" spans="1:9" ht="12.75">
      <c r="A54" s="44"/>
      <c r="B54" s="45"/>
      <c r="C54" s="45"/>
      <c r="D54" s="45"/>
      <c r="E54" s="45"/>
      <c r="F54" s="45"/>
      <c r="G54" s="45"/>
      <c r="H54" s="45"/>
      <c r="I54" s="46"/>
    </row>
    <row r="55" spans="1:9" ht="12.75">
      <c r="A55" s="5" t="s">
        <v>30</v>
      </c>
      <c r="B55" s="20">
        <f>at_p_new_ac</f>
        <v>6162.719999999972</v>
      </c>
      <c r="C55" s="21"/>
      <c r="D55" s="21"/>
      <c r="E55" s="21"/>
      <c r="F55" s="21"/>
      <c r="G55" s="21"/>
      <c r="H55" s="21"/>
      <c r="I55" s="22"/>
    </row>
    <row r="56" spans="1:9" ht="12.75">
      <c r="A56" s="23" t="str">
        <f aca="true" t="shared" si="0" ref="A56:A65">A18</f>
        <v>Animal Trails and Walkways (ac.)  575</v>
      </c>
      <c r="B56" s="24">
        <f>'[1]Computations'!I13</f>
        <v>1.5406799999999805</v>
      </c>
      <c r="C56" s="25">
        <f>IF('[1]Computations'!D13=1,0,'[1]Computations'!I13*'[1]Computations'!C13*cost_share_rate)</f>
        <v>4.005767999999949</v>
      </c>
      <c r="D56" s="25">
        <f>IF('[1]Computations'!D13=1,'[1]Computations'!I13*'[1]Computations'!C13*3,0)</f>
        <v>0</v>
      </c>
      <c r="E56" s="25">
        <f aca="true" t="shared" si="1" ref="E56:E66">(C56+D56)*ta_of_fa</f>
        <v>0.8011535999999899</v>
      </c>
      <c r="F56" s="25">
        <f aca="true" t="shared" si="2" ref="F56:F65">C56+D56/3/(1+int_rate)+D56/3/(1+int_rate)^2+D56/3/(1+int_rate)^3+E56</f>
        <v>4.806921599999939</v>
      </c>
      <c r="G56" s="26">
        <f>IF('[1]Computations'!D13=1,0,'[1]Computations'!I13*'[1]Computations'!C13*(1-cost_share_rate))</f>
        <v>4.005767999999949</v>
      </c>
      <c r="H56" s="26">
        <f>(G56+C56)*'[1]Computations'!E13+D56/3</f>
        <v>0.16023071999999797</v>
      </c>
      <c r="I56" s="26">
        <f>IF('[1]Computations'!D13=1,G56+H56/(1+int_rate)^4+H56/(1+int_rate)^5,G56-PV(int_rate,5,H56))</f>
        <v>4.680718082263061</v>
      </c>
    </row>
    <row r="57" spans="1:9" ht="12.75">
      <c r="A57" s="23" t="str">
        <f t="shared" si="0"/>
        <v>Fence   (ft.)  382</v>
      </c>
      <c r="B57" s="24">
        <f>'[1]Computations'!I14</f>
        <v>24650.87999999989</v>
      </c>
      <c r="C57" s="25">
        <f>IF('[1]Computations'!D14=1,0,'[1]Computations'!I14*'[1]Computations'!C14*cost_share_rate)</f>
        <v>30813.59999999986</v>
      </c>
      <c r="D57" s="25">
        <f>IF('[1]Computations'!D14=1,'[1]Computations'!I14*'[1]Computations'!C14*3,0)</f>
        <v>0</v>
      </c>
      <c r="E57" s="25">
        <f t="shared" si="1"/>
        <v>6162.719999999972</v>
      </c>
      <c r="F57" s="25">
        <f t="shared" si="2"/>
        <v>36976.31999999983</v>
      </c>
      <c r="G57" s="26">
        <f>IF('[1]Computations'!D14=1,0,'[1]Computations'!I14*'[1]Computations'!C14*(1-cost_share_rate))</f>
        <v>30813.59999999986</v>
      </c>
      <c r="H57" s="26">
        <f>(G57+C57)*'[1]Computations'!E14+D57/3</f>
        <v>1232.5439999999944</v>
      </c>
      <c r="I57" s="26">
        <f>IF('[1]Computations'!D14=1,G57+H57/(1+int_rate)^4+H57/(1+int_rate)^5,G57-PV(int_rate,5,H57))</f>
        <v>36005.52370971615</v>
      </c>
    </row>
    <row r="58" spans="1:9" ht="12.75">
      <c r="A58" s="23" t="str">
        <f t="shared" si="0"/>
        <v>Forage Harvest Management  (ac.) 511</v>
      </c>
      <c r="B58" s="24">
        <f>'[1]Computations'!I15</f>
        <v>4930.175999999978</v>
      </c>
      <c r="C58" s="25">
        <f>IF('[1]Computations'!D15=1,0,'[1]Computations'!I15*'[1]Computations'!C15*cost_share_rate)</f>
        <v>0</v>
      </c>
      <c r="D58" s="25">
        <f>IF('[1]Computations'!D15=1,'[1]Computations'!I15*'[1]Computations'!C15*3,0)</f>
        <v>118324.22399999946</v>
      </c>
      <c r="E58" s="25">
        <f t="shared" si="1"/>
        <v>23664.844799999893</v>
      </c>
      <c r="F58" s="25">
        <f t="shared" si="2"/>
        <v>129092.19968759116</v>
      </c>
      <c r="G58" s="26">
        <f>IF('[1]Computations'!D15=1,0,'[1]Computations'!I15*'[1]Computations'!C15*(1-cost_share_rate))</f>
        <v>0</v>
      </c>
      <c r="H58" s="26">
        <f>(G58+C58)*'[1]Computations'!E15+D58/3</f>
        <v>39441.40799999982</v>
      </c>
      <c r="I58" s="26">
        <f>IF('[1]Computations'!D15=1,G58+H58/(1+int_rate)^4+H58/(1+int_rate)^5,G58-PV(int_rate,5,H58))</f>
        <v>60714.203823329764</v>
      </c>
    </row>
    <row r="59" spans="1:9" ht="12.75">
      <c r="A59" s="23" t="str">
        <f t="shared" si="0"/>
        <v>Nutrient Management   (ac.)  590</v>
      </c>
      <c r="B59" s="24">
        <f>'[1]Computations'!I16</f>
        <v>4313.90399999998</v>
      </c>
      <c r="C59" s="25">
        <f>IF('[1]Computations'!D16=1,0,'[1]Computations'!I16*'[1]Computations'!C16*cost_share_rate)</f>
        <v>0</v>
      </c>
      <c r="D59" s="25">
        <f>IF('[1]Computations'!D16=1,'[1]Computations'!I16*'[1]Computations'!C16*3,0)</f>
        <v>135887.97599999938</v>
      </c>
      <c r="E59" s="25">
        <f t="shared" si="1"/>
        <v>27177.59519999988</v>
      </c>
      <c r="F59" s="25">
        <f t="shared" si="2"/>
        <v>148254.32307871798</v>
      </c>
      <c r="G59" s="26">
        <f>IF('[1]Computations'!D16=1,0,'[1]Computations'!I16*'[1]Computations'!C16*(1-cost_share_rate))</f>
        <v>0</v>
      </c>
      <c r="H59" s="26">
        <f>(G59+C59)*'[1]Computations'!E16+D59/3</f>
        <v>45295.991999999795</v>
      </c>
      <c r="I59" s="26">
        <f>IF('[1]Computations'!D16=1,G59+H59/(1+int_rate)^4+H59/(1+int_rate)^5,G59-PV(int_rate,5,H59))</f>
        <v>69726.46845335528</v>
      </c>
    </row>
    <row r="60" spans="1:9" ht="12.75">
      <c r="A60" s="23" t="str">
        <f t="shared" si="0"/>
        <v>Pasture &amp; Hayland Planting   (ac.)  512</v>
      </c>
      <c r="B60" s="24">
        <f>'[1]Computations'!I17</f>
        <v>308.1359999999695</v>
      </c>
      <c r="C60" s="25">
        <f>IF('[1]Computations'!D17=1,0,'[1]Computations'!I17*'[1]Computations'!C17*cost_share_rate)</f>
        <v>24188.675999997606</v>
      </c>
      <c r="D60" s="25">
        <f>IF('[1]Computations'!D17=1,'[1]Computations'!I17*'[1]Computations'!C17*3,0)</f>
        <v>0</v>
      </c>
      <c r="E60" s="25">
        <f t="shared" si="1"/>
        <v>4837.735199999522</v>
      </c>
      <c r="F60" s="25">
        <f t="shared" si="2"/>
        <v>29026.41119999713</v>
      </c>
      <c r="G60" s="26">
        <f>IF('[1]Computations'!D17=1,0,'[1]Computations'!I17*'[1]Computations'!C17*(1-cost_share_rate))</f>
        <v>24188.675999997606</v>
      </c>
      <c r="H60" s="26">
        <f>(G60+C60)*'[1]Computations'!E17+D60/3</f>
        <v>483.7735199999521</v>
      </c>
      <c r="I60" s="26">
        <f>IF('[1]Computations'!D17=1,G60+H60/(1+int_rate)^4+H60/(1+int_rate)^5,G60-PV(int_rate,5,H60))</f>
        <v>26226.50605606106</v>
      </c>
    </row>
    <row r="61" spans="1:9" ht="13.5" thickBot="1">
      <c r="A61" s="23" t="str">
        <f t="shared" si="0"/>
        <v>Pest Management   (ac.)  595</v>
      </c>
      <c r="B61" s="24">
        <f>'[1]Computations'!I18</f>
        <v>3081.359999999986</v>
      </c>
      <c r="C61" s="25">
        <f>IF('[1]Computations'!D18=1,0,'[1]Computations'!I18*'[1]Computations'!C18*cost_share_rate)</f>
        <v>0</v>
      </c>
      <c r="D61" s="25">
        <f>IF('[1]Computations'!D18=1,'[1]Computations'!I18*'[1]Computations'!C18*3,0)</f>
        <v>76263.65999999965</v>
      </c>
      <c r="E61" s="25">
        <f t="shared" si="1"/>
        <v>15252.73199999993</v>
      </c>
      <c r="F61" s="25">
        <f t="shared" si="2"/>
        <v>83203.95682989275</v>
      </c>
      <c r="G61" s="26">
        <f>IF('[1]Computations'!D18=1,0,'[1]Computations'!I18*'[1]Computations'!C18*(1-cost_share_rate))</f>
        <v>0</v>
      </c>
      <c r="H61" s="26">
        <f>(G61+C61)*'[1]Computations'!E18+D61/3</f>
        <v>25421.219999999885</v>
      </c>
      <c r="I61" s="26">
        <f>IF('[1]Computations'!D18=1,G61+H61/(1+int_rate)^4+H61/(1+int_rate)^5,G61-PV(int_rate,5,H61))</f>
        <v>39132.201683005514</v>
      </c>
    </row>
    <row r="62" spans="1:9" ht="12.75" hidden="1">
      <c r="A62" s="23" t="str">
        <f t="shared" si="0"/>
        <v>na</v>
      </c>
      <c r="B62" s="24">
        <f>'[1]Computations'!I19</f>
        <v>0</v>
      </c>
      <c r="C62" s="25">
        <f>IF('[1]Computations'!D19=1,0,'[1]Computations'!I19*'[1]Computations'!C19*cost_share_rate)</f>
        <v>0</v>
      </c>
      <c r="D62" s="25">
        <f>IF('[1]Computations'!D19=1,'[1]Computations'!I19*'[1]Computations'!C19*3,0)</f>
        <v>0</v>
      </c>
      <c r="E62" s="25">
        <f t="shared" si="1"/>
        <v>0</v>
      </c>
      <c r="F62" s="25">
        <f t="shared" si="2"/>
        <v>0</v>
      </c>
      <c r="G62" s="26">
        <f>IF('[1]Computations'!D19=1,0,'[1]Computations'!I19*'[1]Computations'!C19*(1-cost_share_rate))</f>
        <v>0</v>
      </c>
      <c r="H62" s="26">
        <f>(G62+C62)*'[1]Computations'!E19+D62/3</f>
        <v>0</v>
      </c>
      <c r="I62" s="26">
        <f>IF('[1]Computations'!D19=1,G62+H62/(1+int_rate)^4+H62/(1+int_rate)^5,G62-PV(int_rate,5,H62))</f>
        <v>0</v>
      </c>
    </row>
    <row r="63" spans="1:9" ht="12.75" hidden="1">
      <c r="A63" s="23" t="str">
        <f t="shared" si="0"/>
        <v>na</v>
      </c>
      <c r="B63" s="24">
        <f>'[1]Computations'!I20</f>
        <v>0</v>
      </c>
      <c r="C63" s="25">
        <f>IF('[1]Computations'!D20=1,0,'[1]Computations'!I20*'[1]Computations'!C20*cost_share_rate)</f>
        <v>0</v>
      </c>
      <c r="D63" s="25">
        <f>IF('[1]Computations'!D20=1,'[1]Computations'!I20*'[1]Computations'!C20*3,0)</f>
        <v>0</v>
      </c>
      <c r="E63" s="25">
        <f t="shared" si="1"/>
        <v>0</v>
      </c>
      <c r="F63" s="25">
        <f t="shared" si="2"/>
        <v>0</v>
      </c>
      <c r="G63" s="26">
        <f>IF('[1]Computations'!D20=1,0,'[1]Computations'!I20*'[1]Computations'!C20*(1-cost_share_rate))</f>
        <v>0</v>
      </c>
      <c r="H63" s="26">
        <f>(G63+C63)*'[1]Computations'!E20+D63/3</f>
        <v>0</v>
      </c>
      <c r="I63" s="26">
        <f>IF('[1]Computations'!D20=1,G63+H63/(1+int_rate)^4+H63/(1+int_rate)^5,G63-PV(int_rate,5,H63))</f>
        <v>0</v>
      </c>
    </row>
    <row r="64" spans="1:9" ht="12.75" hidden="1">
      <c r="A64" s="23" t="str">
        <f t="shared" si="0"/>
        <v>na</v>
      </c>
      <c r="B64" s="24">
        <f>'[1]Computations'!I21</f>
        <v>0</v>
      </c>
      <c r="C64" s="25">
        <f>IF('[1]Computations'!D21=1,0,'[1]Computations'!I21*'[1]Computations'!C21*cost_share_rate)</f>
        <v>0</v>
      </c>
      <c r="D64" s="25">
        <f>IF('[1]Computations'!D21=1,'[1]Computations'!I21*'[1]Computations'!C21*3,0)</f>
        <v>0</v>
      </c>
      <c r="E64" s="25">
        <f t="shared" si="1"/>
        <v>0</v>
      </c>
      <c r="F64" s="25">
        <f t="shared" si="2"/>
        <v>0</v>
      </c>
      <c r="G64" s="26">
        <f>IF('[1]Computations'!D21=1,0,'[1]Computations'!I21*'[1]Computations'!C21*(1-cost_share_rate))</f>
        <v>0</v>
      </c>
      <c r="H64" s="26">
        <f>(G64+C64)*'[1]Computations'!E21+D64/3</f>
        <v>0</v>
      </c>
      <c r="I64" s="26">
        <f>IF('[1]Computations'!D21=1,G64+H64/(1+int_rate)^4+H64/(1+int_rate)^5,G64-PV(int_rate,5,H64))</f>
        <v>0</v>
      </c>
    </row>
    <row r="65" spans="1:9" ht="13.5" hidden="1" thickBot="1">
      <c r="A65" s="27" t="str">
        <f t="shared" si="0"/>
        <v>na</v>
      </c>
      <c r="B65" s="28">
        <f>'[1]Computations'!I22</f>
        <v>0</v>
      </c>
      <c r="C65" s="25">
        <f>IF('[1]Computations'!D22=1,0,'[1]Computations'!I22*'[1]Computations'!C22*cost_share_rate)</f>
        <v>0</v>
      </c>
      <c r="D65" s="25">
        <f>IF('[1]Computations'!D22=1,'[1]Computations'!I22*'[1]Computations'!C22*3,0)</f>
        <v>0</v>
      </c>
      <c r="E65" s="25">
        <f t="shared" si="1"/>
        <v>0</v>
      </c>
      <c r="F65" s="25">
        <f t="shared" si="2"/>
        <v>0</v>
      </c>
      <c r="G65" s="26">
        <f>IF('[1]Computations'!D22=1,0,'[1]Computations'!I22*'[1]Computations'!C22*(1-cost_share_rate))</f>
        <v>0</v>
      </c>
      <c r="H65" s="26">
        <f>(G65+C65)*'[1]Computations'!E22+D65/3</f>
        <v>0</v>
      </c>
      <c r="I65" s="26">
        <f>IF('[1]Computations'!D22=1,G65+H65/(1+int_rate)^4+H65/(1+int_rate)^5,G65-PV(int_rate,5,H65))</f>
        <v>0</v>
      </c>
    </row>
    <row r="66" spans="1:9" ht="13.5" thickTop="1">
      <c r="A66" s="29"/>
      <c r="B66" s="30" t="s">
        <v>31</v>
      </c>
      <c r="C66" s="31">
        <f>SUM(C56:C65)</f>
        <v>55006.28176799747</v>
      </c>
      <c r="D66" s="31">
        <f>SUM(D56:D65)</f>
        <v>330475.8599999985</v>
      </c>
      <c r="E66" s="31">
        <f t="shared" si="1"/>
        <v>77096.4283535992</v>
      </c>
      <c r="F66" s="31">
        <f>SUM(F56:F65)</f>
        <v>426558.0177177988</v>
      </c>
      <c r="G66" s="32">
        <f>SUM(G56:G65)</f>
        <v>55006.28176799747</v>
      </c>
      <c r="H66" s="32">
        <f>SUM(H56:H65)</f>
        <v>111875.09775071946</v>
      </c>
      <c r="I66" s="32">
        <f>SUM(I56:I65)</f>
        <v>231809.58444355006</v>
      </c>
    </row>
    <row r="67" spans="1:9" ht="12.75">
      <c r="A67" s="47"/>
      <c r="B67" s="48"/>
      <c r="C67" s="48"/>
      <c r="D67" s="48"/>
      <c r="E67" s="48"/>
      <c r="F67" s="48"/>
      <c r="G67" s="48"/>
      <c r="H67" s="48"/>
      <c r="I67" s="49"/>
    </row>
    <row r="68" spans="1:9" ht="12.75">
      <c r="A68" s="35" t="s">
        <v>32</v>
      </c>
      <c r="B68" s="20">
        <f>at_r_new_ac</f>
        <v>30813.600000000006</v>
      </c>
      <c r="C68" s="21"/>
      <c r="D68" s="21"/>
      <c r="E68" s="21"/>
      <c r="F68" s="21"/>
      <c r="G68" s="21"/>
      <c r="H68" s="21"/>
      <c r="I68" s="22"/>
    </row>
    <row r="69" spans="1:9" ht="12.75">
      <c r="A69" s="23" t="str">
        <f aca="true" t="shared" si="3" ref="A69:A85">A31</f>
        <v>Animal Trails and Walkways (ac.)  575</v>
      </c>
      <c r="B69" s="36">
        <f>'[1]Computations'!I26</f>
        <v>8.21696</v>
      </c>
      <c r="C69" s="25">
        <f>IF('[1]Computations'!D26=1,0,'[1]Computations'!I26*'[1]Computations'!C26*cost_share_rate)</f>
        <v>21.364096</v>
      </c>
      <c r="D69" s="25">
        <f>IF('[1]Computations'!D26=1,'[1]Computations'!I26*'[1]Computations'!C26*3,0)</f>
        <v>0</v>
      </c>
      <c r="E69" s="25">
        <f aca="true" t="shared" si="4" ref="E69:E86">(C69+D69)*ta_of_fa</f>
        <v>4.2728192</v>
      </c>
      <c r="F69" s="25">
        <f aca="true" t="shared" si="5" ref="F69:F85">C69+D69/3/(1+int_rate)+D69/3/(1+int_rate)^2+D69/3/(1+int_rate)^3+E69</f>
        <v>25.6369152</v>
      </c>
      <c r="G69" s="26">
        <f>IF('[1]Computations'!D26=1,0,'[1]Computations'!I26*'[1]Computations'!C26*(1-cost_share_rate))</f>
        <v>21.364096</v>
      </c>
      <c r="H69" s="26">
        <f>(G69+C69)*'[1]Computations'!E26+D69/3</f>
        <v>0.85456384</v>
      </c>
      <c r="I69" s="26">
        <f>IF('[1]Computations'!D26=1,G69+H69/(1+int_rate)^4+H69/(1+int_rate)^5,G69-PV(int_rate,5,H69))</f>
        <v>24.963829772069978</v>
      </c>
    </row>
    <row r="70" spans="1:9" ht="12.75">
      <c r="A70" s="23" t="str">
        <f t="shared" si="3"/>
        <v>Fence   (ft.)  382</v>
      </c>
      <c r="B70" s="36">
        <f>'[1]Computations'!I27</f>
        <v>131471.36000000034</v>
      </c>
      <c r="C70" s="25">
        <f>IF('[1]Computations'!D27=1,0,'[1]Computations'!I27*'[1]Computations'!C27*cost_share_rate)</f>
        <v>164339.20000000042</v>
      </c>
      <c r="D70" s="25">
        <f>IF('[1]Computations'!D27=1,'[1]Computations'!I27*'[1]Computations'!C27*3,0)</f>
        <v>0</v>
      </c>
      <c r="E70" s="25">
        <f t="shared" si="4"/>
        <v>32867.840000000084</v>
      </c>
      <c r="F70" s="25">
        <f t="shared" si="5"/>
        <v>197207.0400000005</v>
      </c>
      <c r="G70" s="26">
        <f>IF('[1]Computations'!D27=1,0,'[1]Computations'!I27*'[1]Computations'!C27*(1-cost_share_rate))</f>
        <v>164339.20000000042</v>
      </c>
      <c r="H70" s="26">
        <f>(G70+C70)*'[1]Computations'!E27+D70/3</f>
        <v>6573.568000000017</v>
      </c>
      <c r="I70" s="26">
        <f>IF('[1]Computations'!D27=1,G70+H70/(1+int_rate)^4+H70/(1+int_rate)^5,G70-PV(int_rate,5,H70))</f>
        <v>192029.45978515415</v>
      </c>
    </row>
    <row r="71" spans="1:9" ht="12.75">
      <c r="A71" s="23" t="str">
        <f t="shared" si="3"/>
        <v>Forage Harvest Management  (ac.) 511</v>
      </c>
      <c r="B71" s="36">
        <f>'[1]Computations'!I28</f>
        <v>1643.392000000007</v>
      </c>
      <c r="C71" s="25">
        <f>IF('[1]Computations'!D28=1,0,'[1]Computations'!I28*'[1]Computations'!C28*cost_share_rate)</f>
        <v>0</v>
      </c>
      <c r="D71" s="25">
        <f>IF('[1]Computations'!D28=1,'[1]Computations'!I28*'[1]Computations'!C28*3,0)</f>
        <v>39441.40800000017</v>
      </c>
      <c r="E71" s="25">
        <f t="shared" si="4"/>
        <v>7888.281600000035</v>
      </c>
      <c r="F71" s="25">
        <f t="shared" si="5"/>
        <v>43030.73322919743</v>
      </c>
      <c r="G71" s="26">
        <f>IF('[1]Computations'!D28=1,0,'[1]Computations'!I28*'[1]Computations'!C28*(1-cost_share_rate))</f>
        <v>0</v>
      </c>
      <c r="H71" s="26">
        <f>(G71+C71)*'[1]Computations'!E28+D71/3</f>
        <v>13147.136000000057</v>
      </c>
      <c r="I71" s="26">
        <f>IF('[1]Computations'!D28=1,G71+H71/(1+int_rate)^4+H71/(1+int_rate)^5,G71-PV(int_rate,5,H71))</f>
        <v>20238.0679411101</v>
      </c>
    </row>
    <row r="72" spans="1:9" ht="12.75">
      <c r="A72" s="23" t="str">
        <f t="shared" si="3"/>
        <v>Nutrient Management   (ac.)  590</v>
      </c>
      <c r="B72" s="36">
        <f>'[1]Computations'!I29</f>
        <v>10682.04800000001</v>
      </c>
      <c r="C72" s="25">
        <f>IF('[1]Computations'!D29=1,0,'[1]Computations'!I29*'[1]Computations'!C29*cost_share_rate)</f>
        <v>0</v>
      </c>
      <c r="D72" s="25">
        <f>IF('[1]Computations'!D29=1,'[1]Computations'!I29*'[1]Computations'!C29*3,0)</f>
        <v>336484.51200000034</v>
      </c>
      <c r="E72" s="25">
        <f t="shared" si="4"/>
        <v>67296.90240000006</v>
      </c>
      <c r="F72" s="25">
        <f t="shared" si="5"/>
        <v>367105.9428615894</v>
      </c>
      <c r="G72" s="26">
        <f>IF('[1]Computations'!D29=1,0,'[1]Computations'!I29*'[1]Computations'!C29*(1-cost_share_rate))</f>
        <v>0</v>
      </c>
      <c r="H72" s="26">
        <f>(G72+C72)*'[1]Computations'!E29+D72/3</f>
        <v>112161.50400000012</v>
      </c>
      <c r="I72" s="26">
        <f>IF('[1]Computations'!D29=1,G72+H72/(1+int_rate)^4+H72/(1+int_rate)^5,G72-PV(int_rate,5,H72))</f>
        <v>172656.017122595</v>
      </c>
    </row>
    <row r="73" spans="1:9" ht="12.75">
      <c r="A73" s="23" t="str">
        <f t="shared" si="3"/>
        <v>Pasture &amp; Hayland Planting   (ac.)  512</v>
      </c>
      <c r="B73" s="36">
        <f>'[1]Computations'!I30</f>
        <v>1643.3919999999925</v>
      </c>
      <c r="C73" s="25">
        <f>IF('[1]Computations'!D30=1,0,'[1]Computations'!I30*'[1]Computations'!C30*cost_share_rate)</f>
        <v>129006.27199999942</v>
      </c>
      <c r="D73" s="25">
        <f>IF('[1]Computations'!D30=1,'[1]Computations'!I30*'[1]Computations'!C30*3,0)</f>
        <v>0</v>
      </c>
      <c r="E73" s="25">
        <f t="shared" si="4"/>
        <v>25801.254399999885</v>
      </c>
      <c r="F73" s="25">
        <f t="shared" si="5"/>
        <v>154807.5263999993</v>
      </c>
      <c r="G73" s="26">
        <f>IF('[1]Computations'!D30=1,0,'[1]Computations'!I30*'[1]Computations'!C30*(1-cost_share_rate))</f>
        <v>129006.27199999942</v>
      </c>
      <c r="H73" s="26">
        <f>(G73+C73)*'[1]Computations'!E30+D73/3</f>
        <v>2580.1254399999884</v>
      </c>
      <c r="I73" s="26">
        <f>IF('[1]Computations'!D30=1,G73+H73/(1+int_rate)^4+H73/(1+int_rate)^5,G73-PV(int_rate,5,H73))</f>
        <v>139874.69896567217</v>
      </c>
    </row>
    <row r="74" spans="1:9" ht="12.75">
      <c r="A74" s="23" t="str">
        <f t="shared" si="3"/>
        <v>Pest Management   (ac.)  595</v>
      </c>
      <c r="B74" s="36">
        <f>'[1]Computations'!I31</f>
        <v>16433.920000000013</v>
      </c>
      <c r="C74" s="25">
        <f>IF('[1]Computations'!D31=1,0,'[1]Computations'!I31*'[1]Computations'!C31*cost_share_rate)</f>
        <v>0</v>
      </c>
      <c r="D74" s="25">
        <f>IF('[1]Computations'!D31=1,'[1]Computations'!I31*'[1]Computations'!C31*3,0)</f>
        <v>406739.52000000037</v>
      </c>
      <c r="E74" s="25">
        <f t="shared" si="4"/>
        <v>81347.90400000008</v>
      </c>
      <c r="F74" s="25">
        <f t="shared" si="5"/>
        <v>443754.43642609706</v>
      </c>
      <c r="G74" s="26">
        <f>IF('[1]Computations'!D31=1,0,'[1]Computations'!I31*'[1]Computations'!C31*(1-cost_share_rate))</f>
        <v>0</v>
      </c>
      <c r="H74" s="26">
        <f>(G74+C74)*'[1]Computations'!E31+D74/3</f>
        <v>135579.8400000001</v>
      </c>
      <c r="I74" s="26">
        <f>IF('[1]Computations'!D31=1,G74+H74/(1+int_rate)^4+H74/(1+int_rate)^5,G74-PV(int_rate,5,H74))</f>
        <v>208705.0756426972</v>
      </c>
    </row>
    <row r="75" spans="1:9" ht="12.75">
      <c r="A75" s="23" t="str">
        <f t="shared" si="3"/>
        <v>Pipeline   (ft.)  516</v>
      </c>
      <c r="B75" s="36">
        <f>'[1]Computations'!I32</f>
        <v>24650.880000000005</v>
      </c>
      <c r="C75" s="25">
        <f>IF('[1]Computations'!D32=1,0,'[1]Computations'!I32*'[1]Computations'!C32*cost_share_rate)</f>
        <v>14790.528000000002</v>
      </c>
      <c r="D75" s="25">
        <f>IF('[1]Computations'!D32=1,'[1]Computations'!I32*'[1]Computations'!C32*3,0)</f>
        <v>0</v>
      </c>
      <c r="E75" s="25">
        <f t="shared" si="4"/>
        <v>2958.105600000001</v>
      </c>
      <c r="F75" s="25">
        <f t="shared" si="5"/>
        <v>17748.6336</v>
      </c>
      <c r="G75" s="26">
        <f>IF('[1]Computations'!D32=1,0,'[1]Computations'!I32*'[1]Computations'!C32*(1-cost_share_rate))</f>
        <v>14790.528000000002</v>
      </c>
      <c r="H75" s="26">
        <f>(G75+C75)*'[1]Computations'!E32+D75/3</f>
        <v>591.6211200000001</v>
      </c>
      <c r="I75" s="26">
        <f>IF('[1]Computations'!D32=1,G75+H75/(1+int_rate)^4+H75/(1+int_rate)^5,G75-PV(int_rate,5,H75))</f>
        <v>17282.651380663832</v>
      </c>
    </row>
    <row r="76" spans="1:9" ht="12.75">
      <c r="A76" s="23" t="str">
        <f t="shared" si="3"/>
        <v>Prescribed Grazing   (ac.)  528</v>
      </c>
      <c r="B76" s="36">
        <f>'[1]Computations'!I33</f>
        <v>1848.8159999999998</v>
      </c>
      <c r="C76" s="25">
        <f>IF('[1]Computations'!D33=1,0,'[1]Computations'!I33*'[1]Computations'!C33*cost_share_rate)</f>
        <v>31429.871999999996</v>
      </c>
      <c r="D76" s="25">
        <f>IF('[1]Computations'!D33=1,'[1]Computations'!I33*'[1]Computations'!C33*3,0)</f>
        <v>0</v>
      </c>
      <c r="E76" s="25">
        <f t="shared" si="4"/>
        <v>6285.974399999999</v>
      </c>
      <c r="F76" s="25">
        <f t="shared" si="5"/>
        <v>37715.846399999995</v>
      </c>
      <c r="G76" s="26">
        <f>IF('[1]Computations'!D33=1,0,'[1]Computations'!I33*'[1]Computations'!C33*(1-cost_share_rate))</f>
        <v>31429.871999999996</v>
      </c>
      <c r="H76" s="26">
        <f>(G76+C76)*'[1]Computations'!E33+D76/3</f>
        <v>0</v>
      </c>
      <c r="I76" s="26">
        <f>IF('[1]Computations'!D33=1,G76+H76/(1+int_rate)^4+H76/(1+int_rate)^5,G76-PV(int_rate,5,H76))</f>
        <v>31429.871999999996</v>
      </c>
    </row>
    <row r="77" spans="1:9" ht="13.5" thickBot="1">
      <c r="A77" s="23" t="str">
        <f t="shared" si="3"/>
        <v>Watering Facility (no.)  614</v>
      </c>
      <c r="B77" s="36">
        <f>'[1]Computations'!I34</f>
        <v>24.650880000000015</v>
      </c>
      <c r="C77" s="25">
        <f>IF('[1]Computations'!D34=1,0,'[1]Computations'!I34*'[1]Computations'!C34*cost_share_rate)</f>
        <v>12325.440000000008</v>
      </c>
      <c r="D77" s="25">
        <f>IF('[1]Computations'!D34=1,'[1]Computations'!I34*'[1]Computations'!C34*3,0)</f>
        <v>0</v>
      </c>
      <c r="E77" s="25">
        <f t="shared" si="4"/>
        <v>2465.0880000000016</v>
      </c>
      <c r="F77" s="25">
        <f t="shared" si="5"/>
        <v>14790.52800000001</v>
      </c>
      <c r="G77" s="26">
        <f>IF('[1]Computations'!D34=1,0,'[1]Computations'!I34*'[1]Computations'!C34*(1-cost_share_rate))</f>
        <v>12325.440000000008</v>
      </c>
      <c r="H77" s="26">
        <f>(G77+C77)*'[1]Computations'!E34+D77/3</f>
        <v>739.5264000000004</v>
      </c>
      <c r="I77" s="26">
        <f>IF('[1]Computations'!D34=1,G77+H77/(1+int_rate)^4+H77/(1+int_rate)^5,G77-PV(int_rate,5,H77))</f>
        <v>15440.594225829798</v>
      </c>
    </row>
    <row r="78" spans="1:9" ht="12.75" hidden="1">
      <c r="A78" s="23" t="str">
        <f t="shared" si="3"/>
        <v>na</v>
      </c>
      <c r="B78" s="36">
        <f>'[1]Computations'!I35</f>
        <v>0</v>
      </c>
      <c r="C78" s="25">
        <f>IF('[1]Computations'!D35=1,0,'[1]Computations'!I35*'[1]Computations'!C35*cost_share_rate)</f>
        <v>0</v>
      </c>
      <c r="D78" s="25">
        <f>IF('[1]Computations'!D35=1,'[1]Computations'!I35*'[1]Computations'!C35*3,0)</f>
        <v>0</v>
      </c>
      <c r="E78" s="25">
        <f t="shared" si="4"/>
        <v>0</v>
      </c>
      <c r="F78" s="25">
        <f t="shared" si="5"/>
        <v>0</v>
      </c>
      <c r="G78" s="26">
        <f>IF('[1]Computations'!D35=1,0,'[1]Computations'!I35*'[1]Computations'!C35*(1-cost_share_rate))</f>
        <v>0</v>
      </c>
      <c r="H78" s="26">
        <f>(G78+C78)*'[1]Computations'!E35+D78/3</f>
        <v>0</v>
      </c>
      <c r="I78" s="26">
        <f>IF('[1]Computations'!D35=1,G78+H78/(1+int_rate)^4+H78/(1+int_rate)^5,G78-PV(int_rate,5,H78))</f>
        <v>0</v>
      </c>
    </row>
    <row r="79" spans="1:9" ht="12.75" hidden="1">
      <c r="A79" s="23" t="str">
        <f t="shared" si="3"/>
        <v>na</v>
      </c>
      <c r="B79" s="36">
        <f>'[1]Computations'!I36</f>
        <v>0</v>
      </c>
      <c r="C79" s="25">
        <f>IF('[1]Computations'!D36=1,0,'[1]Computations'!I36*'[1]Computations'!C36*cost_share_rate)</f>
        <v>0</v>
      </c>
      <c r="D79" s="25">
        <f>IF('[1]Computations'!D36=1,'[1]Computations'!I36*'[1]Computations'!C36*3,0)</f>
        <v>0</v>
      </c>
      <c r="E79" s="25">
        <f t="shared" si="4"/>
        <v>0</v>
      </c>
      <c r="F79" s="25">
        <f t="shared" si="5"/>
        <v>0</v>
      </c>
      <c r="G79" s="26">
        <f>IF('[1]Computations'!D36=1,0,'[1]Computations'!I36*'[1]Computations'!C36*(1-cost_share_rate))</f>
        <v>0</v>
      </c>
      <c r="H79" s="26">
        <f>(G79+C79)*'[1]Computations'!E36+D79/3</f>
        <v>0</v>
      </c>
      <c r="I79" s="26">
        <f>IF('[1]Computations'!D36=1,G79+H79/(1+int_rate)^4+H79/(1+int_rate)^5,G79-PV(int_rate,5,H79))</f>
        <v>0</v>
      </c>
    </row>
    <row r="80" spans="1:9" ht="12.75" hidden="1">
      <c r="A80" s="23" t="str">
        <f t="shared" si="3"/>
        <v>na</v>
      </c>
      <c r="B80" s="36">
        <f>'[1]Computations'!I37</f>
        <v>0</v>
      </c>
      <c r="C80" s="25">
        <f>IF('[1]Computations'!D37=1,0,'[1]Computations'!I37*'[1]Computations'!C37*cost_share_rate)</f>
        <v>0</v>
      </c>
      <c r="D80" s="25">
        <f>IF('[1]Computations'!D37=1,'[1]Computations'!I37*'[1]Computations'!C37*3,0)</f>
        <v>0</v>
      </c>
      <c r="E80" s="25">
        <f t="shared" si="4"/>
        <v>0</v>
      </c>
      <c r="F80" s="25">
        <f t="shared" si="5"/>
        <v>0</v>
      </c>
      <c r="G80" s="26">
        <f>IF('[1]Computations'!D37=1,0,'[1]Computations'!I37*'[1]Computations'!C37*(1-cost_share_rate))</f>
        <v>0</v>
      </c>
      <c r="H80" s="26">
        <f>(G80+C80)*'[1]Computations'!E37+D80/3</f>
        <v>0</v>
      </c>
      <c r="I80" s="26">
        <f>IF('[1]Computations'!D37=1,G80+H80/(1+int_rate)^4+H80/(1+int_rate)^5,G80-PV(int_rate,5,H80))</f>
        <v>0</v>
      </c>
    </row>
    <row r="81" spans="1:9" ht="12.75" hidden="1">
      <c r="A81" s="23" t="str">
        <f t="shared" si="3"/>
        <v>na</v>
      </c>
      <c r="B81" s="36">
        <f>'[1]Computations'!I38</f>
        <v>0</v>
      </c>
      <c r="C81" s="25">
        <f>IF('[1]Computations'!D38=1,0,'[1]Computations'!I38*'[1]Computations'!C38*cost_share_rate)</f>
        <v>0</v>
      </c>
      <c r="D81" s="25">
        <f>IF('[1]Computations'!D38=1,'[1]Computations'!I38*'[1]Computations'!C38*3,0)</f>
        <v>0</v>
      </c>
      <c r="E81" s="25">
        <f t="shared" si="4"/>
        <v>0</v>
      </c>
      <c r="F81" s="25">
        <f t="shared" si="5"/>
        <v>0</v>
      </c>
      <c r="G81" s="26">
        <f>IF('[1]Computations'!D38=1,0,'[1]Computations'!I38*'[1]Computations'!C38*(1-cost_share_rate))</f>
        <v>0</v>
      </c>
      <c r="H81" s="26">
        <f>(G81+C81)*'[1]Computations'!E38+D81/3</f>
        <v>0</v>
      </c>
      <c r="I81" s="26">
        <f>IF('[1]Computations'!D38=1,G81+H81/(1+int_rate)^4+H81/(1+int_rate)^5,G81-PV(int_rate,5,H81))</f>
        <v>0</v>
      </c>
    </row>
    <row r="82" spans="1:9" ht="12.75" hidden="1">
      <c r="A82" s="23" t="str">
        <f t="shared" si="3"/>
        <v>na</v>
      </c>
      <c r="B82" s="36">
        <f>'[1]Computations'!I39</f>
        <v>0</v>
      </c>
      <c r="C82" s="25">
        <f>IF('[1]Computations'!D39=1,0,'[1]Computations'!I39*'[1]Computations'!C39*cost_share_rate)</f>
        <v>0</v>
      </c>
      <c r="D82" s="25">
        <f>IF('[1]Computations'!D39=1,'[1]Computations'!I39*'[1]Computations'!C39*3,0)</f>
        <v>0</v>
      </c>
      <c r="E82" s="25">
        <f t="shared" si="4"/>
        <v>0</v>
      </c>
      <c r="F82" s="25">
        <f t="shared" si="5"/>
        <v>0</v>
      </c>
      <c r="G82" s="26">
        <f>IF('[1]Computations'!D39=1,0,'[1]Computations'!I39*'[1]Computations'!C39*(1-cost_share_rate))</f>
        <v>0</v>
      </c>
      <c r="H82" s="26">
        <f>(G82+C82)*'[1]Computations'!E39+D82/3</f>
        <v>0</v>
      </c>
      <c r="I82" s="26">
        <f>IF('[1]Computations'!D39=1,G82+H82/(1+int_rate)^4+H82/(1+int_rate)^5,G82-PV(int_rate,5,H82))</f>
        <v>0</v>
      </c>
    </row>
    <row r="83" spans="1:9" ht="12.75" hidden="1">
      <c r="A83" s="23" t="str">
        <f t="shared" si="3"/>
        <v>na</v>
      </c>
      <c r="B83" s="36">
        <f>'[1]Computations'!I40</f>
        <v>0</v>
      </c>
      <c r="C83" s="25">
        <f>IF('[1]Computations'!D40=1,0,'[1]Computations'!I40*'[1]Computations'!C40*cost_share_rate)</f>
        <v>0</v>
      </c>
      <c r="D83" s="25">
        <f>IF('[1]Computations'!D40=1,'[1]Computations'!I40*'[1]Computations'!C40*3,0)</f>
        <v>0</v>
      </c>
      <c r="E83" s="25">
        <f t="shared" si="4"/>
        <v>0</v>
      </c>
      <c r="F83" s="25">
        <f t="shared" si="5"/>
        <v>0</v>
      </c>
      <c r="G83" s="26">
        <f>IF('[1]Computations'!D40=1,0,'[1]Computations'!I40*'[1]Computations'!C40*(1-cost_share_rate))</f>
        <v>0</v>
      </c>
      <c r="H83" s="26">
        <f>(G83+C83)*'[1]Computations'!E40+D83/3</f>
        <v>0</v>
      </c>
      <c r="I83" s="26">
        <f>IF('[1]Computations'!D40=1,G83+H83/(1+int_rate)^4+H83/(1+int_rate)^5,G83-PV(int_rate,5,H83))</f>
        <v>0</v>
      </c>
    </row>
    <row r="84" spans="1:9" ht="12.75" hidden="1">
      <c r="A84" s="23" t="str">
        <f t="shared" si="3"/>
        <v>na</v>
      </c>
      <c r="B84" s="36">
        <f>'[1]Computations'!I41</f>
        <v>0</v>
      </c>
      <c r="C84" s="25">
        <f>IF('[1]Computations'!D41=1,0,'[1]Computations'!I41*'[1]Computations'!C41*cost_share_rate)</f>
        <v>0</v>
      </c>
      <c r="D84" s="25">
        <f>IF('[1]Computations'!D41=1,'[1]Computations'!I41*'[1]Computations'!C41*3,0)</f>
        <v>0</v>
      </c>
      <c r="E84" s="25">
        <f t="shared" si="4"/>
        <v>0</v>
      </c>
      <c r="F84" s="25">
        <f t="shared" si="5"/>
        <v>0</v>
      </c>
      <c r="G84" s="26">
        <f>IF('[1]Computations'!D41=1,0,'[1]Computations'!I41*'[1]Computations'!C41*(1-cost_share_rate))</f>
        <v>0</v>
      </c>
      <c r="H84" s="26">
        <f>(G84+C84)*'[1]Computations'!E41+D84/3</f>
        <v>0</v>
      </c>
      <c r="I84" s="26">
        <f>IF('[1]Computations'!D41=1,G84+H84/(1+int_rate)^4+H84/(1+int_rate)^5,G84-PV(int_rate,5,H84))</f>
        <v>0</v>
      </c>
    </row>
    <row r="85" spans="1:9" ht="13.5" hidden="1" thickBot="1">
      <c r="A85" s="23" t="str">
        <f t="shared" si="3"/>
        <v>na</v>
      </c>
      <c r="B85" s="36">
        <f>'[1]Computations'!I42</f>
        <v>0</v>
      </c>
      <c r="C85" s="25">
        <f>IF('[1]Computations'!D42=1,0,'[1]Computations'!I42*'[1]Computations'!C42*cost_share_rate)</f>
        <v>0</v>
      </c>
      <c r="D85" s="25">
        <f>IF('[1]Computations'!D42=1,'[1]Computations'!I42*'[1]Computations'!C42*3,0)</f>
        <v>0</v>
      </c>
      <c r="E85" s="25">
        <f t="shared" si="4"/>
        <v>0</v>
      </c>
      <c r="F85" s="25">
        <f t="shared" si="5"/>
        <v>0</v>
      </c>
      <c r="G85" s="26">
        <f>IF('[1]Computations'!D42=1,0,'[1]Computations'!I42*'[1]Computations'!C42*(1-cost_share_rate))</f>
        <v>0</v>
      </c>
      <c r="H85" s="26">
        <f>(G85+C85)*'[1]Computations'!E42+D85/3</f>
        <v>0</v>
      </c>
      <c r="I85" s="26">
        <f>IF('[1]Computations'!D42=1,G85+H85/(1+int_rate)^4+H85/(1+int_rate)^5,G85-PV(int_rate,5,H85))</f>
        <v>0</v>
      </c>
    </row>
    <row r="86" spans="1:9" ht="14.25" thickBot="1" thickTop="1">
      <c r="A86" s="37"/>
      <c r="B86" s="38" t="s">
        <v>31</v>
      </c>
      <c r="C86" s="39">
        <f>SUM(C69:C85)</f>
        <v>351912.6760959998</v>
      </c>
      <c r="D86" s="39">
        <f>SUM(D69:D85)</f>
        <v>782665.4400000009</v>
      </c>
      <c r="E86" s="39">
        <f t="shared" si="4"/>
        <v>226915.62321920015</v>
      </c>
      <c r="F86" s="39">
        <f>SUM(F69:F85)</f>
        <v>1276186.3238320835</v>
      </c>
      <c r="G86" s="40">
        <f>SUM(G69:G85)</f>
        <v>351912.6760959998</v>
      </c>
      <c r="H86" s="40">
        <f>SUM(H69:H85)</f>
        <v>271374.17552384024</v>
      </c>
      <c r="I86" s="40">
        <f>SUM(I69:I85)</f>
        <v>797681.4008934944</v>
      </c>
    </row>
    <row r="87" spans="1:9" ht="13.5" thickTop="1">
      <c r="A87" s="41" t="s">
        <v>33</v>
      </c>
      <c r="B87" s="42">
        <f>at_p_new_ac+at_r_new_ac</f>
        <v>36976.31999999998</v>
      </c>
      <c r="C87" s="43">
        <f aca="true" t="shared" si="6" ref="C87:I87">C86+C66</f>
        <v>406918.95786399726</v>
      </c>
      <c r="D87" s="43">
        <f t="shared" si="6"/>
        <v>1113141.2999999993</v>
      </c>
      <c r="E87" s="43">
        <f t="shared" si="6"/>
        <v>304012.05157279933</v>
      </c>
      <c r="F87" s="43">
        <f t="shared" si="6"/>
        <v>1702744.3415498822</v>
      </c>
      <c r="G87" s="43">
        <f t="shared" si="6"/>
        <v>406918.95786399726</v>
      </c>
      <c r="H87" s="43">
        <f t="shared" si="6"/>
        <v>383249.2732745597</v>
      </c>
      <c r="I87" s="43">
        <f t="shared" si="6"/>
        <v>1029490.9853370445</v>
      </c>
    </row>
  </sheetData>
  <mergeCells count="32">
    <mergeCell ref="B1:E1"/>
    <mergeCell ref="F1:G1"/>
    <mergeCell ref="H1:I1"/>
    <mergeCell ref="B2:E2"/>
    <mergeCell ref="F2:G2"/>
    <mergeCell ref="H2:I2"/>
    <mergeCell ref="A3:E3"/>
    <mergeCell ref="F3:G3"/>
    <mergeCell ref="H3:I3"/>
    <mergeCell ref="A4:A6"/>
    <mergeCell ref="B4:B5"/>
    <mergeCell ref="C4:E5"/>
    <mergeCell ref="F4:I5"/>
    <mergeCell ref="A7:I7"/>
    <mergeCell ref="B8:E8"/>
    <mergeCell ref="F9:I9"/>
    <mergeCell ref="A15:I15"/>
    <mergeCell ref="B16:E16"/>
    <mergeCell ref="F17:I17"/>
    <mergeCell ref="A28:I28"/>
    <mergeCell ref="B29:E29"/>
    <mergeCell ref="F30:I30"/>
    <mergeCell ref="A48:I49"/>
    <mergeCell ref="A50:I50"/>
    <mergeCell ref="C51:F51"/>
    <mergeCell ref="G51:I51"/>
    <mergeCell ref="A54:I54"/>
    <mergeCell ref="A67:I67"/>
    <mergeCell ref="A52:A53"/>
    <mergeCell ref="B52:B53"/>
    <mergeCell ref="F52:F53"/>
    <mergeCell ref="I52:I53"/>
  </mergeCells>
  <conditionalFormatting sqref="B56:I65 A69:I85">
    <cfRule type="expression" priority="1" dxfId="0" stopIfTrue="1">
      <formula>$A56="na"</formula>
    </cfRule>
  </conditionalFormatting>
  <conditionalFormatting sqref="C86:I86 A56:A65 C66:I66 A31:I47 A18:I27 A10:I14">
    <cfRule type="cellIs" priority="2" dxfId="0" operator="equal" stopIfTrue="1">
      <formula>"na"</formula>
    </cfRule>
  </conditionalFormatting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matt.otto</dc:creator>
  <cp:keywords/>
  <dc:description/>
  <cp:lastModifiedBy>barbara.jansen</cp:lastModifiedBy>
  <dcterms:created xsi:type="dcterms:W3CDTF">2008-04-25T14:14:33Z</dcterms:created>
  <dcterms:modified xsi:type="dcterms:W3CDTF">2008-05-19T19:57:25Z</dcterms:modified>
  <cp:category/>
  <cp:version/>
  <cp:contentType/>
  <cp:contentStatus/>
</cp:coreProperties>
</file>