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15" activeTab="0"/>
  </bookViews>
  <sheets>
    <sheet name="States" sheetId="1" r:id="rId1"/>
    <sheet name="Tribes" sheetId="2" r:id="rId2"/>
  </sheets>
  <externalReferences>
    <externalReference r:id="rId5"/>
  </externalReferences>
  <definedNames>
    <definedName name="_Fill" hidden="1">#REF!</definedName>
    <definedName name="_xlnm.Print_Area" localSheetId="0">'States'!$A$1:$E$69</definedName>
    <definedName name="_xlnm.Print_Area" localSheetId="1">'Tribes'!$A$1:$J$195</definedName>
    <definedName name="Print_Area_MI" localSheetId="1">'Tribes'!$A$1:$K$193</definedName>
    <definedName name="PRINT_AREA_MI">#REF!</definedName>
    <definedName name="_xlnm.Print_Titles" localSheetId="0">'States'!$1:$6</definedName>
    <definedName name="_xlnm.Print_Titles" localSheetId="1">'Tribes'!$1:$11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<sst xmlns="http://schemas.openxmlformats.org/spreadsheetml/2006/main" count="457" uniqueCount="257">
  <si>
    <t>State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</si>
  <si>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</si>
  <si>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</si>
  <si>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</si>
  <si>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</si>
  <si>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</si>
  <si>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</si>
  <si>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</si>
  <si>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</si>
  <si>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</si>
  <si>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</si>
  <si>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</si>
  <si>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</si>
  <si>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</si>
  <si>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</si>
  <si>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</si>
  <si>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</si>
  <si>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</si>
  <si>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</si>
  <si>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</si>
  <si>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</si>
  <si>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</si>
  <si>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</si>
  <si>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</si>
  <si>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</si>
  <si>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</si>
  <si>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</si>
  <si>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</si>
  <si>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</si>
  <si>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</si>
  <si>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</si>
  <si>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</si>
  <si>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</si>
  <si>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</si>
  <si>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</si>
  <si>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</si>
  <si>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</si>
  <si>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</si>
  <si>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</si>
  <si>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</si>
  <si>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</si>
  <si>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</si>
  <si>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</si>
  <si>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</si>
  <si>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</si>
  <si>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</si>
  <si>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</si>
  <si>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</si>
  <si>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</si>
  <si>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</si>
  <si>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</si>
  <si>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</si>
  <si>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Territories</t>
  </si>
  <si>
    <t>Total to States</t>
  </si>
  <si>
    <t>Total</t>
  </si>
  <si>
    <t xml:space="preserve">      Regular Block Grant Funds Only</t>
  </si>
  <si>
    <t>District of Columbia</t>
  </si>
  <si>
    <t>TRIBES</t>
  </si>
  <si>
    <t xml:space="preserve"> T &amp; TA</t>
  </si>
  <si>
    <t>Difference</t>
  </si>
  <si>
    <t>SOURCE FOR ALLOTMENT CALCULATIONS</t>
  </si>
  <si>
    <t>C=Census Count of Eligible Households</t>
  </si>
  <si>
    <t>SOURCE</t>
  </si>
  <si>
    <t xml:space="preserve">  Ma-Chis Lower Creek Indian Tribe</t>
  </si>
  <si>
    <t>A/#</t>
  </si>
  <si>
    <t xml:space="preserve">  Mowa Band of Choctaw Indians </t>
  </si>
  <si>
    <t>A/%</t>
  </si>
  <si>
    <t xml:space="preserve">  Poarch Band of Creek Indians </t>
  </si>
  <si>
    <t xml:space="preserve">  Aleutian/Pribilof Islands Association</t>
  </si>
  <si>
    <t xml:space="preserve">  Assn. of Village Council Presidents</t>
  </si>
  <si>
    <t>C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</si>
  <si>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</si>
  <si>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</si>
  <si>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</si>
  <si>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</si>
  <si>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</si>
  <si>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</si>
  <si>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</si>
  <si>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</si>
  <si>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</si>
  <si>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</si>
  <si>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</si>
  <si>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Quechan Tribe </t>
  </si>
  <si>
    <t xml:space="preserve">  Salt River Pima Maricopa Ind. Cmty.</t>
  </si>
  <si>
    <t xml:space="preserve">  San Carlos Apache Tribe</t>
  </si>
  <si>
    <t xml:space="preserve">  Berry Creek Rancheria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</si>
  <si>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</si>
  <si>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</si>
  <si>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</si>
  <si>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</si>
  <si>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Hopland Band</t>
  </si>
  <si>
    <t xml:space="preserve">  Karuk Tribe</t>
  </si>
  <si>
    <t xml:space="preserve">  Mooretown Rancheria</t>
  </si>
  <si>
    <t xml:space="preserve">  N. Cal. Ind. Devel. Council, Inc.(NCIDC)</t>
  </si>
  <si>
    <t xml:space="preserve">  Pinoleville Rancheria</t>
  </si>
  <si>
    <t xml:space="preserve">  Pit River Tribe</t>
  </si>
  <si>
    <t xml:space="preserve">  Quartz Valley</t>
  </si>
  <si>
    <t xml:space="preserve">  Quechan Tribe (Ariz.)</t>
  </si>
  <si>
    <t xml:space="preserve">  Redding Rancheria</t>
  </si>
  <si>
    <t xml:space="preserve">  Redwood Valley</t>
  </si>
  <si>
    <t xml:space="preserve">  Riverside-San Bernardino Indian Health</t>
  </si>
  <si>
    <t xml:space="preserve">  Round Valley</t>
  </si>
  <si>
    <t xml:space="preserve">  Smith River Rancheria</t>
  </si>
  <si>
    <t xml:space="preserve">  Sherwood Valley Rancheria</t>
  </si>
  <si>
    <t xml:space="preserve">  S. Cal. Tribal Chairmen's Association</t>
  </si>
  <si>
    <t xml:space="preserve">  Southern Indian Health Council</t>
  </si>
  <si>
    <t xml:space="preserve">  Yurok Tribe</t>
  </si>
  <si>
    <t>A/$</t>
  </si>
  <si>
    <t xml:space="preserve">  Poarch Band of Creek Indians (Ala.)</t>
  </si>
  <si>
    <t xml:space="preserve">  Coeur d'Alene Tribe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</si>
  <si>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</si>
  <si>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</si>
  <si>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</si>
  <si>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</si>
  <si>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</si>
  <si>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</si>
  <si>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</si>
  <si>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</si>
  <si>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</si>
  <si>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</si>
  <si>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</si>
  <si>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</si>
  <si>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Little River Band of Ottawa Indians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</si>
  <si>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</si>
  <si>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</si>
  <si>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</si>
  <si>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</si>
  <si>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</si>
  <si>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Chippewa-Cree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</si>
  <si>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</si>
  <si>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</si>
  <si>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</si>
  <si>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</si>
  <si>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</si>
  <si>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</si>
  <si>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</si>
  <si>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</si>
  <si>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Zuni</t>
  </si>
  <si>
    <t xml:space="preserve">  Seneca Nation</t>
  </si>
  <si>
    <t xml:space="preserve">  St. Regis Mohawk Band</t>
  </si>
  <si>
    <t xml:space="preserve">  Lumbee Tribe</t>
  </si>
  <si>
    <t xml:space="preserve">  Spirit Lake Tribe 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</si>
  <si>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</si>
  <si>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</si>
  <si>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</si>
  <si>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</si>
  <si>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Alabama-Quassarte Tribal Town</t>
  </si>
  <si>
    <t xml:space="preserve">  Apache Tribe of Oklahoma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</si>
  <si>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</si>
  <si>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</si>
  <si>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</si>
  <si>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</si>
  <si>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</si>
  <si>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Citizen Band Potawatomi  </t>
  </si>
  <si>
    <t xml:space="preserve">  Comanche Indian Tribe</t>
  </si>
  <si>
    <t xml:space="preserve">  Delaware Nation of Western Oklahoma</t>
  </si>
  <si>
    <t xml:space="preserve">  Eastern Shawnee Tribe of Oklahoma</t>
  </si>
  <si>
    <t xml:space="preserve">  Kickapoo Tribe of Oklahoma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</si>
  <si>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</si>
  <si>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</si>
  <si>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</si>
  <si>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</si>
  <si>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</si>
  <si>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Ottawa Tribe of Oklahoma</t>
  </si>
  <si>
    <t xml:space="preserve">  Pawnee Tribe</t>
  </si>
  <si>
    <t xml:space="preserve">  Ponca Tribe</t>
  </si>
  <si>
    <t xml:space="preserve">  Quapaw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</si>
  <si>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</si>
  <si>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</si>
  <si>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</si>
  <si>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Shawnee Tribe</t>
  </si>
  <si>
    <t xml:space="preserve">  Tonkawa Tribe </t>
  </si>
  <si>
    <t xml:space="preserve">  United Keetowah</t>
  </si>
  <si>
    <t xml:space="preserve">  Wichita &amp; Affiliated Tribes</t>
  </si>
  <si>
    <t xml:space="preserve">  Conf. Tribes of Grand Ronde</t>
  </si>
  <si>
    <t xml:space="preserve">  Conf. Tribes of Warm Springs</t>
  </si>
  <si>
    <t xml:space="preserve">  Cow Creek Band of Umpqua Indians</t>
  </si>
  <si>
    <t xml:space="preserve">  Klamath Tribe</t>
  </si>
  <si>
    <t xml:space="preserve">  Narragansett Indian Tribe</t>
  </si>
  <si>
    <t xml:space="preserve">  Cheyenne River Sioux Tribe</t>
  </si>
  <si>
    <t xml:space="preserve">  Lower Brule Sioux Tribe</t>
  </si>
  <si>
    <t xml:space="preserve">  Oglala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</si>
  <si>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</si>
  <si>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</si>
  <si>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</si>
  <si>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</si>
  <si>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</si>
  <si>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</si>
  <si>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</si>
  <si>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Hoh Tribe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</si>
  <si>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</si>
  <si>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</si>
  <si>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</si>
  <si>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</si>
  <si>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</si>
  <si>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</si>
  <si>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</si>
  <si>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</si>
  <si>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</si>
  <si>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</si>
  <si>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</si>
  <si>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Samish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</si>
  <si>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</si>
  <si>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</si>
  <si>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</si>
  <si>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Swinomish Indians</t>
  </si>
  <si>
    <t xml:space="preserve">  Yakama Indian Nation</t>
  </si>
  <si>
    <t xml:space="preserve">  Northern Arapaho Nation</t>
  </si>
  <si>
    <t xml:space="preserve"> TOTALS FOR STATES WITH TRIBES FUNDED DIRECTLY BY HHS</t>
  </si>
  <si>
    <t>Territory Allotment Ratio</t>
  </si>
  <si>
    <t>American Samoa</t>
  </si>
  <si>
    <t>Guam</t>
  </si>
  <si>
    <t>Northern Marianas</t>
  </si>
  <si>
    <t>Puerto Rico</t>
  </si>
  <si>
    <t>Virgin Islands</t>
  </si>
  <si>
    <t>Ratios by Territory</t>
  </si>
  <si>
    <t>Allotment Percents</t>
  </si>
  <si>
    <t>Gross Allotments</t>
  </si>
  <si>
    <t>Appropriation</t>
  </si>
  <si>
    <t xml:space="preserve">    A=State/Tribe Agreement On:</t>
  </si>
  <si>
    <t xml:space="preserve">      #=Household Numbers</t>
  </si>
  <si>
    <t>D=Documented Tribal Eligible</t>
  </si>
  <si>
    <t xml:space="preserve">      %=Percent of State Allotment</t>
  </si>
  <si>
    <t xml:space="preserve">  Household Number </t>
  </si>
  <si>
    <t xml:space="preserve">      $=Dollar Amount</t>
  </si>
  <si>
    <t xml:space="preserve">  Shingle Springs Rancheria</t>
  </si>
  <si>
    <t xml:space="preserve">  Keweenaw Bay Indian Community</t>
  </si>
  <si>
    <t xml:space="preserve">  Pueblo of Jemez</t>
  </si>
  <si>
    <t xml:space="preserve">  Conf. Tribes of Siletz Indians</t>
  </si>
  <si>
    <t>STATE HHLD #</t>
  </si>
  <si>
    <t>TRIBAL HHLD #</t>
  </si>
  <si>
    <t>STATE GROSS ALLOTMENT</t>
  </si>
  <si>
    <t>PERCENTAGE OF STATE SHARE</t>
  </si>
  <si>
    <t>Tribal Allotments and State Allotments Net of Tribal Set-asides</t>
  </si>
  <si>
    <t>Regular Block Grant Funds Only</t>
  </si>
  <si>
    <t>Territorial Allotments, Gross State Allotments and State Allotments Net of Tribal Set-asides</t>
  </si>
  <si>
    <t>Leveraging</t>
  </si>
  <si>
    <t xml:space="preserve">  Pueblo of Laguna</t>
  </si>
  <si>
    <t xml:space="preserve">  Kiowa Tribe</t>
  </si>
  <si>
    <t xml:space="preserve">  Wyandotte Nation</t>
  </si>
  <si>
    <t xml:space="preserve">  White Mountain Apache Tribe</t>
  </si>
  <si>
    <t xml:space="preserve">  Tulalip Tribe</t>
  </si>
  <si>
    <t xml:space="preserve">  Yakutat Tlingit Tribe </t>
  </si>
  <si>
    <t xml:space="preserve">  Conf. Tribe of Coos-Lower Umpqua </t>
  </si>
  <si>
    <t xml:space="preserve">  Suquamish Tribe</t>
  </si>
  <si>
    <t xml:space="preserve">  Bishop Paiute</t>
  </si>
  <si>
    <t>Territorial Allotments</t>
  </si>
  <si>
    <t>Tribal Set-Aside</t>
  </si>
  <si>
    <t xml:space="preserve"> Net Allotments</t>
  </si>
  <si>
    <t>Territory Allotments</t>
  </si>
  <si>
    <t>TRIBAL GRANT AMOUNT</t>
  </si>
  <si>
    <t>STATE TRIBAL SET-ASIDE</t>
  </si>
  <si>
    <t>STATE NET ALLOTMENT</t>
  </si>
  <si>
    <t>TRIBAL % OF STATE GROSS ALLOTMENT</t>
  </si>
  <si>
    <t>11-Apr-07</t>
  </si>
  <si>
    <t>DEA/PE 11-Apr-07</t>
  </si>
  <si>
    <t>Final Appropriation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</si>
</sst>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0_)"/>
    <numFmt numFmtId="166" formatCode="&quot;$&quot;#,##0.00000000_);\(&quot;$&quot;#,##0.00000000\)"/>
    <numFmt numFmtId="167" formatCode="&quot;$&quot;#,##0"/>
    <numFmt numFmtId="168" formatCode="0.00000000"/>
    <numFmt numFmtId="169" formatCode="0.000%"/>
    <numFmt numFmtId="170" formatCode="0.0000%"/>
    <numFmt numFmtId="171" formatCode="#,##0.0000000000"/>
    <numFmt numFmtId="172" formatCode="0.0%"/>
    <numFmt numFmtId="173" formatCode="0.000000000"/>
    <numFmt numFmtId="174" formatCode="&quot;$&quot;#,##0.000000000_);\(&quot;$&quot;#,##0.000000000\)"/>
    <numFmt numFmtId="175" formatCode="0.000_)"/>
    <numFmt numFmtId="176" formatCode="0.00_)"/>
    <numFmt numFmtId="177" formatCode="0.0000_)"/>
    <numFmt numFmtId="178" formatCode="0.00000_)"/>
    <numFmt numFmtId="179" formatCode="&quot;$&quot;#,##0.000_);\(&quot;$&quot;#,##0.000\)"/>
    <numFmt numFmtId="180" formatCode="00000"/>
    <numFmt numFmtId="181" formatCode="dd\-mmm\-yy"/>
    <numFmt numFmtId="182" formatCode="0.000000000%"/>
    <numFmt numFmtId="183" formatCode="0.00000%"/>
    <numFmt numFmtId="184" formatCode="0.000000%"/>
    <numFmt numFmtId="185" formatCode="dd\-mmm\-yy_)"/>
    <numFmt numFmtId="186" formatCode="General_)"/>
    <numFmt numFmtId="187" formatCode="0.00000000%"/>
    <numFmt numFmtId="188" formatCode="_(* #,##0.0_);_(* \(#,##0.0\);_(* &quot;-&quot;??_);_(@_)"/>
    <numFmt numFmtId="189" formatCode="_(* #,##0_);_(* \(#,##0\);_(* &quot;-&quot;??_);_(@_)"/>
    <numFmt numFmtId="190" formatCode="0.0000000%"/>
    <numFmt numFmtId="191" formatCode="#,##0.00000000_);\(#,##0.00000000\)"/>
    <numFmt numFmtId="192" formatCode="&quot;$&quot;#,##0.0_);\(&quot;$&quot;#,##0.0\)"/>
    <numFmt numFmtId="193" formatCode="&quot;$&quot;#,##0.0000_);\(&quot;$&quot;#,##0.0000\)"/>
    <numFmt numFmtId="194" formatCode="#,##0.0_);\(#,##0.0\)"/>
    <numFmt numFmtId="195" formatCode="#,##0.000_);\(#,##0.000\)"/>
    <numFmt numFmtId="196" formatCode="#,##0.0000_);\(#,##0.0000\)"/>
    <numFmt numFmtId="197" formatCode="#,##0.00000_);\(#,##0.00000\)"/>
    <numFmt numFmtId="198" formatCode="#,##0.000000_);\(#,##0.000000\)"/>
    <numFmt numFmtId="199" formatCode="#,##0.0000000_);\(#,##0.000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_);_(* \(#,##0.000\);_(* &quot;-&quot;??_);_(@_)"/>
    <numFmt numFmtId="205" formatCode="&quot;$&quot;#,##0.000000_);\(&quot;$&quot;#,##0.000000\)"/>
  </numFmts>
  <fonts count="10">
    <font>
      <sz val="10"/>
      <name val="Courier"/>
      <family val="0"/>
    </font>
    <font>
      <sz val="12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8"/>
      <name val="Courier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7" fontId="6" fillId="0" borderId="0" xfId="23" applyNumberFormat="1" applyFont="1" applyFill="1" applyAlignment="1" applyProtection="1">
      <alignment horizontal="left"/>
      <protection/>
    </xf>
    <xf numFmtId="37" fontId="6" fillId="0" borderId="0" xfId="23" applyNumberFormat="1" applyFont="1" applyFill="1" applyProtection="1">
      <alignment/>
      <protection/>
    </xf>
    <xf numFmtId="37" fontId="6" fillId="0" borderId="0" xfId="23" applyNumberFormat="1" applyFont="1" applyFill="1" applyAlignment="1" applyProtection="1">
      <alignment horizontal="center"/>
      <protection/>
    </xf>
    <xf numFmtId="5" fontId="6" fillId="0" borderId="0" xfId="23" applyNumberFormat="1" applyFont="1" applyFill="1" applyProtection="1">
      <alignment/>
      <protection/>
    </xf>
    <xf numFmtId="184" fontId="6" fillId="0" borderId="0" xfId="23" applyNumberFormat="1" applyFont="1" applyFill="1" applyAlignment="1" applyProtection="1">
      <alignment horizontal="right"/>
      <protection/>
    </xf>
    <xf numFmtId="37" fontId="5" fillId="0" borderId="0" xfId="22" applyFont="1" applyFill="1">
      <alignment/>
      <protection/>
    </xf>
    <xf numFmtId="0" fontId="9" fillId="0" borderId="0" xfId="21" applyFont="1" applyFill="1" applyAlignment="1" applyProtection="1">
      <alignment horizontal="center" vertical="top"/>
      <protection/>
    </xf>
    <xf numFmtId="9" fontId="6" fillId="0" borderId="0" xfId="24" applyNumberFormat="1" applyFont="1" applyFill="1" applyAlignment="1">
      <alignment/>
    </xf>
    <xf numFmtId="0" fontId="6" fillId="0" borderId="0" xfId="0" applyFont="1" applyFill="1" applyAlignment="1">
      <alignment/>
    </xf>
    <xf numFmtId="184" fontId="6" fillId="0" borderId="0" xfId="23" applyNumberFormat="1" applyFont="1" applyFill="1" applyProtection="1">
      <alignment/>
      <protection/>
    </xf>
    <xf numFmtId="37" fontId="6" fillId="0" borderId="0" xfId="23" applyFont="1" applyFill="1">
      <alignment/>
      <protection/>
    </xf>
    <xf numFmtId="37" fontId="5" fillId="0" borderId="0" xfId="23" applyNumberFormat="1" applyFont="1" applyFill="1" applyAlignment="1" applyProtection="1">
      <alignment horizontal="left"/>
      <protection/>
    </xf>
    <xf numFmtId="15" fontId="8" fillId="0" borderId="0" xfId="0" applyNumberFormat="1" applyFont="1" applyFill="1" applyAlignment="1">
      <alignment horizontal="left"/>
    </xf>
    <xf numFmtId="37" fontId="5" fillId="0" borderId="0" xfId="23" applyFont="1" applyFill="1">
      <alignment/>
      <protection/>
    </xf>
    <xf numFmtId="37" fontId="6" fillId="0" borderId="0" xfId="23" applyFont="1" applyFill="1" applyBorder="1">
      <alignment/>
      <protection/>
    </xf>
    <xf numFmtId="184" fontId="6" fillId="0" borderId="0" xfId="23" applyNumberFormat="1" applyFont="1" applyFill="1">
      <alignment/>
      <protection/>
    </xf>
    <xf numFmtId="3" fontId="6" fillId="0" borderId="0" xfId="23" applyNumberFormat="1" applyFont="1" applyFill="1" applyProtection="1">
      <alignment/>
      <protection/>
    </xf>
    <xf numFmtId="37" fontId="6" fillId="0" borderId="0" xfId="23" applyFont="1" applyFill="1" applyAlignment="1">
      <alignment horizontal="right"/>
      <protection/>
    </xf>
    <xf numFmtId="5" fontId="6" fillId="0" borderId="0" xfId="23" applyNumberFormat="1" applyFont="1" applyFill="1">
      <alignment/>
      <protection/>
    </xf>
    <xf numFmtId="0" fontId="6" fillId="0" borderId="0" xfId="0" applyFont="1" applyFill="1" applyAlignment="1">
      <alignment horizontal="center"/>
    </xf>
    <xf numFmtId="170" fontId="6" fillId="0" borderId="0" xfId="23" applyNumberFormat="1" applyFont="1" applyFill="1" applyProtection="1">
      <alignment/>
      <protection/>
    </xf>
    <xf numFmtId="5" fontId="5" fillId="0" borderId="0" xfId="23" applyNumberFormat="1" applyFont="1" applyFill="1" applyAlignment="1" applyProtection="1">
      <alignment horizontal="right"/>
      <protection/>
    </xf>
    <xf numFmtId="170" fontId="6" fillId="0" borderId="0" xfId="23" applyNumberFormat="1" applyFont="1" applyFill="1" applyAlignment="1" applyProtection="1">
      <alignment horizontal="right"/>
      <protection/>
    </xf>
    <xf numFmtId="5" fontId="6" fillId="0" borderId="0" xfId="23" applyNumberFormat="1" applyFont="1" applyFill="1" applyAlignment="1" applyProtection="1">
      <alignment horizontal="left"/>
      <protection/>
    </xf>
    <xf numFmtId="184" fontId="6" fillId="0" borderId="0" xfId="23" applyNumberFormat="1" applyFont="1" applyFill="1" applyAlignment="1" applyProtection="1">
      <alignment horizontal="left"/>
      <protection/>
    </xf>
    <xf numFmtId="37" fontId="6" fillId="0" borderId="0" xfId="23" applyNumberFormat="1" applyFont="1" applyFill="1" applyAlignment="1" applyProtection="1">
      <alignment horizontal="right"/>
      <protection/>
    </xf>
    <xf numFmtId="5" fontId="6" fillId="0" borderId="0" xfId="23" applyNumberFormat="1" applyFont="1" applyFill="1" applyAlignment="1" applyProtection="1">
      <alignment horizontal="right"/>
      <protection/>
    </xf>
    <xf numFmtId="184" fontId="6" fillId="0" borderId="0" xfId="0" applyNumberFormat="1" applyFont="1" applyFill="1" applyAlignment="1" applyProtection="1">
      <alignment/>
      <protection/>
    </xf>
    <xf numFmtId="37" fontId="6" fillId="0" borderId="1" xfId="23" applyNumberFormat="1" applyFont="1" applyFill="1" applyBorder="1" applyAlignment="1" applyProtection="1">
      <alignment horizontal="left"/>
      <protection/>
    </xf>
    <xf numFmtId="37" fontId="6" fillId="0" borderId="1" xfId="23" applyFont="1" applyFill="1" applyBorder="1">
      <alignment/>
      <protection/>
    </xf>
    <xf numFmtId="5" fontId="6" fillId="0" borderId="1" xfId="23" applyNumberFormat="1" applyFont="1" applyFill="1" applyBorder="1" applyProtection="1">
      <alignment/>
      <protection/>
    </xf>
    <xf numFmtId="37" fontId="6" fillId="0" borderId="0" xfId="22" applyFont="1" applyFill="1">
      <alignment/>
      <protection/>
    </xf>
    <xf numFmtId="164" fontId="6" fillId="0" borderId="0" xfId="23" applyNumberFormat="1" applyFont="1" applyFill="1" applyProtection="1">
      <alignment/>
      <protection/>
    </xf>
    <xf numFmtId="37" fontId="6" fillId="0" borderId="0" xfId="23" applyFont="1" applyFill="1" applyAlignment="1" quotePrefix="1">
      <alignment horizontal="right"/>
      <protection/>
    </xf>
    <xf numFmtId="0" fontId="6" fillId="0" borderId="0" xfId="0" applyFont="1" applyFill="1" applyAlignment="1">
      <alignment horizontal="center" wrapText="1"/>
    </xf>
    <xf numFmtId="5" fontId="6" fillId="0" borderId="0" xfId="0" applyNumberFormat="1" applyFont="1" applyFill="1" applyAlignment="1">
      <alignment horizontal="center" wrapText="1"/>
    </xf>
    <xf numFmtId="5" fontId="6" fillId="0" borderId="0" xfId="22" applyNumberFormat="1" applyFont="1" applyFill="1" applyProtection="1">
      <alignment/>
      <protection/>
    </xf>
    <xf numFmtId="5" fontId="6" fillId="0" borderId="0" xfId="22" applyNumberFormat="1" applyFont="1" applyFill="1">
      <alignment/>
      <protection/>
    </xf>
    <xf numFmtId="5" fontId="6" fillId="0" borderId="0" xfId="22" applyNumberFormat="1" applyFont="1" applyFill="1" applyBorder="1" applyProtection="1">
      <alignment/>
      <protection/>
    </xf>
    <xf numFmtId="37" fontId="6" fillId="0" borderId="0" xfId="22" applyFont="1" applyFill="1" applyBorder="1" applyAlignment="1">
      <alignment horizontal="left"/>
      <protection/>
    </xf>
    <xf numFmtId="37" fontId="6" fillId="0" borderId="0" xfId="22" applyFont="1" applyFill="1" applyBorder="1">
      <alignment/>
      <protection/>
    </xf>
    <xf numFmtId="0" fontId="6" fillId="0" borderId="0" xfId="0" applyFont="1" applyFill="1" applyBorder="1" applyAlignment="1">
      <alignment horizontal="center" wrapText="1"/>
    </xf>
    <xf numFmtId="9" fontId="6" fillId="0" borderId="0" xfId="24" applyNumberFormat="1" applyFont="1" applyFill="1" applyBorder="1" applyAlignment="1">
      <alignment/>
    </xf>
    <xf numFmtId="5" fontId="6" fillId="0" borderId="0" xfId="22" applyNumberFormat="1" applyFont="1" applyFill="1" applyBorder="1">
      <alignment/>
      <protection/>
    </xf>
    <xf numFmtId="5" fontId="5" fillId="0" borderId="0" xfId="22" applyNumberFormat="1" applyFont="1" applyFill="1" applyBorder="1">
      <alignment/>
      <protection/>
    </xf>
    <xf numFmtId="9" fontId="6" fillId="0" borderId="0" xfId="22" applyNumberFormat="1" applyFont="1" applyFill="1" applyBorder="1" applyProtection="1">
      <alignment/>
      <protection/>
    </xf>
    <xf numFmtId="0" fontId="5" fillId="0" borderId="0" xfId="0" applyFont="1" applyFill="1" applyAlignment="1">
      <alignment wrapText="1"/>
    </xf>
    <xf numFmtId="37" fontId="6" fillId="0" borderId="0" xfId="23" applyFont="1" applyFill="1" applyBorder="1" applyAlignment="1">
      <alignment horizontal="center" wrapText="1"/>
      <protection/>
    </xf>
    <xf numFmtId="170" fontId="6" fillId="0" borderId="0" xfId="23" applyNumberFormat="1" applyFont="1" applyFill="1">
      <alignment/>
      <protection/>
    </xf>
    <xf numFmtId="37" fontId="6" fillId="0" borderId="0" xfId="22" applyNumberFormat="1" applyFont="1" applyFill="1" applyBorder="1">
      <alignment/>
      <protection/>
    </xf>
    <xf numFmtId="167" fontId="6" fillId="0" borderId="0" xfId="22" applyNumberFormat="1" applyFont="1" applyFill="1" applyProtection="1">
      <alignment/>
      <protection/>
    </xf>
    <xf numFmtId="37" fontId="6" fillId="0" borderId="0" xfId="22" applyNumberFormat="1" applyFont="1" applyFill="1" applyAlignment="1" applyProtection="1">
      <alignment horizontal="left"/>
      <protection/>
    </xf>
    <xf numFmtId="37" fontId="7" fillId="0" borderId="0" xfId="22" applyFont="1" applyFill="1">
      <alignment/>
      <protection/>
    </xf>
    <xf numFmtId="37" fontId="5" fillId="0" borderId="0" xfId="22" applyFont="1" applyFill="1" applyAlignment="1">
      <alignment horizontal="right"/>
      <protection/>
    </xf>
    <xf numFmtId="37" fontId="6" fillId="0" borderId="2" xfId="22" applyNumberFormat="1" applyFont="1" applyFill="1" applyBorder="1" applyAlignment="1" applyProtection="1">
      <alignment horizontal="center"/>
      <protection/>
    </xf>
    <xf numFmtId="0" fontId="6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164" fontId="6" fillId="0" borderId="0" xfId="22" applyNumberFormat="1" applyFont="1" applyFill="1" applyProtection="1">
      <alignment/>
      <protection/>
    </xf>
    <xf numFmtId="5" fontId="5" fillId="0" borderId="0" xfId="22" applyNumberFormat="1" applyFont="1" applyFill="1" applyProtection="1">
      <alignment/>
      <protection/>
    </xf>
    <xf numFmtId="37" fontId="6" fillId="0" borderId="3" xfId="22" applyNumberFormat="1" applyFont="1" applyFill="1" applyBorder="1" applyAlignment="1" applyProtection="1">
      <alignment horizontal="left"/>
      <protection/>
    </xf>
    <xf numFmtId="164" fontId="6" fillId="0" borderId="3" xfId="22" applyNumberFormat="1" applyFont="1" applyFill="1" applyBorder="1" applyProtection="1">
      <alignment/>
      <protection/>
    </xf>
    <xf numFmtId="5" fontId="6" fillId="0" borderId="3" xfId="22" applyNumberFormat="1" applyFont="1" applyFill="1" applyBorder="1" applyProtection="1">
      <alignment/>
      <protection/>
    </xf>
    <xf numFmtId="5" fontId="5" fillId="0" borderId="3" xfId="22" applyNumberFormat="1" applyFont="1" applyFill="1" applyBorder="1" applyProtection="1">
      <alignment/>
      <protection/>
    </xf>
    <xf numFmtId="37" fontId="6" fillId="0" borderId="0" xfId="22" applyNumberFormat="1" applyFont="1" applyFill="1" applyAlignment="1" applyProtection="1">
      <alignment horizontal="center"/>
      <protection/>
    </xf>
    <xf numFmtId="37" fontId="6" fillId="0" borderId="0" xfId="22" applyNumberFormat="1" applyFont="1" applyFill="1" applyBorder="1" applyAlignment="1" applyProtection="1">
      <alignment horizontal="left" wrapText="1"/>
      <protection/>
    </xf>
    <xf numFmtId="37" fontId="5" fillId="0" borderId="2" xfId="22" applyNumberFormat="1" applyFont="1" applyFill="1" applyBorder="1" applyAlignment="1" applyProtection="1">
      <alignment horizontal="center" wrapText="1"/>
      <protection/>
    </xf>
    <xf numFmtId="37" fontId="6" fillId="0" borderId="0" xfId="22" applyNumberFormat="1" applyFont="1" applyFill="1" applyBorder="1" applyAlignment="1" applyProtection="1">
      <alignment/>
      <protection/>
    </xf>
    <xf numFmtId="37" fontId="6" fillId="0" borderId="0" xfId="22" applyNumberFormat="1" applyFont="1" applyFill="1" applyBorder="1" applyAlignment="1" applyProtection="1">
      <alignment horizontal="left"/>
      <protection/>
    </xf>
    <xf numFmtId="191" fontId="6" fillId="0" borderId="0" xfId="22" applyNumberFormat="1" applyFont="1" applyFill="1" applyBorder="1" applyProtection="1">
      <alignment/>
      <protection/>
    </xf>
    <xf numFmtId="37" fontId="6" fillId="0" borderId="0" xfId="22" applyNumberFormat="1" applyFont="1" applyFill="1" applyBorder="1" applyAlignment="1" applyProtection="1">
      <alignment horizontal="left" indent="1"/>
      <protection/>
    </xf>
    <xf numFmtId="37" fontId="6" fillId="0" borderId="0" xfId="22" applyNumberFormat="1" applyFont="1" applyFill="1" applyBorder="1" applyAlignment="1" applyProtection="1">
      <alignment horizontal="left" wrapText="1" indent="2"/>
      <protection/>
    </xf>
    <xf numFmtId="37" fontId="6" fillId="0" borderId="0" xfId="22" applyNumberFormat="1" applyFont="1" applyFill="1" applyBorder="1" applyAlignment="1" applyProtection="1">
      <alignment wrapText="1"/>
      <protection/>
    </xf>
    <xf numFmtId="37" fontId="6" fillId="0" borderId="1" xfId="22" applyNumberFormat="1" applyFont="1" applyFill="1" applyBorder="1" applyAlignment="1" applyProtection="1">
      <alignment horizontal="center"/>
      <protection/>
    </xf>
    <xf numFmtId="37" fontId="6" fillId="0" borderId="1" xfId="22" applyNumberFormat="1" applyFont="1" applyFill="1" applyBorder="1" applyAlignment="1" applyProtection="1">
      <alignment horizontal="left"/>
      <protection/>
    </xf>
    <xf numFmtId="5" fontId="5" fillId="0" borderId="1" xfId="22" applyNumberFormat="1" applyFont="1" applyFill="1" applyBorder="1" applyProtection="1">
      <alignment/>
      <protection/>
    </xf>
    <xf numFmtId="37" fontId="6" fillId="0" borderId="0" xfId="23" applyNumberFormat="1" applyFont="1" applyFill="1" applyBorder="1" applyAlignment="1" applyProtection="1">
      <alignment horizontal="center" wrapText="1"/>
      <protection/>
    </xf>
    <xf numFmtId="3" fontId="6" fillId="0" borderId="0" xfId="0" applyNumberFormat="1" applyFont="1" applyFill="1" applyAlignment="1">
      <alignment/>
    </xf>
    <xf numFmtId="15" fontId="7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$0.25B-1B_BG" xfId="21"/>
    <cellStyle name="Normal_2005-LIHEAP Allocations-$1.884B-FINAL" xfId="22"/>
    <cellStyle name="Normal_2006-LIHEAP Alloc-$2 0B (2)" xfId="23"/>
    <cellStyle name="Percent" xfId="24"/>
  </cellStyles>
  <dxfs count="2">
    <dxf>
      <fill>
        <patternFill>
          <bgColor rgb="FFFF9900"/>
        </patternFill>
      </fill>
      <border/>
    </dxf>
    <dxf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tangelo\Local%20Settings\Temporary%20Internet%20Files\OLKA\Updated_tribe_tracking_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dated_trib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E2"/>
    </sheetView>
  </sheetViews>
  <sheetFormatPr defaultColWidth="9.00390625" defaultRowHeight="12.75"/>
  <cols>
    <col min="1" max="1" width="30.375" style="32" bestFit="1" customWidth="1"/>
    <col min="2" max="2" width="18.625" style="32" bestFit="1" customWidth="1"/>
    <col min="3" max="3" width="21.00390625" style="32" customWidth="1"/>
    <col min="4" max="4" width="17.375" style="32" bestFit="1" customWidth="1"/>
    <col min="5" max="5" width="23.875" style="32" bestFit="1" customWidth="1"/>
    <col min="6" max="6" width="11.75390625" style="32" bestFit="1" customWidth="1"/>
    <col min="7" max="7" width="12.50390625" style="32" bestFit="1" customWidth="1"/>
    <col min="8" max="8" width="17.375" style="32" bestFit="1" customWidth="1"/>
    <col min="9" max="9" width="11.00390625" style="32" bestFit="1" customWidth="1"/>
    <col min="10" max="10" width="17.625" style="32" bestFit="1" customWidth="1"/>
    <col min="11" max="11" width="17.25390625" style="32" bestFit="1" customWidth="1"/>
    <col min="12" max="16384" width="8.875" style="32" customWidth="1"/>
  </cols>
  <sheetData>
    <row r="1" spans="1:7" s="6" customFormat="1" ht="12.75">
      <c r="A1" s="79" t="str">
        <f>"FY 2007 Low Income Home Energy Assistance Program (LIHEAP) State and Territory Allotments at "&amp;TEXT($B$3/1000000000,"$0.00")&amp;" Billion"</f>
        <v>FY 2007 Low Income Home Energy Assistance Program (LIHEAP) State and Territory Allotments at $1.98 Billion</v>
      </c>
      <c r="B1" s="79"/>
      <c r="C1" s="79"/>
      <c r="D1" s="79"/>
      <c r="E1" s="79"/>
      <c r="F1" s="47"/>
      <c r="G1" s="47"/>
    </row>
    <row r="2" spans="1:5" ht="14.25" customHeight="1">
      <c r="A2" s="78" t="s">
        <v>235</v>
      </c>
      <c r="B2" s="78"/>
      <c r="C2" s="78"/>
      <c r="D2" s="78"/>
      <c r="E2" s="78"/>
    </row>
    <row r="3" spans="1:5" ht="12.75">
      <c r="A3" s="6" t="s">
        <v>256</v>
      </c>
      <c r="B3" s="51">
        <v>1980000000</v>
      </c>
      <c r="C3" s="52" t="s">
        <v>55</v>
      </c>
      <c r="E3" s="34" t="s">
        <v>254</v>
      </c>
    </row>
    <row r="4" spans="1:7" ht="12.75">
      <c r="A4" s="53"/>
      <c r="C4" s="52"/>
      <c r="E4" s="54"/>
      <c r="F4" s="41"/>
      <c r="G4" s="41"/>
    </row>
    <row r="5" spans="1:11" ht="12.75">
      <c r="A5" s="55" t="s">
        <v>0</v>
      </c>
      <c r="B5" s="55" t="s">
        <v>216</v>
      </c>
      <c r="C5" s="55" t="s">
        <v>217</v>
      </c>
      <c r="D5" s="56" t="s">
        <v>247</v>
      </c>
      <c r="E5" s="57" t="s">
        <v>248</v>
      </c>
      <c r="F5" s="42"/>
      <c r="G5" s="42"/>
      <c r="H5" s="36"/>
      <c r="I5" s="35"/>
      <c r="J5" s="35"/>
      <c r="K5" s="36"/>
    </row>
    <row r="6" spans="3:7" ht="12.75">
      <c r="C6" s="52"/>
      <c r="E6" s="6"/>
      <c r="F6" s="41"/>
      <c r="G6" s="41"/>
    </row>
    <row r="7" spans="1:12" ht="12.75">
      <c r="A7" s="52" t="s">
        <v>2</v>
      </c>
      <c r="B7" s="58">
        <v>0.00860045</v>
      </c>
      <c r="C7" s="37">
        <f aca="true" t="shared" si="0" ref="C7:C38">ROUND(+B7*$B$67,0)</f>
        <v>16769448</v>
      </c>
      <c r="D7" s="37">
        <f>Tribes!H12</f>
        <v>96836</v>
      </c>
      <c r="E7" s="59">
        <f aca="true" t="shared" si="1" ref="E7:E38">C7-D7</f>
        <v>16672612</v>
      </c>
      <c r="F7" s="43"/>
      <c r="G7" s="43"/>
      <c r="H7" s="38"/>
      <c r="I7" s="8"/>
      <c r="J7" s="8"/>
      <c r="K7" s="38"/>
      <c r="L7" s="8"/>
    </row>
    <row r="8" spans="1:12" ht="12.75">
      <c r="A8" s="52" t="s">
        <v>3</v>
      </c>
      <c r="B8" s="58">
        <v>0.00548986</v>
      </c>
      <c r="C8" s="37">
        <f t="shared" si="0"/>
        <v>10704315</v>
      </c>
      <c r="D8" s="37">
        <f>Tribes!H16</f>
        <v>3286224</v>
      </c>
      <c r="E8" s="59">
        <f t="shared" si="1"/>
        <v>7418091</v>
      </c>
      <c r="F8" s="43"/>
      <c r="G8" s="43"/>
      <c r="H8" s="38"/>
      <c r="I8" s="8"/>
      <c r="J8" s="8"/>
      <c r="K8" s="38"/>
      <c r="L8" s="8"/>
    </row>
    <row r="9" spans="1:12" ht="12.75">
      <c r="A9" s="52" t="s">
        <v>4</v>
      </c>
      <c r="B9" s="58">
        <v>0.00415928</v>
      </c>
      <c r="C9" s="37">
        <f t="shared" si="0"/>
        <v>8109905</v>
      </c>
      <c r="D9" s="37">
        <f>Tribes!H26</f>
        <v>658926</v>
      </c>
      <c r="E9" s="59">
        <f t="shared" si="1"/>
        <v>7450979</v>
      </c>
      <c r="F9" s="43"/>
      <c r="G9" s="43"/>
      <c r="H9" s="38"/>
      <c r="I9" s="8"/>
      <c r="J9" s="8"/>
      <c r="K9" s="38"/>
      <c r="L9" s="8"/>
    </row>
    <row r="10" spans="1:12" ht="12.75">
      <c r="A10" s="52" t="s">
        <v>5</v>
      </c>
      <c r="B10" s="58">
        <v>0.00656255</v>
      </c>
      <c r="C10" s="37">
        <f t="shared" si="0"/>
        <v>12795882</v>
      </c>
      <c r="D10" s="37"/>
      <c r="E10" s="59">
        <f t="shared" si="1"/>
        <v>12795882</v>
      </c>
      <c r="F10" s="43"/>
      <c r="G10" s="43"/>
      <c r="H10" s="38"/>
      <c r="I10" s="8"/>
      <c r="J10" s="8"/>
      <c r="K10" s="38"/>
      <c r="L10" s="8"/>
    </row>
    <row r="11" spans="1:12" ht="12.75">
      <c r="A11" s="52" t="s">
        <v>6</v>
      </c>
      <c r="B11" s="58">
        <v>0.04613891</v>
      </c>
      <c r="C11" s="37">
        <f t="shared" si="0"/>
        <v>89963206</v>
      </c>
      <c r="D11" s="37">
        <f>Tribes!H36</f>
        <v>726816</v>
      </c>
      <c r="E11" s="59">
        <f t="shared" si="1"/>
        <v>89236390</v>
      </c>
      <c r="F11" s="43"/>
      <c r="G11" s="43"/>
      <c r="H11" s="38"/>
      <c r="I11" s="8"/>
      <c r="J11" s="8"/>
      <c r="K11" s="38"/>
      <c r="L11" s="8"/>
    </row>
    <row r="12" spans="1:12" ht="12.75">
      <c r="A12" s="52" t="s">
        <v>7</v>
      </c>
      <c r="B12" s="58">
        <v>0.0160872</v>
      </c>
      <c r="C12" s="37">
        <f t="shared" si="0"/>
        <v>31367366</v>
      </c>
      <c r="D12" s="37"/>
      <c r="E12" s="59">
        <f t="shared" si="1"/>
        <v>31367366</v>
      </c>
      <c r="F12" s="43"/>
      <c r="G12" s="43"/>
      <c r="H12" s="38"/>
      <c r="I12" s="8"/>
      <c r="J12" s="8"/>
      <c r="K12" s="38"/>
      <c r="L12" s="8"/>
    </row>
    <row r="13" spans="1:12" ht="12.75">
      <c r="A13" s="52" t="s">
        <v>8</v>
      </c>
      <c r="B13" s="58">
        <v>0.02098632</v>
      </c>
      <c r="C13" s="37">
        <f t="shared" si="0"/>
        <v>40919836</v>
      </c>
      <c r="D13" s="37"/>
      <c r="E13" s="59">
        <f t="shared" si="1"/>
        <v>40919836</v>
      </c>
      <c r="F13" s="43"/>
      <c r="G13" s="43"/>
      <c r="H13" s="38"/>
      <c r="I13" s="8"/>
      <c r="J13" s="8"/>
      <c r="K13" s="38"/>
      <c r="L13" s="8"/>
    </row>
    <row r="14" spans="1:12" ht="12.75">
      <c r="A14" s="52" t="s">
        <v>9</v>
      </c>
      <c r="B14" s="58">
        <v>0.00278553</v>
      </c>
      <c r="C14" s="37">
        <f t="shared" si="0"/>
        <v>5431321</v>
      </c>
      <c r="D14" s="37"/>
      <c r="E14" s="59">
        <f t="shared" si="1"/>
        <v>5431321</v>
      </c>
      <c r="F14" s="43"/>
      <c r="G14" s="43"/>
      <c r="H14" s="38"/>
      <c r="I14" s="8"/>
      <c r="J14" s="8"/>
      <c r="K14" s="38"/>
      <c r="L14" s="8"/>
    </row>
    <row r="15" spans="1:12" ht="12.75">
      <c r="A15" s="52" t="s">
        <v>56</v>
      </c>
      <c r="B15" s="58">
        <v>0.00325921</v>
      </c>
      <c r="C15" s="37">
        <f t="shared" si="0"/>
        <v>6354918</v>
      </c>
      <c r="D15" s="37"/>
      <c r="E15" s="59">
        <f t="shared" si="1"/>
        <v>6354918</v>
      </c>
      <c r="F15" s="43"/>
      <c r="G15" s="43"/>
      <c r="H15" s="38"/>
      <c r="I15" s="8"/>
      <c r="J15" s="8"/>
      <c r="K15" s="38"/>
      <c r="L15" s="8"/>
    </row>
    <row r="16" spans="1:12" ht="12.75">
      <c r="A16" s="52" t="s">
        <v>10</v>
      </c>
      <c r="B16" s="58">
        <v>0.01360848</v>
      </c>
      <c r="C16" s="37">
        <f t="shared" si="0"/>
        <v>26534274</v>
      </c>
      <c r="D16" s="37">
        <f>Tribes!H61</f>
        <v>6802</v>
      </c>
      <c r="E16" s="59">
        <f t="shared" si="1"/>
        <v>26527472</v>
      </c>
      <c r="F16" s="43"/>
      <c r="G16" s="43"/>
      <c r="H16" s="38"/>
      <c r="I16" s="8"/>
      <c r="J16" s="8"/>
      <c r="K16" s="38"/>
      <c r="L16" s="8"/>
    </row>
    <row r="17" spans="1:12" ht="12.75">
      <c r="A17" s="52" t="s">
        <v>11</v>
      </c>
      <c r="B17" s="58">
        <v>0.01075959</v>
      </c>
      <c r="C17" s="37">
        <f t="shared" si="0"/>
        <v>20979412</v>
      </c>
      <c r="D17" s="37"/>
      <c r="E17" s="59">
        <f t="shared" si="1"/>
        <v>20979412</v>
      </c>
      <c r="F17" s="43"/>
      <c r="G17" s="43"/>
      <c r="H17" s="38"/>
      <c r="I17" s="8"/>
      <c r="J17" s="8"/>
      <c r="K17" s="38"/>
      <c r="L17" s="8"/>
    </row>
    <row r="18" spans="1:12" ht="12.75">
      <c r="A18" s="52" t="s">
        <v>12</v>
      </c>
      <c r="B18" s="58">
        <v>0.00108355</v>
      </c>
      <c r="C18" s="37">
        <f>ROUND(+B18*$B$67,0)</f>
        <v>2112742</v>
      </c>
      <c r="D18" s="37"/>
      <c r="E18" s="59">
        <f t="shared" si="1"/>
        <v>2112742</v>
      </c>
      <c r="F18" s="43"/>
      <c r="G18" s="43"/>
      <c r="H18" s="38"/>
      <c r="I18" s="8"/>
      <c r="J18" s="8"/>
      <c r="K18" s="38"/>
      <c r="L18" s="8"/>
    </row>
    <row r="19" spans="1:12" ht="12.75">
      <c r="A19" s="52" t="s">
        <v>13</v>
      </c>
      <c r="B19" s="58">
        <v>0.00627508</v>
      </c>
      <c r="C19" s="37">
        <f t="shared" si="0"/>
        <v>12235363</v>
      </c>
      <c r="D19" s="37">
        <f>Tribes!H63</f>
        <v>593721</v>
      </c>
      <c r="E19" s="59">
        <f t="shared" si="1"/>
        <v>11641642</v>
      </c>
      <c r="F19" s="43"/>
      <c r="G19" s="43"/>
      <c r="H19" s="38"/>
      <c r="I19" s="8"/>
      <c r="J19" s="8"/>
      <c r="K19" s="38"/>
      <c r="L19" s="8"/>
    </row>
    <row r="20" spans="1:12" ht="12.75">
      <c r="A20" s="52" t="s">
        <v>14</v>
      </c>
      <c r="B20" s="58">
        <v>0.05808651</v>
      </c>
      <c r="C20" s="37">
        <f t="shared" si="0"/>
        <v>113259040</v>
      </c>
      <c r="D20" s="37"/>
      <c r="E20" s="59">
        <f t="shared" si="1"/>
        <v>113259040</v>
      </c>
      <c r="F20" s="43"/>
      <c r="G20" s="43"/>
      <c r="H20" s="38"/>
      <c r="I20" s="8"/>
      <c r="J20" s="8"/>
      <c r="K20" s="38"/>
      <c r="L20" s="8"/>
    </row>
    <row r="21" spans="1:12" ht="12.75">
      <c r="A21" s="52" t="s">
        <v>15</v>
      </c>
      <c r="B21" s="58">
        <v>0.02629994</v>
      </c>
      <c r="C21" s="37">
        <f t="shared" si="0"/>
        <v>51280512</v>
      </c>
      <c r="D21" s="37">
        <f>Tribes!H67</f>
        <v>6664</v>
      </c>
      <c r="E21" s="59">
        <f t="shared" si="1"/>
        <v>51273848</v>
      </c>
      <c r="F21" s="43"/>
      <c r="G21" s="43"/>
      <c r="H21" s="38"/>
      <c r="I21" s="8"/>
      <c r="J21" s="8"/>
      <c r="K21" s="38"/>
      <c r="L21" s="8"/>
    </row>
    <row r="22" spans="1:12" ht="12.75">
      <c r="A22" s="52" t="s">
        <v>16</v>
      </c>
      <c r="B22" s="58">
        <v>0.01863912</v>
      </c>
      <c r="C22" s="37">
        <f t="shared" si="0"/>
        <v>36343186</v>
      </c>
      <c r="D22" s="37"/>
      <c r="E22" s="59">
        <f t="shared" si="1"/>
        <v>36343186</v>
      </c>
      <c r="F22" s="43"/>
      <c r="G22" s="43"/>
      <c r="H22" s="38"/>
      <c r="I22" s="8"/>
      <c r="J22" s="8"/>
      <c r="K22" s="38"/>
      <c r="L22" s="8"/>
    </row>
    <row r="23" spans="1:12" ht="12.75">
      <c r="A23" s="52" t="s">
        <v>17</v>
      </c>
      <c r="B23" s="58">
        <v>0.00855992</v>
      </c>
      <c r="C23" s="37">
        <f t="shared" si="0"/>
        <v>16690421</v>
      </c>
      <c r="D23" s="37">
        <f>Tribes!H69</f>
        <v>15990</v>
      </c>
      <c r="E23" s="59">
        <f t="shared" si="1"/>
        <v>16674431</v>
      </c>
      <c r="F23" s="43"/>
      <c r="G23" s="43"/>
      <c r="H23" s="38"/>
      <c r="I23" s="8"/>
      <c r="J23" s="8"/>
      <c r="K23" s="38"/>
      <c r="L23" s="8"/>
    </row>
    <row r="24" spans="1:12" ht="12.75">
      <c r="A24" s="52" t="s">
        <v>18</v>
      </c>
      <c r="B24" s="58">
        <v>0.0136864</v>
      </c>
      <c r="C24" s="37">
        <f t="shared" si="0"/>
        <v>26686205</v>
      </c>
      <c r="D24" s="37"/>
      <c r="E24" s="59">
        <f t="shared" si="1"/>
        <v>26686205</v>
      </c>
      <c r="F24" s="43"/>
      <c r="G24" s="43"/>
      <c r="H24" s="38"/>
      <c r="I24" s="8"/>
      <c r="J24" s="8"/>
      <c r="K24" s="38"/>
      <c r="L24" s="8"/>
    </row>
    <row r="25" spans="1:12" ht="12.75">
      <c r="A25" s="52" t="s">
        <v>19</v>
      </c>
      <c r="B25" s="58">
        <v>0.00879264</v>
      </c>
      <c r="C25" s="37">
        <f t="shared" si="0"/>
        <v>17144187</v>
      </c>
      <c r="D25" s="37"/>
      <c r="E25" s="59">
        <f t="shared" si="1"/>
        <v>17144187</v>
      </c>
      <c r="F25" s="43"/>
      <c r="G25" s="43"/>
      <c r="H25" s="38"/>
      <c r="I25" s="8"/>
      <c r="J25" s="8"/>
      <c r="K25" s="38"/>
      <c r="L25" s="8"/>
    </row>
    <row r="26" spans="1:12" ht="12.75">
      <c r="A26" s="52" t="s">
        <v>20</v>
      </c>
      <c r="B26" s="58">
        <v>0.01359579</v>
      </c>
      <c r="C26" s="37">
        <f t="shared" si="0"/>
        <v>26509531</v>
      </c>
      <c r="D26" s="37">
        <f>Tribes!H71</f>
        <v>968922</v>
      </c>
      <c r="E26" s="59">
        <f t="shared" si="1"/>
        <v>25540609</v>
      </c>
      <c r="F26" s="43"/>
      <c r="G26" s="43"/>
      <c r="H26" s="38"/>
      <c r="I26" s="8"/>
      <c r="J26" s="8"/>
      <c r="K26" s="38"/>
      <c r="L26" s="8"/>
    </row>
    <row r="27" spans="1:12" ht="12.75">
      <c r="A27" s="52" t="s">
        <v>21</v>
      </c>
      <c r="B27" s="58">
        <v>0.01606896</v>
      </c>
      <c r="C27" s="37">
        <f t="shared" si="0"/>
        <v>31331801</v>
      </c>
      <c r="D27" s="37"/>
      <c r="E27" s="59">
        <f t="shared" si="1"/>
        <v>31331801</v>
      </c>
      <c r="F27" s="43"/>
      <c r="G27" s="43"/>
      <c r="H27" s="38"/>
      <c r="I27" s="8"/>
      <c r="J27" s="8"/>
      <c r="K27" s="38"/>
      <c r="L27" s="8"/>
    </row>
    <row r="28" spans="1:12" ht="12.75">
      <c r="A28" s="52" t="s">
        <v>22</v>
      </c>
      <c r="B28" s="58">
        <v>0.04197959</v>
      </c>
      <c r="C28" s="37">
        <f t="shared" si="0"/>
        <v>81853223</v>
      </c>
      <c r="D28" s="37">
        <f>Tribes!H77</f>
        <v>32741</v>
      </c>
      <c r="E28" s="59">
        <f t="shared" si="1"/>
        <v>81820482</v>
      </c>
      <c r="F28" s="43"/>
      <c r="G28" s="43"/>
      <c r="H28" s="38"/>
      <c r="I28" s="8"/>
      <c r="J28" s="8"/>
      <c r="K28" s="38"/>
      <c r="L28" s="8"/>
    </row>
    <row r="29" spans="1:12" ht="12.75">
      <c r="A29" s="52" t="s">
        <v>23</v>
      </c>
      <c r="B29" s="58">
        <v>0.05514805</v>
      </c>
      <c r="C29" s="37">
        <f t="shared" si="0"/>
        <v>107529532</v>
      </c>
      <c r="D29" s="37">
        <f>Tribes!H79</f>
        <v>823067</v>
      </c>
      <c r="E29" s="59">
        <f t="shared" si="1"/>
        <v>106706465</v>
      </c>
      <c r="F29" s="43"/>
      <c r="G29" s="43"/>
      <c r="H29" s="38"/>
      <c r="I29" s="8"/>
      <c r="J29" s="8"/>
      <c r="K29" s="38"/>
      <c r="L29" s="8"/>
    </row>
    <row r="30" spans="1:12" ht="12.75">
      <c r="A30" s="52" t="s">
        <v>24</v>
      </c>
      <c r="B30" s="58">
        <v>0.03973105</v>
      </c>
      <c r="C30" s="37">
        <f t="shared" si="0"/>
        <v>77468944</v>
      </c>
      <c r="D30" s="37"/>
      <c r="E30" s="59">
        <f t="shared" si="1"/>
        <v>77468944</v>
      </c>
      <c r="F30" s="43"/>
      <c r="G30" s="43"/>
      <c r="H30" s="38"/>
      <c r="I30" s="8"/>
      <c r="J30" s="8"/>
      <c r="K30" s="38"/>
      <c r="L30" s="8"/>
    </row>
    <row r="31" spans="1:12" ht="12.75">
      <c r="A31" s="52" t="s">
        <v>25</v>
      </c>
      <c r="B31" s="58">
        <v>0.00737355</v>
      </c>
      <c r="C31" s="37">
        <f t="shared" si="0"/>
        <v>14377197</v>
      </c>
      <c r="D31" s="37">
        <f>Tribes!H86</f>
        <v>27247</v>
      </c>
      <c r="E31" s="59">
        <f t="shared" si="1"/>
        <v>14349950</v>
      </c>
      <c r="F31" s="43"/>
      <c r="G31" s="43"/>
      <c r="H31" s="38"/>
      <c r="I31" s="8"/>
      <c r="J31" s="8"/>
      <c r="K31" s="38"/>
      <c r="L31" s="8"/>
    </row>
    <row r="32" spans="1:12" ht="12.75">
      <c r="A32" s="52" t="s">
        <v>26</v>
      </c>
      <c r="B32" s="58">
        <v>0.02320202</v>
      </c>
      <c r="C32" s="37">
        <f t="shared" si="0"/>
        <v>45240083</v>
      </c>
      <c r="D32" s="37"/>
      <c r="E32" s="59">
        <f t="shared" si="1"/>
        <v>45240083</v>
      </c>
      <c r="F32" s="43"/>
      <c r="G32" s="43"/>
      <c r="H32" s="38"/>
      <c r="I32" s="8"/>
      <c r="J32" s="8"/>
      <c r="K32" s="38"/>
      <c r="L32" s="8"/>
    </row>
    <row r="33" spans="1:12" ht="12.75">
      <c r="A33" s="52" t="s">
        <v>27</v>
      </c>
      <c r="B33" s="58">
        <v>0.00736027</v>
      </c>
      <c r="C33" s="37">
        <f t="shared" si="0"/>
        <v>14351303</v>
      </c>
      <c r="D33" s="37">
        <f>Tribes!H88</f>
        <v>2508693</v>
      </c>
      <c r="E33" s="59">
        <f t="shared" si="1"/>
        <v>11842610</v>
      </c>
      <c r="F33" s="43"/>
      <c r="G33" s="43"/>
      <c r="H33" s="38"/>
      <c r="I33" s="8"/>
      <c r="J33" s="8"/>
      <c r="K33" s="38"/>
      <c r="L33" s="8"/>
    </row>
    <row r="34" spans="1:12" ht="12.75">
      <c r="A34" s="52" t="s">
        <v>28</v>
      </c>
      <c r="B34" s="58">
        <v>0.00921776</v>
      </c>
      <c r="C34" s="37">
        <f t="shared" si="0"/>
        <v>17973100</v>
      </c>
      <c r="D34" s="37">
        <f>Tribes!H95</f>
        <v>10000</v>
      </c>
      <c r="E34" s="59">
        <f t="shared" si="1"/>
        <v>17963100</v>
      </c>
      <c r="F34" s="43"/>
      <c r="G34" s="43"/>
      <c r="H34" s="38"/>
      <c r="I34" s="8"/>
      <c r="J34" s="8"/>
      <c r="K34" s="38"/>
      <c r="L34" s="8"/>
    </row>
    <row r="35" spans="1:12" ht="12.75">
      <c r="A35" s="52" t="s">
        <v>29</v>
      </c>
      <c r="B35" s="58">
        <v>0.00195349</v>
      </c>
      <c r="C35" s="37">
        <f t="shared" si="0"/>
        <v>3808981</v>
      </c>
      <c r="D35" s="37"/>
      <c r="E35" s="59">
        <f t="shared" si="1"/>
        <v>3808981</v>
      </c>
      <c r="F35" s="43"/>
      <c r="G35" s="43"/>
      <c r="H35" s="38"/>
      <c r="I35" s="8"/>
      <c r="J35" s="8"/>
      <c r="K35" s="38"/>
      <c r="L35" s="8"/>
    </row>
    <row r="36" spans="1:12" ht="12.75">
      <c r="A36" s="52" t="s">
        <v>30</v>
      </c>
      <c r="B36" s="58">
        <v>0.00794588</v>
      </c>
      <c r="C36" s="37">
        <f t="shared" si="0"/>
        <v>15493145</v>
      </c>
      <c r="D36" s="37"/>
      <c r="E36" s="59">
        <f t="shared" si="1"/>
        <v>15493145</v>
      </c>
      <c r="F36" s="43"/>
      <c r="G36" s="43"/>
      <c r="H36" s="38"/>
      <c r="I36" s="8"/>
      <c r="J36" s="8"/>
      <c r="K36" s="38"/>
      <c r="L36" s="8"/>
    </row>
    <row r="37" spans="1:12" ht="12.75">
      <c r="A37" s="52" t="s">
        <v>31</v>
      </c>
      <c r="B37" s="58">
        <v>0.03897152</v>
      </c>
      <c r="C37" s="37">
        <f t="shared" si="0"/>
        <v>75987987</v>
      </c>
      <c r="D37" s="37">
        <f>Tribes!H97</f>
        <v>189980</v>
      </c>
      <c r="E37" s="59">
        <f t="shared" si="1"/>
        <v>75798007</v>
      </c>
      <c r="F37" s="43"/>
      <c r="G37" s="43"/>
      <c r="H37" s="38"/>
      <c r="I37" s="8"/>
      <c r="J37" s="8"/>
      <c r="K37" s="38"/>
      <c r="L37" s="8"/>
    </row>
    <row r="38" spans="1:12" ht="12.75">
      <c r="A38" s="52" t="s">
        <v>32</v>
      </c>
      <c r="B38" s="58">
        <v>0.00520713</v>
      </c>
      <c r="C38" s="37">
        <f t="shared" si="0"/>
        <v>10153038</v>
      </c>
      <c r="D38" s="37">
        <f>Tribes!H99</f>
        <v>794871</v>
      </c>
      <c r="E38" s="59">
        <f t="shared" si="1"/>
        <v>9358167</v>
      </c>
      <c r="F38" s="43"/>
      <c r="G38" s="43"/>
      <c r="H38" s="38"/>
      <c r="I38" s="8"/>
      <c r="J38" s="8"/>
      <c r="K38" s="38"/>
      <c r="L38" s="8"/>
    </row>
    <row r="39" spans="1:12" ht="12.75">
      <c r="A39" s="52" t="s">
        <v>33</v>
      </c>
      <c r="B39" s="58">
        <v>0.12724791</v>
      </c>
      <c r="C39" s="37">
        <f>ROUND(+B39*$B$67,0)-3</f>
        <v>248112273</v>
      </c>
      <c r="D39" s="37">
        <f>Tribes!H106</f>
        <v>404188</v>
      </c>
      <c r="E39" s="59">
        <f aca="true" t="shared" si="2" ref="E39:E57">C39-D39</f>
        <v>247708085</v>
      </c>
      <c r="F39" s="43"/>
      <c r="G39" s="43"/>
      <c r="H39" s="38"/>
      <c r="I39" s="8"/>
      <c r="J39" s="8"/>
      <c r="K39" s="38"/>
      <c r="L39" s="8"/>
    </row>
    <row r="40" spans="1:12" ht="12.75">
      <c r="A40" s="52" t="s">
        <v>34</v>
      </c>
      <c r="B40" s="58">
        <v>0.0189638</v>
      </c>
      <c r="C40" s="37">
        <f aca="true" t="shared" si="3" ref="C40:C56">ROUND(+B40*$B$67,0)</f>
        <v>36976258</v>
      </c>
      <c r="D40" s="37">
        <f>Tribes!H109</f>
        <v>657597</v>
      </c>
      <c r="E40" s="59">
        <f t="shared" si="2"/>
        <v>36318661</v>
      </c>
      <c r="F40" s="43"/>
      <c r="G40" s="43"/>
      <c r="H40" s="38"/>
      <c r="I40" s="8"/>
      <c r="J40" s="8"/>
      <c r="K40" s="38"/>
      <c r="L40" s="8"/>
    </row>
    <row r="41" spans="1:12" ht="12.75">
      <c r="A41" s="52" t="s">
        <v>35</v>
      </c>
      <c r="B41" s="58">
        <v>0.00799548</v>
      </c>
      <c r="C41" s="37">
        <f t="shared" si="3"/>
        <v>15589857</v>
      </c>
      <c r="D41" s="37">
        <f>Tribes!H111</f>
        <v>2837355</v>
      </c>
      <c r="E41" s="59">
        <f t="shared" si="2"/>
        <v>12752502</v>
      </c>
      <c r="F41" s="43"/>
      <c r="G41" s="43"/>
      <c r="H41" s="38"/>
      <c r="I41" s="8"/>
      <c r="J41" s="8"/>
      <c r="K41" s="38"/>
      <c r="L41" s="8"/>
    </row>
    <row r="42" spans="1:12" ht="12.75">
      <c r="A42" s="52" t="s">
        <v>36</v>
      </c>
      <c r="B42" s="58">
        <v>0.0513862</v>
      </c>
      <c r="C42" s="37">
        <f t="shared" si="3"/>
        <v>100194550</v>
      </c>
      <c r="D42" s="37"/>
      <c r="E42" s="59">
        <f t="shared" si="2"/>
        <v>100194550</v>
      </c>
      <c r="F42" s="43"/>
      <c r="G42" s="43"/>
      <c r="H42" s="38"/>
      <c r="I42" s="8"/>
      <c r="J42" s="8"/>
      <c r="K42" s="38"/>
      <c r="L42" s="8"/>
    </row>
    <row r="43" spans="1:12" ht="12.75">
      <c r="A43" s="52" t="s">
        <v>37</v>
      </c>
      <c r="B43" s="58">
        <v>0.00790558</v>
      </c>
      <c r="C43" s="37">
        <f t="shared" si="3"/>
        <v>15414567</v>
      </c>
      <c r="D43" s="37">
        <f>Tribes!H116</f>
        <v>1410591</v>
      </c>
      <c r="E43" s="59">
        <f t="shared" si="2"/>
        <v>14003976</v>
      </c>
      <c r="F43" s="43"/>
      <c r="G43" s="43"/>
      <c r="H43" s="38"/>
      <c r="I43" s="8"/>
      <c r="J43" s="8"/>
      <c r="K43" s="38"/>
      <c r="L43" s="8"/>
    </row>
    <row r="44" spans="1:12" ht="12.75">
      <c r="A44" s="52" t="s">
        <v>38</v>
      </c>
      <c r="B44" s="58">
        <v>0.01246826</v>
      </c>
      <c r="C44" s="37">
        <f t="shared" si="3"/>
        <v>24311035</v>
      </c>
      <c r="D44" s="37">
        <f>Tribes!H148</f>
        <v>567352</v>
      </c>
      <c r="E44" s="59">
        <f t="shared" si="2"/>
        <v>23743683</v>
      </c>
      <c r="F44" s="43"/>
      <c r="G44" s="43"/>
      <c r="H44" s="38"/>
      <c r="I44" s="8"/>
      <c r="J44" s="8"/>
      <c r="K44" s="38"/>
      <c r="L44" s="8"/>
    </row>
    <row r="45" spans="1:12" ht="12.75">
      <c r="A45" s="52" t="s">
        <v>39</v>
      </c>
      <c r="B45" s="58">
        <v>0.0683509</v>
      </c>
      <c r="C45" s="37">
        <f t="shared" si="3"/>
        <v>133272895</v>
      </c>
      <c r="D45" s="37"/>
      <c r="E45" s="59">
        <f t="shared" si="2"/>
        <v>133272895</v>
      </c>
      <c r="F45" s="43"/>
      <c r="G45" s="43"/>
      <c r="H45" s="38"/>
      <c r="I45" s="8"/>
      <c r="J45" s="8"/>
      <c r="K45" s="38"/>
      <c r="L45" s="8"/>
    </row>
    <row r="46" spans="1:12" ht="12.75">
      <c r="A46" s="52" t="s">
        <v>40</v>
      </c>
      <c r="B46" s="58">
        <v>0.00691008</v>
      </c>
      <c r="C46" s="37">
        <f t="shared" si="3"/>
        <v>13473508</v>
      </c>
      <c r="D46" s="37">
        <f>Tribes!H155</f>
        <v>38177</v>
      </c>
      <c r="E46" s="59">
        <f t="shared" si="2"/>
        <v>13435331</v>
      </c>
      <c r="F46" s="43"/>
      <c r="G46" s="43"/>
      <c r="H46" s="38"/>
      <c r="I46" s="8"/>
      <c r="J46" s="8"/>
      <c r="K46" s="38"/>
      <c r="L46" s="8"/>
    </row>
    <row r="47" spans="1:12" ht="12.75">
      <c r="A47" s="52" t="s">
        <v>41</v>
      </c>
      <c r="B47" s="58">
        <v>0.00683051</v>
      </c>
      <c r="C47" s="37">
        <f t="shared" si="3"/>
        <v>13318359</v>
      </c>
      <c r="D47" s="37"/>
      <c r="E47" s="59">
        <f t="shared" si="2"/>
        <v>13318359</v>
      </c>
      <c r="F47" s="43"/>
      <c r="G47" s="43"/>
      <c r="H47" s="38"/>
      <c r="I47" s="8"/>
      <c r="J47" s="8"/>
      <c r="K47" s="38"/>
      <c r="L47" s="8"/>
    </row>
    <row r="48" spans="1:12" ht="12.75">
      <c r="A48" s="52" t="s">
        <v>42</v>
      </c>
      <c r="B48" s="58">
        <v>0.00649373</v>
      </c>
      <c r="C48" s="37">
        <f t="shared" si="3"/>
        <v>12661694</v>
      </c>
      <c r="D48" s="37">
        <f>Tribes!H157</f>
        <v>2251250</v>
      </c>
      <c r="E48" s="59">
        <f t="shared" si="2"/>
        <v>10410444</v>
      </c>
      <c r="F48" s="43"/>
      <c r="G48" s="43"/>
      <c r="H48" s="38"/>
      <c r="I48" s="8"/>
      <c r="J48" s="8"/>
      <c r="K48" s="38"/>
      <c r="L48" s="8"/>
    </row>
    <row r="49" spans="1:12" ht="12.75">
      <c r="A49" s="52" t="s">
        <v>43</v>
      </c>
      <c r="B49" s="58">
        <v>0.01386403</v>
      </c>
      <c r="C49" s="37">
        <f t="shared" si="3"/>
        <v>27032554</v>
      </c>
      <c r="D49" s="37"/>
      <c r="E49" s="59">
        <f t="shared" si="2"/>
        <v>27032554</v>
      </c>
      <c r="F49" s="43"/>
      <c r="G49" s="43"/>
      <c r="H49" s="38"/>
      <c r="I49" s="8"/>
      <c r="J49" s="8"/>
      <c r="K49" s="38"/>
      <c r="L49" s="8"/>
    </row>
    <row r="50" spans="1:12" ht="12.75">
      <c r="A50" s="52" t="s">
        <v>44</v>
      </c>
      <c r="B50" s="58">
        <v>0.02263997</v>
      </c>
      <c r="C50" s="37">
        <f t="shared" si="3"/>
        <v>44144179</v>
      </c>
      <c r="D50" s="37"/>
      <c r="E50" s="59">
        <f t="shared" si="2"/>
        <v>44144179</v>
      </c>
      <c r="F50" s="43"/>
      <c r="G50" s="43"/>
      <c r="H50" s="38"/>
      <c r="I50" s="8"/>
      <c r="J50" s="8"/>
      <c r="K50" s="38"/>
      <c r="L50" s="8"/>
    </row>
    <row r="51" spans="1:12" ht="12.75">
      <c r="A51" s="52" t="s">
        <v>45</v>
      </c>
      <c r="B51" s="58">
        <v>0.00747576</v>
      </c>
      <c r="C51" s="37">
        <f t="shared" si="3"/>
        <v>14576490</v>
      </c>
      <c r="D51" s="37">
        <f>Tribes!H165</f>
        <v>291063</v>
      </c>
      <c r="E51" s="59">
        <f t="shared" si="2"/>
        <v>14285427</v>
      </c>
      <c r="F51" s="43"/>
      <c r="G51" s="43"/>
      <c r="H51" s="38"/>
      <c r="I51" s="8"/>
      <c r="J51" s="8"/>
      <c r="K51" s="38"/>
      <c r="L51" s="8"/>
    </row>
    <row r="52" spans="1:12" ht="12.75">
      <c r="A52" s="52" t="s">
        <v>46</v>
      </c>
      <c r="B52" s="58">
        <v>0.00595572</v>
      </c>
      <c r="C52" s="37">
        <f t="shared" si="3"/>
        <v>11612664</v>
      </c>
      <c r="D52" s="37"/>
      <c r="E52" s="59">
        <f t="shared" si="2"/>
        <v>11612664</v>
      </c>
      <c r="F52" s="43"/>
      <c r="G52" s="43"/>
      <c r="H52" s="38"/>
      <c r="I52" s="8"/>
      <c r="J52" s="8"/>
      <c r="K52" s="38"/>
      <c r="L52" s="8"/>
    </row>
    <row r="53" spans="1:12" ht="12.75">
      <c r="A53" s="52" t="s">
        <v>47</v>
      </c>
      <c r="B53" s="58">
        <v>0.01957379</v>
      </c>
      <c r="C53" s="37">
        <f t="shared" si="3"/>
        <v>38165637</v>
      </c>
      <c r="D53" s="37"/>
      <c r="E53" s="59">
        <f t="shared" si="2"/>
        <v>38165637</v>
      </c>
      <c r="F53" s="43"/>
      <c r="G53" s="43"/>
      <c r="H53" s="38"/>
      <c r="I53" s="8"/>
      <c r="J53" s="8"/>
      <c r="K53" s="38"/>
      <c r="L53" s="8"/>
    </row>
    <row r="54" spans="1:19" ht="12.75">
      <c r="A54" s="52" t="s">
        <v>48</v>
      </c>
      <c r="B54" s="58">
        <v>0.02050857</v>
      </c>
      <c r="C54" s="37">
        <f t="shared" si="3"/>
        <v>39988303</v>
      </c>
      <c r="D54" s="37">
        <f>Tribes!H169</f>
        <v>1630906</v>
      </c>
      <c r="E54" s="59">
        <f t="shared" si="2"/>
        <v>38357397</v>
      </c>
      <c r="F54" s="43"/>
      <c r="G54" s="43"/>
      <c r="H54" s="44"/>
      <c r="I54" s="43"/>
      <c r="J54" s="43"/>
      <c r="K54" s="44"/>
      <c r="L54" s="43"/>
      <c r="M54" s="41"/>
      <c r="N54" s="41"/>
      <c r="O54" s="41"/>
      <c r="P54" s="41"/>
      <c r="Q54" s="41"/>
      <c r="R54" s="41"/>
      <c r="S54" s="41"/>
    </row>
    <row r="55" spans="1:19" ht="12.75">
      <c r="A55" s="52" t="s">
        <v>49</v>
      </c>
      <c r="B55" s="58">
        <v>0.00905733</v>
      </c>
      <c r="C55" s="37">
        <f t="shared" si="3"/>
        <v>17660288</v>
      </c>
      <c r="D55" s="37"/>
      <c r="E55" s="59">
        <f t="shared" si="2"/>
        <v>17660288</v>
      </c>
      <c r="F55" s="43"/>
      <c r="G55" s="43"/>
      <c r="H55" s="44"/>
      <c r="I55" s="43"/>
      <c r="J55" s="43"/>
      <c r="K55" s="44"/>
      <c r="L55" s="43"/>
      <c r="M55" s="41"/>
      <c r="N55" s="41"/>
      <c r="O55" s="41"/>
      <c r="P55" s="41"/>
      <c r="Q55" s="41"/>
      <c r="R55" s="41"/>
      <c r="S55" s="41"/>
    </row>
    <row r="56" spans="1:19" ht="12.75">
      <c r="A56" s="52" t="s">
        <v>50</v>
      </c>
      <c r="B56" s="58">
        <v>0.03576365</v>
      </c>
      <c r="C56" s="37">
        <f t="shared" si="3"/>
        <v>69733174</v>
      </c>
      <c r="D56" s="37"/>
      <c r="E56" s="59">
        <f t="shared" si="2"/>
        <v>69733174</v>
      </c>
      <c r="F56" s="43"/>
      <c r="G56" s="43"/>
      <c r="H56" s="44"/>
      <c r="I56" s="43"/>
      <c r="J56" s="43"/>
      <c r="K56" s="44"/>
      <c r="L56" s="43"/>
      <c r="M56" s="41"/>
      <c r="N56" s="41"/>
      <c r="O56" s="41"/>
      <c r="P56" s="41"/>
      <c r="Q56" s="41"/>
      <c r="R56" s="41"/>
      <c r="S56" s="41"/>
    </row>
    <row r="57" spans="1:19" ht="13.5" thickBot="1">
      <c r="A57" s="60" t="s">
        <v>51</v>
      </c>
      <c r="B57" s="61">
        <v>0.00299313</v>
      </c>
      <c r="C57" s="62">
        <f>ROUND(+B57*$B$67,0)+3</f>
        <v>5836109</v>
      </c>
      <c r="D57" s="62">
        <f>Tribes!H191</f>
        <v>210000</v>
      </c>
      <c r="E57" s="63">
        <f t="shared" si="2"/>
        <v>5626109</v>
      </c>
      <c r="F57" s="43"/>
      <c r="G57" s="43"/>
      <c r="H57" s="44"/>
      <c r="I57" s="43"/>
      <c r="J57" s="43"/>
      <c r="K57" s="44"/>
      <c r="L57" s="43"/>
      <c r="M57" s="41"/>
      <c r="N57" s="41"/>
      <c r="O57" s="41"/>
      <c r="P57" s="41"/>
      <c r="Q57" s="41"/>
      <c r="R57" s="41"/>
      <c r="S57" s="41"/>
    </row>
    <row r="58" spans="1:19" ht="13.5" thickTop="1">
      <c r="A58" s="64" t="s">
        <v>54</v>
      </c>
      <c r="B58" s="58"/>
      <c r="C58" s="37">
        <f>SUM(C7:C57)</f>
        <v>1949833798</v>
      </c>
      <c r="D58" s="37">
        <f>SUM(D7:D57)</f>
        <v>21045979</v>
      </c>
      <c r="E58" s="59">
        <f>SUM(E7:E57)</f>
        <v>1928787819</v>
      </c>
      <c r="F58" s="43"/>
      <c r="G58" s="46"/>
      <c r="H58" s="39"/>
      <c r="I58" s="46"/>
      <c r="J58" s="46"/>
      <c r="K58" s="39"/>
      <c r="L58" s="41"/>
      <c r="M58" s="41"/>
      <c r="N58" s="41"/>
      <c r="O58" s="41"/>
      <c r="P58" s="41"/>
      <c r="Q58" s="41"/>
      <c r="R58" s="41"/>
      <c r="S58" s="41"/>
    </row>
    <row r="59" spans="3:19" ht="12.75">
      <c r="C59" s="64" t="s">
        <v>1</v>
      </c>
      <c r="G59" s="39"/>
      <c r="H59" s="41"/>
      <c r="I59" s="41"/>
      <c r="J59" s="39"/>
      <c r="K59" s="50"/>
      <c r="L59" s="41"/>
      <c r="M59" s="41"/>
      <c r="N59" s="41"/>
      <c r="O59" s="41"/>
      <c r="P59" s="41"/>
      <c r="Q59" s="41"/>
      <c r="R59" s="41"/>
      <c r="S59" s="41"/>
    </row>
    <row r="60" spans="1:19" ht="12.75">
      <c r="A60" s="65" t="s">
        <v>218</v>
      </c>
      <c r="B60" s="39">
        <f>B3</f>
        <v>1980000000</v>
      </c>
      <c r="C60" s="55" t="s">
        <v>52</v>
      </c>
      <c r="D60" s="55" t="s">
        <v>215</v>
      </c>
      <c r="E60" s="66" t="s">
        <v>249</v>
      </c>
      <c r="F60" s="42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.75">
      <c r="A61" s="67" t="s">
        <v>236</v>
      </c>
      <c r="B61" s="39">
        <v>27225000</v>
      </c>
      <c r="C61" s="68" t="s">
        <v>210</v>
      </c>
      <c r="D61" s="69">
        <v>0.01654258</v>
      </c>
      <c r="E61" s="59">
        <f>ROUND(D61*$B$66,0)</f>
        <v>43742</v>
      </c>
      <c r="F61" s="39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.75">
      <c r="A62" s="70" t="s">
        <v>59</v>
      </c>
      <c r="B62" s="39">
        <f>B60-B61</f>
        <v>1952775000</v>
      </c>
      <c r="C62" s="68" t="s">
        <v>211</v>
      </c>
      <c r="D62" s="69">
        <v>0.03626904</v>
      </c>
      <c r="E62" s="59">
        <f>ROUND(D62*$B$66,0)</f>
        <v>95903</v>
      </c>
      <c r="F62" s="39"/>
      <c r="G62" s="44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2.75">
      <c r="A63" s="67" t="s">
        <v>58</v>
      </c>
      <c r="B63" s="39">
        <v>297000</v>
      </c>
      <c r="C63" s="68" t="s">
        <v>212</v>
      </c>
      <c r="D63" s="69">
        <v>0.01259719</v>
      </c>
      <c r="E63" s="59">
        <f>ROUND(D63*$B$66,0)</f>
        <v>33310</v>
      </c>
      <c r="F63" s="39"/>
      <c r="G63" s="44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.75">
      <c r="A64" s="70" t="s">
        <v>59</v>
      </c>
      <c r="B64" s="39">
        <f>B62-B63</f>
        <v>1952478000</v>
      </c>
      <c r="C64" s="68" t="s">
        <v>213</v>
      </c>
      <c r="D64" s="69">
        <v>0.90029483</v>
      </c>
      <c r="E64" s="59">
        <f>ROUND(D64*$B$66,0)-1</f>
        <v>2380560</v>
      </c>
      <c r="F64" s="39"/>
      <c r="G64" s="44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13.5" thickBot="1">
      <c r="A65" s="71" t="s">
        <v>209</v>
      </c>
      <c r="B65" s="69">
        <v>0.00135428</v>
      </c>
      <c r="C65" s="68" t="s">
        <v>214</v>
      </c>
      <c r="D65" s="69">
        <v>0.03429636</v>
      </c>
      <c r="E65" s="59">
        <f>ROUND(D65*$B$66,0)</f>
        <v>90687</v>
      </c>
      <c r="F65" s="39"/>
      <c r="G65" s="45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7" ht="13.5" thickTop="1">
      <c r="A66" s="72" t="s">
        <v>246</v>
      </c>
      <c r="B66" s="39">
        <f>ROUND(B64*B65,0)</f>
        <v>2644202</v>
      </c>
      <c r="C66" s="73" t="s">
        <v>54</v>
      </c>
      <c r="D66" s="74"/>
      <c r="E66" s="75">
        <f>SUM(E61:E65)</f>
        <v>2644202</v>
      </c>
      <c r="F66" s="39"/>
      <c r="G66" s="41"/>
    </row>
    <row r="67" spans="1:5" ht="12.75">
      <c r="A67" s="67" t="s">
        <v>53</v>
      </c>
      <c r="B67" s="39">
        <f>ROUND(+B64-B66,0)</f>
        <v>1949833798</v>
      </c>
      <c r="C67" s="40"/>
      <c r="D67" s="41"/>
      <c r="E67" s="41"/>
    </row>
    <row r="68" spans="1:7" ht="12.75">
      <c r="A68" s="41"/>
      <c r="B68" s="41"/>
      <c r="C68" s="41"/>
      <c r="D68" s="41"/>
      <c r="E68" s="41"/>
      <c r="F68" s="37"/>
      <c r="G68" s="38"/>
    </row>
    <row r="69" ht="12.75">
      <c r="A69" s="32" t="s">
        <v>255</v>
      </c>
    </row>
  </sheetData>
  <sheetProtection password="E68A" sheet="1" objects="1" scenarios="1"/>
  <mergeCells count="2">
    <mergeCell ref="A2:E2"/>
    <mergeCell ref="A1:E1"/>
  </mergeCells>
  <conditionalFormatting sqref="H6 K6">
    <cfRule type="cellIs" priority="1" dxfId="0" operator="equal" stopIfTrue="1">
      <formula>MAX(#REF!)</formula>
    </cfRule>
    <cfRule type="cellIs" priority="2" dxfId="1" operator="equal" stopIfTrue="1">
      <formula>DMIN(#REF!,#REF!,#REF!)</formula>
    </cfRule>
  </conditionalFormatting>
  <printOptions gridLines="1" horizontalCentered="1"/>
  <pageMargins left="0.5" right="0.5" top="0.5" bottom="0.75" header="0.5" footer="0.5"/>
  <pageSetup horizontalDpi="600" verticalDpi="600" orientation="portrait" scale="80" r:id="rId1"/>
  <headerFooter alignWithMargins="0">
    <oddFooter>&amp;L&amp;"Arial,Regular"'&amp;F' [&amp;A]&amp;C&amp;"Arial,Regular"                                                  11-Apr-07&amp;R&amp;"Arial,Regular"Page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13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6" sqref="D6"/>
    </sheetView>
  </sheetViews>
  <sheetFormatPr defaultColWidth="15.625" defaultRowHeight="12.75"/>
  <cols>
    <col min="1" max="1" width="35.375" style="11" customWidth="1"/>
    <col min="2" max="2" width="14.375" style="11" customWidth="1"/>
    <col min="3" max="3" width="13.375" style="11" customWidth="1"/>
    <col min="4" max="4" width="12.50390625" style="11" customWidth="1"/>
    <col min="5" max="5" width="14.50390625" style="11" customWidth="1"/>
    <col min="6" max="6" width="15.00390625" style="11" customWidth="1"/>
    <col min="7" max="9" width="14.50390625" style="11" customWidth="1"/>
    <col min="10" max="10" width="19.375" style="11" customWidth="1"/>
    <col min="11" max="11" width="13.50390625" style="11" customWidth="1"/>
    <col min="12" max="16384" width="15.625" style="11" customWidth="1"/>
  </cols>
  <sheetData>
    <row r="1" spans="1:11" ht="12.75" customHeight="1">
      <c r="A1" s="79" t="str">
        <f>"FY 2007 Low Income Home Energy Assistance Program (LIHEAP) Indian Tribe and Tribal Organization Allotments at "&amp;TEXT(States!$B$3/1000000000,"$0.00")&amp;" Billion"</f>
        <v>FY 2007 Low Income Home Energy Assistance Program (LIHEAP) Indian Tribe and Tribal Organization Allotments at $1.98 Billion</v>
      </c>
      <c r="B1" s="79"/>
      <c r="C1" s="79"/>
      <c r="D1" s="79"/>
      <c r="E1" s="79"/>
      <c r="F1" s="79"/>
      <c r="G1" s="79"/>
      <c r="H1" s="79"/>
      <c r="I1" s="79"/>
      <c r="J1" s="79"/>
      <c r="K1" s="47"/>
    </row>
    <row r="2" spans="1:6" ht="12.75">
      <c r="A2" s="6" t="s">
        <v>256</v>
      </c>
      <c r="B2" s="51">
        <v>1980000000</v>
      </c>
      <c r="D2" s="52" t="s">
        <v>234</v>
      </c>
      <c r="F2" s="34" t="s">
        <v>254</v>
      </c>
    </row>
    <row r="3" spans="1:6" ht="12.75">
      <c r="A3" s="6"/>
      <c r="B3" s="51"/>
      <c r="D3" s="52"/>
      <c r="F3" s="34"/>
    </row>
    <row r="4" spans="1:6" ht="14.25">
      <c r="A4" s="13" t="s">
        <v>233</v>
      </c>
      <c r="F4" s="14" t="s">
        <v>1</v>
      </c>
    </row>
    <row r="5" spans="1:2" ht="12.75">
      <c r="A5" s="1" t="s">
        <v>60</v>
      </c>
      <c r="B5" s="1" t="s">
        <v>219</v>
      </c>
    </row>
    <row r="6" spans="1:2" ht="12.75">
      <c r="A6" s="1" t="s">
        <v>61</v>
      </c>
      <c r="B6" s="1" t="s">
        <v>220</v>
      </c>
    </row>
    <row r="7" spans="1:2" ht="12.75">
      <c r="A7" s="1" t="s">
        <v>221</v>
      </c>
      <c r="B7" s="1" t="s">
        <v>222</v>
      </c>
    </row>
    <row r="8" spans="1:2" ht="12.75">
      <c r="A8" s="1" t="s">
        <v>223</v>
      </c>
      <c r="B8" s="1" t="s">
        <v>224</v>
      </c>
    </row>
    <row r="9" spans="1:10" ht="12.7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2" s="15" customFormat="1" ht="30" customHeight="1">
      <c r="A10" s="76" t="s">
        <v>57</v>
      </c>
      <c r="B10" s="76" t="s">
        <v>229</v>
      </c>
      <c r="C10" s="76" t="s">
        <v>230</v>
      </c>
      <c r="D10" s="76" t="s">
        <v>62</v>
      </c>
      <c r="E10" s="76" t="s">
        <v>231</v>
      </c>
      <c r="F10" s="48" t="s">
        <v>232</v>
      </c>
      <c r="G10" s="76" t="s">
        <v>250</v>
      </c>
      <c r="H10" s="76" t="s">
        <v>251</v>
      </c>
      <c r="I10" s="76" t="s">
        <v>252</v>
      </c>
      <c r="J10" s="48" t="s">
        <v>253</v>
      </c>
      <c r="L10" s="42"/>
    </row>
    <row r="12" spans="1:9" ht="12.75">
      <c r="A12" s="12" t="s">
        <v>2</v>
      </c>
      <c r="E12" s="4">
        <f>States!C7</f>
        <v>16769448</v>
      </c>
      <c r="H12" s="4">
        <f>SUM(G13:G15)</f>
        <v>96836</v>
      </c>
      <c r="I12" s="4">
        <f>E12-H12</f>
        <v>16672612</v>
      </c>
    </row>
    <row r="13" spans="1:10" ht="12.75">
      <c r="A13" s="11" t="s">
        <v>63</v>
      </c>
      <c r="B13" s="11">
        <v>449603</v>
      </c>
      <c r="C13" s="11">
        <v>96</v>
      </c>
      <c r="D13" s="3" t="s">
        <v>64</v>
      </c>
      <c r="E13" s="4"/>
      <c r="F13" s="16">
        <f>+C13/B13</f>
        <v>0.00021352170692811212</v>
      </c>
      <c r="G13" s="4">
        <f>ROUND(+$E$12*F13,0)</f>
        <v>3581</v>
      </c>
      <c r="H13" s="4"/>
      <c r="J13" s="49">
        <f>G13/$E$12</f>
        <v>0.00021354310529481948</v>
      </c>
    </row>
    <row r="14" spans="1:10" ht="12.75">
      <c r="A14" s="1" t="s">
        <v>65</v>
      </c>
      <c r="B14" s="2">
        <v>449603</v>
      </c>
      <c r="C14" s="1" t="s">
        <v>1</v>
      </c>
      <c r="D14" s="3" t="s">
        <v>66</v>
      </c>
      <c r="E14" s="4"/>
      <c r="F14" s="10">
        <v>0.00317</v>
      </c>
      <c r="G14" s="4">
        <f>ROUND(+$E$12*F14,0)</f>
        <v>53159</v>
      </c>
      <c r="H14" s="4"/>
      <c r="I14" s="4"/>
      <c r="J14" s="49">
        <f>G14/$E$12</f>
        <v>0.0031699910456205833</v>
      </c>
    </row>
    <row r="15" spans="1:10" ht="12.75">
      <c r="A15" s="1" t="s">
        <v>67</v>
      </c>
      <c r="B15" s="2">
        <v>449603</v>
      </c>
      <c r="C15" s="2">
        <v>1075</v>
      </c>
      <c r="D15" s="3" t="s">
        <v>64</v>
      </c>
      <c r="E15" s="4"/>
      <c r="F15" s="10">
        <f>$C15/$B15</f>
        <v>0.0023909982807054225</v>
      </c>
      <c r="G15" s="4">
        <f>ROUND(+$E$12*F15,0)</f>
        <v>40096</v>
      </c>
      <c r="H15" s="4"/>
      <c r="I15" s="4"/>
      <c r="J15" s="49">
        <f>G15/$E$12</f>
        <v>0.002391014898045541</v>
      </c>
    </row>
    <row r="16" spans="1:9" ht="12.75">
      <c r="A16" s="12" t="s">
        <v>3</v>
      </c>
      <c r="E16" s="4">
        <f>States!C8</f>
        <v>10704315</v>
      </c>
      <c r="F16" s="10"/>
      <c r="H16" s="4">
        <f>SUM(G17:G25)</f>
        <v>3286224</v>
      </c>
      <c r="I16" s="4">
        <f>E16-H16</f>
        <v>7418091</v>
      </c>
    </row>
    <row r="17" spans="1:10" ht="12.75">
      <c r="A17" s="1" t="s">
        <v>68</v>
      </c>
      <c r="B17" s="2">
        <v>54295</v>
      </c>
      <c r="C17" s="17">
        <v>164</v>
      </c>
      <c r="D17" s="3" t="s">
        <v>66</v>
      </c>
      <c r="E17" s="4"/>
      <c r="F17" s="10">
        <v>0.00854</v>
      </c>
      <c r="G17" s="4">
        <f aca="true" t="shared" si="0" ref="G17:G25">ROUND(+F17*$E$16,0)</f>
        <v>91415</v>
      </c>
      <c r="H17" s="4"/>
      <c r="I17" s="1"/>
      <c r="J17" s="49">
        <f>G17/$E$16</f>
        <v>0.008540014003698509</v>
      </c>
    </row>
    <row r="18" spans="1:10" ht="12.75">
      <c r="A18" s="1" t="s">
        <v>69</v>
      </c>
      <c r="B18" s="2">
        <v>54295</v>
      </c>
      <c r="C18" s="17">
        <v>2029</v>
      </c>
      <c r="D18" s="3" t="s">
        <v>66</v>
      </c>
      <c r="E18" s="4"/>
      <c r="F18" s="10">
        <v>0.13824948</v>
      </c>
      <c r="G18" s="4">
        <f t="shared" si="0"/>
        <v>1479866</v>
      </c>
      <c r="H18" s="4"/>
      <c r="I18" s="1"/>
      <c r="J18" s="49">
        <f aca="true" t="shared" si="1" ref="J18:J25">G18/$E$16</f>
        <v>0.13824948163427553</v>
      </c>
    </row>
    <row r="19" spans="1:10" ht="12.75">
      <c r="A19" s="1" t="s">
        <v>71</v>
      </c>
      <c r="B19" s="2">
        <v>54295</v>
      </c>
      <c r="C19" s="17">
        <v>111</v>
      </c>
      <c r="D19" s="3" t="s">
        <v>66</v>
      </c>
      <c r="E19" s="4"/>
      <c r="F19" s="10">
        <v>0.0068015</v>
      </c>
      <c r="G19" s="4">
        <f t="shared" si="0"/>
        <v>72805</v>
      </c>
      <c r="H19" s="4"/>
      <c r="J19" s="49">
        <f t="shared" si="1"/>
        <v>0.006801462774591368</v>
      </c>
    </row>
    <row r="20" spans="1:10" ht="12.75">
      <c r="A20" s="1" t="s">
        <v>72</v>
      </c>
      <c r="B20" s="2">
        <v>54295</v>
      </c>
      <c r="C20" s="17">
        <v>229</v>
      </c>
      <c r="D20" s="3" t="s">
        <v>66</v>
      </c>
      <c r="E20" s="4"/>
      <c r="F20" s="10">
        <v>0.02074</v>
      </c>
      <c r="G20" s="4">
        <f t="shared" si="0"/>
        <v>222007</v>
      </c>
      <c r="H20" s="4"/>
      <c r="I20" s="1" t="s">
        <v>1</v>
      </c>
      <c r="J20" s="49">
        <f t="shared" si="1"/>
        <v>0.020739953934464747</v>
      </c>
    </row>
    <row r="21" spans="1:10" ht="12.75">
      <c r="A21" s="1" t="s">
        <v>73</v>
      </c>
      <c r="B21" s="2">
        <v>54295</v>
      </c>
      <c r="C21" s="17">
        <v>275</v>
      </c>
      <c r="D21" s="3" t="s">
        <v>66</v>
      </c>
      <c r="E21" s="4"/>
      <c r="F21" s="10">
        <v>0.008235</v>
      </c>
      <c r="G21" s="4">
        <f t="shared" si="0"/>
        <v>88150</v>
      </c>
      <c r="H21" s="4"/>
      <c r="J21" s="49">
        <f t="shared" si="1"/>
        <v>0.008234996821375306</v>
      </c>
    </row>
    <row r="22" spans="1:10" ht="12.75">
      <c r="A22" s="1" t="s">
        <v>74</v>
      </c>
      <c r="B22" s="2">
        <v>54295</v>
      </c>
      <c r="C22" s="17">
        <v>8</v>
      </c>
      <c r="D22" s="3" t="s">
        <v>66</v>
      </c>
      <c r="E22" s="4"/>
      <c r="F22" s="10">
        <v>0.0007015</v>
      </c>
      <c r="G22" s="4">
        <f t="shared" si="0"/>
        <v>7509</v>
      </c>
      <c r="H22" s="4"/>
      <c r="J22" s="49">
        <f t="shared" si="1"/>
        <v>0.0007014928092082492</v>
      </c>
    </row>
    <row r="23" spans="1:10" ht="12.75">
      <c r="A23" s="1" t="s">
        <v>75</v>
      </c>
      <c r="B23" s="2">
        <v>54295</v>
      </c>
      <c r="C23" s="17">
        <v>1385</v>
      </c>
      <c r="D23" s="3" t="s">
        <v>66</v>
      </c>
      <c r="E23" s="4"/>
      <c r="F23" s="10">
        <v>0.07750751</v>
      </c>
      <c r="G23" s="4">
        <f t="shared" si="0"/>
        <v>829665</v>
      </c>
      <c r="H23" s="4"/>
      <c r="J23" s="49">
        <f t="shared" si="1"/>
        <v>0.07750752850602771</v>
      </c>
    </row>
    <row r="24" spans="1:10" ht="12.75">
      <c r="A24" s="1" t="s">
        <v>76</v>
      </c>
      <c r="B24" s="2">
        <v>54295</v>
      </c>
      <c r="C24" s="17">
        <v>1171</v>
      </c>
      <c r="D24" s="3" t="s">
        <v>66</v>
      </c>
      <c r="E24" s="4"/>
      <c r="F24" s="10">
        <v>0.044225</v>
      </c>
      <c r="G24" s="4">
        <f t="shared" si="0"/>
        <v>473398</v>
      </c>
      <c r="H24" s="4"/>
      <c r="I24" s="1" t="s">
        <v>1</v>
      </c>
      <c r="J24" s="49">
        <f t="shared" si="1"/>
        <v>0.044224969089568085</v>
      </c>
    </row>
    <row r="25" spans="1:10" ht="12.75">
      <c r="A25" s="9" t="s">
        <v>242</v>
      </c>
      <c r="B25" s="2">
        <v>54295</v>
      </c>
      <c r="C25" s="9">
        <v>77</v>
      </c>
      <c r="D25" s="3" t="s">
        <v>66</v>
      </c>
      <c r="E25" s="4"/>
      <c r="F25" s="10">
        <v>0.002</v>
      </c>
      <c r="G25" s="4">
        <f t="shared" si="0"/>
        <v>21409</v>
      </c>
      <c r="H25" s="4"/>
      <c r="I25" s="1"/>
      <c r="J25" s="49">
        <f t="shared" si="1"/>
        <v>0.0020000345654999875</v>
      </c>
    </row>
    <row r="26" spans="1:9" ht="12.75">
      <c r="A26" s="12" t="s">
        <v>4</v>
      </c>
      <c r="E26" s="4">
        <f>States!C9</f>
        <v>8109905</v>
      </c>
      <c r="F26" s="10"/>
      <c r="H26" s="4">
        <f>SUM(G27:G35)</f>
        <v>658926</v>
      </c>
      <c r="I26" s="4">
        <f>E26-H26</f>
        <v>7450979</v>
      </c>
    </row>
    <row r="27" spans="1:10" ht="12.75">
      <c r="A27" s="1" t="s">
        <v>77</v>
      </c>
      <c r="B27" s="2">
        <v>343522</v>
      </c>
      <c r="C27" s="17">
        <v>228</v>
      </c>
      <c r="D27" s="3" t="s">
        <v>64</v>
      </c>
      <c r="F27" s="10">
        <f aca="true" t="shared" si="2" ref="F27:F35">C27/B27</f>
        <v>0.0006637129499711809</v>
      </c>
      <c r="G27" s="4">
        <f aca="true" t="shared" si="3" ref="G27:G35">ROUND(+$E$26*F27,0)</f>
        <v>5383</v>
      </c>
      <c r="H27" s="4"/>
      <c r="J27" s="49">
        <f>G27/$E$26</f>
        <v>0.0006637562338892996</v>
      </c>
    </row>
    <row r="28" spans="1:10" ht="12.75">
      <c r="A28" s="1" t="s">
        <v>78</v>
      </c>
      <c r="B28" s="2">
        <v>343522</v>
      </c>
      <c r="C28" s="17">
        <v>680</v>
      </c>
      <c r="D28" s="3" t="s">
        <v>64</v>
      </c>
      <c r="E28" s="4"/>
      <c r="F28" s="10">
        <f t="shared" si="2"/>
        <v>0.001979494763071943</v>
      </c>
      <c r="G28" s="4">
        <f t="shared" si="3"/>
        <v>16054</v>
      </c>
      <c r="H28" s="4"/>
      <c r="J28" s="49">
        <f aca="true" t="shared" si="4" ref="J28:J35">G28/$E$26</f>
        <v>0.001979554631034519</v>
      </c>
    </row>
    <row r="29" spans="1:10" ht="12.75">
      <c r="A29" s="1" t="s">
        <v>79</v>
      </c>
      <c r="B29" s="2">
        <v>343522</v>
      </c>
      <c r="C29" s="17">
        <v>2301</v>
      </c>
      <c r="D29" s="3" t="s">
        <v>64</v>
      </c>
      <c r="E29" s="4"/>
      <c r="F29" s="10">
        <f t="shared" si="2"/>
        <v>0.006698260955630207</v>
      </c>
      <c r="G29" s="4">
        <f t="shared" si="3"/>
        <v>54322</v>
      </c>
      <c r="H29" s="4"/>
      <c r="J29" s="49">
        <f t="shared" si="4"/>
        <v>0.006698228894173236</v>
      </c>
    </row>
    <row r="30" spans="1:10" ht="12.75">
      <c r="A30" s="1" t="s">
        <v>80</v>
      </c>
      <c r="B30" s="2">
        <v>343522</v>
      </c>
      <c r="C30" s="17">
        <v>19524</v>
      </c>
      <c r="D30" s="3" t="s">
        <v>64</v>
      </c>
      <c r="E30" s="4"/>
      <c r="F30" s="10">
        <f t="shared" si="2"/>
        <v>0.056834787873847964</v>
      </c>
      <c r="G30" s="4">
        <f t="shared" si="3"/>
        <v>460925</v>
      </c>
      <c r="H30" s="4"/>
      <c r="J30" s="49">
        <f t="shared" si="4"/>
        <v>0.05683482112305878</v>
      </c>
    </row>
    <row r="31" spans="1:10" ht="12.75">
      <c r="A31" s="1" t="s">
        <v>81</v>
      </c>
      <c r="B31" s="2">
        <v>343522</v>
      </c>
      <c r="C31" s="17">
        <v>879</v>
      </c>
      <c r="D31" s="3" t="s">
        <v>64</v>
      </c>
      <c r="E31" s="4"/>
      <c r="F31" s="10">
        <f t="shared" si="2"/>
        <v>0.0025587880834415265</v>
      </c>
      <c r="G31" s="4">
        <f t="shared" si="3"/>
        <v>20752</v>
      </c>
      <c r="H31" s="4"/>
      <c r="J31" s="49">
        <f t="shared" si="4"/>
        <v>0.002558846250356817</v>
      </c>
    </row>
    <row r="32" spans="1:10" ht="12.75">
      <c r="A32" s="1" t="s">
        <v>82</v>
      </c>
      <c r="B32" s="2">
        <v>343522</v>
      </c>
      <c r="C32" s="17">
        <v>50</v>
      </c>
      <c r="D32" s="3" t="s">
        <v>64</v>
      </c>
      <c r="E32" s="4"/>
      <c r="F32" s="10">
        <f t="shared" si="2"/>
        <v>0.00014555108551999582</v>
      </c>
      <c r="G32" s="4">
        <f t="shared" si="3"/>
        <v>1180</v>
      </c>
      <c r="H32" s="4"/>
      <c r="J32" s="49">
        <f t="shared" si="4"/>
        <v>0.0001455010878672438</v>
      </c>
    </row>
    <row r="33" spans="1:10" ht="12.75">
      <c r="A33" s="1" t="s">
        <v>83</v>
      </c>
      <c r="B33" s="2">
        <v>343522</v>
      </c>
      <c r="C33" s="17">
        <v>849</v>
      </c>
      <c r="D33" s="3" t="s">
        <v>64</v>
      </c>
      <c r="E33" s="4"/>
      <c r="F33" s="10">
        <f t="shared" si="2"/>
        <v>0.002471457432129529</v>
      </c>
      <c r="G33" s="4">
        <f t="shared" si="3"/>
        <v>20043</v>
      </c>
      <c r="H33" s="4"/>
      <c r="J33" s="49">
        <f t="shared" si="4"/>
        <v>0.0024714222916298032</v>
      </c>
    </row>
    <row r="34" spans="1:10" ht="12.75">
      <c r="A34" s="1" t="s">
        <v>84</v>
      </c>
      <c r="B34" s="2">
        <v>343522</v>
      </c>
      <c r="C34" s="17">
        <v>1400</v>
      </c>
      <c r="D34" s="3" t="s">
        <v>64</v>
      </c>
      <c r="F34" s="10">
        <f t="shared" si="2"/>
        <v>0.004075430394559883</v>
      </c>
      <c r="G34" s="4">
        <f t="shared" si="3"/>
        <v>33051</v>
      </c>
      <c r="H34" s="4"/>
      <c r="J34" s="49">
        <f t="shared" si="4"/>
        <v>0.004075386826356166</v>
      </c>
    </row>
    <row r="35" spans="1:10" ht="12.75">
      <c r="A35" s="1" t="s">
        <v>240</v>
      </c>
      <c r="B35" s="2">
        <v>343522</v>
      </c>
      <c r="C35" s="17">
        <v>2000</v>
      </c>
      <c r="D35" s="3" t="s">
        <v>64</v>
      </c>
      <c r="F35" s="10">
        <f t="shared" si="2"/>
        <v>0.005822043420799832</v>
      </c>
      <c r="G35" s="4">
        <f t="shared" si="3"/>
        <v>47216</v>
      </c>
      <c r="H35" s="4"/>
      <c r="J35" s="49">
        <f t="shared" si="4"/>
        <v>0.005822016410796427</v>
      </c>
    </row>
    <row r="36" spans="1:9" ht="12.75">
      <c r="A36" s="12" t="s">
        <v>6</v>
      </c>
      <c r="E36" s="4">
        <f>States!C11</f>
        <v>89963206</v>
      </c>
      <c r="F36" s="10">
        <f>SUM(F39:F60)</f>
        <v>0.007752481769548293</v>
      </c>
      <c r="H36" s="4">
        <f>SUM(G37:G60)</f>
        <v>726816</v>
      </c>
      <c r="I36" s="4">
        <f>E36-H36</f>
        <v>89236390</v>
      </c>
    </row>
    <row r="37" spans="1:10" ht="12.75">
      <c r="A37" s="1" t="s">
        <v>85</v>
      </c>
      <c r="B37" s="2">
        <v>1659723</v>
      </c>
      <c r="C37" s="11">
        <v>130</v>
      </c>
      <c r="D37" s="3" t="s">
        <v>64</v>
      </c>
      <c r="E37" s="4"/>
      <c r="F37" s="10">
        <f aca="true" t="shared" si="5" ref="F37:F46">C37/B37</f>
        <v>7.832632312741343E-05</v>
      </c>
      <c r="G37" s="4">
        <f aca="true" t="shared" si="6" ref="G37:G60">ROUND(+$E$36*F37,0)</f>
        <v>7046</v>
      </c>
      <c r="H37" s="4"/>
      <c r="I37" s="4"/>
      <c r="J37" s="49">
        <f aca="true" t="shared" si="7" ref="J37:J60">G37/$E$36</f>
        <v>7.832090821663247E-05</v>
      </c>
    </row>
    <row r="38" spans="1:10" ht="12.75">
      <c r="A38" s="9" t="s">
        <v>245</v>
      </c>
      <c r="B38" s="2">
        <v>1659723</v>
      </c>
      <c r="C38" s="11">
        <v>412</v>
      </c>
      <c r="D38" s="3" t="s">
        <v>64</v>
      </c>
      <c r="E38" s="4"/>
      <c r="F38" s="10">
        <f t="shared" si="5"/>
        <v>0.00024823419329611025</v>
      </c>
      <c r="G38" s="4">
        <f t="shared" si="6"/>
        <v>22332</v>
      </c>
      <c r="H38" s="4"/>
      <c r="I38" s="4"/>
      <c r="J38" s="49">
        <f t="shared" si="7"/>
        <v>0.00024823481724295154</v>
      </c>
    </row>
    <row r="39" spans="1:10" ht="12.75">
      <c r="A39" s="1" t="s">
        <v>86</v>
      </c>
      <c r="B39" s="2">
        <v>1659723</v>
      </c>
      <c r="C39" s="17">
        <v>24</v>
      </c>
      <c r="D39" s="3" t="s">
        <v>64</v>
      </c>
      <c r="E39" s="4"/>
      <c r="F39" s="10">
        <f t="shared" si="5"/>
        <v>1.4460244269676325E-05</v>
      </c>
      <c r="G39" s="4">
        <f t="shared" si="6"/>
        <v>1301</v>
      </c>
      <c r="H39" s="4"/>
      <c r="J39" s="49">
        <f t="shared" si="7"/>
        <v>1.4461467724927456E-05</v>
      </c>
    </row>
    <row r="40" spans="1:10" ht="12.75">
      <c r="A40" s="1" t="s">
        <v>87</v>
      </c>
      <c r="B40" s="2">
        <v>1659723</v>
      </c>
      <c r="C40" s="17">
        <v>108</v>
      </c>
      <c r="D40" s="3" t="s">
        <v>64</v>
      </c>
      <c r="E40" s="4"/>
      <c r="F40" s="10">
        <f t="shared" si="5"/>
        <v>6.507109921354347E-05</v>
      </c>
      <c r="G40" s="4">
        <f t="shared" si="6"/>
        <v>5854</v>
      </c>
      <c r="H40" s="4"/>
      <c r="I40" s="4"/>
      <c r="J40" s="49">
        <f t="shared" si="7"/>
        <v>6.507104693445452E-05</v>
      </c>
    </row>
    <row r="41" spans="1:10" ht="12.75">
      <c r="A41" s="1" t="s">
        <v>88</v>
      </c>
      <c r="B41" s="2">
        <v>1659723</v>
      </c>
      <c r="C41" s="17">
        <v>50</v>
      </c>
      <c r="D41" s="3" t="s">
        <v>64</v>
      </c>
      <c r="E41" s="4"/>
      <c r="F41" s="10">
        <f t="shared" si="5"/>
        <v>3.012550889515901E-05</v>
      </c>
      <c r="G41" s="4">
        <f t="shared" si="6"/>
        <v>2710</v>
      </c>
      <c r="H41" s="4"/>
      <c r="I41" s="4"/>
      <c r="J41" s="49">
        <f t="shared" si="7"/>
        <v>3.0123426237166337E-05</v>
      </c>
    </row>
    <row r="42" spans="1:10" ht="12.75">
      <c r="A42" s="1" t="s">
        <v>89</v>
      </c>
      <c r="B42" s="2">
        <v>1659723</v>
      </c>
      <c r="C42" s="17">
        <v>896</v>
      </c>
      <c r="D42" s="3" t="s">
        <v>64</v>
      </c>
      <c r="E42" s="4"/>
      <c r="F42" s="10">
        <f t="shared" si="5"/>
        <v>0.0005398491194012495</v>
      </c>
      <c r="G42" s="4">
        <f t="shared" si="6"/>
        <v>48567</v>
      </c>
      <c r="H42" s="4"/>
      <c r="J42" s="49">
        <f t="shared" si="7"/>
        <v>0.0005398540376606854</v>
      </c>
    </row>
    <row r="43" spans="1:10" ht="12.75">
      <c r="A43" s="1" t="s">
        <v>90</v>
      </c>
      <c r="B43" s="2">
        <v>1659723</v>
      </c>
      <c r="C43" s="17">
        <v>136</v>
      </c>
      <c r="D43" s="3" t="s">
        <v>64</v>
      </c>
      <c r="F43" s="10">
        <f t="shared" si="5"/>
        <v>8.194138419483252E-05</v>
      </c>
      <c r="G43" s="4">
        <f t="shared" si="6"/>
        <v>7372</v>
      </c>
      <c r="H43" s="4"/>
      <c r="J43" s="49">
        <f t="shared" si="7"/>
        <v>8.19446118894429E-05</v>
      </c>
    </row>
    <row r="44" spans="1:10" ht="12.75">
      <c r="A44" s="1" t="s">
        <v>91</v>
      </c>
      <c r="B44" s="2">
        <v>1659723</v>
      </c>
      <c r="C44" s="17">
        <v>650</v>
      </c>
      <c r="D44" s="3" t="s">
        <v>64</v>
      </c>
      <c r="E44" s="4"/>
      <c r="F44" s="10">
        <f t="shared" si="5"/>
        <v>0.00039163161563706713</v>
      </c>
      <c r="G44" s="4">
        <f t="shared" si="6"/>
        <v>35232</v>
      </c>
      <c r="H44" s="4"/>
      <c r="I44" s="4"/>
      <c r="J44" s="49">
        <f t="shared" si="7"/>
        <v>0.0003916267723940385</v>
      </c>
    </row>
    <row r="45" spans="1:10" ht="12.75">
      <c r="A45" s="1" t="s">
        <v>92</v>
      </c>
      <c r="B45" s="2">
        <v>1659723</v>
      </c>
      <c r="C45" s="17">
        <v>371</v>
      </c>
      <c r="D45" s="3" t="s">
        <v>64</v>
      </c>
      <c r="E45" s="4"/>
      <c r="F45" s="10">
        <f t="shared" si="5"/>
        <v>0.00022353127600207987</v>
      </c>
      <c r="G45" s="4">
        <f t="shared" si="6"/>
        <v>20110</v>
      </c>
      <c r="H45" s="4"/>
      <c r="I45" s="4"/>
      <c r="J45" s="49">
        <f t="shared" si="7"/>
        <v>0.00022353583085956273</v>
      </c>
    </row>
    <row r="46" spans="1:10" ht="12.75">
      <c r="A46" s="1" t="s">
        <v>93</v>
      </c>
      <c r="B46" s="2">
        <v>1659723</v>
      </c>
      <c r="C46" s="77">
        <v>5129</v>
      </c>
      <c r="D46" s="3" t="s">
        <v>64</v>
      </c>
      <c r="E46" s="4"/>
      <c r="F46" s="10">
        <f t="shared" si="5"/>
        <v>0.0030902747024654114</v>
      </c>
      <c r="G46" s="4">
        <f t="shared" si="6"/>
        <v>278011</v>
      </c>
      <c r="H46" s="4"/>
      <c r="I46" s="4"/>
      <c r="J46" s="49">
        <f t="shared" si="7"/>
        <v>0.003090274483992934</v>
      </c>
    </row>
    <row r="47" spans="1:10" ht="12.75">
      <c r="A47" s="1" t="s">
        <v>94</v>
      </c>
      <c r="B47" s="2">
        <v>1659723</v>
      </c>
      <c r="C47" s="17">
        <v>82</v>
      </c>
      <c r="D47" s="3" t="s">
        <v>66</v>
      </c>
      <c r="E47" s="4"/>
      <c r="F47" s="10">
        <v>0.0001</v>
      </c>
      <c r="G47" s="4">
        <f t="shared" si="6"/>
        <v>8996</v>
      </c>
      <c r="H47" s="4"/>
      <c r="J47" s="49">
        <f t="shared" si="7"/>
        <v>9.999643632086656E-05</v>
      </c>
    </row>
    <row r="48" spans="1:10" ht="12.75">
      <c r="A48" s="1" t="s">
        <v>95</v>
      </c>
      <c r="B48" s="2">
        <v>1659723</v>
      </c>
      <c r="C48" s="17">
        <v>779</v>
      </c>
      <c r="D48" s="3" t="s">
        <v>64</v>
      </c>
      <c r="E48" s="4"/>
      <c r="F48" s="10">
        <f aca="true" t="shared" si="8" ref="F48:F60">C48/B48</f>
        <v>0.0004693554285865774</v>
      </c>
      <c r="G48" s="4">
        <f t="shared" si="6"/>
        <v>42225</v>
      </c>
      <c r="H48" s="4"/>
      <c r="I48" s="4"/>
      <c r="J48" s="49">
        <f t="shared" si="7"/>
        <v>0.00046935855087245335</v>
      </c>
    </row>
    <row r="49" spans="1:10" ht="12.75">
      <c r="A49" s="1" t="s">
        <v>96</v>
      </c>
      <c r="B49" s="2">
        <v>1659723</v>
      </c>
      <c r="C49" s="17">
        <v>78</v>
      </c>
      <c r="D49" s="3" t="s">
        <v>64</v>
      </c>
      <c r="E49" s="4"/>
      <c r="F49" s="10">
        <f t="shared" si="8"/>
        <v>4.699579387644806E-05</v>
      </c>
      <c r="G49" s="4">
        <f t="shared" si="6"/>
        <v>4228</v>
      </c>
      <c r="H49" s="4"/>
      <c r="I49" s="4"/>
      <c r="J49" s="49">
        <f t="shared" si="7"/>
        <v>4.6996991192154716E-05</v>
      </c>
    </row>
    <row r="50" spans="1:10" ht="12.75">
      <c r="A50" s="1" t="s">
        <v>97</v>
      </c>
      <c r="B50" s="2">
        <v>1659723</v>
      </c>
      <c r="C50" s="17">
        <v>375</v>
      </c>
      <c r="D50" s="3" t="s">
        <v>64</v>
      </c>
      <c r="E50" s="4"/>
      <c r="F50" s="10">
        <f t="shared" si="8"/>
        <v>0.00022594131671369258</v>
      </c>
      <c r="G50" s="4">
        <f t="shared" si="6"/>
        <v>20326</v>
      </c>
      <c r="H50" s="4"/>
      <c r="J50" s="49">
        <f t="shared" si="7"/>
        <v>0.0002259368124341856</v>
      </c>
    </row>
    <row r="51" spans="1:10" ht="12.75">
      <c r="A51" s="1" t="s">
        <v>98</v>
      </c>
      <c r="B51" s="2">
        <v>1659723</v>
      </c>
      <c r="C51" s="17">
        <v>962</v>
      </c>
      <c r="D51" s="3" t="s">
        <v>64</v>
      </c>
      <c r="E51" s="4"/>
      <c r="F51" s="10">
        <f t="shared" si="8"/>
        <v>0.0005796147911428593</v>
      </c>
      <c r="G51" s="4">
        <f t="shared" si="6"/>
        <v>52144</v>
      </c>
      <c r="H51" s="4"/>
      <c r="J51" s="49">
        <f t="shared" si="7"/>
        <v>0.0005796147371626574</v>
      </c>
    </row>
    <row r="52" spans="1:10" ht="12.75">
      <c r="A52" s="1" t="s">
        <v>99</v>
      </c>
      <c r="B52" s="2">
        <v>1659723</v>
      </c>
      <c r="C52" s="17">
        <v>44</v>
      </c>
      <c r="D52" s="3" t="s">
        <v>64</v>
      </c>
      <c r="E52" s="4"/>
      <c r="F52" s="10">
        <f t="shared" si="8"/>
        <v>2.651044782773993E-05</v>
      </c>
      <c r="G52" s="4">
        <f t="shared" si="6"/>
        <v>2385</v>
      </c>
      <c r="H52" s="4"/>
      <c r="J52" s="49">
        <f t="shared" si="7"/>
        <v>2.651083821979399E-05</v>
      </c>
    </row>
    <row r="53" spans="1:10" ht="12.75">
      <c r="A53" s="1" t="s">
        <v>100</v>
      </c>
      <c r="B53" s="2">
        <v>1659723</v>
      </c>
      <c r="C53" s="17">
        <v>894</v>
      </c>
      <c r="D53" s="3" t="s">
        <v>64</v>
      </c>
      <c r="E53" s="4"/>
      <c r="F53" s="10">
        <f t="shared" si="8"/>
        <v>0.0005386440990454431</v>
      </c>
      <c r="G53" s="4">
        <f t="shared" si="6"/>
        <v>48458</v>
      </c>
      <c r="H53" s="4"/>
      <c r="I53" s="4"/>
      <c r="J53" s="49">
        <f t="shared" si="7"/>
        <v>0.0005386424312179359</v>
      </c>
    </row>
    <row r="54" spans="1:10" ht="12.75">
      <c r="A54" s="1" t="s">
        <v>101</v>
      </c>
      <c r="B54" s="2">
        <v>1659723</v>
      </c>
      <c r="C54" s="17">
        <v>575</v>
      </c>
      <c r="D54" s="3" t="s">
        <v>64</v>
      </c>
      <c r="E54" s="4"/>
      <c r="F54" s="10">
        <f t="shared" si="8"/>
        <v>0.00034644335229432863</v>
      </c>
      <c r="G54" s="4">
        <f t="shared" si="6"/>
        <v>31167</v>
      </c>
      <c r="H54" s="4"/>
      <c r="I54" s="4"/>
      <c r="J54" s="49">
        <f t="shared" si="7"/>
        <v>0.000346441633038289</v>
      </c>
    </row>
    <row r="55" spans="1:10" ht="12.75">
      <c r="A55" s="1" t="s">
        <v>103</v>
      </c>
      <c r="B55" s="2">
        <v>1659723</v>
      </c>
      <c r="C55" s="17">
        <v>146</v>
      </c>
      <c r="D55" s="3" t="s">
        <v>64</v>
      </c>
      <c r="E55" s="4"/>
      <c r="F55" s="10">
        <f t="shared" si="8"/>
        <v>8.796648597386432E-05</v>
      </c>
      <c r="G55" s="4">
        <f t="shared" si="6"/>
        <v>7914</v>
      </c>
      <c r="H55" s="4"/>
      <c r="I55" s="4"/>
      <c r="J55" s="49">
        <f t="shared" si="7"/>
        <v>8.796929713687616E-05</v>
      </c>
    </row>
    <row r="56" spans="1:10" ht="12.75">
      <c r="A56" s="11" t="s">
        <v>225</v>
      </c>
      <c r="B56" s="2">
        <v>1659723</v>
      </c>
      <c r="C56" s="18">
        <v>66</v>
      </c>
      <c r="D56" s="3" t="s">
        <v>64</v>
      </c>
      <c r="F56" s="10">
        <f t="shared" si="8"/>
        <v>3.97656717416099E-05</v>
      </c>
      <c r="G56" s="4">
        <f t="shared" si="6"/>
        <v>3577</v>
      </c>
      <c r="H56" s="4"/>
      <c r="J56" s="49">
        <f t="shared" si="7"/>
        <v>3.976069950197195E-05</v>
      </c>
    </row>
    <row r="57" spans="1:10" ht="12.75">
      <c r="A57" s="1" t="s">
        <v>102</v>
      </c>
      <c r="B57" s="2">
        <v>1659723</v>
      </c>
      <c r="C57" s="17">
        <v>66</v>
      </c>
      <c r="D57" s="3" t="s">
        <v>64</v>
      </c>
      <c r="E57" s="4"/>
      <c r="F57" s="10">
        <f t="shared" si="8"/>
        <v>3.97656717416099E-05</v>
      </c>
      <c r="G57" s="4">
        <f t="shared" si="6"/>
        <v>3577</v>
      </c>
      <c r="H57" s="4"/>
      <c r="J57" s="49">
        <f t="shared" si="7"/>
        <v>3.976069950197195E-05</v>
      </c>
    </row>
    <row r="58" spans="1:10" ht="12.75">
      <c r="A58" s="1" t="s">
        <v>104</v>
      </c>
      <c r="B58" s="2">
        <v>1659723</v>
      </c>
      <c r="C58" s="17">
        <v>101</v>
      </c>
      <c r="D58" s="3" t="s">
        <v>64</v>
      </c>
      <c r="E58" s="4"/>
      <c r="F58" s="10">
        <f t="shared" si="8"/>
        <v>6.08535279682212E-05</v>
      </c>
      <c r="G58" s="4">
        <f t="shared" si="6"/>
        <v>5475</v>
      </c>
      <c r="H58" s="4"/>
      <c r="J58" s="49">
        <f t="shared" si="7"/>
        <v>6.085821352342646E-05</v>
      </c>
    </row>
    <row r="59" spans="1:10" ht="12.75">
      <c r="A59" s="1" t="s">
        <v>105</v>
      </c>
      <c r="B59" s="2">
        <v>1659723</v>
      </c>
      <c r="C59" s="17">
        <v>85</v>
      </c>
      <c r="D59" s="3" t="s">
        <v>64</v>
      </c>
      <c r="E59" s="4"/>
      <c r="F59" s="10">
        <f t="shared" si="8"/>
        <v>5.121336512177032E-05</v>
      </c>
      <c r="G59" s="4">
        <f t="shared" si="6"/>
        <v>4607</v>
      </c>
      <c r="H59" s="4"/>
      <c r="J59" s="49">
        <f t="shared" si="7"/>
        <v>5.120982460318277E-05</v>
      </c>
    </row>
    <row r="60" spans="1:10" ht="12.75">
      <c r="A60" s="1" t="s">
        <v>106</v>
      </c>
      <c r="B60" s="2">
        <v>1659723</v>
      </c>
      <c r="C60" s="17">
        <v>1166</v>
      </c>
      <c r="D60" s="3" t="s">
        <v>64</v>
      </c>
      <c r="E60" s="4"/>
      <c r="F60" s="10">
        <f t="shared" si="8"/>
        <v>0.0007025268674351082</v>
      </c>
      <c r="G60" s="4">
        <f t="shared" si="6"/>
        <v>63202</v>
      </c>
      <c r="H60" s="4"/>
      <c r="J60" s="49">
        <f t="shared" si="7"/>
        <v>0.0007025316549968217</v>
      </c>
    </row>
    <row r="61" spans="1:9" ht="12.75">
      <c r="A61" s="12" t="s">
        <v>10</v>
      </c>
      <c r="E61" s="4">
        <f>States!C16</f>
        <v>26534274</v>
      </c>
      <c r="H61" s="4">
        <f>G62</f>
        <v>6802</v>
      </c>
      <c r="I61" s="4">
        <f>E61-H61</f>
        <v>26527472</v>
      </c>
    </row>
    <row r="62" spans="1:10" ht="12.75">
      <c r="A62" s="1" t="s">
        <v>108</v>
      </c>
      <c r="B62" s="2">
        <v>1205419</v>
      </c>
      <c r="C62" s="2">
        <v>309</v>
      </c>
      <c r="D62" s="3" t="s">
        <v>64</v>
      </c>
      <c r="E62" s="4"/>
      <c r="F62" s="10">
        <f>$C62/$B62</f>
        <v>0.00025634240044333133</v>
      </c>
      <c r="G62" s="4">
        <f>ROUND(+$E$61*F62,0)</f>
        <v>6802</v>
      </c>
      <c r="H62" s="4"/>
      <c r="I62" s="4"/>
      <c r="J62" s="49">
        <f>G62/E61</f>
        <v>0.00025634769581410065</v>
      </c>
    </row>
    <row r="63" spans="1:9" ht="12.75">
      <c r="A63" s="12" t="s">
        <v>13</v>
      </c>
      <c r="D63" s="1" t="s">
        <v>1</v>
      </c>
      <c r="E63" s="4">
        <f>States!C19</f>
        <v>12235363</v>
      </c>
      <c r="F63" s="10"/>
      <c r="H63" s="4">
        <f>SUM(G64:G66)</f>
        <v>593721</v>
      </c>
      <c r="I63" s="4">
        <f>E63-H63</f>
        <v>11641642</v>
      </c>
    </row>
    <row r="64" spans="1:10" ht="12.75">
      <c r="A64" s="1" t="s">
        <v>109</v>
      </c>
      <c r="B64" s="2">
        <v>84047</v>
      </c>
      <c r="C64" s="11">
        <v>113</v>
      </c>
      <c r="D64" s="20" t="s">
        <v>66</v>
      </c>
      <c r="E64" s="4"/>
      <c r="F64" s="10">
        <v>0.003025</v>
      </c>
      <c r="G64" s="4">
        <f>ROUND(+$E$63*F64,0)</f>
        <v>37012</v>
      </c>
      <c r="H64" s="4"/>
      <c r="I64" s="4"/>
      <c r="J64" s="49">
        <f>G64/$E$63</f>
        <v>0.003025002200588573</v>
      </c>
    </row>
    <row r="65" spans="1:10" ht="12.75">
      <c r="A65" s="1" t="s">
        <v>110</v>
      </c>
      <c r="B65" s="2">
        <v>84047</v>
      </c>
      <c r="C65" s="2">
        <v>593</v>
      </c>
      <c r="D65" s="3" t="s">
        <v>66</v>
      </c>
      <c r="E65" s="4"/>
      <c r="F65" s="21">
        <v>0.007</v>
      </c>
      <c r="G65" s="4">
        <f>ROUND(+$E$63*F65,0)</f>
        <v>85648</v>
      </c>
      <c r="H65" s="4"/>
      <c r="I65" s="4"/>
      <c r="J65" s="49">
        <f>G65/$E$63</f>
        <v>0.007000037514211879</v>
      </c>
    </row>
    <row r="66" spans="1:10" ht="12.75">
      <c r="A66" s="1" t="s">
        <v>111</v>
      </c>
      <c r="B66" s="2">
        <v>84047</v>
      </c>
      <c r="C66" s="2">
        <v>796</v>
      </c>
      <c r="D66" s="3" t="s">
        <v>66</v>
      </c>
      <c r="E66" s="4"/>
      <c r="F66" s="21">
        <v>0.0385</v>
      </c>
      <c r="G66" s="4">
        <f>ROUND(+$E$63*F66,0)</f>
        <v>471061</v>
      </c>
      <c r="H66" s="4"/>
      <c r="I66" s="4"/>
      <c r="J66" s="49">
        <f>G66/$E$63</f>
        <v>0.03849996113723802</v>
      </c>
    </row>
    <row r="67" spans="1:9" ht="12.75">
      <c r="A67" s="12" t="s">
        <v>15</v>
      </c>
      <c r="E67" s="4">
        <f>States!C21</f>
        <v>51280512</v>
      </c>
      <c r="H67" s="4">
        <f>G68</f>
        <v>6664</v>
      </c>
      <c r="I67" s="4">
        <f>E67-H67</f>
        <v>51273848</v>
      </c>
    </row>
    <row r="68" spans="1:10" ht="12.75">
      <c r="A68" s="1" t="s">
        <v>112</v>
      </c>
      <c r="B68" s="2">
        <v>434091</v>
      </c>
      <c r="C68" s="2">
        <v>0</v>
      </c>
      <c r="D68" s="3" t="s">
        <v>107</v>
      </c>
      <c r="F68" s="10">
        <f>$C68/$B68</f>
        <v>0</v>
      </c>
      <c r="G68" s="4">
        <f>6664</f>
        <v>6664</v>
      </c>
      <c r="H68" s="4"/>
      <c r="I68" s="4"/>
      <c r="J68" s="49">
        <f>G68/E67</f>
        <v>0.0001299519006362495</v>
      </c>
    </row>
    <row r="69" spans="1:9" ht="12.75">
      <c r="A69" s="12" t="s">
        <v>17</v>
      </c>
      <c r="D69" s="1" t="s">
        <v>1</v>
      </c>
      <c r="E69" s="4">
        <f>States!C23</f>
        <v>16690421</v>
      </c>
      <c r="F69" s="21"/>
      <c r="H69" s="4">
        <f>G70</f>
        <v>15990</v>
      </c>
      <c r="I69" s="4">
        <f>E69-H69</f>
        <v>16674431</v>
      </c>
    </row>
    <row r="70" spans="1:10" ht="12.75">
      <c r="A70" s="1" t="s">
        <v>113</v>
      </c>
      <c r="B70" s="2">
        <v>222152</v>
      </c>
      <c r="C70" s="2">
        <v>20</v>
      </c>
      <c r="D70" s="3" t="s">
        <v>107</v>
      </c>
      <c r="E70" s="4"/>
      <c r="F70" s="5">
        <f>C70/B70</f>
        <v>9.00284489898808E-05</v>
      </c>
      <c r="G70" s="4">
        <v>15990</v>
      </c>
      <c r="H70" s="4"/>
      <c r="I70" s="4"/>
      <c r="J70" s="49">
        <f>G70/E69</f>
        <v>0.0009580345516748799</v>
      </c>
    </row>
    <row r="71" spans="1:9" ht="12.75">
      <c r="A71" s="12" t="s">
        <v>20</v>
      </c>
      <c r="E71" s="4">
        <f>States!C26</f>
        <v>26509531</v>
      </c>
      <c r="G71" s="4"/>
      <c r="H71" s="4">
        <f>SUM(G72:G76)</f>
        <v>968922</v>
      </c>
      <c r="I71" s="4">
        <f>E71-H71</f>
        <v>25540609</v>
      </c>
    </row>
    <row r="72" spans="1:10" ht="12.75">
      <c r="A72" s="1" t="s">
        <v>114</v>
      </c>
      <c r="B72" s="2">
        <v>100697</v>
      </c>
      <c r="D72" s="3" t="s">
        <v>66</v>
      </c>
      <c r="F72" s="10">
        <v>0.00435</v>
      </c>
      <c r="G72" s="4">
        <f>ROUND(+$E$71*$F72,0)</f>
        <v>115316</v>
      </c>
      <c r="H72" s="4"/>
      <c r="I72" s="4"/>
      <c r="J72" s="49">
        <f>G72/$E$71</f>
        <v>0.004349982653408693</v>
      </c>
    </row>
    <row r="73" spans="1:10" ht="12.75">
      <c r="A73" s="1" t="s">
        <v>115</v>
      </c>
      <c r="B73" s="2">
        <v>100697</v>
      </c>
      <c r="D73" s="3" t="s">
        <v>66</v>
      </c>
      <c r="E73" s="4"/>
      <c r="F73" s="10">
        <v>0.00435</v>
      </c>
      <c r="G73" s="4">
        <f>ROUND(+$E$71*$F73,0)</f>
        <v>115316</v>
      </c>
      <c r="H73" s="4"/>
      <c r="I73" s="4"/>
      <c r="J73" s="49">
        <f>G73/$E$71</f>
        <v>0.004349982653408693</v>
      </c>
    </row>
    <row r="74" spans="1:10" ht="12.75">
      <c r="A74" s="1" t="s">
        <v>116</v>
      </c>
      <c r="B74" s="2">
        <v>100697</v>
      </c>
      <c r="C74" s="2">
        <v>83</v>
      </c>
      <c r="D74" s="3" t="s">
        <v>66</v>
      </c>
      <c r="E74" s="4"/>
      <c r="F74" s="10">
        <v>0.0083</v>
      </c>
      <c r="G74" s="4">
        <f>ROUND(+$E$71*$F74,0)</f>
        <v>220029</v>
      </c>
      <c r="H74" s="4"/>
      <c r="I74" s="4"/>
      <c r="J74" s="49">
        <f>G74/$E$71</f>
        <v>0.008299995952399157</v>
      </c>
    </row>
    <row r="75" spans="1:10" ht="12.75">
      <c r="A75" s="1" t="s">
        <v>117</v>
      </c>
      <c r="B75" s="2">
        <v>100697</v>
      </c>
      <c r="C75" s="2">
        <v>69</v>
      </c>
      <c r="D75" s="3" t="s">
        <v>66</v>
      </c>
      <c r="E75" s="4"/>
      <c r="F75" s="10">
        <v>0.01158</v>
      </c>
      <c r="G75" s="4">
        <f>ROUND(+$E$71*$F75,0)</f>
        <v>306980</v>
      </c>
      <c r="H75" s="4"/>
      <c r="I75" s="4"/>
      <c r="J75" s="49">
        <f>G75/$E$71</f>
        <v>0.011579986081232445</v>
      </c>
    </row>
    <row r="76" spans="1:10" ht="12.75">
      <c r="A76" s="1" t="s">
        <v>118</v>
      </c>
      <c r="B76" s="2">
        <v>100697</v>
      </c>
      <c r="C76" s="2">
        <v>95</v>
      </c>
      <c r="D76" s="3" t="s">
        <v>66</v>
      </c>
      <c r="E76" s="4"/>
      <c r="F76" s="10">
        <v>0.00797</v>
      </c>
      <c r="G76" s="4">
        <f>ROUND(+$E$71*$F76,0)</f>
        <v>211281</v>
      </c>
      <c r="H76" s="4"/>
      <c r="I76" s="4"/>
      <c r="J76" s="49">
        <f>G76/$E$71</f>
        <v>0.00797000143080615</v>
      </c>
    </row>
    <row r="77" spans="1:9" ht="12.75">
      <c r="A77" s="12" t="s">
        <v>22</v>
      </c>
      <c r="E77" s="4">
        <f>States!C28</f>
        <v>81853223</v>
      </c>
      <c r="H77" s="4">
        <f>G78</f>
        <v>32741</v>
      </c>
      <c r="I77" s="4">
        <f>E77-H77</f>
        <v>81820482</v>
      </c>
    </row>
    <row r="78" spans="1:10" ht="12.75">
      <c r="A78" s="1" t="s">
        <v>119</v>
      </c>
      <c r="B78" s="2">
        <v>531692</v>
      </c>
      <c r="C78" s="2">
        <v>127</v>
      </c>
      <c r="D78" s="3" t="s">
        <v>66</v>
      </c>
      <c r="E78" s="4"/>
      <c r="F78" s="10">
        <v>0.0004</v>
      </c>
      <c r="G78" s="4">
        <f>ROUND(+$E$77*F78,0)</f>
        <v>32741</v>
      </c>
      <c r="H78" s="4"/>
      <c r="I78" s="4"/>
      <c r="J78" s="49">
        <f>G78/E77</f>
        <v>0.0003999964668465162</v>
      </c>
    </row>
    <row r="79" spans="1:9" ht="12.75">
      <c r="A79" s="12" t="s">
        <v>23</v>
      </c>
      <c r="E79" s="4">
        <f>States!C29</f>
        <v>107529532</v>
      </c>
      <c r="H79" s="4">
        <f>SUM(G80:G85)</f>
        <v>823067</v>
      </c>
      <c r="I79" s="4">
        <f>E79-H79</f>
        <v>106706465</v>
      </c>
    </row>
    <row r="80" spans="1:10" ht="12.75">
      <c r="A80" s="1" t="s">
        <v>120</v>
      </c>
      <c r="B80" s="2">
        <v>856399</v>
      </c>
      <c r="C80" s="2">
        <v>335</v>
      </c>
      <c r="D80" s="3" t="s">
        <v>64</v>
      </c>
      <c r="E80" s="4"/>
      <c r="F80" s="10">
        <f aca="true" t="shared" si="9" ref="F80:F85">$C80/$B80</f>
        <v>0.0003911728061335896</v>
      </c>
      <c r="G80" s="4">
        <f>ROUND(+$E$79*F80,0)</f>
        <v>42063</v>
      </c>
      <c r="H80" s="4"/>
      <c r="I80" s="4"/>
      <c r="J80" s="49">
        <f aca="true" t="shared" si="10" ref="J80:J85">G80/$E$79</f>
        <v>0.00039117625844405237</v>
      </c>
    </row>
    <row r="81" spans="1:10" ht="12.75">
      <c r="A81" s="1" t="s">
        <v>121</v>
      </c>
      <c r="B81" s="2">
        <v>856399</v>
      </c>
      <c r="C81" s="2">
        <v>637</v>
      </c>
      <c r="D81" s="3" t="s">
        <v>64</v>
      </c>
      <c r="E81" s="4"/>
      <c r="F81" s="10">
        <f t="shared" si="9"/>
        <v>0.0007438121716629749</v>
      </c>
      <c r="G81" s="4">
        <f>ROUND(+$E$79*F81,0)</f>
        <v>79982</v>
      </c>
      <c r="H81" s="4"/>
      <c r="J81" s="49">
        <f t="shared" si="10"/>
        <v>0.0007438142667634785</v>
      </c>
    </row>
    <row r="82" spans="1:10" ht="12.75">
      <c r="A82" s="1" t="s">
        <v>226</v>
      </c>
      <c r="B82" s="2">
        <v>856399</v>
      </c>
      <c r="C82" s="2">
        <v>884</v>
      </c>
      <c r="D82" s="3" t="s">
        <v>64</v>
      </c>
      <c r="E82" s="4"/>
      <c r="F82" s="10">
        <f t="shared" si="9"/>
        <v>0.0010322291361853529</v>
      </c>
      <c r="G82" s="4">
        <f>ROUND(+$E$79*F82,0)</f>
        <v>110995</v>
      </c>
      <c r="H82" s="4"/>
      <c r="J82" s="49">
        <f t="shared" si="10"/>
        <v>0.0010322280580557163</v>
      </c>
    </row>
    <row r="83" spans="1:10" ht="12.75">
      <c r="A83" s="1" t="s">
        <v>122</v>
      </c>
      <c r="B83" s="2">
        <v>856399</v>
      </c>
      <c r="C83" s="2">
        <v>162</v>
      </c>
      <c r="D83" s="3" t="s">
        <v>64</v>
      </c>
      <c r="E83" s="4"/>
      <c r="F83" s="10">
        <f t="shared" si="9"/>
        <v>0.00018916416296609406</v>
      </c>
      <c r="G83" s="4">
        <f>ROUND(+$E$79*F83,0)</f>
        <v>20341</v>
      </c>
      <c r="H83" s="4"/>
      <c r="J83" s="49">
        <f t="shared" si="10"/>
        <v>0.00018916663749638565</v>
      </c>
    </row>
    <row r="84" spans="1:10" ht="12.75">
      <c r="A84" s="1" t="s">
        <v>123</v>
      </c>
      <c r="B84" s="2">
        <v>856399</v>
      </c>
      <c r="C84" s="2">
        <v>555</v>
      </c>
      <c r="D84" s="3" t="s">
        <v>64</v>
      </c>
      <c r="E84" s="4"/>
      <c r="F84" s="10">
        <f t="shared" si="9"/>
        <v>0.0006480624101616186</v>
      </c>
      <c r="G84" s="4">
        <f>ROUND(+$E$79*F84,0)</f>
        <v>69686</v>
      </c>
      <c r="H84" s="4"/>
      <c r="J84" s="49">
        <f t="shared" si="10"/>
        <v>0.000648063826782023</v>
      </c>
    </row>
    <row r="85" spans="1:10" ht="12.75">
      <c r="A85" s="1" t="s">
        <v>124</v>
      </c>
      <c r="B85" s="2">
        <v>856399</v>
      </c>
      <c r="C85" s="2">
        <v>1744</v>
      </c>
      <c r="D85" s="3" t="s">
        <v>107</v>
      </c>
      <c r="E85" s="4"/>
      <c r="F85" s="10">
        <f t="shared" si="9"/>
        <v>0.0020364339519312845</v>
      </c>
      <c r="G85" s="4">
        <f>500000</f>
        <v>500000</v>
      </c>
      <c r="H85" s="4"/>
      <c r="I85" s="4"/>
      <c r="J85" s="49">
        <f t="shared" si="10"/>
        <v>0.004649885391484825</v>
      </c>
    </row>
    <row r="86" spans="1:9" ht="12.75">
      <c r="A86" s="12" t="s">
        <v>25</v>
      </c>
      <c r="E86" s="4">
        <f>States!C31</f>
        <v>14377197</v>
      </c>
      <c r="H86" s="4">
        <f>G87</f>
        <v>27247</v>
      </c>
      <c r="I86" s="4">
        <f>E86-H86</f>
        <v>14349950</v>
      </c>
    </row>
    <row r="87" spans="1:10" ht="12.75">
      <c r="A87" s="1" t="s">
        <v>125</v>
      </c>
      <c r="B87" s="2">
        <v>319230</v>
      </c>
      <c r="C87" s="2">
        <v>605</v>
      </c>
      <c r="D87" s="3" t="s">
        <v>70</v>
      </c>
      <c r="E87" s="4"/>
      <c r="F87" s="10">
        <f>$C87/$B87</f>
        <v>0.0018951852896031075</v>
      </c>
      <c r="G87" s="4">
        <f>ROUND(+$E$86*F87,0)</f>
        <v>27247</v>
      </c>
      <c r="H87" s="4"/>
      <c r="I87" s="4"/>
      <c r="J87" s="49">
        <f>G87/E86</f>
        <v>0.0018951538328368179</v>
      </c>
    </row>
    <row r="88" spans="1:9" ht="12.75">
      <c r="A88" s="12" t="s">
        <v>27</v>
      </c>
      <c r="E88" s="4">
        <f>States!C33</f>
        <v>14351303</v>
      </c>
      <c r="F88" s="21">
        <f>SUM(F89:F94)</f>
        <v>0.174806</v>
      </c>
      <c r="H88" s="4">
        <f>SUM(G89:G94)</f>
        <v>2508693</v>
      </c>
      <c r="I88" s="4">
        <f>E88-H88</f>
        <v>11842610</v>
      </c>
    </row>
    <row r="89" spans="1:10" ht="12.75">
      <c r="A89" s="1" t="s">
        <v>126</v>
      </c>
      <c r="C89" s="11">
        <v>928</v>
      </c>
      <c r="D89" s="3" t="s">
        <v>66</v>
      </c>
      <c r="E89" s="4"/>
      <c r="F89" s="21">
        <v>0.038999</v>
      </c>
      <c r="G89" s="4">
        <f aca="true" t="shared" si="11" ref="G89:G94">ROUND(+$E$88*F89,0)</f>
        <v>559686</v>
      </c>
      <c r="H89" s="4"/>
      <c r="I89" s="21"/>
      <c r="J89" s="49">
        <f aca="true" t="shared" si="12" ref="J89:J94">G89/$E$88</f>
        <v>0.03899896755019387</v>
      </c>
    </row>
    <row r="90" spans="1:10" ht="12.75">
      <c r="A90" s="1" t="s">
        <v>127</v>
      </c>
      <c r="C90" s="11">
        <v>1135</v>
      </c>
      <c r="D90" s="3" t="s">
        <v>66</v>
      </c>
      <c r="E90" s="4"/>
      <c r="F90" s="21">
        <v>0.044521</v>
      </c>
      <c r="G90" s="4">
        <f t="shared" si="11"/>
        <v>638934</v>
      </c>
      <c r="H90" s="4"/>
      <c r="J90" s="49">
        <f t="shared" si="12"/>
        <v>0.04452097485503581</v>
      </c>
    </row>
    <row r="91" spans="1:10" ht="12.75">
      <c r="A91" s="1" t="s">
        <v>128</v>
      </c>
      <c r="C91" s="11">
        <v>246</v>
      </c>
      <c r="D91" s="3" t="s">
        <v>66</v>
      </c>
      <c r="E91" s="4"/>
      <c r="F91" s="21">
        <v>0.01139</v>
      </c>
      <c r="G91" s="4">
        <f t="shared" si="11"/>
        <v>163461</v>
      </c>
      <c r="H91" s="4"/>
      <c r="J91" s="49">
        <f t="shared" si="12"/>
        <v>0.011389976227245708</v>
      </c>
    </row>
    <row r="92" spans="1:10" ht="12.75">
      <c r="A92" s="1" t="s">
        <v>129</v>
      </c>
      <c r="C92" s="11">
        <v>871</v>
      </c>
      <c r="D92" s="3" t="s">
        <v>66</v>
      </c>
      <c r="E92" s="4"/>
      <c r="F92" s="21">
        <v>0.043658</v>
      </c>
      <c r="G92" s="4">
        <f t="shared" si="11"/>
        <v>626549</v>
      </c>
      <c r="H92" s="4"/>
      <c r="J92" s="49">
        <f t="shared" si="12"/>
        <v>0.043657987013444005</v>
      </c>
    </row>
    <row r="93" spans="1:10" ht="12.75">
      <c r="A93" s="1" t="s">
        <v>130</v>
      </c>
      <c r="C93" s="11">
        <v>381</v>
      </c>
      <c r="D93" s="3" t="s">
        <v>66</v>
      </c>
      <c r="E93" s="4"/>
      <c r="F93" s="21">
        <v>0.015703</v>
      </c>
      <c r="G93" s="4">
        <f t="shared" si="11"/>
        <v>225359</v>
      </c>
      <c r="H93" s="4"/>
      <c r="J93" s="49">
        <f t="shared" si="12"/>
        <v>0.015703034072934004</v>
      </c>
    </row>
    <row r="94" spans="1:10" ht="12.75">
      <c r="A94" s="1" t="s">
        <v>131</v>
      </c>
      <c r="C94" s="11">
        <v>536</v>
      </c>
      <c r="D94" s="3" t="s">
        <v>66</v>
      </c>
      <c r="E94" s="4"/>
      <c r="F94" s="21">
        <v>0.020535</v>
      </c>
      <c r="G94" s="4">
        <f t="shared" si="11"/>
        <v>294704</v>
      </c>
      <c r="H94" s="4"/>
      <c r="J94" s="49">
        <f t="shared" si="12"/>
        <v>0.020534999504923</v>
      </c>
    </row>
    <row r="95" spans="1:9" ht="12.75">
      <c r="A95" s="12" t="s">
        <v>28</v>
      </c>
      <c r="D95" s="3"/>
      <c r="E95" s="4">
        <f>States!C34</f>
        <v>17973100</v>
      </c>
      <c r="F95" s="21"/>
      <c r="G95" s="4"/>
      <c r="H95" s="19">
        <f>G96</f>
        <v>10000</v>
      </c>
      <c r="I95" s="4">
        <f>E95-H95</f>
        <v>17963100</v>
      </c>
    </row>
    <row r="96" spans="1:10" ht="12.75">
      <c r="A96" s="1" t="s">
        <v>132</v>
      </c>
      <c r="B96" s="11">
        <v>136572</v>
      </c>
      <c r="D96" s="3" t="s">
        <v>107</v>
      </c>
      <c r="E96" s="4"/>
      <c r="F96" s="22"/>
      <c r="G96" s="4">
        <v>10000</v>
      </c>
      <c r="H96" s="4"/>
      <c r="J96" s="49">
        <f>G96/E95</f>
        <v>0.0005563870450840423</v>
      </c>
    </row>
    <row r="97" spans="1:9" ht="12.75">
      <c r="A97" s="12" t="s">
        <v>31</v>
      </c>
      <c r="E97" s="4">
        <f>States!C37</f>
        <v>75987987</v>
      </c>
      <c r="G97" s="4"/>
      <c r="H97" s="4">
        <f>G98</f>
        <v>189980</v>
      </c>
      <c r="I97" s="4">
        <f>E97-H97</f>
        <v>75798007</v>
      </c>
    </row>
    <row r="98" spans="1:10" ht="12.75">
      <c r="A98" s="1" t="s">
        <v>133</v>
      </c>
      <c r="B98" s="2">
        <v>602367</v>
      </c>
      <c r="C98" s="2">
        <v>1506</v>
      </c>
      <c r="D98" s="3" t="s">
        <v>70</v>
      </c>
      <c r="E98" s="4"/>
      <c r="F98" s="10">
        <f>$C98/$B98</f>
        <v>0.002500136959694007</v>
      </c>
      <c r="G98" s="4">
        <f>ROUND(+$E$97*F98,0)</f>
        <v>189980</v>
      </c>
      <c r="H98" s="4"/>
      <c r="I98" s="4"/>
      <c r="J98" s="49">
        <f>G98/E97</f>
        <v>0.00250013202744797</v>
      </c>
    </row>
    <row r="99" spans="1:9" ht="12.75">
      <c r="A99" s="12" t="s">
        <v>32</v>
      </c>
      <c r="E99" s="4">
        <f>States!C38</f>
        <v>10153038</v>
      </c>
      <c r="F99" s="21"/>
      <c r="H99" s="4">
        <f>SUM(G100:G105)</f>
        <v>794871</v>
      </c>
      <c r="I99" s="4">
        <f>E99-H99</f>
        <v>9358167</v>
      </c>
    </row>
    <row r="100" spans="1:10" ht="12.75">
      <c r="A100" s="1" t="s">
        <v>134</v>
      </c>
      <c r="B100" s="2">
        <v>154990</v>
      </c>
      <c r="C100" s="2">
        <v>262</v>
      </c>
      <c r="D100" s="3" t="s">
        <v>70</v>
      </c>
      <c r="E100" s="4"/>
      <c r="F100" s="10">
        <f aca="true" t="shared" si="13" ref="F100:F105">$C100/$B100</f>
        <v>0.001690431640751016</v>
      </c>
      <c r="G100" s="4">
        <f aca="true" t="shared" si="14" ref="G100:G105">ROUND(+$E$99*F100,0)</f>
        <v>17163</v>
      </c>
      <c r="H100" s="4"/>
      <c r="I100" s="4"/>
      <c r="J100" s="49">
        <f aca="true" t="shared" si="15" ref="J100:J105">G100/$E$99</f>
        <v>0.0016904299974057025</v>
      </c>
    </row>
    <row r="101" spans="1:10" ht="12.75">
      <c r="A101" s="1" t="s">
        <v>135</v>
      </c>
      <c r="B101" s="2">
        <v>154990</v>
      </c>
      <c r="C101" s="2">
        <v>261</v>
      </c>
      <c r="D101" s="3" t="s">
        <v>70</v>
      </c>
      <c r="E101" s="4"/>
      <c r="F101" s="10">
        <f t="shared" si="13"/>
        <v>0.0016839796115878443</v>
      </c>
      <c r="G101" s="4">
        <f t="shared" si="14"/>
        <v>17098</v>
      </c>
      <c r="H101" s="4"/>
      <c r="I101" s="4"/>
      <c r="J101" s="49">
        <f t="shared" si="15"/>
        <v>0.001684027972711222</v>
      </c>
    </row>
    <row r="102" spans="1:10" ht="12.75">
      <c r="A102" s="1" t="s">
        <v>136</v>
      </c>
      <c r="B102" s="2">
        <v>154990</v>
      </c>
      <c r="C102" s="2">
        <v>9939</v>
      </c>
      <c r="D102" s="3" t="s">
        <v>70</v>
      </c>
      <c r="E102" s="4"/>
      <c r="F102" s="10">
        <f t="shared" si="13"/>
        <v>0.06412671785276469</v>
      </c>
      <c r="G102" s="4">
        <f t="shared" si="14"/>
        <v>651081</v>
      </c>
      <c r="H102" s="4"/>
      <c r="I102" s="4"/>
      <c r="J102" s="49">
        <f t="shared" si="15"/>
        <v>0.06412671754010967</v>
      </c>
    </row>
    <row r="103" spans="1:10" ht="12.75">
      <c r="A103" s="1" t="s">
        <v>227</v>
      </c>
      <c r="B103" s="2">
        <v>154990</v>
      </c>
      <c r="C103" s="2">
        <v>200</v>
      </c>
      <c r="D103" s="3" t="s">
        <v>70</v>
      </c>
      <c r="E103" s="4"/>
      <c r="F103" s="10">
        <f t="shared" si="13"/>
        <v>0.0012904058326343635</v>
      </c>
      <c r="G103" s="4">
        <f t="shared" si="14"/>
        <v>13102</v>
      </c>
      <c r="H103" s="4"/>
      <c r="I103" s="4"/>
      <c r="J103" s="49">
        <f t="shared" si="15"/>
        <v>0.0012904511930320758</v>
      </c>
    </row>
    <row r="104" spans="1:10" ht="12.75">
      <c r="A104" s="1" t="s">
        <v>237</v>
      </c>
      <c r="B104" s="2">
        <v>154990</v>
      </c>
      <c r="C104" s="2">
        <v>520</v>
      </c>
      <c r="D104" s="3" t="s">
        <v>70</v>
      </c>
      <c r="E104" s="4"/>
      <c r="F104" s="10">
        <f t="shared" si="13"/>
        <v>0.003355055164849345</v>
      </c>
      <c r="G104" s="4">
        <f t="shared" si="14"/>
        <v>34064</v>
      </c>
      <c r="H104" s="4"/>
      <c r="I104" s="4"/>
      <c r="J104" s="49">
        <f t="shared" si="15"/>
        <v>0.003355054910658268</v>
      </c>
    </row>
    <row r="105" spans="1:10" ht="12.75">
      <c r="A105" s="1" t="s">
        <v>137</v>
      </c>
      <c r="B105" s="2">
        <v>154990</v>
      </c>
      <c r="C105" s="2">
        <v>952</v>
      </c>
      <c r="D105" s="3" t="s">
        <v>70</v>
      </c>
      <c r="E105" s="4"/>
      <c r="F105" s="10">
        <f t="shared" si="13"/>
        <v>0.00614233176333957</v>
      </c>
      <c r="G105" s="4">
        <f t="shared" si="14"/>
        <v>62363</v>
      </c>
      <c r="H105" s="4"/>
      <c r="I105" s="4"/>
      <c r="J105" s="49">
        <f t="shared" si="15"/>
        <v>0.00614229947725991</v>
      </c>
    </row>
    <row r="106" spans="1:9" ht="12.75">
      <c r="A106" s="12" t="s">
        <v>33</v>
      </c>
      <c r="E106" s="4">
        <f>States!C39</f>
        <v>248112273</v>
      </c>
      <c r="H106" s="4">
        <f>SUM(G107:G108)</f>
        <v>404188</v>
      </c>
      <c r="I106" s="4">
        <f>E106-H106</f>
        <v>247708085</v>
      </c>
    </row>
    <row r="107" spans="1:10" ht="12.75">
      <c r="A107" s="1" t="s">
        <v>138</v>
      </c>
      <c r="B107" s="2">
        <v>1622237</v>
      </c>
      <c r="C107" s="2">
        <v>547</v>
      </c>
      <c r="D107" s="3" t="s">
        <v>64</v>
      </c>
      <c r="E107" s="4"/>
      <c r="F107" s="10">
        <f>$C107/$B107</f>
        <v>0.000337188709171348</v>
      </c>
      <c r="G107" s="4">
        <f>ROUND(+$E$106*$F107,0)+117846</f>
        <v>201507</v>
      </c>
      <c r="H107" s="4"/>
      <c r="I107" s="4"/>
      <c r="J107" s="49">
        <f>G107/$E$106</f>
        <v>0.0008121605495911926</v>
      </c>
    </row>
    <row r="108" spans="1:10" ht="12.75">
      <c r="A108" s="1" t="s">
        <v>139</v>
      </c>
      <c r="B108" s="2">
        <v>1622237</v>
      </c>
      <c r="C108" s="2">
        <v>317</v>
      </c>
      <c r="D108" s="3" t="s">
        <v>64</v>
      </c>
      <c r="E108" s="4"/>
      <c r="F108" s="10">
        <f>$C108/$B108</f>
        <v>0.0001954091788067958</v>
      </c>
      <c r="G108" s="4">
        <f>ROUND(+$E$106*$F108,0)+154198</f>
        <v>202681</v>
      </c>
      <c r="H108" s="4"/>
      <c r="I108" s="4"/>
      <c r="J108" s="49">
        <f>G108/$E$106</f>
        <v>0.0008168922784404139</v>
      </c>
    </row>
    <row r="109" spans="1:9" ht="12.75">
      <c r="A109" s="12" t="s">
        <v>34</v>
      </c>
      <c r="E109" s="4">
        <f>States!C40</f>
        <v>36976258</v>
      </c>
      <c r="H109" s="4">
        <f>G110</f>
        <v>657597</v>
      </c>
      <c r="I109" s="4">
        <f>E109-H109</f>
        <v>36318661</v>
      </c>
    </row>
    <row r="110" spans="1:10" ht="12.75">
      <c r="A110" s="1" t="s">
        <v>140</v>
      </c>
      <c r="B110" s="2">
        <v>618221</v>
      </c>
      <c r="C110" s="2">
        <v>6441</v>
      </c>
      <c r="D110" s="3" t="s">
        <v>66</v>
      </c>
      <c r="E110" s="4"/>
      <c r="F110" s="10">
        <v>0.01778431</v>
      </c>
      <c r="G110" s="4">
        <f>ROUND(+$E$109*$F110,0)</f>
        <v>657597</v>
      </c>
      <c r="H110" s="4"/>
      <c r="I110" s="4"/>
      <c r="J110" s="49">
        <f>G110/E109</f>
        <v>0.01778430364695097</v>
      </c>
    </row>
    <row r="111" spans="1:9" ht="12.75">
      <c r="A111" s="12" t="s">
        <v>35</v>
      </c>
      <c r="D111" s="1" t="s">
        <v>1</v>
      </c>
      <c r="E111" s="4">
        <f>States!C41</f>
        <v>15589857</v>
      </c>
      <c r="F111" s="21">
        <f>SUM(F112:F115)</f>
        <v>0.182</v>
      </c>
      <c r="H111" s="4">
        <f>SUM(G112:G115)</f>
        <v>2837355</v>
      </c>
      <c r="I111" s="4">
        <f>E111-H111</f>
        <v>12752502</v>
      </c>
    </row>
    <row r="112" spans="1:10" ht="12.75">
      <c r="A112" s="1" t="s">
        <v>141</v>
      </c>
      <c r="D112" s="3" t="s">
        <v>66</v>
      </c>
      <c r="E112" s="4"/>
      <c r="F112" s="23">
        <v>0.0402</v>
      </c>
      <c r="G112" s="4">
        <f>ROUND(+$E$111*F112,0)</f>
        <v>626712</v>
      </c>
      <c r="H112" s="4"/>
      <c r="I112" s="4"/>
      <c r="J112" s="49">
        <f>G112/$E$111</f>
        <v>0.04019998387413047</v>
      </c>
    </row>
    <row r="113" spans="1:10" ht="12.75">
      <c r="A113" s="1" t="s">
        <v>142</v>
      </c>
      <c r="D113" s="3" t="s">
        <v>66</v>
      </c>
      <c r="E113" s="4"/>
      <c r="F113" s="23">
        <v>0.0314</v>
      </c>
      <c r="G113" s="4">
        <f>ROUND(+$E$111*F113,0)</f>
        <v>489522</v>
      </c>
      <c r="H113" s="4"/>
      <c r="I113" s="4"/>
      <c r="J113" s="49">
        <f>G113/$E$111</f>
        <v>0.031400031443521256</v>
      </c>
    </row>
    <row r="114" spans="1:10" ht="12.75">
      <c r="A114" s="1" t="s">
        <v>143</v>
      </c>
      <c r="D114" s="3" t="s">
        <v>66</v>
      </c>
      <c r="E114" s="4"/>
      <c r="F114" s="23">
        <v>0.0301</v>
      </c>
      <c r="G114" s="4">
        <f>ROUND(+$E$111*F114,0)</f>
        <v>469255</v>
      </c>
      <c r="H114" s="4"/>
      <c r="I114" s="4"/>
      <c r="J114" s="49">
        <f>G114/$E$111</f>
        <v>0.030100019519101427</v>
      </c>
    </row>
    <row r="115" spans="1:10" ht="12.75">
      <c r="A115" s="1" t="s">
        <v>144</v>
      </c>
      <c r="D115" s="3" t="s">
        <v>66</v>
      </c>
      <c r="E115" s="4"/>
      <c r="F115" s="23">
        <v>0.0803</v>
      </c>
      <c r="G115" s="4">
        <f>ROUND(+$E$111*F115,0)</f>
        <v>1251866</v>
      </c>
      <c r="H115" s="4"/>
      <c r="I115" s="4"/>
      <c r="J115" s="49">
        <f>G115/$E$111</f>
        <v>0.08030003097526808</v>
      </c>
    </row>
    <row r="116" spans="1:9" ht="12.75">
      <c r="A116" s="12" t="s">
        <v>37</v>
      </c>
      <c r="E116" s="4">
        <f>States!C43</f>
        <v>15414567</v>
      </c>
      <c r="F116" s="21"/>
      <c r="H116" s="4">
        <f>SUM(G117:G147)</f>
        <v>1410591</v>
      </c>
      <c r="I116" s="4">
        <f>E116-H116</f>
        <v>14003976</v>
      </c>
    </row>
    <row r="117" spans="1:10" ht="12.75">
      <c r="A117" s="1" t="s">
        <v>145</v>
      </c>
      <c r="B117" s="2">
        <v>334782</v>
      </c>
      <c r="C117" s="2">
        <v>195</v>
      </c>
      <c r="D117" s="20" t="s">
        <v>64</v>
      </c>
      <c r="E117" s="4"/>
      <c r="F117" s="10">
        <f aca="true" t="shared" si="16" ref="F117:F122">$C117/$B117</f>
        <v>0.0005824685915013352</v>
      </c>
      <c r="G117" s="4">
        <f aca="true" t="shared" si="17" ref="G117:G126">ROUND(MAXA(+$E$116*$F117,4000),0)</f>
        <v>8979</v>
      </c>
      <c r="H117" s="4"/>
      <c r="I117" s="4"/>
      <c r="J117" s="49">
        <f>G117/$E$116</f>
        <v>0.0005825009551030529</v>
      </c>
    </row>
    <row r="118" spans="1:10" ht="12.75">
      <c r="A118" s="1" t="s">
        <v>146</v>
      </c>
      <c r="B118" s="2">
        <v>334782</v>
      </c>
      <c r="C118" s="2">
        <v>125</v>
      </c>
      <c r="D118" s="20" t="s">
        <v>64</v>
      </c>
      <c r="E118" s="4"/>
      <c r="F118" s="10">
        <f t="shared" si="16"/>
        <v>0.00037337730224444566</v>
      </c>
      <c r="G118" s="4">
        <f t="shared" si="17"/>
        <v>5755</v>
      </c>
      <c r="H118" s="4"/>
      <c r="I118" s="4"/>
      <c r="J118" s="49">
        <f aca="true" t="shared" si="18" ref="J118:J147">G118/$E$116</f>
        <v>0.00037334814529658863</v>
      </c>
    </row>
    <row r="119" spans="1:10" ht="12.75">
      <c r="A119" s="1" t="s">
        <v>147</v>
      </c>
      <c r="B119" s="2">
        <v>334782</v>
      </c>
      <c r="C119" s="2">
        <v>168</v>
      </c>
      <c r="D119" s="20" t="s">
        <v>64</v>
      </c>
      <c r="E119" s="4"/>
      <c r="F119" s="10">
        <f t="shared" si="16"/>
        <v>0.000501819094216535</v>
      </c>
      <c r="G119" s="4">
        <f t="shared" si="17"/>
        <v>7735</v>
      </c>
      <c r="H119" s="4"/>
      <c r="I119" s="4"/>
      <c r="J119" s="49">
        <f t="shared" si="18"/>
        <v>0.0005017980719147025</v>
      </c>
    </row>
    <row r="120" spans="1:10" ht="12.75">
      <c r="A120" s="1" t="s">
        <v>148</v>
      </c>
      <c r="B120" s="2">
        <v>334782</v>
      </c>
      <c r="C120" s="2">
        <v>196</v>
      </c>
      <c r="D120" s="20" t="s">
        <v>64</v>
      </c>
      <c r="E120" s="4"/>
      <c r="F120" s="10">
        <f t="shared" si="16"/>
        <v>0.0005854556099192908</v>
      </c>
      <c r="G120" s="4">
        <f t="shared" si="17"/>
        <v>9025</v>
      </c>
      <c r="H120" s="4"/>
      <c r="I120" s="4"/>
      <c r="J120" s="49">
        <f t="shared" si="18"/>
        <v>0.0005854851453174131</v>
      </c>
    </row>
    <row r="121" spans="1:10" ht="12.75">
      <c r="A121" s="1" t="s">
        <v>149</v>
      </c>
      <c r="B121" s="2">
        <v>334782</v>
      </c>
      <c r="C121" s="2">
        <v>12117</v>
      </c>
      <c r="D121" s="20" t="s">
        <v>64</v>
      </c>
      <c r="E121" s="4"/>
      <c r="F121" s="10">
        <f t="shared" si="16"/>
        <v>0.03619370217036758</v>
      </c>
      <c r="G121" s="4">
        <f t="shared" si="17"/>
        <v>557910</v>
      </c>
      <c r="H121" s="4"/>
      <c r="I121" s="24" t="s">
        <v>1</v>
      </c>
      <c r="J121" s="49">
        <f t="shared" si="18"/>
        <v>0.036193686141167636</v>
      </c>
    </row>
    <row r="122" spans="1:10" ht="12.75">
      <c r="A122" s="1" t="s">
        <v>150</v>
      </c>
      <c r="B122" s="2">
        <v>334782</v>
      </c>
      <c r="C122" s="2">
        <v>635</v>
      </c>
      <c r="D122" s="20" t="s">
        <v>64</v>
      </c>
      <c r="E122" s="4"/>
      <c r="F122" s="10">
        <f t="shared" si="16"/>
        <v>0.0018967566954017838</v>
      </c>
      <c r="G122" s="4">
        <f t="shared" si="17"/>
        <v>29238</v>
      </c>
      <c r="H122" s="4"/>
      <c r="I122" s="4"/>
      <c r="J122" s="49">
        <f t="shared" si="18"/>
        <v>0.0018967772497274818</v>
      </c>
    </row>
    <row r="123" spans="1:10" ht="12.75">
      <c r="A123" s="1" t="s">
        <v>151</v>
      </c>
      <c r="B123" s="2">
        <v>334782</v>
      </c>
      <c r="C123" s="2">
        <v>1377</v>
      </c>
      <c r="D123" s="3" t="s">
        <v>66</v>
      </c>
      <c r="E123" s="4"/>
      <c r="F123" s="10">
        <v>0.00487272</v>
      </c>
      <c r="G123" s="4">
        <f t="shared" si="17"/>
        <v>75111</v>
      </c>
      <c r="H123" s="4"/>
      <c r="I123" s="4"/>
      <c r="J123" s="49">
        <f t="shared" si="18"/>
        <v>0.004872728504148056</v>
      </c>
    </row>
    <row r="124" spans="1:10" ht="12.75">
      <c r="A124" s="1" t="s">
        <v>152</v>
      </c>
      <c r="B124" s="2">
        <v>334782</v>
      </c>
      <c r="C124" s="2">
        <v>4412</v>
      </c>
      <c r="D124" s="3" t="s">
        <v>66</v>
      </c>
      <c r="E124" s="4"/>
      <c r="F124" s="10">
        <v>0.01368002</v>
      </c>
      <c r="G124" s="4">
        <f t="shared" si="17"/>
        <v>210872</v>
      </c>
      <c r="H124" s="4"/>
      <c r="I124" s="24" t="s">
        <v>1</v>
      </c>
      <c r="J124" s="49">
        <f t="shared" si="18"/>
        <v>0.013680046932229753</v>
      </c>
    </row>
    <row r="125" spans="1:10" ht="12.75">
      <c r="A125" s="1" t="s">
        <v>153</v>
      </c>
      <c r="B125" s="2">
        <v>334782</v>
      </c>
      <c r="C125" s="2">
        <v>256</v>
      </c>
      <c r="D125" s="20" t="s">
        <v>64</v>
      </c>
      <c r="E125" s="4"/>
      <c r="F125" s="10">
        <f>$C125/$B125</f>
        <v>0.0007646767149966247</v>
      </c>
      <c r="G125" s="4">
        <f t="shared" si="17"/>
        <v>11787</v>
      </c>
      <c r="H125" s="4"/>
      <c r="I125" s="4"/>
      <c r="J125" s="49">
        <f t="shared" si="18"/>
        <v>0.0007646663055796508</v>
      </c>
    </row>
    <row r="126" spans="1:10" ht="12.75">
      <c r="A126" s="1" t="s">
        <v>154</v>
      </c>
      <c r="B126" s="2">
        <v>334782</v>
      </c>
      <c r="C126" s="2">
        <v>696</v>
      </c>
      <c r="D126" s="3" t="s">
        <v>66</v>
      </c>
      <c r="E126" s="4"/>
      <c r="F126" s="10">
        <v>0.00218432</v>
      </c>
      <c r="G126" s="4">
        <f t="shared" si="17"/>
        <v>33670</v>
      </c>
      <c r="H126" s="4"/>
      <c r="I126" s="4"/>
      <c r="J126" s="49">
        <f t="shared" si="18"/>
        <v>0.002184297489511058</v>
      </c>
    </row>
    <row r="127" spans="1:10" ht="12.75">
      <c r="A127" s="1" t="s">
        <v>155</v>
      </c>
      <c r="B127" s="2">
        <v>334782</v>
      </c>
      <c r="C127" s="2"/>
      <c r="D127" s="3" t="s">
        <v>107</v>
      </c>
      <c r="E127" s="4"/>
      <c r="F127" s="10"/>
      <c r="G127" s="4">
        <f>4000</f>
        <v>4000</v>
      </c>
      <c r="H127" s="4"/>
      <c r="I127" s="4"/>
      <c r="J127" s="49">
        <f t="shared" si="18"/>
        <v>0.0002594948012487149</v>
      </c>
    </row>
    <row r="128" spans="1:10" ht="12.75">
      <c r="A128" s="1" t="s">
        <v>156</v>
      </c>
      <c r="B128" s="2">
        <v>334782</v>
      </c>
      <c r="C128" s="2"/>
      <c r="D128" s="3" t="s">
        <v>107</v>
      </c>
      <c r="E128" s="4"/>
      <c r="F128" s="10"/>
      <c r="G128" s="4">
        <f>4000</f>
        <v>4000</v>
      </c>
      <c r="H128" s="4"/>
      <c r="I128" s="4"/>
      <c r="J128" s="49">
        <f t="shared" si="18"/>
        <v>0.0002594948012487149</v>
      </c>
    </row>
    <row r="129" spans="1:10" ht="12.75">
      <c r="A129" s="1" t="s">
        <v>157</v>
      </c>
      <c r="B129" s="2">
        <v>334782</v>
      </c>
      <c r="C129" s="2">
        <v>170</v>
      </c>
      <c r="D129" s="20" t="s">
        <v>64</v>
      </c>
      <c r="F129" s="10">
        <f>$C129/$B129</f>
        <v>0.0005077931310524461</v>
      </c>
      <c r="G129" s="4">
        <f aca="true" t="shared" si="19" ref="G129:G142">ROUND(MAXA(+$E$116*$F129,4000),0)</f>
        <v>7827</v>
      </c>
      <c r="H129" s="4"/>
      <c r="J129" s="49">
        <f t="shared" si="18"/>
        <v>0.0005077664523434229</v>
      </c>
    </row>
    <row r="130" spans="1:10" ht="12.75">
      <c r="A130" s="1" t="s">
        <v>238</v>
      </c>
      <c r="B130" s="2">
        <v>334782</v>
      </c>
      <c r="C130" s="2">
        <v>612</v>
      </c>
      <c r="D130" s="20" t="s">
        <v>64</v>
      </c>
      <c r="F130" s="10">
        <f>$C130/$B130</f>
        <v>0.0018280552717888057</v>
      </c>
      <c r="G130" s="4">
        <f t="shared" si="19"/>
        <v>28179</v>
      </c>
      <c r="H130" s="4"/>
      <c r="J130" s="49">
        <f t="shared" si="18"/>
        <v>0.0018280760010968846</v>
      </c>
    </row>
    <row r="131" spans="1:10" ht="12.75">
      <c r="A131" s="1" t="s">
        <v>158</v>
      </c>
      <c r="B131" s="2">
        <v>334782</v>
      </c>
      <c r="C131" s="2">
        <v>100</v>
      </c>
      <c r="D131" s="20" t="s">
        <v>64</v>
      </c>
      <c r="E131" s="4"/>
      <c r="F131" s="10">
        <f>$C131/$B131</f>
        <v>0.0002987018417955565</v>
      </c>
      <c r="G131" s="4">
        <f t="shared" si="19"/>
        <v>4604</v>
      </c>
      <c r="H131" s="4"/>
      <c r="I131" s="4"/>
      <c r="J131" s="49">
        <f t="shared" si="18"/>
        <v>0.0002986785162372709</v>
      </c>
    </row>
    <row r="132" spans="1:10" ht="12.75">
      <c r="A132" s="1" t="s">
        <v>159</v>
      </c>
      <c r="B132" s="2">
        <v>334782</v>
      </c>
      <c r="C132" s="1" t="s">
        <v>1</v>
      </c>
      <c r="D132" s="20" t="s">
        <v>107</v>
      </c>
      <c r="F132" s="10"/>
      <c r="G132" s="4">
        <f t="shared" si="19"/>
        <v>4000</v>
      </c>
      <c r="H132" s="4"/>
      <c r="J132" s="49">
        <f t="shared" si="18"/>
        <v>0.0002594948012487149</v>
      </c>
    </row>
    <row r="133" spans="1:10" ht="12.75">
      <c r="A133" s="1" t="s">
        <v>160</v>
      </c>
      <c r="B133" s="2">
        <v>334782</v>
      </c>
      <c r="C133" s="2">
        <v>3057</v>
      </c>
      <c r="D133" s="20" t="s">
        <v>64</v>
      </c>
      <c r="E133" s="4"/>
      <c r="F133" s="10">
        <f>$C133/$B133</f>
        <v>0.009131315303690163</v>
      </c>
      <c r="G133" s="4">
        <f t="shared" si="19"/>
        <v>140755</v>
      </c>
      <c r="H133" s="4"/>
      <c r="I133" s="4"/>
      <c r="J133" s="49">
        <f t="shared" si="18"/>
        <v>0.009131297687440717</v>
      </c>
    </row>
    <row r="134" spans="1:10" ht="12.75">
      <c r="A134" s="1" t="s">
        <v>161</v>
      </c>
      <c r="B134" s="2">
        <v>334782</v>
      </c>
      <c r="C134" s="2">
        <v>678</v>
      </c>
      <c r="D134" s="3" t="s">
        <v>66</v>
      </c>
      <c r="E134" s="4"/>
      <c r="F134" s="10">
        <v>0.00345851</v>
      </c>
      <c r="G134" s="4">
        <f t="shared" si="19"/>
        <v>53311</v>
      </c>
      <c r="H134" s="4"/>
      <c r="I134" s="4"/>
      <c r="J134" s="49">
        <f t="shared" si="18"/>
        <v>0.0034584818373425605</v>
      </c>
    </row>
    <row r="135" spans="1:10" ht="12.75">
      <c r="A135" s="1" t="s">
        <v>162</v>
      </c>
      <c r="B135" s="2">
        <v>334782</v>
      </c>
      <c r="C135" s="2">
        <v>92</v>
      </c>
      <c r="D135" s="20" t="s">
        <v>64</v>
      </c>
      <c r="E135" s="4"/>
      <c r="F135" s="10">
        <f>$C135/$B135</f>
        <v>0.000274805694451912</v>
      </c>
      <c r="G135" s="4">
        <f t="shared" si="19"/>
        <v>4236</v>
      </c>
      <c r="H135" s="4"/>
      <c r="I135" s="4"/>
      <c r="J135" s="49">
        <f t="shared" si="18"/>
        <v>0.0002748049945223891</v>
      </c>
    </row>
    <row r="136" spans="1:10" ht="12.75">
      <c r="A136" s="1" t="s">
        <v>163</v>
      </c>
      <c r="B136" s="2">
        <v>334782</v>
      </c>
      <c r="C136" s="2">
        <v>23</v>
      </c>
      <c r="D136" s="20" t="s">
        <v>64</v>
      </c>
      <c r="E136" s="4"/>
      <c r="F136" s="10">
        <f>$C136/$B136</f>
        <v>6.8701423612978E-05</v>
      </c>
      <c r="G136" s="4">
        <f t="shared" si="19"/>
        <v>4000</v>
      </c>
      <c r="H136" s="4"/>
      <c r="I136" s="4"/>
      <c r="J136" s="49">
        <f t="shared" si="18"/>
        <v>0.0002594948012487149</v>
      </c>
    </row>
    <row r="137" spans="1:10" ht="12.75">
      <c r="A137" s="1" t="s">
        <v>164</v>
      </c>
      <c r="B137" s="2">
        <v>334782</v>
      </c>
      <c r="C137" s="2">
        <v>104</v>
      </c>
      <c r="D137" s="20" t="s">
        <v>64</v>
      </c>
      <c r="E137" s="4"/>
      <c r="F137" s="10">
        <f>$C137/$B137</f>
        <v>0.0003106499154673788</v>
      </c>
      <c r="G137" s="4">
        <f t="shared" si="19"/>
        <v>4789</v>
      </c>
      <c r="H137" s="4"/>
      <c r="I137" s="4"/>
      <c r="J137" s="49">
        <f t="shared" si="18"/>
        <v>0.00031068015079502396</v>
      </c>
    </row>
    <row r="138" spans="1:10" ht="12.75">
      <c r="A138" s="1" t="s">
        <v>165</v>
      </c>
      <c r="B138" s="2">
        <v>334782</v>
      </c>
      <c r="C138" s="2">
        <v>225</v>
      </c>
      <c r="D138" s="20" t="s">
        <v>64</v>
      </c>
      <c r="F138" s="10">
        <f>$C138/$B138</f>
        <v>0.0006720791440400022</v>
      </c>
      <c r="G138" s="4">
        <f t="shared" si="19"/>
        <v>10360</v>
      </c>
      <c r="H138" s="4"/>
      <c r="J138" s="49">
        <f t="shared" si="18"/>
        <v>0.0006720915352341716</v>
      </c>
    </row>
    <row r="139" spans="1:10" ht="12.75">
      <c r="A139" s="1" t="s">
        <v>166</v>
      </c>
      <c r="B139" s="2">
        <v>334782</v>
      </c>
      <c r="C139" s="2">
        <v>246</v>
      </c>
      <c r="D139" s="20" t="s">
        <v>64</v>
      </c>
      <c r="F139" s="10">
        <f>$C139/$B139</f>
        <v>0.000734806530817069</v>
      </c>
      <c r="G139" s="4">
        <f t="shared" si="19"/>
        <v>11327</v>
      </c>
      <c r="H139" s="4"/>
      <c r="J139" s="49">
        <f t="shared" si="18"/>
        <v>0.0007348244034360485</v>
      </c>
    </row>
    <row r="140" spans="1:10" ht="12.75">
      <c r="A140" s="1" t="s">
        <v>167</v>
      </c>
      <c r="B140" s="2">
        <v>334782</v>
      </c>
      <c r="C140" s="2">
        <v>194</v>
      </c>
      <c r="D140" s="3" t="s">
        <v>66</v>
      </c>
      <c r="E140" s="4"/>
      <c r="F140" s="10">
        <v>0.0006441</v>
      </c>
      <c r="G140" s="4">
        <f t="shared" si="19"/>
        <v>9929</v>
      </c>
      <c r="H140" s="4"/>
      <c r="I140" s="4"/>
      <c r="J140" s="49">
        <f t="shared" si="18"/>
        <v>0.0006441309703996227</v>
      </c>
    </row>
    <row r="141" spans="1:10" ht="12.75">
      <c r="A141" s="1" t="s">
        <v>168</v>
      </c>
      <c r="B141" s="2">
        <v>334782</v>
      </c>
      <c r="C141" s="2">
        <v>606</v>
      </c>
      <c r="D141" s="20" t="s">
        <v>64</v>
      </c>
      <c r="E141" s="4"/>
      <c r="F141" s="10">
        <f>$C141/$B141</f>
        <v>0.0018101331612810725</v>
      </c>
      <c r="G141" s="4">
        <f t="shared" si="19"/>
        <v>27902</v>
      </c>
      <c r="H141" s="4"/>
      <c r="I141" s="4"/>
      <c r="J141" s="49">
        <f t="shared" si="18"/>
        <v>0.001810105986110411</v>
      </c>
    </row>
    <row r="142" spans="1:10" ht="12.75">
      <c r="A142" s="1" t="s">
        <v>169</v>
      </c>
      <c r="B142" s="2">
        <v>334782</v>
      </c>
      <c r="C142" s="2">
        <v>119</v>
      </c>
      <c r="D142" s="20" t="s">
        <v>64</v>
      </c>
      <c r="E142" s="4"/>
      <c r="F142" s="10">
        <f>$C142/$B142</f>
        <v>0.00035545519173671225</v>
      </c>
      <c r="G142" s="4">
        <f t="shared" si="19"/>
        <v>5479</v>
      </c>
      <c r="H142" s="4"/>
      <c r="I142" s="4"/>
      <c r="J142" s="49">
        <f t="shared" si="18"/>
        <v>0.0003554430040104273</v>
      </c>
    </row>
    <row r="143" spans="1:10" ht="12.75">
      <c r="A143" s="1" t="s">
        <v>170</v>
      </c>
      <c r="B143" s="2">
        <v>334782</v>
      </c>
      <c r="C143" s="2"/>
      <c r="D143" s="3" t="s">
        <v>107</v>
      </c>
      <c r="E143" s="4"/>
      <c r="F143" s="10"/>
      <c r="G143" s="4">
        <f>4000</f>
        <v>4000</v>
      </c>
      <c r="H143" s="4"/>
      <c r="I143" s="4"/>
      <c r="J143" s="49">
        <f t="shared" si="18"/>
        <v>0.0002594948012487149</v>
      </c>
    </row>
    <row r="144" spans="1:10" ht="12.75">
      <c r="A144" s="1" t="s">
        <v>171</v>
      </c>
      <c r="B144" s="2">
        <v>334782</v>
      </c>
      <c r="C144" s="2">
        <v>34</v>
      </c>
      <c r="D144" s="20" t="s">
        <v>64</v>
      </c>
      <c r="E144" s="4"/>
      <c r="F144" s="10">
        <f>$C144/$B144</f>
        <v>0.00010155862621048922</v>
      </c>
      <c r="G144" s="4">
        <f>ROUND(MAXA(+$E$116*$F144,4000),0)</f>
        <v>4000</v>
      </c>
      <c r="H144" s="4"/>
      <c r="I144" s="4"/>
      <c r="J144" s="49">
        <f t="shared" si="18"/>
        <v>0.0002594948012487149</v>
      </c>
    </row>
    <row r="145" spans="1:10" ht="12.75">
      <c r="A145" s="1" t="s">
        <v>172</v>
      </c>
      <c r="B145" s="2">
        <v>334782</v>
      </c>
      <c r="C145" s="2">
        <v>2600</v>
      </c>
      <c r="D145" s="20" t="s">
        <v>64</v>
      </c>
      <c r="E145" s="4"/>
      <c r="F145" s="10">
        <f>$C145/$B145</f>
        <v>0.007766247886684469</v>
      </c>
      <c r="G145" s="4">
        <f>ROUND(MAXA(+$E$116*$F145,4000),0)</f>
        <v>119713</v>
      </c>
      <c r="H145" s="4"/>
      <c r="I145" s="4"/>
      <c r="J145" s="49">
        <f t="shared" si="18"/>
        <v>0.007766225285471853</v>
      </c>
    </row>
    <row r="146" spans="1:10" ht="12.75">
      <c r="A146" s="1" t="s">
        <v>173</v>
      </c>
      <c r="B146" s="2">
        <v>334782</v>
      </c>
      <c r="C146" s="2">
        <v>89</v>
      </c>
      <c r="D146" s="20" t="s">
        <v>64</v>
      </c>
      <c r="E146" s="4"/>
      <c r="F146" s="10">
        <f>$C146/$B146</f>
        <v>0.0002658446391980453</v>
      </c>
      <c r="G146" s="4">
        <f>ROUND(MAXA(+$E$116*$F146,4000),0)</f>
        <v>4098</v>
      </c>
      <c r="H146" s="4"/>
      <c r="I146" s="4"/>
      <c r="J146" s="49">
        <f t="shared" si="18"/>
        <v>0.00026585242387930846</v>
      </c>
    </row>
    <row r="147" spans="1:10" ht="12.75">
      <c r="A147" s="1" t="s">
        <v>239</v>
      </c>
      <c r="B147" s="2">
        <v>334782</v>
      </c>
      <c r="C147" s="2">
        <v>75</v>
      </c>
      <c r="D147" s="20" t="s">
        <v>64</v>
      </c>
      <c r="E147" s="4"/>
      <c r="F147" s="10">
        <f>$C147/$B147</f>
        <v>0.00022402638134666738</v>
      </c>
      <c r="G147" s="4">
        <f>ROUND(MAXA(+$E$116*$F147,4000),0)</f>
        <v>4000</v>
      </c>
      <c r="H147" s="4"/>
      <c r="I147" s="4"/>
      <c r="J147" s="49">
        <f t="shared" si="18"/>
        <v>0.0002594948012487149</v>
      </c>
    </row>
    <row r="148" spans="1:9" ht="12.75">
      <c r="A148" s="12" t="s">
        <v>38</v>
      </c>
      <c r="D148" s="1" t="s">
        <v>1</v>
      </c>
      <c r="E148" s="4">
        <f>States!C44</f>
        <v>24311035</v>
      </c>
      <c r="F148" s="10" t="s">
        <v>1</v>
      </c>
      <c r="H148" s="4">
        <f>SUM(G149:G154)</f>
        <v>567352</v>
      </c>
      <c r="I148" s="4">
        <f>E148-H148</f>
        <v>23743683</v>
      </c>
    </row>
    <row r="149" spans="1:10" ht="12.75">
      <c r="A149" s="1" t="s">
        <v>243</v>
      </c>
      <c r="B149" s="2">
        <v>239405</v>
      </c>
      <c r="C149" s="11">
        <v>120</v>
      </c>
      <c r="D149" s="3" t="s">
        <v>107</v>
      </c>
      <c r="E149" s="4"/>
      <c r="F149" s="10"/>
      <c r="G149" s="4">
        <v>37000</v>
      </c>
      <c r="H149" s="4"/>
      <c r="I149" s="4"/>
      <c r="J149" s="49">
        <f aca="true" t="shared" si="20" ref="J149:J154">G149/$E$148</f>
        <v>0.0015219426075442695</v>
      </c>
    </row>
    <row r="150" spans="1:10" ht="12.75">
      <c r="A150" s="1" t="s">
        <v>174</v>
      </c>
      <c r="B150" s="2">
        <v>239405</v>
      </c>
      <c r="D150" s="3" t="s">
        <v>107</v>
      </c>
      <c r="E150" s="4"/>
      <c r="F150" s="10">
        <f>$C150/$B150</f>
        <v>0</v>
      </c>
      <c r="G150" s="4">
        <f>118845</f>
        <v>118845</v>
      </c>
      <c r="H150" s="4"/>
      <c r="I150" s="4"/>
      <c r="J150" s="49">
        <f t="shared" si="20"/>
        <v>0.004888520789016182</v>
      </c>
    </row>
    <row r="151" spans="1:10" ht="12.75">
      <c r="A151" s="1" t="s">
        <v>228</v>
      </c>
      <c r="B151" s="2">
        <v>239405</v>
      </c>
      <c r="C151" s="11">
        <v>150</v>
      </c>
      <c r="D151" s="20" t="s">
        <v>107</v>
      </c>
      <c r="E151" s="4"/>
      <c r="F151" s="10">
        <f>$C151/$B151</f>
        <v>0.0006265533301309497</v>
      </c>
      <c r="G151" s="4">
        <f>114665</f>
        <v>114665</v>
      </c>
      <c r="H151" s="4"/>
      <c r="I151" s="4"/>
      <c r="J151" s="49">
        <f t="shared" si="20"/>
        <v>0.0047165824079476665</v>
      </c>
    </row>
    <row r="152" spans="1:10" ht="12.75">
      <c r="A152" s="1" t="s">
        <v>175</v>
      </c>
      <c r="B152" s="2">
        <v>239405</v>
      </c>
      <c r="D152" s="3" t="s">
        <v>107</v>
      </c>
      <c r="E152" s="4"/>
      <c r="F152" s="10"/>
      <c r="G152" s="4">
        <f>114665</f>
        <v>114665</v>
      </c>
      <c r="H152" s="4"/>
      <c r="I152" s="4"/>
      <c r="J152" s="49">
        <f t="shared" si="20"/>
        <v>0.0047165824079476665</v>
      </c>
    </row>
    <row r="153" spans="1:10" ht="12.75">
      <c r="A153" s="1" t="s">
        <v>176</v>
      </c>
      <c r="B153" s="2">
        <v>239405</v>
      </c>
      <c r="D153" s="3" t="s">
        <v>107</v>
      </c>
      <c r="E153" s="4"/>
      <c r="F153" s="25" t="s">
        <v>1</v>
      </c>
      <c r="G153" s="4">
        <f>12000</f>
        <v>12000</v>
      </c>
      <c r="H153" s="4"/>
      <c r="I153" s="4"/>
      <c r="J153" s="49">
        <f t="shared" si="20"/>
        <v>0.0004936030078521955</v>
      </c>
    </row>
    <row r="154" spans="1:10" ht="12.75">
      <c r="A154" s="1" t="s">
        <v>177</v>
      </c>
      <c r="B154" s="2">
        <v>239405</v>
      </c>
      <c r="D154" s="3" t="s">
        <v>66</v>
      </c>
      <c r="E154" s="4"/>
      <c r="F154" s="5">
        <v>0.007</v>
      </c>
      <c r="G154" s="4">
        <f>ROUND(+$E$148*F154,0)</f>
        <v>170177</v>
      </c>
      <c r="H154" s="4"/>
      <c r="I154" s="4"/>
      <c r="J154" s="49">
        <f t="shared" si="20"/>
        <v>0.006999989922271923</v>
      </c>
    </row>
    <row r="155" spans="1:9" ht="12.75">
      <c r="A155" s="12" t="s">
        <v>40</v>
      </c>
      <c r="E155" s="4">
        <f>States!C46</f>
        <v>13473508</v>
      </c>
      <c r="H155" s="4">
        <f>G156</f>
        <v>38177</v>
      </c>
      <c r="I155" s="4">
        <f>E155-H155</f>
        <v>13435331</v>
      </c>
    </row>
    <row r="156" spans="1:10" ht="12.75">
      <c r="A156" s="1" t="s">
        <v>178</v>
      </c>
      <c r="B156" s="2">
        <v>84702</v>
      </c>
      <c r="C156" s="26">
        <v>240</v>
      </c>
      <c r="D156" s="3" t="s">
        <v>64</v>
      </c>
      <c r="E156" s="4"/>
      <c r="F156" s="10">
        <f>$C156/$B156</f>
        <v>0.002833463200396685</v>
      </c>
      <c r="G156" s="4">
        <f>ROUND(+$E$155*F156,0)</f>
        <v>38177</v>
      </c>
      <c r="H156" s="4"/>
      <c r="J156" s="49">
        <f>G156/E155</f>
        <v>0.002833486275437696</v>
      </c>
    </row>
    <row r="157" spans="1:9" ht="12.75">
      <c r="A157" s="12" t="s">
        <v>42</v>
      </c>
      <c r="D157" s="1" t="s">
        <v>1</v>
      </c>
      <c r="E157" s="4">
        <f>States!C48</f>
        <v>12661694</v>
      </c>
      <c r="F157" s="21">
        <f>SUM(F158:F164)</f>
        <v>0.1778</v>
      </c>
      <c r="H157" s="4">
        <f>SUM(G158:G164)</f>
        <v>2251250</v>
      </c>
      <c r="I157" s="4">
        <f>E157-H157</f>
        <v>10410444</v>
      </c>
    </row>
    <row r="158" spans="1:10" ht="12.75">
      <c r="A158" s="1" t="s">
        <v>179</v>
      </c>
      <c r="D158" s="3" t="s">
        <v>66</v>
      </c>
      <c r="E158" s="4"/>
      <c r="F158" s="21">
        <v>0.0282</v>
      </c>
      <c r="G158" s="4">
        <f aca="true" t="shared" si="21" ref="G158:G164">ROUND(+$E$157*F158,0)</f>
        <v>357060</v>
      </c>
      <c r="H158" s="4"/>
      <c r="I158" s="4"/>
      <c r="J158" s="49">
        <f>G158/$E$157</f>
        <v>0.028200018101843246</v>
      </c>
    </row>
    <row r="159" spans="1:10" ht="12.75">
      <c r="A159" s="1" t="s">
        <v>180</v>
      </c>
      <c r="D159" s="3" t="s">
        <v>66</v>
      </c>
      <c r="E159" s="4"/>
      <c r="F159" s="21">
        <v>0.0038</v>
      </c>
      <c r="G159" s="4">
        <f t="shared" si="21"/>
        <v>48114</v>
      </c>
      <c r="H159" s="4"/>
      <c r="I159" s="4"/>
      <c r="J159" s="49">
        <f aca="true" t="shared" si="22" ref="J159:J164">G159/$E$157</f>
        <v>0.0037999654706550325</v>
      </c>
    </row>
    <row r="160" spans="1:10" ht="12.75">
      <c r="A160" s="1" t="s">
        <v>181</v>
      </c>
      <c r="D160" s="3" t="s">
        <v>66</v>
      </c>
      <c r="E160" s="4"/>
      <c r="F160" s="21">
        <v>0.0584</v>
      </c>
      <c r="G160" s="4">
        <f t="shared" si="21"/>
        <v>739443</v>
      </c>
      <c r="H160" s="4"/>
      <c r="I160" s="4"/>
      <c r="J160" s="49">
        <f t="shared" si="22"/>
        <v>0.0584000055600775</v>
      </c>
    </row>
    <row r="161" spans="1:10" ht="12.75">
      <c r="A161" s="1" t="s">
        <v>182</v>
      </c>
      <c r="D161" s="3" t="s">
        <v>66</v>
      </c>
      <c r="E161" s="4"/>
      <c r="F161" s="21">
        <v>0.046</v>
      </c>
      <c r="G161" s="4">
        <f t="shared" si="21"/>
        <v>582438</v>
      </c>
      <c r="H161" s="4"/>
      <c r="I161" s="4"/>
      <c r="J161" s="49">
        <f t="shared" si="22"/>
        <v>0.046000006002356396</v>
      </c>
    </row>
    <row r="162" spans="1:10" ht="12.75">
      <c r="A162" s="1" t="s">
        <v>183</v>
      </c>
      <c r="D162" s="3" t="s">
        <v>66</v>
      </c>
      <c r="E162" s="4"/>
      <c r="F162" s="21">
        <v>0.0186</v>
      </c>
      <c r="G162" s="4">
        <f t="shared" si="21"/>
        <v>235508</v>
      </c>
      <c r="H162" s="4"/>
      <c r="I162" s="4"/>
      <c r="J162" s="49">
        <f t="shared" si="22"/>
        <v>0.018600038825768495</v>
      </c>
    </row>
    <row r="163" spans="1:10" ht="12.75">
      <c r="A163" s="1" t="s">
        <v>184</v>
      </c>
      <c r="D163" s="3" t="s">
        <v>66</v>
      </c>
      <c r="E163" s="4"/>
      <c r="F163" s="21">
        <v>0.0116</v>
      </c>
      <c r="G163" s="4">
        <f t="shared" si="21"/>
        <v>146876</v>
      </c>
      <c r="H163" s="4"/>
      <c r="I163" s="4"/>
      <c r="J163" s="49">
        <f t="shared" si="22"/>
        <v>0.011600027610839433</v>
      </c>
    </row>
    <row r="164" spans="1:10" ht="12.75">
      <c r="A164" s="1" t="s">
        <v>185</v>
      </c>
      <c r="D164" s="3" t="s">
        <v>66</v>
      </c>
      <c r="E164" s="4"/>
      <c r="F164" s="21">
        <v>0.0112</v>
      </c>
      <c r="G164" s="4">
        <f t="shared" si="21"/>
        <v>141811</v>
      </c>
      <c r="H164" s="4"/>
      <c r="I164" s="4"/>
      <c r="J164" s="49">
        <f t="shared" si="22"/>
        <v>0.011200002148211765</v>
      </c>
    </row>
    <row r="165" spans="1:9" ht="12.75">
      <c r="A165" s="12" t="s">
        <v>45</v>
      </c>
      <c r="D165" s="1" t="s">
        <v>1</v>
      </c>
      <c r="E165" s="4">
        <f>States!C51</f>
        <v>14576490</v>
      </c>
      <c r="F165" s="10"/>
      <c r="H165" s="4">
        <f>SUM(G166:G168)</f>
        <v>291063</v>
      </c>
      <c r="I165" s="4">
        <f>E165-H165</f>
        <v>14285427</v>
      </c>
    </row>
    <row r="166" spans="1:10" ht="12.75">
      <c r="A166" s="1" t="s">
        <v>136</v>
      </c>
      <c r="B166" s="2">
        <v>110884</v>
      </c>
      <c r="C166" s="2">
        <v>997</v>
      </c>
      <c r="D166" s="3" t="s">
        <v>70</v>
      </c>
      <c r="E166" s="4"/>
      <c r="F166" s="10">
        <f>C166/B166</f>
        <v>0.008991378377403412</v>
      </c>
      <c r="G166" s="4">
        <f>ROUND(+$E$165*F166,0)</f>
        <v>131063</v>
      </c>
      <c r="H166" s="4"/>
      <c r="I166" s="4"/>
      <c r="J166" s="49">
        <f>G166/$E$165</f>
        <v>0.008991396419851418</v>
      </c>
    </row>
    <row r="167" spans="1:10" ht="12.75">
      <c r="A167" s="1" t="s">
        <v>186</v>
      </c>
      <c r="B167" s="2">
        <v>110884</v>
      </c>
      <c r="D167" s="3" t="s">
        <v>107</v>
      </c>
      <c r="E167" s="4"/>
      <c r="F167" s="25" t="s">
        <v>1</v>
      </c>
      <c r="G167" s="27">
        <f>60000</f>
        <v>60000</v>
      </c>
      <c r="H167" s="27"/>
      <c r="J167" s="49">
        <f>G167/$E$165</f>
        <v>0.00411621727864527</v>
      </c>
    </row>
    <row r="168" spans="1:10" ht="12.75">
      <c r="A168" s="1" t="s">
        <v>187</v>
      </c>
      <c r="B168" s="2">
        <v>110884</v>
      </c>
      <c r="D168" s="3" t="s">
        <v>107</v>
      </c>
      <c r="E168" s="4"/>
      <c r="F168" s="25" t="s">
        <v>1</v>
      </c>
      <c r="G168" s="27">
        <f>100000</f>
        <v>100000</v>
      </c>
      <c r="H168" s="27"/>
      <c r="I168" s="4"/>
      <c r="J168" s="49">
        <f>G168/$E$165</f>
        <v>0.006860362131075451</v>
      </c>
    </row>
    <row r="169" spans="1:9" ht="12.75">
      <c r="A169" s="12" t="s">
        <v>48</v>
      </c>
      <c r="E169" s="4">
        <f>States!C54</f>
        <v>39988303</v>
      </c>
      <c r="H169" s="4">
        <f>SUM(G170:G190)</f>
        <v>1630906</v>
      </c>
      <c r="I169" s="4">
        <f>E169-H169</f>
        <v>38357397</v>
      </c>
    </row>
    <row r="170" spans="1:10" ht="12.75">
      <c r="A170" s="1" t="s">
        <v>188</v>
      </c>
      <c r="B170" s="4"/>
      <c r="D170" s="3" t="s">
        <v>66</v>
      </c>
      <c r="E170" s="4"/>
      <c r="F170" s="10">
        <v>0.00847</v>
      </c>
      <c r="G170" s="4">
        <f>ROUND(+$E$169*F170,0)</f>
        <v>338701</v>
      </c>
      <c r="H170" s="4"/>
      <c r="J170" s="49">
        <f>G170/$E$169</f>
        <v>0.008470001840288146</v>
      </c>
    </row>
    <row r="171" spans="1:10" ht="12.75">
      <c r="A171" s="1" t="s">
        <v>189</v>
      </c>
      <c r="B171" s="4"/>
      <c r="D171" s="3" t="s">
        <v>107</v>
      </c>
      <c r="E171" s="4"/>
      <c r="F171" s="10"/>
      <c r="G171" s="4">
        <f>8460</f>
        <v>8460</v>
      </c>
      <c r="H171" s="4"/>
      <c r="J171" s="49">
        <f aca="true" t="shared" si="23" ref="J171:J190">G171/$E$169</f>
        <v>0.00021156186597865882</v>
      </c>
    </row>
    <row r="172" spans="1:10" ht="12.75">
      <c r="A172" s="1" t="s">
        <v>190</v>
      </c>
      <c r="B172" s="4"/>
      <c r="D172" s="3" t="s">
        <v>66</v>
      </c>
      <c r="E172" s="4"/>
      <c r="F172" s="10">
        <v>0.000247</v>
      </c>
      <c r="G172" s="4">
        <f aca="true" t="shared" si="24" ref="G172:G190">ROUND(+$E$169*F172,0)</f>
        <v>9877</v>
      </c>
      <c r="H172" s="4"/>
      <c r="J172" s="49">
        <f t="shared" si="23"/>
        <v>0.000246997228164446</v>
      </c>
    </row>
    <row r="173" spans="1:10" ht="12.75">
      <c r="A173" s="1" t="s">
        <v>191</v>
      </c>
      <c r="B173" s="4"/>
      <c r="D173" s="3" t="s">
        <v>66</v>
      </c>
      <c r="E173" s="4"/>
      <c r="F173" s="10">
        <v>0.000247</v>
      </c>
      <c r="G173" s="4">
        <f t="shared" si="24"/>
        <v>9877</v>
      </c>
      <c r="H173" s="4"/>
      <c r="J173" s="49">
        <f t="shared" si="23"/>
        <v>0.000246997228164446</v>
      </c>
    </row>
    <row r="174" spans="1:10" ht="12.75">
      <c r="A174" s="1" t="s">
        <v>192</v>
      </c>
      <c r="B174" s="4"/>
      <c r="D174" s="3" t="s">
        <v>66</v>
      </c>
      <c r="E174" s="4"/>
      <c r="F174" s="10">
        <v>0.000604</v>
      </c>
      <c r="G174" s="4">
        <f t="shared" si="24"/>
        <v>24153</v>
      </c>
      <c r="H174" s="4"/>
      <c r="J174" s="49">
        <f t="shared" si="23"/>
        <v>0.0006040016251752418</v>
      </c>
    </row>
    <row r="175" spans="1:10" ht="12.75">
      <c r="A175" s="1" t="s">
        <v>193</v>
      </c>
      <c r="B175" s="4"/>
      <c r="D175" s="3" t="s">
        <v>66</v>
      </c>
      <c r="E175" s="4"/>
      <c r="F175" s="10">
        <v>0.002499</v>
      </c>
      <c r="G175" s="4">
        <f t="shared" si="24"/>
        <v>99931</v>
      </c>
      <c r="H175" s="4"/>
      <c r="J175" s="49">
        <f t="shared" si="23"/>
        <v>0.0024990057717628076</v>
      </c>
    </row>
    <row r="176" spans="1:10" ht="12.75">
      <c r="A176" s="1" t="s">
        <v>194</v>
      </c>
      <c r="B176" s="4"/>
      <c r="D176" s="3" t="s">
        <v>66</v>
      </c>
      <c r="E176" s="4"/>
      <c r="F176" s="10">
        <v>0.001949</v>
      </c>
      <c r="G176" s="4">
        <f t="shared" si="24"/>
        <v>77937</v>
      </c>
      <c r="H176" s="4"/>
      <c r="J176" s="49">
        <f t="shared" si="23"/>
        <v>0.0019489949348438216</v>
      </c>
    </row>
    <row r="177" spans="1:10" ht="12.75">
      <c r="A177" s="1" t="s">
        <v>195</v>
      </c>
      <c r="B177" s="4"/>
      <c r="D177" s="3" t="s">
        <v>66</v>
      </c>
      <c r="E177" s="4"/>
      <c r="F177" s="10">
        <v>0.000892</v>
      </c>
      <c r="G177" s="4">
        <f t="shared" si="24"/>
        <v>35670</v>
      </c>
      <c r="H177" s="4"/>
      <c r="J177" s="49">
        <f t="shared" si="23"/>
        <v>0.000892010846271721</v>
      </c>
    </row>
    <row r="178" spans="1:10" ht="12.75">
      <c r="A178" s="1" t="s">
        <v>196</v>
      </c>
      <c r="B178" s="4"/>
      <c r="D178" s="3" t="s">
        <v>66</v>
      </c>
      <c r="E178" s="4"/>
      <c r="F178" s="10">
        <v>0.000686</v>
      </c>
      <c r="G178" s="4">
        <f t="shared" si="24"/>
        <v>27432</v>
      </c>
      <c r="H178" s="4"/>
      <c r="J178" s="49">
        <f t="shared" si="23"/>
        <v>0.0006860006037265448</v>
      </c>
    </row>
    <row r="179" spans="1:10" ht="12.75">
      <c r="A179" s="1" t="s">
        <v>197</v>
      </c>
      <c r="B179" s="4"/>
      <c r="D179" s="3" t="s">
        <v>66</v>
      </c>
      <c r="E179" s="4"/>
      <c r="F179" s="10">
        <v>0.000412</v>
      </c>
      <c r="G179" s="4">
        <f t="shared" si="24"/>
        <v>16475</v>
      </c>
      <c r="H179" s="4"/>
      <c r="J179" s="49">
        <f t="shared" si="23"/>
        <v>0.0004119954777775891</v>
      </c>
    </row>
    <row r="180" spans="1:10" ht="12.75">
      <c r="A180" s="1" t="s">
        <v>198</v>
      </c>
      <c r="B180" s="4"/>
      <c r="D180" s="3" t="s">
        <v>66</v>
      </c>
      <c r="E180" s="4"/>
      <c r="F180" s="10">
        <v>0.002787</v>
      </c>
      <c r="G180" s="4">
        <f t="shared" si="24"/>
        <v>111447</v>
      </c>
      <c r="H180" s="4"/>
      <c r="J180" s="49">
        <f t="shared" si="23"/>
        <v>0.0027869899855465234</v>
      </c>
    </row>
    <row r="181" spans="1:10" ht="12.75">
      <c r="A181" s="1" t="s">
        <v>199</v>
      </c>
      <c r="B181" s="4"/>
      <c r="D181" s="3" t="s">
        <v>66</v>
      </c>
      <c r="E181" s="4"/>
      <c r="F181" s="10">
        <v>0.000796</v>
      </c>
      <c r="G181" s="4">
        <f t="shared" si="24"/>
        <v>31831</v>
      </c>
      <c r="H181" s="4"/>
      <c r="J181" s="49">
        <f t="shared" si="23"/>
        <v>0.0007960077725728946</v>
      </c>
    </row>
    <row r="182" spans="1:10" ht="12.75">
      <c r="A182" s="1" t="s">
        <v>200</v>
      </c>
      <c r="B182" s="4"/>
      <c r="D182" s="3" t="s">
        <v>66</v>
      </c>
      <c r="E182" s="4"/>
      <c r="F182" s="10">
        <v>0.002169</v>
      </c>
      <c r="G182" s="4">
        <f t="shared" si="24"/>
        <v>86735</v>
      </c>
      <c r="H182" s="4"/>
      <c r="J182" s="49">
        <f t="shared" si="23"/>
        <v>0.0021690092725365215</v>
      </c>
    </row>
    <row r="183" spans="1:10" ht="12.75">
      <c r="A183" s="1" t="s">
        <v>201</v>
      </c>
      <c r="B183" s="4"/>
      <c r="D183" s="3" t="s">
        <v>66</v>
      </c>
      <c r="E183" s="4"/>
      <c r="F183" s="10">
        <v>0.000823</v>
      </c>
      <c r="G183" s="4">
        <f t="shared" si="24"/>
        <v>32910</v>
      </c>
      <c r="H183" s="4"/>
      <c r="J183" s="49">
        <f t="shared" si="23"/>
        <v>0.0008229906630446408</v>
      </c>
    </row>
    <row r="184" spans="1:10" ht="12.75">
      <c r="A184" s="1" t="s">
        <v>202</v>
      </c>
      <c r="B184" s="4"/>
      <c r="D184" s="3" t="s">
        <v>66</v>
      </c>
      <c r="E184" s="4"/>
      <c r="F184" s="10">
        <v>0.001317</v>
      </c>
      <c r="G184" s="4">
        <f t="shared" si="24"/>
        <v>52665</v>
      </c>
      <c r="H184" s="4"/>
      <c r="J184" s="49">
        <f t="shared" si="23"/>
        <v>0.0013170101266862962</v>
      </c>
    </row>
    <row r="185" spans="1:10" ht="12.75">
      <c r="A185" s="1" t="s">
        <v>203</v>
      </c>
      <c r="B185" s="4"/>
      <c r="D185" s="3" t="s">
        <v>66</v>
      </c>
      <c r="E185" s="4"/>
      <c r="F185" s="10">
        <v>0.002782</v>
      </c>
      <c r="G185" s="4">
        <f t="shared" si="24"/>
        <v>111247</v>
      </c>
      <c r="H185" s="4"/>
      <c r="J185" s="49">
        <f t="shared" si="23"/>
        <v>0.0027819885229938366</v>
      </c>
    </row>
    <row r="186" spans="1:10" ht="12.75">
      <c r="A186" s="1" t="s">
        <v>204</v>
      </c>
      <c r="B186" s="4"/>
      <c r="D186" s="3" t="s">
        <v>66</v>
      </c>
      <c r="E186" s="4"/>
      <c r="F186" s="10">
        <v>0.001744</v>
      </c>
      <c r="G186" s="4">
        <f>ROUND(+$E$169*F186,0)</f>
        <v>69740</v>
      </c>
      <c r="H186" s="4"/>
      <c r="J186" s="49">
        <f t="shared" si="23"/>
        <v>0.0017440099921219462</v>
      </c>
    </row>
    <row r="187" spans="1:10" ht="12.75">
      <c r="A187" s="9" t="s">
        <v>244</v>
      </c>
      <c r="B187" s="4"/>
      <c r="D187" s="3" t="s">
        <v>66</v>
      </c>
      <c r="E187" s="4"/>
      <c r="F187" s="10">
        <v>0.000247</v>
      </c>
      <c r="G187" s="4">
        <f>ROUND(+$E$169*F187,0)</f>
        <v>9877</v>
      </c>
      <c r="H187" s="4"/>
      <c r="J187" s="49">
        <f t="shared" si="23"/>
        <v>0.000246997228164446</v>
      </c>
    </row>
    <row r="188" spans="1:10" ht="12.75">
      <c r="A188" s="1" t="s">
        <v>205</v>
      </c>
      <c r="B188" s="4"/>
      <c r="D188" s="3" t="s">
        <v>66</v>
      </c>
      <c r="E188" s="4"/>
      <c r="F188" s="10">
        <v>0.001057</v>
      </c>
      <c r="G188" s="4">
        <f t="shared" si="24"/>
        <v>42268</v>
      </c>
      <c r="H188" s="4"/>
      <c r="J188" s="49">
        <f t="shared" si="23"/>
        <v>0.001057009095884864</v>
      </c>
    </row>
    <row r="189" spans="1:10" ht="12.75">
      <c r="A189" s="1" t="s">
        <v>241</v>
      </c>
      <c r="B189" s="4"/>
      <c r="D189" s="3" t="s">
        <v>66</v>
      </c>
      <c r="E189" s="4"/>
      <c r="F189" s="28">
        <v>0.001867</v>
      </c>
      <c r="G189" s="4">
        <f t="shared" si="24"/>
        <v>74658</v>
      </c>
      <c r="H189" s="4"/>
      <c r="J189" s="49">
        <f t="shared" si="23"/>
        <v>0.001866995956292519</v>
      </c>
    </row>
    <row r="190" spans="1:10" ht="12.75">
      <c r="A190" s="1" t="s">
        <v>206</v>
      </c>
      <c r="B190" s="4"/>
      <c r="D190" s="3" t="s">
        <v>66</v>
      </c>
      <c r="E190" s="4"/>
      <c r="F190" s="10">
        <v>0.008978</v>
      </c>
      <c r="G190" s="4">
        <f t="shared" si="24"/>
        <v>359015</v>
      </c>
      <c r="H190" s="4"/>
      <c r="J190" s="49">
        <f t="shared" si="23"/>
        <v>0.008978000391764562</v>
      </c>
    </row>
    <row r="191" spans="1:9" ht="12.75">
      <c r="A191" s="12" t="s">
        <v>51</v>
      </c>
      <c r="B191" s="4"/>
      <c r="D191" s="3"/>
      <c r="E191" s="4">
        <f>States!C57</f>
        <v>5836109</v>
      </c>
      <c r="F191" s="10"/>
      <c r="G191" s="4"/>
      <c r="H191" s="19">
        <f>G192</f>
        <v>210000</v>
      </c>
      <c r="I191" s="4">
        <f>E191-H191</f>
        <v>5626109</v>
      </c>
    </row>
    <row r="192" spans="1:10" ht="13.5" thickBot="1">
      <c r="A192" s="1" t="s">
        <v>207</v>
      </c>
      <c r="B192" s="4"/>
      <c r="D192" s="3" t="s">
        <v>107</v>
      </c>
      <c r="E192" s="4"/>
      <c r="F192" s="10">
        <v>0.0146</v>
      </c>
      <c r="G192" s="4">
        <f>210000</f>
        <v>210000</v>
      </c>
      <c r="H192" s="4"/>
      <c r="J192" s="49">
        <f>G192/$E$191</f>
        <v>0.03598287831841386</v>
      </c>
    </row>
    <row r="193" spans="1:10" ht="13.5" thickTop="1">
      <c r="A193" s="29" t="s">
        <v>208</v>
      </c>
      <c r="B193" s="30"/>
      <c r="C193" s="30"/>
      <c r="D193" s="30"/>
      <c r="E193" s="31">
        <f>SUM(E12:E192)</f>
        <v>1007962449</v>
      </c>
      <c r="F193" s="30"/>
      <c r="G193" s="31">
        <f>SUM(G12:G192)</f>
        <v>21045979</v>
      </c>
      <c r="H193" s="31">
        <f>SUM(H12:H192)</f>
        <v>21045979</v>
      </c>
      <c r="I193" s="31">
        <f>SUM(I12:I192)</f>
        <v>986916470</v>
      </c>
      <c r="J193" s="31"/>
    </row>
    <row r="195" ht="12.75">
      <c r="A195" s="32" t="s">
        <v>255</v>
      </c>
    </row>
    <row r="445" ht="12.75">
      <c r="J445" s="33"/>
    </row>
    <row r="447" ht="12.75">
      <c r="E447" s="33"/>
    </row>
    <row r="450" ht="12.75">
      <c r="E450" s="33"/>
    </row>
    <row r="451" ht="12.75">
      <c r="E451" s="33"/>
    </row>
    <row r="452" ht="12.75">
      <c r="E452" s="33"/>
    </row>
    <row r="453" ht="12.75">
      <c r="E453" s="33"/>
    </row>
    <row r="454" ht="12.75">
      <c r="E454" s="33"/>
    </row>
    <row r="455" ht="12.75">
      <c r="E455" s="33"/>
    </row>
    <row r="456" ht="12.75">
      <c r="E456" s="33"/>
    </row>
    <row r="457" ht="12.75">
      <c r="E457" s="33"/>
    </row>
    <row r="458" ht="12.75">
      <c r="E458" s="33"/>
    </row>
    <row r="459" ht="12.75">
      <c r="E459" s="33"/>
    </row>
    <row r="460" ht="12.75">
      <c r="E460" s="33"/>
    </row>
    <row r="461" ht="12.75">
      <c r="E461" s="33"/>
    </row>
    <row r="462" ht="12.75">
      <c r="E462" s="33"/>
    </row>
    <row r="463" ht="12.75">
      <c r="E463" s="33"/>
    </row>
    <row r="464" ht="12.75">
      <c r="E464" s="33"/>
    </row>
    <row r="465" ht="12.75">
      <c r="E465" s="33"/>
    </row>
    <row r="466" ht="12.75">
      <c r="E466" s="33"/>
    </row>
    <row r="467" ht="12.75">
      <c r="E467" s="33"/>
    </row>
    <row r="468" ht="12.75">
      <c r="E468" s="33"/>
    </row>
    <row r="469" ht="12.75">
      <c r="E469" s="33"/>
    </row>
    <row r="470" ht="12.75">
      <c r="E470" s="33"/>
    </row>
    <row r="471" ht="12.75">
      <c r="E471" s="33"/>
    </row>
    <row r="472" ht="12.75">
      <c r="E472" s="33"/>
    </row>
    <row r="473" ht="12.75">
      <c r="E473" s="33"/>
    </row>
    <row r="474" ht="12.75">
      <c r="E474" s="33"/>
    </row>
    <row r="475" ht="12.75">
      <c r="E475" s="33"/>
    </row>
    <row r="476" ht="12.75">
      <c r="E476" s="33"/>
    </row>
    <row r="477" ht="12.75">
      <c r="E477" s="33"/>
    </row>
    <row r="478" ht="12.75">
      <c r="E478" s="33"/>
    </row>
    <row r="479" ht="12.75">
      <c r="E479" s="33"/>
    </row>
    <row r="480" ht="12.75">
      <c r="E480" s="33"/>
    </row>
    <row r="481" ht="12.75">
      <c r="E481" s="33"/>
    </row>
    <row r="482" ht="12.75">
      <c r="E482" s="33"/>
    </row>
    <row r="483" ht="12.75">
      <c r="E483" s="33"/>
    </row>
    <row r="484" ht="12.75">
      <c r="E484" s="33"/>
    </row>
    <row r="485" ht="12.75">
      <c r="E485" s="33"/>
    </row>
    <row r="486" ht="12.75">
      <c r="E486" s="33"/>
    </row>
    <row r="487" ht="12.75">
      <c r="E487" s="33"/>
    </row>
    <row r="488" ht="12.75">
      <c r="E488" s="33"/>
    </row>
    <row r="489" ht="12.75">
      <c r="E489" s="33"/>
    </row>
    <row r="490" ht="12.75">
      <c r="E490" s="33"/>
    </row>
    <row r="491" ht="12.75">
      <c r="E491" s="33"/>
    </row>
    <row r="492" ht="12.75">
      <c r="E492" s="33"/>
    </row>
    <row r="493" ht="12.75">
      <c r="E493" s="33"/>
    </row>
    <row r="494" ht="12.75">
      <c r="E494" s="33"/>
    </row>
    <row r="495" ht="12.75">
      <c r="E495" s="33"/>
    </row>
    <row r="496" ht="12.75">
      <c r="E496" s="33"/>
    </row>
    <row r="497" ht="12.75">
      <c r="E497" s="33"/>
    </row>
    <row r="498" ht="12.75">
      <c r="E498" s="33"/>
    </row>
    <row r="499" ht="12.75">
      <c r="E499" s="33"/>
    </row>
    <row r="500" ht="12.75">
      <c r="E500" s="33"/>
    </row>
    <row r="501" ht="12.75">
      <c r="E501" s="33"/>
    </row>
    <row r="502" spans="5:10" ht="12.75">
      <c r="E502" s="33"/>
      <c r="G502" s="4"/>
      <c r="H502" s="4"/>
      <c r="I502" s="4"/>
      <c r="J502" s="4"/>
    </row>
    <row r="504" spans="5:10" ht="12.75">
      <c r="E504" s="4"/>
      <c r="J504" s="4"/>
    </row>
    <row r="506" ht="12.75">
      <c r="J506" s="4"/>
    </row>
    <row r="507" spans="5:10" ht="12.75">
      <c r="E507" s="4"/>
      <c r="J507" s="4"/>
    </row>
    <row r="508" spans="5:10" ht="12.75">
      <c r="E508" s="4"/>
      <c r="J508" s="4"/>
    </row>
    <row r="509" spans="5:10" ht="12.75">
      <c r="E509" s="4"/>
      <c r="J509" s="4"/>
    </row>
    <row r="510" spans="5:10" ht="12.75">
      <c r="E510" s="4"/>
      <c r="J510" s="4"/>
    </row>
    <row r="511" spans="5:10" ht="12.75">
      <c r="E511" s="4"/>
      <c r="J511" s="4"/>
    </row>
    <row r="512" spans="5:10" ht="12.75">
      <c r="E512" s="4"/>
      <c r="J512" s="4"/>
    </row>
    <row r="513" spans="5:10" ht="12.75">
      <c r="E513" s="4"/>
      <c r="J513" s="4"/>
    </row>
  </sheetData>
  <sheetProtection password="E68A" sheet="1" objects="1" scenarios="1"/>
  <mergeCells count="1">
    <mergeCell ref="A1:J1"/>
  </mergeCells>
  <printOptions gridLines="1" horizontalCentered="1"/>
  <pageMargins left="0.5" right="0.5" top="0.5" bottom="0.75" header="0.5" footer="0.5"/>
  <pageSetup horizontalDpi="600" verticalDpi="600" orientation="landscape" scale="71" r:id="rId1"/>
  <headerFooter alignWithMargins="0">
    <oddFooter>&amp;L&amp;"Arial,Regular"'&amp;F' [&amp;A]&amp;C&amp;"Arial,Regular"                                              11-Apr-07&amp;R&amp;"Arial,Regular"Page &amp;P of &amp;N</oddFooter>
  </headerFooter>
  <rowBreaks count="4" manualBreakCount="4">
    <brk id="35" max="9" man="1"/>
    <brk id="76" max="9" man="1"/>
    <brk id="115" max="9" man="1"/>
    <brk id="1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DHHS/OS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2007-05-01T15:50:40Z</cp:lastPrinted>
  <dcterms:created xsi:type="dcterms:W3CDTF">2005-12-20T14:12:07Z</dcterms:created>
  <dcterms:modified xsi:type="dcterms:W3CDTF">2007-05-01T16:14:35Z</dcterms:modified>
  <cp:category/>
  <cp:version/>
  <cp:contentType/>
  <cp:contentStatus/>
</cp:coreProperties>
</file>