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30" yWindow="1545" windowWidth="12930" windowHeight="8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<sst xmlns="http://schemas.openxmlformats.org/spreadsheetml/2006/main" count="94" uniqueCount="30">
  <si>
    <t>Estimated taxes (total quantity times tax rate)</t>
  </si>
  <si>
    <t>Cigarettes:  small (#)</t>
  </si>
  <si>
    <t>Cigars:  small (#)</t>
  </si>
  <si>
    <t>Cigars:  large (#)</t>
  </si>
  <si>
    <t>Snuff (lbs)</t>
  </si>
  <si>
    <t>Chewing tobacco (lbs)</t>
  </si>
  <si>
    <t>Roll your own (lbs)</t>
  </si>
  <si>
    <t>Pipe tobacco (lbs)</t>
  </si>
  <si>
    <r>
      <t>Imports                                (# or lbs)</t>
    </r>
    <r>
      <rPr>
        <vertAlign val="superscript"/>
        <sz val="10"/>
        <rFont val="Arial"/>
        <family val="2"/>
      </rPr>
      <t>1</t>
    </r>
  </si>
  <si>
    <t xml:space="preserve">       Total</t>
  </si>
  <si>
    <r>
      <t>Total quantity          (# or lbs)</t>
    </r>
    <r>
      <rPr>
        <vertAlign val="superscript"/>
        <sz val="10"/>
        <rFont val="Arial"/>
        <family val="2"/>
      </rPr>
      <t>1</t>
    </r>
  </si>
  <si>
    <t xml:space="preserve">   $19.50/thou</t>
  </si>
  <si>
    <t xml:space="preserve">   $1.828/thou</t>
  </si>
  <si>
    <t xml:space="preserve">   $48.75/thou</t>
  </si>
  <si>
    <t xml:space="preserve">   $0.585/lb</t>
  </si>
  <si>
    <t xml:space="preserve">   $0.195/lb</t>
  </si>
  <si>
    <t xml:space="preserve">   $1.0969/lb</t>
  </si>
  <si>
    <r>
      <t>Domestic                             (# or lbs)</t>
    </r>
    <r>
      <rPr>
        <vertAlign val="superscript"/>
        <sz val="10"/>
        <rFont val="Arial"/>
        <family val="2"/>
      </rPr>
      <t>1</t>
    </r>
  </si>
  <si>
    <t>Calculation of Tobacco Transition Payment Program Assessments for Each Class of Tobacco Under Section 625(c)</t>
  </si>
  <si>
    <t>Class of tobacco</t>
  </si>
  <si>
    <t>Cigars: total (#)</t>
  </si>
  <si>
    <t>2003 Calendar year (for fiscal year 2005)</t>
  </si>
  <si>
    <t>2004 Calendar year (for fiscal year 2006)</t>
  </si>
  <si>
    <r>
      <t>Maximum tax rate</t>
    </r>
    <r>
      <rPr>
        <vertAlign val="superscript"/>
        <sz val="10"/>
        <rFont val="Arial"/>
        <family val="2"/>
      </rPr>
      <t>2</t>
    </r>
  </si>
  <si>
    <r>
      <t>Allocation by class (percent)</t>
    </r>
    <r>
      <rPr>
        <vertAlign val="superscript"/>
        <sz val="10"/>
        <rFont val="Arial"/>
        <family val="2"/>
      </rPr>
      <t>3</t>
    </r>
  </si>
  <si>
    <t>Cigarettes: small (#)</t>
  </si>
  <si>
    <t>2005 Calendar year (for fiscal year 2007)</t>
  </si>
  <si>
    <t>2006 Calendar year (for fiscal year 2008)</t>
  </si>
  <si>
    <t>2007 Calendar year (for fiscal year 2009)</t>
  </si>
  <si>
    <r>
      <t xml:space="preserve">  </t>
    </r>
    <r>
      <rPr>
        <vertAlign val="superscript"/>
        <sz val="8"/>
        <rFont val="Arial"/>
        <family val="0"/>
      </rPr>
      <t>1</t>
    </r>
    <r>
      <rPr>
        <sz val="8"/>
        <rFont val="Arial"/>
        <family val="0"/>
      </rPr>
      <t xml:space="preserve">Source:  Alcohol and Tobacco Tax and Trade Bureau, National Revenue Center,  Report Symbol TTB S 5200-12-2003 (August 19, 2004), TTB S 5200-12-2004 (March 23, 2005), TTB S 5210-12-2005 (February 14, 2006), TTB S 5210-12-2006 (February 26, 2007), and TTB S 5210-12-2007 (February 14, 2008).  www.ttb.gov/tobacco/stats/index.htm. 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 xml:space="preserve">Tax rates can be found at www.ttb.gov/tax_audit/atftaxes.shtml and at 26 U.S.C. 5701. 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0"/>
      </rPr>
      <t>Allocation for cigars product class equals sum of percentage for "small" and "large" types, respectively.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</si>
</sst>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&quot;$&quot;#,##0"/>
    <numFmt numFmtId="167" formatCode="#,##0.0"/>
    <numFmt numFmtId="168" formatCode="#,##0.000"/>
    <numFmt numFmtId="169" formatCode="#,##0.0000"/>
    <numFmt numFmtId="170" formatCode="_(* #,##0.000_);_(* \(#,##0.000\);_(* &quot;-&quot;??_);_(@_)"/>
    <numFmt numFmtId="171" formatCode="_(* #,##0.0000_);_(* \(#,##0.0000\);_(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</numFmts>
  <fonts count="5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  <font>
      <vertAlign val="superscript"/>
      <sz val="8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165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166" fontId="0" fillId="0" borderId="0" xfId="0" applyNumberFormat="1" applyBorder="1" applyAlignment="1">
      <alignment/>
    </xf>
    <xf numFmtId="166" fontId="0" fillId="0" borderId="1" xfId="0" applyNumberFormat="1" applyBorder="1" applyAlignment="1">
      <alignment/>
    </xf>
    <xf numFmtId="166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2" xfId="0" applyBorder="1" applyAlignment="1">
      <alignment horizontal="left"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 horizontal="left"/>
    </xf>
    <xf numFmtId="169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1" xfId="0" applyNumberForma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1" fontId="0" fillId="0" borderId="12" xfId="15" applyNumberFormat="1" applyBorder="1" applyAlignment="1">
      <alignment/>
    </xf>
    <xf numFmtId="0" fontId="1" fillId="0" borderId="15" xfId="0" applyFont="1" applyBorder="1" applyAlignment="1">
      <alignment/>
    </xf>
    <xf numFmtId="165" fontId="0" fillId="0" borderId="16" xfId="0" applyNumberFormat="1" applyBorder="1" applyAlignment="1">
      <alignment/>
    </xf>
    <xf numFmtId="165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166" fontId="0" fillId="0" borderId="1" xfId="17" applyNumberFormat="1" applyBorder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showGridLines="0" tabSelected="1" workbookViewId="0" topLeftCell="A1">
      <pane xSplit="1" ySplit="6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11" sqref="J11"/>
    </sheetView>
  </sheetViews>
  <sheetFormatPr defaultColWidth="9.140625" defaultRowHeight="12.75"/>
  <cols>
    <col min="1" max="1" width="20.7109375" style="0" customWidth="1"/>
    <col min="2" max="2" width="15.7109375" style="0" customWidth="1"/>
    <col min="3" max="3" width="2.421875" style="0" customWidth="1"/>
    <col min="4" max="4" width="14.28125" style="0" customWidth="1"/>
    <col min="5" max="5" width="2.28125" style="0" customWidth="1"/>
    <col min="6" max="6" width="15.57421875" style="0" customWidth="1"/>
    <col min="7" max="7" width="2.140625" style="0" customWidth="1"/>
    <col min="8" max="8" width="8.140625" style="0" customWidth="1"/>
    <col min="9" max="9" width="6.8515625" style="0" customWidth="1"/>
    <col min="10" max="10" width="13.57421875" style="0" customWidth="1"/>
    <col min="11" max="11" width="2.00390625" style="0" customWidth="1"/>
    <col min="12" max="12" width="11.57421875" style="0" customWidth="1"/>
    <col min="13" max="13" width="3.28125" style="0" customWidth="1"/>
  </cols>
  <sheetData>
    <row r="1" ht="12.75">
      <c r="A1" s="1" t="s">
        <v>18</v>
      </c>
    </row>
    <row r="3" spans="1:13" ht="12.75">
      <c r="A3" s="46" t="s">
        <v>19</v>
      </c>
      <c r="B3" s="42" t="s">
        <v>17</v>
      </c>
      <c r="C3" s="43"/>
      <c r="D3" s="42" t="s">
        <v>8</v>
      </c>
      <c r="E3" s="43"/>
      <c r="F3" s="42" t="s">
        <v>10</v>
      </c>
      <c r="G3" s="43"/>
      <c r="H3" s="42" t="s">
        <v>23</v>
      </c>
      <c r="I3" s="43"/>
      <c r="J3" s="42" t="s">
        <v>0</v>
      </c>
      <c r="K3" s="43"/>
      <c r="L3" s="42" t="s">
        <v>24</v>
      </c>
      <c r="M3" s="43"/>
    </row>
    <row r="4" spans="1:13" ht="12.75">
      <c r="A4" s="47"/>
      <c r="B4" s="44"/>
      <c r="C4" s="45"/>
      <c r="D4" s="44"/>
      <c r="E4" s="45"/>
      <c r="F4" s="44"/>
      <c r="G4" s="45"/>
      <c r="H4" s="44"/>
      <c r="I4" s="45"/>
      <c r="J4" s="44"/>
      <c r="K4" s="45"/>
      <c r="L4" s="44"/>
      <c r="M4" s="45"/>
    </row>
    <row r="5" spans="1:13" ht="12.75">
      <c r="A5" s="47"/>
      <c r="B5" s="44"/>
      <c r="C5" s="45"/>
      <c r="D5" s="44"/>
      <c r="E5" s="45"/>
      <c r="F5" s="44"/>
      <c r="G5" s="45"/>
      <c r="H5" s="44"/>
      <c r="I5" s="45"/>
      <c r="J5" s="44"/>
      <c r="K5" s="45"/>
      <c r="L5" s="44"/>
      <c r="M5" s="45"/>
    </row>
    <row r="6" spans="1:13" ht="13.5" thickBot="1">
      <c r="A6" s="47"/>
      <c r="B6" s="44"/>
      <c r="C6" s="45"/>
      <c r="D6" s="44"/>
      <c r="E6" s="45"/>
      <c r="F6" s="44"/>
      <c r="G6" s="45"/>
      <c r="H6" s="44"/>
      <c r="I6" s="45"/>
      <c r="J6" s="44"/>
      <c r="K6" s="45"/>
      <c r="L6" s="44"/>
      <c r="M6" s="45"/>
    </row>
    <row r="7" spans="1:13" ht="12.75">
      <c r="A7" s="19" t="s">
        <v>21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</row>
    <row r="8" spans="1:13" ht="12.75">
      <c r="A8" s="22" t="s">
        <v>25</v>
      </c>
      <c r="B8" s="12">
        <v>377241580953</v>
      </c>
      <c r="C8" s="12"/>
      <c r="D8" s="12">
        <v>23085086000</v>
      </c>
      <c r="E8" s="12"/>
      <c r="F8" s="12">
        <f>SUM(B8,D8)</f>
        <v>400326666953</v>
      </c>
      <c r="G8" s="12"/>
      <c r="H8" s="13" t="s">
        <v>11</v>
      </c>
      <c r="I8" s="4"/>
      <c r="J8" s="10">
        <f>F8*19.5/1000</f>
        <v>7806370005.5835</v>
      </c>
      <c r="K8" s="4"/>
      <c r="L8" s="4">
        <f>ROUND(J8/J$16*100,3)</f>
        <v>96.331</v>
      </c>
      <c r="M8" s="23"/>
    </row>
    <row r="9" spans="1:13" ht="12.75">
      <c r="A9" s="26" t="s">
        <v>2</v>
      </c>
      <c r="B9" s="6">
        <v>2301972488</v>
      </c>
      <c r="C9" s="6"/>
      <c r="D9" s="6">
        <v>172369000</v>
      </c>
      <c r="E9" s="6"/>
      <c r="F9" s="6">
        <f aca="true" t="shared" si="0" ref="F9:F15">SUM(B9,D9)</f>
        <v>2474341488</v>
      </c>
      <c r="G9" s="6"/>
      <c r="H9" s="7" t="s">
        <v>12</v>
      </c>
      <c r="I9" s="5"/>
      <c r="J9" s="8">
        <f>F9*1.828/1000</f>
        <v>4523096.240064</v>
      </c>
      <c r="K9" s="5"/>
      <c r="L9" s="5">
        <f>ROUND(J9/J$16*100,3)</f>
        <v>0.056</v>
      </c>
      <c r="M9" s="27"/>
    </row>
    <row r="10" spans="1:13" ht="12.75">
      <c r="A10" s="26" t="s">
        <v>3</v>
      </c>
      <c r="B10" s="6">
        <v>4018523214</v>
      </c>
      <c r="C10" s="6"/>
      <c r="D10" s="6">
        <v>514566000</v>
      </c>
      <c r="E10" s="6"/>
      <c r="F10" s="6">
        <f t="shared" si="0"/>
        <v>4533089214</v>
      </c>
      <c r="G10" s="6"/>
      <c r="H10" s="7" t="s">
        <v>13</v>
      </c>
      <c r="I10" s="5"/>
      <c r="J10" s="8">
        <f>F10*48.75/1000</f>
        <v>220988099.1825</v>
      </c>
      <c r="K10" s="5"/>
      <c r="L10" s="5">
        <f>ROUND(J10/J$16*100,3)</f>
        <v>2.727</v>
      </c>
      <c r="M10" s="27"/>
    </row>
    <row r="11" spans="1:13" ht="12.75">
      <c r="A11" s="24" t="s">
        <v>20</v>
      </c>
      <c r="B11" s="14">
        <f>+B10+B9</f>
        <v>6320495702</v>
      </c>
      <c r="C11" s="14"/>
      <c r="D11" s="14">
        <f>+D10+D9</f>
        <v>686935000</v>
      </c>
      <c r="E11" s="14"/>
      <c r="F11" s="14">
        <f>+F10+F9</f>
        <v>7007430702</v>
      </c>
      <c r="G11" s="14"/>
      <c r="H11" s="15"/>
      <c r="I11" s="2"/>
      <c r="J11" s="9">
        <f>+J10+J9</f>
        <v>225511195.422564</v>
      </c>
      <c r="K11" s="2"/>
      <c r="L11" s="16">
        <f>+L10+L9</f>
        <v>2.783</v>
      </c>
      <c r="M11" s="25"/>
    </row>
    <row r="12" spans="1:13" ht="12.75">
      <c r="A12" s="24" t="s">
        <v>4</v>
      </c>
      <c r="B12" s="14">
        <v>74700715</v>
      </c>
      <c r="C12" s="14"/>
      <c r="D12" s="14">
        <v>8369</v>
      </c>
      <c r="E12" s="14"/>
      <c r="F12" s="14">
        <f t="shared" si="0"/>
        <v>74709084</v>
      </c>
      <c r="G12" s="14"/>
      <c r="H12" s="15" t="s">
        <v>14</v>
      </c>
      <c r="I12" s="2"/>
      <c r="J12" s="9">
        <f>F12*0.585</f>
        <v>43704814.14</v>
      </c>
      <c r="K12" s="2"/>
      <c r="L12" s="2">
        <f>ROUND(J12/J$16*100,3)</f>
        <v>0.539</v>
      </c>
      <c r="M12" s="25"/>
    </row>
    <row r="13" spans="1:13" ht="12.75">
      <c r="A13" s="24" t="s">
        <v>5</v>
      </c>
      <c r="B13" s="14">
        <v>45906067</v>
      </c>
      <c r="C13" s="14"/>
      <c r="D13" s="14">
        <v>174399</v>
      </c>
      <c r="E13" s="14"/>
      <c r="F13" s="14">
        <f t="shared" si="0"/>
        <v>46080466</v>
      </c>
      <c r="G13" s="14"/>
      <c r="H13" s="15" t="s">
        <v>15</v>
      </c>
      <c r="I13" s="2"/>
      <c r="J13" s="9">
        <f>F13*0.195</f>
        <v>8985690.870000001</v>
      </c>
      <c r="K13" s="2"/>
      <c r="L13" s="2">
        <f>ROUND(J13/J$16*100,3)</f>
        <v>0.111</v>
      </c>
      <c r="M13" s="25"/>
    </row>
    <row r="14" spans="1:13" ht="12.75">
      <c r="A14" s="24" t="s">
        <v>7</v>
      </c>
      <c r="B14" s="14">
        <v>4155205</v>
      </c>
      <c r="C14" s="14"/>
      <c r="D14" s="14">
        <v>698086</v>
      </c>
      <c r="E14" s="14"/>
      <c r="F14" s="14">
        <f t="shared" si="0"/>
        <v>4853291</v>
      </c>
      <c r="G14" s="14"/>
      <c r="H14" s="15" t="s">
        <v>16</v>
      </c>
      <c r="I14" s="2"/>
      <c r="J14" s="9">
        <f>F14*1.0969</f>
        <v>5323574.8979</v>
      </c>
      <c r="K14" s="2"/>
      <c r="L14" s="2">
        <f>ROUND(J14/J$16*100,3)</f>
        <v>0.066</v>
      </c>
      <c r="M14" s="25"/>
    </row>
    <row r="15" spans="1:13" ht="12.75">
      <c r="A15" s="24" t="s">
        <v>6</v>
      </c>
      <c r="B15" s="14">
        <v>11353137</v>
      </c>
      <c r="C15" s="14"/>
      <c r="D15" s="14">
        <v>1254008</v>
      </c>
      <c r="E15" s="14"/>
      <c r="F15" s="14">
        <f t="shared" si="0"/>
        <v>12607145</v>
      </c>
      <c r="G15" s="14"/>
      <c r="H15" s="15" t="s">
        <v>16</v>
      </c>
      <c r="I15" s="2"/>
      <c r="J15" s="9">
        <f>F15*1.0969</f>
        <v>13828777.3505</v>
      </c>
      <c r="K15" s="2"/>
      <c r="L15" s="2">
        <f>ROUND(J15/J$16*100,3)</f>
        <v>0.171</v>
      </c>
      <c r="M15" s="25"/>
    </row>
    <row r="16" spans="1:13" ht="13.5" thickBot="1">
      <c r="A16" s="31" t="s">
        <v>9</v>
      </c>
      <c r="B16" s="28"/>
      <c r="C16" s="28"/>
      <c r="D16" s="28"/>
      <c r="E16" s="28"/>
      <c r="F16" s="28"/>
      <c r="G16" s="28"/>
      <c r="H16" s="28"/>
      <c r="I16" s="28"/>
      <c r="J16" s="29">
        <f>SUM(J8:J15)-J11</f>
        <v>8103724058.264463</v>
      </c>
      <c r="K16" s="28"/>
      <c r="L16" s="32">
        <f>SUM(L8:L15)-L11</f>
        <v>100.00100000000002</v>
      </c>
      <c r="M16" s="30"/>
    </row>
    <row r="17" spans="1:13" ht="12.75">
      <c r="A17" s="33" t="s">
        <v>22</v>
      </c>
      <c r="B17" s="5"/>
      <c r="C17" s="5"/>
      <c r="D17" s="5"/>
      <c r="E17" s="5"/>
      <c r="F17" s="5"/>
      <c r="G17" s="5"/>
      <c r="H17" s="5"/>
      <c r="I17" s="5"/>
      <c r="J17" s="8"/>
      <c r="K17" s="5"/>
      <c r="L17" s="5"/>
      <c r="M17" s="27"/>
    </row>
    <row r="18" spans="1:13" ht="12.75">
      <c r="A18" s="22" t="s">
        <v>1</v>
      </c>
      <c r="B18" s="12">
        <v>374982049606</v>
      </c>
      <c r="C18" s="12"/>
      <c r="D18" s="12">
        <v>22677777000</v>
      </c>
      <c r="E18" s="12"/>
      <c r="F18" s="12">
        <f>SUM(B18,D18)</f>
        <v>397659826606</v>
      </c>
      <c r="G18" s="12"/>
      <c r="H18" s="13" t="s">
        <v>11</v>
      </c>
      <c r="I18" s="4"/>
      <c r="J18" s="10">
        <f>F18*19.5/1000</f>
        <v>7754366618.817</v>
      </c>
      <c r="K18" s="4"/>
      <c r="L18" s="17">
        <f>TRUNC(J18/J$26,6)*100</f>
        <v>95.9987</v>
      </c>
      <c r="M18" s="23"/>
    </row>
    <row r="19" spans="1:14" ht="12.75">
      <c r="A19" s="26" t="s">
        <v>2</v>
      </c>
      <c r="B19" s="6">
        <v>2701646262</v>
      </c>
      <c r="C19" s="6"/>
      <c r="D19" s="6">
        <v>215443000</v>
      </c>
      <c r="E19" s="6"/>
      <c r="F19" s="6">
        <f aca="true" t="shared" si="1" ref="F19:F25">SUM(B19,D19)</f>
        <v>2917089262</v>
      </c>
      <c r="G19" s="6"/>
      <c r="H19" s="7" t="s">
        <v>12</v>
      </c>
      <c r="I19" s="5"/>
      <c r="J19" s="8">
        <f>F19*1.828/1000</f>
        <v>5332439.170936</v>
      </c>
      <c r="K19" s="5"/>
      <c r="L19" s="11">
        <f>TRUNC(J19/J$26,6)*100</f>
        <v>0.066</v>
      </c>
      <c r="M19" s="27"/>
      <c r="N19" s="3"/>
    </row>
    <row r="20" spans="1:13" ht="12.75">
      <c r="A20" s="26" t="s">
        <v>3</v>
      </c>
      <c r="B20" s="6">
        <v>4319157701</v>
      </c>
      <c r="C20" s="6"/>
      <c r="D20" s="6">
        <v>615596000</v>
      </c>
      <c r="E20" s="6"/>
      <c r="F20" s="6">
        <f t="shared" si="1"/>
        <v>4934753701</v>
      </c>
      <c r="G20" s="6"/>
      <c r="H20" s="7" t="s">
        <v>13</v>
      </c>
      <c r="I20" s="5"/>
      <c r="J20" s="8">
        <f>F20*48.75/1000</f>
        <v>240569242.92375</v>
      </c>
      <c r="K20" s="5"/>
      <c r="L20" s="11">
        <f>TRUNC(J20/J$26,6)*100</f>
        <v>2.9781999999999997</v>
      </c>
      <c r="M20" s="27"/>
    </row>
    <row r="21" spans="1:13" ht="12.75">
      <c r="A21" s="24" t="s">
        <v>20</v>
      </c>
      <c r="B21" s="14">
        <f>+B20+B19</f>
        <v>7020803963</v>
      </c>
      <c r="C21" s="14"/>
      <c r="D21" s="14">
        <f>+D20+D19</f>
        <v>831039000</v>
      </c>
      <c r="E21" s="14"/>
      <c r="F21" s="14">
        <f>+F20+F19</f>
        <v>7851842963</v>
      </c>
      <c r="G21" s="14"/>
      <c r="H21" s="15"/>
      <c r="I21" s="2"/>
      <c r="J21" s="9">
        <f>+J20+J19</f>
        <v>245901682.094686</v>
      </c>
      <c r="K21" s="2"/>
      <c r="L21" s="16">
        <f>+L20+L19</f>
        <v>3.0441999999999996</v>
      </c>
      <c r="M21" s="25"/>
    </row>
    <row r="22" spans="1:13" ht="12.75">
      <c r="A22" s="24" t="s">
        <v>4</v>
      </c>
      <c r="B22" s="14">
        <v>77983437</v>
      </c>
      <c r="C22" s="14"/>
      <c r="D22" s="14">
        <v>16833</v>
      </c>
      <c r="E22" s="14"/>
      <c r="F22" s="14">
        <f t="shared" si="1"/>
        <v>78000270</v>
      </c>
      <c r="G22" s="14"/>
      <c r="H22" s="15" t="s">
        <v>14</v>
      </c>
      <c r="I22" s="2"/>
      <c r="J22" s="9">
        <f>F22*0.585</f>
        <v>45630157.949999996</v>
      </c>
      <c r="K22" s="2"/>
      <c r="L22" s="18">
        <f>TRUNC(J22/J$26,6)*100</f>
        <v>0.5648</v>
      </c>
      <c r="M22" s="25"/>
    </row>
    <row r="23" spans="1:13" ht="12.75">
      <c r="A23" s="24" t="s">
        <v>5</v>
      </c>
      <c r="B23" s="14">
        <v>42911709</v>
      </c>
      <c r="C23" s="14"/>
      <c r="D23" s="14">
        <v>208894</v>
      </c>
      <c r="E23" s="14"/>
      <c r="F23" s="14">
        <f t="shared" si="1"/>
        <v>43120603</v>
      </c>
      <c r="G23" s="14"/>
      <c r="H23" s="15" t="s">
        <v>15</v>
      </c>
      <c r="I23" s="2"/>
      <c r="J23" s="9">
        <f>F23*0.195</f>
        <v>8408517.585</v>
      </c>
      <c r="K23" s="2"/>
      <c r="L23" s="18">
        <f>TRUNC(J23/J$26,6)*100</f>
        <v>0.104</v>
      </c>
      <c r="M23" s="25"/>
    </row>
    <row r="24" spans="1:13" ht="12.75">
      <c r="A24" s="24" t="s">
        <v>7</v>
      </c>
      <c r="B24" s="14">
        <v>3904810</v>
      </c>
      <c r="C24" s="14"/>
      <c r="D24" s="14">
        <v>794487</v>
      </c>
      <c r="E24" s="14"/>
      <c r="F24" s="14">
        <f t="shared" si="1"/>
        <v>4699297</v>
      </c>
      <c r="G24" s="14"/>
      <c r="H24" s="15" t="s">
        <v>16</v>
      </c>
      <c r="I24" s="2"/>
      <c r="J24" s="9">
        <f>F24*1.0969</f>
        <v>5154658.8793</v>
      </c>
      <c r="K24" s="2"/>
      <c r="L24" s="18">
        <f>TRUNC(J24/J$26,6)*100</f>
        <v>0.0638</v>
      </c>
      <c r="M24" s="25"/>
    </row>
    <row r="25" spans="1:13" ht="12.75">
      <c r="A25" s="24" t="s">
        <v>6</v>
      </c>
      <c r="B25" s="14">
        <v>15792082</v>
      </c>
      <c r="C25" s="14"/>
      <c r="D25" s="14">
        <v>720658</v>
      </c>
      <c r="E25" s="14"/>
      <c r="F25" s="14">
        <f t="shared" si="1"/>
        <v>16512740</v>
      </c>
      <c r="G25" s="14"/>
      <c r="H25" s="15" t="s">
        <v>16</v>
      </c>
      <c r="I25" s="2"/>
      <c r="J25" s="9">
        <f>F25*1.0969</f>
        <v>18112824.506</v>
      </c>
      <c r="K25" s="2"/>
      <c r="L25" s="18">
        <f>TRUNC(J25/J$26,6)*100</f>
        <v>0.2242</v>
      </c>
      <c r="M25" s="25"/>
    </row>
    <row r="26" spans="1:13" ht="13.5" thickBot="1">
      <c r="A26" s="31" t="s">
        <v>9</v>
      </c>
      <c r="B26" s="28"/>
      <c r="C26" s="28"/>
      <c r="D26" s="28"/>
      <c r="E26" s="28"/>
      <c r="F26" s="28"/>
      <c r="G26" s="28"/>
      <c r="H26" s="28"/>
      <c r="I26" s="28"/>
      <c r="J26" s="29">
        <f>SUM(J18:J25)-J21</f>
        <v>8077574459.831985</v>
      </c>
      <c r="K26" s="28"/>
      <c r="L26" s="32">
        <f>SUM(L18:L25)-L21</f>
        <v>99.9997</v>
      </c>
      <c r="M26" s="30"/>
    </row>
    <row r="27" spans="1:13" ht="12.75">
      <c r="A27" s="33" t="s">
        <v>26</v>
      </c>
      <c r="B27" s="5"/>
      <c r="C27" s="5"/>
      <c r="D27" s="5"/>
      <c r="E27" s="5"/>
      <c r="F27" s="5"/>
      <c r="G27" s="5"/>
      <c r="H27" s="5"/>
      <c r="I27" s="5"/>
      <c r="J27" s="8"/>
      <c r="K27" s="5"/>
      <c r="L27" s="5"/>
      <c r="M27" s="27"/>
    </row>
    <row r="28" spans="1:13" ht="12.75">
      <c r="A28" s="22" t="s">
        <v>1</v>
      </c>
      <c r="B28" s="12">
        <v>362963574561</v>
      </c>
      <c r="C28" s="12"/>
      <c r="D28" s="12">
        <v>18134795000</v>
      </c>
      <c r="E28" s="12"/>
      <c r="F28" s="12">
        <f>SUM(B28,D28)</f>
        <v>381098369561</v>
      </c>
      <c r="G28" s="12"/>
      <c r="H28" s="13" t="s">
        <v>11</v>
      </c>
      <c r="I28" s="4"/>
      <c r="J28" s="10">
        <f>F28*19.5/1000</f>
        <v>7431418206.4395</v>
      </c>
      <c r="K28" s="4"/>
      <c r="L28" s="17">
        <f>TRUNC(J28/J$36,6)*100</f>
        <v>95.6956</v>
      </c>
      <c r="M28" s="23"/>
    </row>
    <row r="29" spans="1:13" ht="12.75">
      <c r="A29" s="26" t="s">
        <v>2</v>
      </c>
      <c r="B29" s="6">
        <v>3772041108</v>
      </c>
      <c r="C29" s="6"/>
      <c r="D29" s="6">
        <v>196453000</v>
      </c>
      <c r="E29" s="6"/>
      <c r="F29" s="6">
        <f>SUM(B29,D29)</f>
        <v>3968494108</v>
      </c>
      <c r="G29" s="6"/>
      <c r="H29" s="7" t="s">
        <v>12</v>
      </c>
      <c r="I29" s="5"/>
      <c r="J29" s="8">
        <f>F29*1.828/1000</f>
        <v>7254407.229424001</v>
      </c>
      <c r="K29" s="5"/>
      <c r="L29" s="11">
        <f aca="true" t="shared" si="2" ref="L29:L35">TRUNC(J29/J$36,6)*100</f>
        <v>0.09340000000000001</v>
      </c>
      <c r="M29" s="27"/>
    </row>
    <row r="30" spans="1:13" ht="12.75">
      <c r="A30" s="26" t="s">
        <v>3</v>
      </c>
      <c r="B30" s="6">
        <v>4431800085</v>
      </c>
      <c r="C30" s="6"/>
      <c r="D30" s="6">
        <v>651732000</v>
      </c>
      <c r="E30" s="6"/>
      <c r="F30" s="6">
        <f>SUM(B30,D30)</f>
        <v>5083532085</v>
      </c>
      <c r="G30" s="6"/>
      <c r="H30" s="7" t="s">
        <v>13</v>
      </c>
      <c r="I30" s="5"/>
      <c r="J30" s="8">
        <f>F30*48.75/1000</f>
        <v>247822189.14375</v>
      </c>
      <c r="K30" s="5"/>
      <c r="L30" s="11">
        <f t="shared" si="2"/>
        <v>3.1912000000000003</v>
      </c>
      <c r="M30" s="27"/>
    </row>
    <row r="31" spans="1:13" ht="12.75">
      <c r="A31" s="24" t="s">
        <v>20</v>
      </c>
      <c r="B31" s="14">
        <f>+B30+B29</f>
        <v>8203841193</v>
      </c>
      <c r="C31" s="14"/>
      <c r="D31" s="14">
        <f>+D30+D29</f>
        <v>848185000</v>
      </c>
      <c r="E31" s="14"/>
      <c r="F31" s="14">
        <f>+F30+F29</f>
        <v>9052026193</v>
      </c>
      <c r="G31" s="14"/>
      <c r="H31" s="15"/>
      <c r="I31" s="2"/>
      <c r="J31" s="37">
        <f>+J30+J29</f>
        <v>255076596.373174</v>
      </c>
      <c r="K31" s="2"/>
      <c r="L31" s="18">
        <f t="shared" si="2"/>
        <v>3.2846</v>
      </c>
      <c r="M31" s="25"/>
    </row>
    <row r="32" spans="1:13" ht="12.75">
      <c r="A32" s="24" t="s">
        <v>4</v>
      </c>
      <c r="B32" s="14">
        <v>80241576</v>
      </c>
      <c r="C32" s="14"/>
      <c r="D32" s="14">
        <v>11018</v>
      </c>
      <c r="E32" s="14"/>
      <c r="F32" s="14">
        <f>SUM(B32,D32)</f>
        <v>80252594</v>
      </c>
      <c r="G32" s="14"/>
      <c r="H32" s="15" t="s">
        <v>14</v>
      </c>
      <c r="I32" s="2"/>
      <c r="J32" s="9">
        <f>F32*0.585</f>
        <v>46947767.489999995</v>
      </c>
      <c r="K32" s="2"/>
      <c r="L32" s="17">
        <f t="shared" si="2"/>
        <v>0.6045</v>
      </c>
      <c r="M32" s="25"/>
    </row>
    <row r="33" spans="1:13" ht="12.75">
      <c r="A33" s="24" t="s">
        <v>5</v>
      </c>
      <c r="B33" s="14">
        <v>38883276</v>
      </c>
      <c r="C33" s="14"/>
      <c r="D33" s="14">
        <v>315916</v>
      </c>
      <c r="E33" s="14"/>
      <c r="F33" s="14">
        <f>SUM(B33,D33)</f>
        <v>39199192</v>
      </c>
      <c r="G33" s="14"/>
      <c r="H33" s="15" t="s">
        <v>15</v>
      </c>
      <c r="I33" s="2"/>
      <c r="J33" s="9">
        <f>F33*0.195</f>
        <v>7643842.44</v>
      </c>
      <c r="K33" s="2"/>
      <c r="L33" s="17">
        <f t="shared" si="2"/>
        <v>0.0984</v>
      </c>
      <c r="M33" s="25"/>
    </row>
    <row r="34" spans="1:13" ht="12.75">
      <c r="A34" s="24" t="s">
        <v>7</v>
      </c>
      <c r="B34" s="14">
        <v>3890783</v>
      </c>
      <c r="C34" s="14"/>
      <c r="D34" s="14">
        <v>1030225</v>
      </c>
      <c r="E34" s="14"/>
      <c r="F34" s="14">
        <f>SUM(B34,D34)</f>
        <v>4921008</v>
      </c>
      <c r="G34" s="14"/>
      <c r="H34" s="15" t="s">
        <v>16</v>
      </c>
      <c r="I34" s="2"/>
      <c r="J34" s="9">
        <f>F34*1.0969</f>
        <v>5397853.6751999995</v>
      </c>
      <c r="K34" s="2"/>
      <c r="L34" s="17">
        <f t="shared" si="2"/>
        <v>0.06949999999999999</v>
      </c>
      <c r="M34" s="25"/>
    </row>
    <row r="35" spans="1:13" ht="12.75">
      <c r="A35" s="24" t="s">
        <v>6</v>
      </c>
      <c r="B35" s="14">
        <v>15497511</v>
      </c>
      <c r="C35" s="14"/>
      <c r="D35" s="14">
        <v>1999997</v>
      </c>
      <c r="E35" s="14"/>
      <c r="F35" s="14">
        <f>SUM(B35,D35)</f>
        <v>17497508</v>
      </c>
      <c r="G35" s="14"/>
      <c r="H35" s="15" t="s">
        <v>16</v>
      </c>
      <c r="I35" s="2"/>
      <c r="J35" s="9">
        <f>F35*1.0969</f>
        <v>19193016.5252</v>
      </c>
      <c r="K35" s="2"/>
      <c r="L35" s="17">
        <f t="shared" si="2"/>
        <v>0.24710000000000001</v>
      </c>
      <c r="M35" s="25"/>
    </row>
    <row r="36" spans="1:13" ht="13.5" thickBot="1">
      <c r="A36" s="31" t="s">
        <v>9</v>
      </c>
      <c r="B36" s="28"/>
      <c r="C36" s="28"/>
      <c r="D36" s="28"/>
      <c r="E36" s="28"/>
      <c r="F36" s="28"/>
      <c r="G36" s="28"/>
      <c r="H36" s="28"/>
      <c r="I36" s="28"/>
      <c r="J36" s="29">
        <f>SUM(J28:J35)-J31</f>
        <v>7765677282.943074</v>
      </c>
      <c r="K36" s="28"/>
      <c r="L36" s="35">
        <f>SUM(L31:L35)+L28</f>
        <v>99.9997</v>
      </c>
      <c r="M36" s="30"/>
    </row>
    <row r="37" spans="1:13" ht="12.75">
      <c r="A37" s="33" t="s">
        <v>27</v>
      </c>
      <c r="B37" s="5"/>
      <c r="C37" s="5"/>
      <c r="D37" s="5"/>
      <c r="E37" s="5"/>
      <c r="F37" s="5"/>
      <c r="G37" s="5"/>
      <c r="H37" s="5"/>
      <c r="I37" s="5"/>
      <c r="J37" s="8"/>
      <c r="K37" s="5"/>
      <c r="L37" s="5"/>
      <c r="M37" s="27"/>
    </row>
    <row r="38" spans="1:13" ht="12.75">
      <c r="A38" s="22" t="s">
        <v>1</v>
      </c>
      <c r="B38" s="12">
        <v>364437096601</v>
      </c>
      <c r="C38" s="12"/>
      <c r="D38" s="12">
        <v>16156451000</v>
      </c>
      <c r="E38" s="12"/>
      <c r="F38" s="12">
        <f>SUM(B38,D38)</f>
        <v>380593547601</v>
      </c>
      <c r="G38" s="12"/>
      <c r="H38" s="13" t="s">
        <v>11</v>
      </c>
      <c r="I38" s="4"/>
      <c r="J38" s="10">
        <f>F38*19.5/1000</f>
        <v>7421574178.2195</v>
      </c>
      <c r="K38" s="4"/>
      <c r="L38" s="17">
        <f aca="true" t="shared" si="3" ref="L38:L45">TRUNC(J38/J$46,6)*100</f>
        <v>95.5081</v>
      </c>
      <c r="M38" s="23"/>
    </row>
    <row r="39" spans="1:13" ht="12.75">
      <c r="A39" s="26" t="s">
        <v>2</v>
      </c>
      <c r="B39" s="6">
        <v>4162220407</v>
      </c>
      <c r="C39" s="6"/>
      <c r="D39" s="6">
        <v>271875000</v>
      </c>
      <c r="E39" s="6"/>
      <c r="F39" s="6">
        <f>SUM(B39,D39)</f>
        <v>4434095407</v>
      </c>
      <c r="G39" s="6"/>
      <c r="H39" s="7" t="s">
        <v>12</v>
      </c>
      <c r="I39" s="5"/>
      <c r="J39" s="8">
        <f>F39*1.828/1000</f>
        <v>8105526.403996</v>
      </c>
      <c r="K39" s="5"/>
      <c r="L39" s="11">
        <f t="shared" si="3"/>
        <v>0.1043</v>
      </c>
      <c r="M39" s="27"/>
    </row>
    <row r="40" spans="1:13" ht="12.75">
      <c r="A40" s="26" t="s">
        <v>3</v>
      </c>
      <c r="B40" s="6">
        <v>4503604349</v>
      </c>
      <c r="C40" s="6"/>
      <c r="D40" s="6">
        <v>795133000</v>
      </c>
      <c r="E40" s="6"/>
      <c r="F40" s="6">
        <f>SUM(B40,D40)</f>
        <v>5298737349</v>
      </c>
      <c r="G40" s="6"/>
      <c r="H40" s="7" t="s">
        <v>13</v>
      </c>
      <c r="I40" s="5"/>
      <c r="J40" s="8">
        <f>F40*48.75/1000</f>
        <v>258313445.76375</v>
      </c>
      <c r="K40" s="5"/>
      <c r="L40" s="11">
        <f t="shared" si="3"/>
        <v>3.3242000000000003</v>
      </c>
      <c r="M40" s="27"/>
    </row>
    <row r="41" spans="1:13" ht="12.75">
      <c r="A41" s="24" t="s">
        <v>20</v>
      </c>
      <c r="B41" s="14">
        <f>+B40+B39</f>
        <v>8665824756</v>
      </c>
      <c r="C41" s="14"/>
      <c r="D41" s="14">
        <f>+D40+D39</f>
        <v>1067008000</v>
      </c>
      <c r="E41" s="14"/>
      <c r="F41" s="14">
        <f>+F40+F39</f>
        <v>9732832756</v>
      </c>
      <c r="G41" s="14"/>
      <c r="H41" s="15"/>
      <c r="I41" s="2"/>
      <c r="J41" s="37">
        <f>+J40+J39</f>
        <v>266418972.16774598</v>
      </c>
      <c r="K41" s="2"/>
      <c r="L41" s="18">
        <f t="shared" si="3"/>
        <v>3.4285</v>
      </c>
      <c r="M41" s="25"/>
    </row>
    <row r="42" spans="1:13" ht="12.75">
      <c r="A42" s="24" t="s">
        <v>4</v>
      </c>
      <c r="B42" s="14">
        <v>86576507</v>
      </c>
      <c r="C42" s="14"/>
      <c r="D42" s="14">
        <v>63497</v>
      </c>
      <c r="E42" s="14"/>
      <c r="F42" s="14">
        <f>SUM(B42,D42)</f>
        <v>86640004</v>
      </c>
      <c r="G42" s="14"/>
      <c r="H42" s="15" t="s">
        <v>14</v>
      </c>
      <c r="I42" s="2"/>
      <c r="J42" s="9">
        <f>F42*0.585</f>
        <v>50684402.339999996</v>
      </c>
      <c r="K42" s="2"/>
      <c r="L42" s="17">
        <f t="shared" si="3"/>
        <v>0.6522</v>
      </c>
      <c r="M42" s="25"/>
    </row>
    <row r="43" spans="1:13" ht="12.75">
      <c r="A43" s="24" t="s">
        <v>5</v>
      </c>
      <c r="B43" s="14">
        <v>38862076</v>
      </c>
      <c r="C43" s="14"/>
      <c r="D43" s="14">
        <v>235747</v>
      </c>
      <c r="E43" s="14"/>
      <c r="F43" s="14">
        <f>SUM(B43,D43)</f>
        <v>39097823</v>
      </c>
      <c r="G43" s="14"/>
      <c r="H43" s="15" t="s">
        <v>15</v>
      </c>
      <c r="I43" s="2"/>
      <c r="J43" s="9">
        <f>F43*0.195</f>
        <v>7624075.485</v>
      </c>
      <c r="K43" s="2"/>
      <c r="L43" s="17">
        <f t="shared" si="3"/>
        <v>0.0981</v>
      </c>
      <c r="M43" s="25"/>
    </row>
    <row r="44" spans="1:13" ht="12.75">
      <c r="A44" s="24" t="s">
        <v>7</v>
      </c>
      <c r="B44" s="14">
        <v>3276920</v>
      </c>
      <c r="C44" s="14"/>
      <c r="D44" s="14">
        <v>1439423</v>
      </c>
      <c r="E44" s="14"/>
      <c r="F44" s="14">
        <f>SUM(B44,D44)</f>
        <v>4716343</v>
      </c>
      <c r="G44" s="14"/>
      <c r="H44" s="15" t="s">
        <v>16</v>
      </c>
      <c r="I44" s="2"/>
      <c r="J44" s="9">
        <f>F44*1.0969</f>
        <v>5173356.6367</v>
      </c>
      <c r="K44" s="2"/>
      <c r="L44" s="17">
        <f t="shared" si="3"/>
        <v>0.0665</v>
      </c>
      <c r="M44" s="25"/>
    </row>
    <row r="45" spans="1:13" ht="12.75">
      <c r="A45" s="24" t="s">
        <v>6</v>
      </c>
      <c r="B45" s="14">
        <v>16315998</v>
      </c>
      <c r="C45" s="14"/>
      <c r="D45" s="14">
        <v>1139660</v>
      </c>
      <c r="E45" s="14"/>
      <c r="F45" s="14">
        <f>SUM(B45,D45)</f>
        <v>17455658</v>
      </c>
      <c r="G45" s="14"/>
      <c r="H45" s="15" t="s">
        <v>16</v>
      </c>
      <c r="I45" s="2"/>
      <c r="J45" s="9">
        <f>F45*1.0969</f>
        <v>19147111.2602</v>
      </c>
      <c r="K45" s="2"/>
      <c r="L45" s="34">
        <f t="shared" si="3"/>
        <v>0.2464</v>
      </c>
      <c r="M45" s="25"/>
    </row>
    <row r="46" spans="1:13" ht="13.5" thickBot="1">
      <c r="A46" s="31" t="s">
        <v>9</v>
      </c>
      <c r="B46" s="28"/>
      <c r="C46" s="28"/>
      <c r="D46" s="28"/>
      <c r="E46" s="28"/>
      <c r="F46" s="28"/>
      <c r="G46" s="28"/>
      <c r="H46" s="28"/>
      <c r="I46" s="28"/>
      <c r="J46" s="29">
        <f>SUM(J38:J45)-J41</f>
        <v>7770622096.109145</v>
      </c>
      <c r="K46" s="28"/>
      <c r="L46" s="32">
        <f>SUM(L38:L45)-L41</f>
        <v>99.9998</v>
      </c>
      <c r="M46" s="30"/>
    </row>
    <row r="47" spans="1:13" ht="12.75">
      <c r="A47" s="33" t="s">
        <v>28</v>
      </c>
      <c r="B47" s="5"/>
      <c r="C47" s="5"/>
      <c r="D47" s="5"/>
      <c r="E47" s="5"/>
      <c r="F47" s="5"/>
      <c r="G47" s="5"/>
      <c r="H47" s="5"/>
      <c r="I47" s="5"/>
      <c r="J47" s="8"/>
      <c r="K47" s="5"/>
      <c r="L47" s="36"/>
      <c r="M47" s="27"/>
    </row>
    <row r="48" spans="1:13" ht="12.75">
      <c r="A48" s="22" t="s">
        <v>1</v>
      </c>
      <c r="B48" s="12">
        <v>348317484882</v>
      </c>
      <c r="C48" s="12"/>
      <c r="D48" s="12">
        <v>13272402000</v>
      </c>
      <c r="E48" s="12"/>
      <c r="F48" s="12">
        <f>SUM(B48,D48)</f>
        <v>361589886882</v>
      </c>
      <c r="G48" s="12"/>
      <c r="H48" s="13" t="s">
        <v>11</v>
      </c>
      <c r="I48" s="4"/>
      <c r="J48" s="10">
        <f>F48*19.5/1000</f>
        <v>7051002794.199</v>
      </c>
      <c r="K48" s="4"/>
      <c r="L48" s="11">
        <f>TRUNC(J48/J$56,6)*100</f>
        <v>95.0817</v>
      </c>
      <c r="M48" s="23"/>
    </row>
    <row r="49" spans="1:13" ht="12.75">
      <c r="A49" s="26" t="s">
        <v>2</v>
      </c>
      <c r="B49" s="6">
        <v>4849626473</v>
      </c>
      <c r="C49" s="6"/>
      <c r="D49" s="6">
        <v>311199000</v>
      </c>
      <c r="E49" s="6"/>
      <c r="F49" s="6">
        <f>SUM(B49,D49)</f>
        <v>5160825473</v>
      </c>
      <c r="G49" s="6"/>
      <c r="H49" s="7" t="s">
        <v>12</v>
      </c>
      <c r="I49" s="5"/>
      <c r="J49" s="8">
        <f>F49*1.828/1000</f>
        <v>9433988.964644002</v>
      </c>
      <c r="K49" s="5"/>
      <c r="L49" s="11">
        <f aca="true" t="shared" si="4" ref="L49:L55">TRUNC(J49/J$56,6)*100</f>
        <v>0.12719999999999998</v>
      </c>
      <c r="M49" s="27"/>
    </row>
    <row r="50" spans="1:13" ht="12.75">
      <c r="A50" s="26" t="s">
        <v>3</v>
      </c>
      <c r="B50" s="6">
        <v>4658667130</v>
      </c>
      <c r="C50" s="6"/>
      <c r="D50" s="6">
        <v>889004000</v>
      </c>
      <c r="E50" s="6"/>
      <c r="F50" s="6">
        <f>SUM(B50,D50)</f>
        <v>5547671130</v>
      </c>
      <c r="G50" s="6"/>
      <c r="H50" s="7" t="s">
        <v>13</v>
      </c>
      <c r="I50" s="5"/>
      <c r="J50" s="8">
        <f>F50*48.75/1000</f>
        <v>270448967.5875</v>
      </c>
      <c r="K50" s="5"/>
      <c r="L50" s="11">
        <f t="shared" si="4"/>
        <v>3.6469</v>
      </c>
      <c r="M50" s="27"/>
    </row>
    <row r="51" spans="1:13" ht="12.75">
      <c r="A51" s="24" t="s">
        <v>20</v>
      </c>
      <c r="B51" s="14">
        <f>+B50+B49</f>
        <v>9508293603</v>
      </c>
      <c r="C51" s="14"/>
      <c r="D51" s="14">
        <f>+D50+D49</f>
        <v>1200203000</v>
      </c>
      <c r="E51" s="14"/>
      <c r="F51" s="14">
        <f>+F50+F49</f>
        <v>10708496603</v>
      </c>
      <c r="G51" s="14"/>
      <c r="H51" s="15"/>
      <c r="I51" s="2"/>
      <c r="J51" s="37">
        <f>+J50+J49</f>
        <v>279882956.552144</v>
      </c>
      <c r="K51" s="2"/>
      <c r="L51" s="11">
        <f t="shared" si="4"/>
        <v>3.7741</v>
      </c>
      <c r="M51" s="25"/>
    </row>
    <row r="52" spans="1:13" ht="12.75">
      <c r="A52" s="24" t="s">
        <v>4</v>
      </c>
      <c r="B52" s="14">
        <v>88266593</v>
      </c>
      <c r="C52" s="14"/>
      <c r="D52" s="14">
        <v>101194</v>
      </c>
      <c r="E52" s="14"/>
      <c r="F52" s="14">
        <f>SUM(B52,D52)</f>
        <v>88367787</v>
      </c>
      <c r="G52" s="14"/>
      <c r="H52" s="15" t="s">
        <v>14</v>
      </c>
      <c r="I52" s="2"/>
      <c r="J52" s="9">
        <f>F52*0.585</f>
        <v>51695155.394999996</v>
      </c>
      <c r="K52" s="2"/>
      <c r="L52" s="17">
        <f t="shared" si="4"/>
        <v>0.6970999999999999</v>
      </c>
      <c r="M52" s="25"/>
    </row>
    <row r="53" spans="1:13" ht="12.75">
      <c r="A53" s="24" t="s">
        <v>5</v>
      </c>
      <c r="B53" s="14">
        <v>35086655</v>
      </c>
      <c r="C53" s="14"/>
      <c r="D53" s="14">
        <v>217387</v>
      </c>
      <c r="E53" s="14"/>
      <c r="F53" s="14">
        <f>SUM(B53,D53)</f>
        <v>35304042</v>
      </c>
      <c r="G53" s="14"/>
      <c r="H53" s="15" t="s">
        <v>15</v>
      </c>
      <c r="I53" s="2"/>
      <c r="J53" s="9">
        <f>F53*0.195</f>
        <v>6884288.19</v>
      </c>
      <c r="K53" s="2"/>
      <c r="L53" s="17">
        <f t="shared" si="4"/>
        <v>0.0928</v>
      </c>
      <c r="M53" s="25"/>
    </row>
    <row r="54" spans="1:13" ht="12.75">
      <c r="A54" s="24" t="s">
        <v>7</v>
      </c>
      <c r="B54" s="14">
        <v>3139818</v>
      </c>
      <c r="C54" s="14"/>
      <c r="D54" s="14">
        <v>1862312</v>
      </c>
      <c r="E54" s="14"/>
      <c r="F54" s="14">
        <f>SUM(B54,D54)</f>
        <v>5002130</v>
      </c>
      <c r="G54" s="14"/>
      <c r="H54" s="15" t="s">
        <v>16</v>
      </c>
      <c r="I54" s="2"/>
      <c r="J54" s="9">
        <f>F54*1.0969</f>
        <v>5486836.397</v>
      </c>
      <c r="K54" s="2"/>
      <c r="L54" s="17">
        <f t="shared" si="4"/>
        <v>0.0739</v>
      </c>
      <c r="M54" s="25"/>
    </row>
    <row r="55" spans="1:13" ht="12.75">
      <c r="A55" s="24" t="s">
        <v>6</v>
      </c>
      <c r="B55" s="14">
        <v>17283788</v>
      </c>
      <c r="C55" s="14"/>
      <c r="D55" s="14">
        <v>1658991</v>
      </c>
      <c r="E55" s="14"/>
      <c r="F55" s="14">
        <f>SUM(B55,D55)</f>
        <v>18942779</v>
      </c>
      <c r="G55" s="14"/>
      <c r="H55" s="15" t="s">
        <v>16</v>
      </c>
      <c r="I55" s="2"/>
      <c r="J55" s="9">
        <f>F55*1.0969</f>
        <v>20778334.285099998</v>
      </c>
      <c r="K55" s="2"/>
      <c r="L55" s="34">
        <f t="shared" si="4"/>
        <v>0.2801</v>
      </c>
      <c r="M55" s="25"/>
    </row>
    <row r="56" spans="1:13" ht="13.5" thickBot="1">
      <c r="A56" s="31" t="s">
        <v>9</v>
      </c>
      <c r="B56" s="28"/>
      <c r="C56" s="28"/>
      <c r="D56" s="28"/>
      <c r="E56" s="28"/>
      <c r="F56" s="28"/>
      <c r="G56" s="28"/>
      <c r="H56" s="28"/>
      <c r="I56" s="28"/>
      <c r="J56" s="29">
        <f>SUM(J48:J55)-J51</f>
        <v>7415730365.018245</v>
      </c>
      <c r="K56" s="28"/>
      <c r="L56" s="32">
        <f>SUM(L48:L55)-L51</f>
        <v>99.9997</v>
      </c>
      <c r="M56" s="30"/>
    </row>
    <row r="57" spans="1:13" ht="12.75" customHeight="1">
      <c r="A57" s="40" t="s">
        <v>29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</row>
    <row r="58" spans="1:13" ht="12.75" customHeight="1">
      <c r="A58" s="38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</row>
    <row r="59" spans="1:13" ht="12.75" customHeight="1">
      <c r="A59" s="38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</row>
    <row r="60" spans="1:13" ht="12.75">
      <c r="A60" s="38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</row>
  </sheetData>
  <mergeCells count="9">
    <mergeCell ref="A60:M60"/>
    <mergeCell ref="A57:M59"/>
    <mergeCell ref="H3:I6"/>
    <mergeCell ref="J3:K6"/>
    <mergeCell ref="L3:M6"/>
    <mergeCell ref="A3:A6"/>
    <mergeCell ref="B3:C6"/>
    <mergeCell ref="D3:E6"/>
    <mergeCell ref="F3:G6"/>
  </mergeCells>
  <printOptions horizontalCentered="1"/>
  <pageMargins left="0.75" right="0.75" top="0.37" bottom="0.21" header="0.3" footer="0.17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jane.reed</cp:lastModifiedBy>
  <cp:lastPrinted>2008-08-19T17:35:44Z</cp:lastPrinted>
  <dcterms:created xsi:type="dcterms:W3CDTF">2005-04-08T14:10:51Z</dcterms:created>
  <dcterms:modified xsi:type="dcterms:W3CDTF">2008-08-19T17:48:56Z</dcterms:modified>
  <cp:category/>
  <cp:version/>
  <cp:contentType/>
  <cp:contentStatus/>
</cp:coreProperties>
</file>