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60" activeTab="0"/>
  </bookViews>
  <sheets>
    <sheet name="States" sheetId="1" r:id="rId1"/>
    <sheet name="Tribes" sheetId="2" r:id="rId2"/>
    <sheet name="summary" sheetId="3" r:id="rId3"/>
  </sheets>
  <definedNames>
    <definedName name="_Fill" hidden="1">#REF!</definedName>
    <definedName name="_xlnm.Print_Area" localSheetId="0">'States'!$A:$E</definedName>
    <definedName name="_xlnm.Print_Area" localSheetId="1">'Tribes'!$A$1:$I$252</definedName>
    <definedName name="Print_Area_MI" localSheetId="1">'Tribes'!$A$1:$I$250</definedName>
    <definedName name="PRINT_AREA_MI">#REF!</definedName>
    <definedName name="_xlnm.Print_Titles" localSheetId="0">'States'!$1:$7</definedName>
    <definedName name="_xlnm.Print_Titles" localSheetId="2">'summary'!$1:$4</definedName>
  </definedNames>
  <calcPr fullCalcOnLoad="1"/>
</workbook>
</file>

<file path=xl/sharedStrings.xml><?xml version="1.0" encoding="utf-8"?>
<sst xmlns="http://schemas.openxmlformats.org/spreadsheetml/2006/main" count="836" uniqueCount="291">
  <si>
    <t>State</t>
  </si>
  <si>
    <t xml:space="preserve"> </t>
  </si>
  <si>
    <t>Allocation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</si>
  <si>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</si>
  <si>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</si>
  <si>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</si>
  <si>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</si>
  <si>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</si>
  <si>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</si>
  <si>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</si>
  <si>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</si>
  <si>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</si>
  <si>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</si>
  <si>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</si>
  <si>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</si>
  <si>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</si>
  <si>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</si>
  <si>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</si>
  <si>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</si>
  <si>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</si>
  <si>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</si>
  <si>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</si>
  <si>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</si>
  <si>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</si>
  <si>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</si>
  <si>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</si>
  <si>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</si>
  <si>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</si>
  <si>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</si>
  <si>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</si>
  <si>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</si>
  <si>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</si>
  <si>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</si>
  <si>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</si>
  <si>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</si>
  <si>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</si>
  <si>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</si>
  <si>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</si>
  <si>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</si>
  <si>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</si>
  <si>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</si>
  <si>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</si>
  <si>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</si>
  <si>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</si>
  <si>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</si>
  <si>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</si>
  <si>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</si>
  <si>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</si>
  <si>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</si>
  <si>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</si>
  <si>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</si>
  <si>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</si>
  <si>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</si>
  <si>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Leveraging/REACH</t>
  </si>
  <si>
    <t>Territories</t>
  </si>
  <si>
    <t>Total to States</t>
  </si>
  <si>
    <t>Total</t>
  </si>
  <si>
    <t xml:space="preserve"> Territories</t>
  </si>
  <si>
    <t xml:space="preserve">      Regular Block Grant Funds Only</t>
  </si>
  <si>
    <t>Request</t>
  </si>
  <si>
    <t>District of Columbia</t>
  </si>
  <si>
    <t>STATES</t>
  </si>
  <si>
    <t xml:space="preserve"> Difference</t>
  </si>
  <si>
    <t>TRIBES</t>
  </si>
  <si>
    <t xml:space="preserve"> T &amp; TA</t>
  </si>
  <si>
    <t>TERRITORIES</t>
  </si>
  <si>
    <t>Difference</t>
  </si>
  <si>
    <t xml:space="preserve">  Regular Block Grant Funds Only</t>
  </si>
  <si>
    <t>SOURCE FOR ALLOTMENT CALCULATIONS</t>
  </si>
  <si>
    <t>C=Census Count of Eligible Households</t>
  </si>
  <si>
    <t>SOURCE</t>
  </si>
  <si>
    <t xml:space="preserve">  Ma-Chis Lower Creek Indian Tribe</t>
  </si>
  <si>
    <t>A/#</t>
  </si>
  <si>
    <t xml:space="preserve">  Mowa Band of Choctaw Indians </t>
  </si>
  <si>
    <t>A/%</t>
  </si>
  <si>
    <t xml:space="preserve">  Poarch Band of Creek Indians </t>
  </si>
  <si>
    <t xml:space="preserve">  Aleutian/Pribilof Islands Association</t>
  </si>
  <si>
    <t xml:space="preserve">  Assn. of Village Council Presidents</t>
  </si>
  <si>
    <t>C</t>
  </si>
  <si>
    <t xml:space="preserve">  Kenaitze Indian Tribe</t>
  </si>
  <si>
    <t xml:space="preserve">  Kuskokwim Native Association</t>
  </si>
  <si>
    <t xml:space="preserve">  Orutsararmuit Native Council</t>
  </si>
  <si>
    <t xml:space="preserve">  Seldovia Village</t>
  </si>
  <si>
    <t xml:space="preserve">  Tanana Chiefs Conference</t>
  </si>
  <si>
    <t xml:space="preserve">  Tlingit &amp; Haida Central Council</t>
  </si>
  <si>
    <t xml:space="preserve">  Cocopah Tribe</t>
  </si>
  <si>
    <t xml:space="preserve">  Colorado River Indian Tribes</t>
  </si>
  <si>
    <t xml:space="preserve">  Fort Mojave (ITCC-CA)</t>
  </si>
  <si>
    <t xml:space="preserve">  Gila River Pima-Maricopa Community</t>
  </si>
  <si>
    <t xml:space="preserve">  Navajo Nation</t>
  </si>
  <si>
    <t xml:space="preserve">  Pascua Yaqui Tribe</t>
  </si>
  <si>
    <t xml:space="preserve">  Quechan Tribe </t>
  </si>
  <si>
    <t xml:space="preserve">  Salt River Pima Maricopa Ind. Cmty.</t>
  </si>
  <si>
    <t xml:space="preserve">  San Carlos Apache Tribe</t>
  </si>
  <si>
    <t xml:space="preserve">  Berry Creek Rancheria</t>
  </si>
  <si>
    <t xml:space="preserve">  Colorado River Indian Tribes (Ariz.)</t>
  </si>
  <si>
    <t xml:space="preserve">  Coyote Valley Pomo Band</t>
  </si>
  <si>
    <t xml:space="preserve">  Enterprise Rancheria</t>
  </si>
  <si>
    <t xml:space="preserve">  Hoopa Valley Tribe</t>
  </si>
  <si>
    <t xml:space="preserve">  Hopland Band</t>
  </si>
  <si>
    <t xml:space="preserve">  Inter-Tribal Council of California</t>
  </si>
  <si>
    <t xml:space="preserve">  Karuk Tribe</t>
  </si>
  <si>
    <t xml:space="preserve">  Mooretown Rancheria</t>
  </si>
  <si>
    <t xml:space="preserve">  N. Cal. Ind. Devel. Council, Inc.(NCIDC)</t>
  </si>
  <si>
    <t xml:space="preserve">  Pinoleville Rancheria</t>
  </si>
  <si>
    <t xml:space="preserve">  Pit River Tribe</t>
  </si>
  <si>
    <t xml:space="preserve">  Quartz Valley</t>
  </si>
  <si>
    <t xml:space="preserve">  Quechan Tribe (Ariz.)</t>
  </si>
  <si>
    <t xml:space="preserve">  Redding Rancheria</t>
  </si>
  <si>
    <t xml:space="preserve">  Redwood Valley</t>
  </si>
  <si>
    <t xml:space="preserve">  Riverside-San Bernardino Indian Health</t>
  </si>
  <si>
    <t xml:space="preserve">  Round Valley</t>
  </si>
  <si>
    <t xml:space="preserve">  Smith River Rancheria</t>
  </si>
  <si>
    <t xml:space="preserve">  Sherwood Valley Rancheria</t>
  </si>
  <si>
    <t xml:space="preserve">  S. Cal. Tribal Chairmen's Association</t>
  </si>
  <si>
    <t xml:space="preserve">  Southern Indian Health Council</t>
  </si>
  <si>
    <t xml:space="preserve">  Yurok Tribe</t>
  </si>
  <si>
    <t xml:space="preserve">  Southern Ute Tribe</t>
  </si>
  <si>
    <t>A/$</t>
  </si>
  <si>
    <t xml:space="preserve">  Poarch Band of Creek Indians (Ala.)</t>
  </si>
  <si>
    <t xml:space="preserve">  Coeur d'Alene Tribe</t>
  </si>
  <si>
    <t xml:space="preserve">  Nez Perce Tribe</t>
  </si>
  <si>
    <t xml:space="preserve">  Shoshone-Bannock Tribes (Fort Hall) </t>
  </si>
  <si>
    <t xml:space="preserve">  Pokagon Band (Mich.)</t>
  </si>
  <si>
    <t xml:space="preserve">  United Tribes of Kansas &amp; SE Nebraska</t>
  </si>
  <si>
    <t xml:space="preserve">  Aroostook Band of Micmac Indians</t>
  </si>
  <si>
    <t xml:space="preserve">  Houlton Band of Maliseet Indians</t>
  </si>
  <si>
    <t xml:space="preserve">  Passamaquoddy Tribe--Indian Township</t>
  </si>
  <si>
    <t xml:space="preserve">  Passamaquoddy Tribe--Pleasant Point</t>
  </si>
  <si>
    <t xml:space="preserve">  Penobscot Tribe</t>
  </si>
  <si>
    <t xml:space="preserve">  Mashpee Wampanoag Tribe</t>
  </si>
  <si>
    <t xml:space="preserve">  Grand Traverse Ottawa/Chippewa Band</t>
  </si>
  <si>
    <t xml:space="preserve">  Inter-Tribal Council of Michigan </t>
  </si>
  <si>
    <t xml:space="preserve">  Little River Band of Ottawa Indians</t>
  </si>
  <si>
    <t xml:space="preserve">  Pokagon Band of Potawatomi Indians</t>
  </si>
  <si>
    <t xml:space="preserve">  Sault Ste. Marie Chippewa Tribe</t>
  </si>
  <si>
    <t xml:space="preserve">  Mississippi Band of Choctaw Indians </t>
  </si>
  <si>
    <t xml:space="preserve">  Assiniboine &amp; Sioux Tribes (Fort Peck)</t>
  </si>
  <si>
    <t xml:space="preserve">  Blackfeet Tribe</t>
  </si>
  <si>
    <t xml:space="preserve">  Chippewa-Cree Tribe</t>
  </si>
  <si>
    <t xml:space="preserve">  Confederated Salish &amp; Kootenai Tribes </t>
  </si>
  <si>
    <t xml:space="preserve">  Fort Belknap Community</t>
  </si>
  <si>
    <t xml:space="preserve">  Northern Cheyenne Tribe</t>
  </si>
  <si>
    <t xml:space="preserve">  United Tribes of Ks. &amp; SE Neb. (Kansas)</t>
  </si>
  <si>
    <t xml:space="preserve">  Powhatan Renape Nation</t>
  </si>
  <si>
    <t xml:space="preserve">  Five Sandoval Indian Pueblos</t>
  </si>
  <si>
    <t xml:space="preserve">  Jicarilla Apache Tribe</t>
  </si>
  <si>
    <t xml:space="preserve">  Navajo Nation (Ariz.)</t>
  </si>
  <si>
    <t xml:space="preserve">  Pueblo of Zuni</t>
  </si>
  <si>
    <t xml:space="preserve">  Seneca Nation</t>
  </si>
  <si>
    <t xml:space="preserve">  St. Regis Mohawk Band</t>
  </si>
  <si>
    <t xml:space="preserve">  Lumbee Tribe</t>
  </si>
  <si>
    <t xml:space="preserve">  Spirit Lake Tribe </t>
  </si>
  <si>
    <t xml:space="preserve">  Standing Rock Sioux Tribe</t>
  </si>
  <si>
    <t xml:space="preserve">  Three Affiliated Tribes (Fort Berthold)</t>
  </si>
  <si>
    <t xml:space="preserve">  Turtle Mountain Chippewa Band</t>
  </si>
  <si>
    <t xml:space="preserve">  Absentee Shawnee Tribe</t>
  </si>
  <si>
    <t xml:space="preserve">  Alabama-Quassarte Tribal Town</t>
  </si>
  <si>
    <t xml:space="preserve">  Apache Tribe of Oklahoma</t>
  </si>
  <si>
    <t xml:space="preserve">  Caddo Indian Tribe</t>
  </si>
  <si>
    <t xml:space="preserve">  Cherokee Nation of Oklahoma</t>
  </si>
  <si>
    <t xml:space="preserve">  Cheyenne-Arapaho Tribes</t>
  </si>
  <si>
    <t xml:space="preserve">  Chickasaw Nation of Oklahoma</t>
  </si>
  <si>
    <t xml:space="preserve">  Choctaw Nation of Oklahoma</t>
  </si>
  <si>
    <t xml:space="preserve">  Citizen Band Potawatomi  </t>
  </si>
  <si>
    <t xml:space="preserve">  Comanche Indian Tribe</t>
  </si>
  <si>
    <t xml:space="preserve">  Delaware Nation of Western Oklahoma</t>
  </si>
  <si>
    <t xml:space="preserve">  Eastern Shawnee Tribe of Oklahoma</t>
  </si>
  <si>
    <t xml:space="preserve">  Kickapoo Tribe of Oklahoma</t>
  </si>
  <si>
    <t xml:space="preserve">  Miami Tribe</t>
  </si>
  <si>
    <t xml:space="preserve">  Modoc Tribe of Oklahoma</t>
  </si>
  <si>
    <t xml:space="preserve">  Muscogee (Creek) Nation</t>
  </si>
  <si>
    <t xml:space="preserve">  Osage Tribe</t>
  </si>
  <si>
    <t xml:space="preserve">  Otoe-Missouria Tribe</t>
  </si>
  <si>
    <t xml:space="preserve">  Ottawa Tribe of Oklahoma</t>
  </si>
  <si>
    <t xml:space="preserve">  Pawnee Tribe</t>
  </si>
  <si>
    <t xml:space="preserve">  Ponca Tribe</t>
  </si>
  <si>
    <t xml:space="preserve">  Quapaw Tribe</t>
  </si>
  <si>
    <t xml:space="preserve">  Sac &amp; Fox Tribe of Oklahoma</t>
  </si>
  <si>
    <t xml:space="preserve">  Seminole Nation of Oklahoma</t>
  </si>
  <si>
    <t xml:space="preserve">  Seneca-Cayuga Tribe</t>
  </si>
  <si>
    <t xml:space="preserve">  Shawnee Tribe</t>
  </si>
  <si>
    <t xml:space="preserve">  Tonkawa Tribe </t>
  </si>
  <si>
    <t xml:space="preserve">  United Keetowah</t>
  </si>
  <si>
    <t xml:space="preserve">  Wichita &amp; Affiliated Tribes</t>
  </si>
  <si>
    <t xml:space="preserve">         </t>
  </si>
  <si>
    <t xml:space="preserve">  Conf. Tribes of Grand Ronde</t>
  </si>
  <si>
    <t xml:space="preserve">  Conf. Tribes of Warm Springs</t>
  </si>
  <si>
    <t xml:space="preserve">  Cow Creek Band of Umpqua Indians</t>
  </si>
  <si>
    <t xml:space="preserve">  Klamath Tribe</t>
  </si>
  <si>
    <t xml:space="preserve">  Narragansett Indian Tribe</t>
  </si>
  <si>
    <t xml:space="preserve">  Cheyenne River Sioux Tribe</t>
  </si>
  <si>
    <t xml:space="preserve">  Lower Brule Sioux Tribe</t>
  </si>
  <si>
    <t xml:space="preserve">  Oglala Sioux Tribe</t>
  </si>
  <si>
    <t xml:space="preserve">  Rosebud Sioux Tribe</t>
  </si>
  <si>
    <t xml:space="preserve">  Sisseton-Wahpeton Sioux Tribe</t>
  </si>
  <si>
    <t xml:space="preserve">  Standing Rock Sioux Tribe (N. Dak.)</t>
  </si>
  <si>
    <t xml:space="preserve">  Yankton Sioux Tribe</t>
  </si>
  <si>
    <t xml:space="preserve">  Paiute Indian Tribe of Utah</t>
  </si>
  <si>
    <t xml:space="preserve">  Ute Tribe (Uintah &amp; Ouray)</t>
  </si>
  <si>
    <t xml:space="preserve">  Colville Confederated Tribes</t>
  </si>
  <si>
    <t xml:space="preserve">  Hoh Tribe</t>
  </si>
  <si>
    <t xml:space="preserve">  Jamestown S'Klallam Tribe</t>
  </si>
  <si>
    <t xml:space="preserve">  Kalispel Indian Community</t>
  </si>
  <si>
    <t xml:space="preserve">  Lower Elwha Klallam Tribe</t>
  </si>
  <si>
    <t xml:space="preserve">  Lummi Indian Tribe</t>
  </si>
  <si>
    <t xml:space="preserve">  Makah Indian Tribe</t>
  </si>
  <si>
    <t xml:space="preserve">  Muckleshoot Indian Tribe</t>
  </si>
  <si>
    <t xml:space="preserve">  Nooksack Indian Tribe</t>
  </si>
  <si>
    <t xml:space="preserve">  Port Gamble S'Klallam Tribe </t>
  </si>
  <si>
    <t xml:space="preserve">  Puyallup Tribe</t>
  </si>
  <si>
    <t xml:space="preserve">  Quileute Tribe</t>
  </si>
  <si>
    <t xml:space="preserve">  Quinault Tribe</t>
  </si>
  <si>
    <t xml:space="preserve">  Samish Tribe</t>
  </si>
  <si>
    <t xml:space="preserve">  Small Tribes Organization of W. Wash.</t>
  </si>
  <si>
    <t xml:space="preserve">  South Puget Intertribal Planning Agency</t>
  </si>
  <si>
    <t xml:space="preserve">  Spokane Tribe</t>
  </si>
  <si>
    <t xml:space="preserve">  Swinomish Indians</t>
  </si>
  <si>
    <t xml:space="preserve">  Yakama Indian Nation</t>
  </si>
  <si>
    <t xml:space="preserve">  Northern Arapaho Nation</t>
  </si>
  <si>
    <t xml:space="preserve"> TOTALS FOR STATES WITH TRIBES FUNDED DIRECTLY BY HHS</t>
  </si>
  <si>
    <t>TRIBAL GRANT AMOUNT</t>
  </si>
  <si>
    <t>Territory Allotment Ratio</t>
  </si>
  <si>
    <t>American Samoa</t>
  </si>
  <si>
    <t>Guam</t>
  </si>
  <si>
    <t>Northern Marianas</t>
  </si>
  <si>
    <t>Puerto Rico</t>
  </si>
  <si>
    <t>Virgin Islands</t>
  </si>
  <si>
    <t>Ratios by Territory</t>
  </si>
  <si>
    <t>Territory Allotments</t>
  </si>
  <si>
    <t>Allotment Percents</t>
  </si>
  <si>
    <t>Gross Allotments</t>
  </si>
  <si>
    <t>Tribal Set-Aside</t>
  </si>
  <si>
    <t xml:space="preserve"> Net Allotments</t>
  </si>
  <si>
    <t>Assumptions:</t>
  </si>
  <si>
    <t>Rescission</t>
  </si>
  <si>
    <t>Appropriation</t>
  </si>
  <si>
    <t>Appropriation after Rescission</t>
  </si>
  <si>
    <t>STATE NET ALLOTMENTS</t>
  </si>
  <si>
    <t>Total Tribal Allotments</t>
  </si>
  <si>
    <t>Total Territorial Allotments</t>
  </si>
  <si>
    <t>Total State Allotments</t>
  </si>
  <si>
    <t>TERRITORIAL ALLOTMENTS</t>
  </si>
  <si>
    <t>1) Pre-rescission Leveraging/REACH amounts are set at their traditional and/or statutory limits.</t>
  </si>
  <si>
    <t>T&amp;TA</t>
  </si>
  <si>
    <t>FY 2006 Appropriation</t>
  </si>
  <si>
    <t xml:space="preserve">    A=State/Tribe Agreement On:</t>
  </si>
  <si>
    <t xml:space="preserve">      #=Household Numbers</t>
  </si>
  <si>
    <t>D=Documented Tribal Eligible</t>
  </si>
  <si>
    <t xml:space="preserve">      %=Percent of State Allotment</t>
  </si>
  <si>
    <t xml:space="preserve">  Household Number </t>
  </si>
  <si>
    <t xml:space="preserve">      $=Dollar Amount</t>
  </si>
  <si>
    <t xml:space="preserve">     TRIBAL</t>
  </si>
  <si>
    <t xml:space="preserve">       STATE</t>
  </si>
  <si>
    <t xml:space="preserve">    STATE</t>
  </si>
  <si>
    <t xml:space="preserve">  TRIBAL </t>
  </si>
  <si>
    <t xml:space="preserve">   STATE GROSS</t>
  </si>
  <si>
    <t xml:space="preserve">  PERCENTAGE OF</t>
  </si>
  <si>
    <t xml:space="preserve">     GRANT</t>
  </si>
  <si>
    <t xml:space="preserve">      TRIBAL</t>
  </si>
  <si>
    <t xml:space="preserve">    STATE NET</t>
  </si>
  <si>
    <t xml:space="preserve">    HHLD #</t>
  </si>
  <si>
    <t xml:space="preserve">  HHLD #</t>
  </si>
  <si>
    <t xml:space="preserve">   ALLOTMENT</t>
  </si>
  <si>
    <t xml:space="preserve">  STATE SHARE</t>
  </si>
  <si>
    <t xml:space="preserve">     AMOUNT</t>
  </si>
  <si>
    <t xml:space="preserve">     SET-ASIDE</t>
  </si>
  <si>
    <t xml:space="preserve">    ALLOTMENT</t>
  </si>
  <si>
    <t xml:space="preserve">  Shingle Springs Rancheria</t>
  </si>
  <si>
    <t xml:space="preserve">  Keweenaw Bay Indian Community</t>
  </si>
  <si>
    <t xml:space="preserve">  Pueblo of Jemez</t>
  </si>
  <si>
    <t xml:space="preserve">  Conf. Tribes of Siletz Indians</t>
  </si>
  <si>
    <t xml:space="preserve"> PERCENTAGE OF</t>
  </si>
  <si>
    <t>22-Dec-05</t>
  </si>
  <si>
    <t>Page 1 of 6</t>
  </si>
  <si>
    <t>Page 2 of 6</t>
  </si>
  <si>
    <t>Page 3 of 6</t>
  </si>
  <si>
    <t>Page 4 of 6</t>
  </si>
  <si>
    <t>Page 5 of 6</t>
  </si>
  <si>
    <t>Page 6 of 6</t>
  </si>
  <si>
    <t>TRIBAL</t>
  </si>
  <si>
    <t xml:space="preserve"> AMOUNT</t>
  </si>
  <si>
    <t xml:space="preserve"> GRANT</t>
  </si>
  <si>
    <t>January FY 2006 Appropriation</t>
  </si>
  <si>
    <t>Revised 23-Feb-06</t>
  </si>
  <si>
    <t xml:space="preserve"> Revised 23-Feb-06</t>
  </si>
  <si>
    <t>Low Income Home Energy Assistance Program (LIHEAP) Indian Tribe and Tribal Organization Allotments at $1.98 Billion</t>
  </si>
  <si>
    <t>Low Income Home Energy Assistance Program (LIHEAP) State and Territory Allotments at $1.98 Billion</t>
  </si>
  <si>
    <t>Gross State Allotments and State Allotments Net of Tribal Set-asides</t>
  </si>
  <si>
    <t>DEA/PE 23-Feb-06</t>
  </si>
  <si>
    <t>Attachment 5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</si>
</sst>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_)"/>
    <numFmt numFmtId="165" formatCode="0_)"/>
    <numFmt numFmtId="166" formatCode="&quot;$&quot;#,##0.00000000_);\(&quot;$&quot;#,##0.00000000\)"/>
    <numFmt numFmtId="167" formatCode="&quot;$&quot;#,##0"/>
    <numFmt numFmtId="168" formatCode="0.00000000"/>
    <numFmt numFmtId="169" formatCode="0.000%"/>
    <numFmt numFmtId="170" formatCode="0.0000%"/>
    <numFmt numFmtId="171" formatCode="#,##0.0000000000"/>
    <numFmt numFmtId="172" formatCode="0.0%"/>
    <numFmt numFmtId="173" formatCode="0.000000000"/>
    <numFmt numFmtId="174" formatCode="&quot;$&quot;#,##0.000000000_);\(&quot;$&quot;#,##0.000000000\)"/>
    <numFmt numFmtId="175" formatCode="0.000_)"/>
    <numFmt numFmtId="176" formatCode="0.00_)"/>
    <numFmt numFmtId="177" formatCode="0.0000_)"/>
    <numFmt numFmtId="178" formatCode="0.00000_)"/>
    <numFmt numFmtId="179" formatCode="&quot;$&quot;#,##0.000_);\(&quot;$&quot;#,##0.000\)"/>
    <numFmt numFmtId="180" formatCode="00000"/>
    <numFmt numFmtId="181" formatCode="dd\-mmm\-yy"/>
    <numFmt numFmtId="182" formatCode="0.000000000%"/>
    <numFmt numFmtId="183" formatCode="0.00000%"/>
    <numFmt numFmtId="184" formatCode="0.000000%"/>
    <numFmt numFmtId="185" formatCode="dd\-mmm\-yy_)"/>
    <numFmt numFmtId="186" formatCode="General_)"/>
    <numFmt numFmtId="187" formatCode="0.00000000%"/>
    <numFmt numFmtId="188" formatCode="_(* #,##0.0_);_(* \(#,##0.0\);_(* &quot;-&quot;??_);_(@_)"/>
    <numFmt numFmtId="189" formatCode="_(* #,##0_);_(* \(#,##0\);_(* &quot;-&quot;??_);_(@_)"/>
    <numFmt numFmtId="190" formatCode="0.0000000%"/>
    <numFmt numFmtId="191" formatCode="#,##0.00000000_);\(#,##0.00000000\)"/>
    <numFmt numFmtId="192" formatCode="&quot;$&quot;#,##0.0_);\(&quot;$&quot;#,##0.0\)"/>
    <numFmt numFmtId="193" formatCode="&quot;$&quot;#,##0.0000_);\(&quot;$&quot;#,##0.0000\)"/>
    <numFmt numFmtId="194" formatCode="#,##0.0_);\(#,##0.0\)"/>
    <numFmt numFmtId="195" formatCode="#,##0.000_);\(#,##0.000\)"/>
    <numFmt numFmtId="196" formatCode="#,##0.0000_);\(#,##0.0000\)"/>
    <numFmt numFmtId="197" formatCode="#,##0.00000_);\(#,##0.00000\)"/>
    <numFmt numFmtId="198" formatCode="#,##0.000000_);\(#,##0.000000\)"/>
    <numFmt numFmtId="199" formatCode="#,##0.0000000_);\(#,##0.0000000\)"/>
  </numFmts>
  <fonts count="8">
    <font>
      <sz val="10"/>
      <name val="Courier"/>
      <family val="0"/>
    </font>
    <font>
      <sz val="12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8"/>
      <name val="Courie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9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7" fontId="6" fillId="0" borderId="0" xfId="21" applyFont="1">
      <alignment/>
      <protection/>
    </xf>
    <xf numFmtId="37" fontId="5" fillId="0" borderId="0" xfId="21" applyFont="1" applyAlignment="1">
      <alignment horizontal="right"/>
      <protection/>
    </xf>
    <xf numFmtId="37" fontId="5" fillId="0" borderId="0" xfId="21" applyFont="1">
      <alignment/>
      <protection/>
    </xf>
    <xf numFmtId="37" fontId="7" fillId="0" borderId="0" xfId="21" applyFont="1">
      <alignment/>
      <protection/>
    </xf>
    <xf numFmtId="37" fontId="6" fillId="0" borderId="0" xfId="21" applyNumberFormat="1" applyFont="1" applyAlignment="1" applyProtection="1">
      <alignment horizontal="left"/>
      <protection/>
    </xf>
    <xf numFmtId="37" fontId="6" fillId="0" borderId="0" xfId="21" applyFont="1" applyAlignment="1">
      <alignment horizontal="center"/>
      <protection/>
    </xf>
    <xf numFmtId="5" fontId="6" fillId="0" borderId="0" xfId="21" applyNumberFormat="1" applyFont="1" applyAlignment="1">
      <alignment horizontal="center"/>
      <protection/>
    </xf>
    <xf numFmtId="37" fontId="6" fillId="0" borderId="0" xfId="21" applyNumberFormat="1" applyFont="1" applyAlignment="1" applyProtection="1">
      <alignment horizontal="center"/>
      <protection/>
    </xf>
    <xf numFmtId="164" fontId="6" fillId="0" borderId="0" xfId="21" applyNumberFormat="1" applyFont="1" applyProtection="1">
      <alignment/>
      <protection/>
    </xf>
    <xf numFmtId="5" fontId="6" fillId="0" borderId="0" xfId="21" applyNumberFormat="1" applyFont="1" applyProtection="1">
      <alignment/>
      <protection/>
    </xf>
    <xf numFmtId="9" fontId="6" fillId="0" borderId="0" xfId="23" applyNumberFormat="1" applyFont="1" applyAlignment="1">
      <alignment/>
    </xf>
    <xf numFmtId="5" fontId="6" fillId="0" borderId="0" xfId="21" applyNumberFormat="1" applyFont="1">
      <alignment/>
      <protection/>
    </xf>
    <xf numFmtId="5" fontId="6" fillId="0" borderId="0" xfId="21" applyNumberFormat="1" applyFont="1" applyAlignment="1" applyProtection="1">
      <alignment horizontal="center"/>
      <protection/>
    </xf>
    <xf numFmtId="37" fontId="6" fillId="0" borderId="0" xfId="21" applyFont="1" applyAlignment="1">
      <alignment horizontal="right"/>
      <protection/>
    </xf>
    <xf numFmtId="37" fontId="6" fillId="0" borderId="0" xfId="21" applyNumberFormat="1" applyFont="1" applyAlignment="1" applyProtection="1">
      <alignment horizontal="left" wrapText="1"/>
      <protection/>
    </xf>
    <xf numFmtId="37" fontId="6" fillId="0" borderId="0" xfId="21" applyFont="1" applyAlignment="1">
      <alignment wrapText="1"/>
      <protection/>
    </xf>
    <xf numFmtId="37" fontId="6" fillId="0" borderId="0" xfId="21" applyNumberFormat="1" applyFont="1" applyAlignment="1" applyProtection="1">
      <alignment horizontal="center" wrapText="1"/>
      <protection/>
    </xf>
    <xf numFmtId="37" fontId="5" fillId="0" borderId="0" xfId="21" applyNumberFormat="1" applyFont="1" applyAlignment="1" applyProtection="1">
      <alignment horizontal="left" wrapText="1"/>
      <protection/>
    </xf>
    <xf numFmtId="5" fontId="6" fillId="0" borderId="1" xfId="21" applyNumberFormat="1" applyFont="1" applyBorder="1" applyProtection="1">
      <alignment/>
      <protection/>
    </xf>
    <xf numFmtId="37" fontId="6" fillId="0" borderId="0" xfId="21" applyNumberFormat="1" applyFont="1" applyBorder="1" applyAlignment="1" applyProtection="1">
      <alignment horizontal="left"/>
      <protection/>
    </xf>
    <xf numFmtId="37" fontId="6" fillId="0" borderId="0" xfId="21" applyFont="1" applyBorder="1">
      <alignment/>
      <protection/>
    </xf>
    <xf numFmtId="37" fontId="6" fillId="0" borderId="0" xfId="21" applyNumberFormat="1" applyFont="1" applyBorder="1" applyAlignment="1" applyProtection="1">
      <alignment horizontal="center"/>
      <protection/>
    </xf>
    <xf numFmtId="5" fontId="6" fillId="0" borderId="0" xfId="21" applyNumberFormat="1" applyFont="1" applyBorder="1" applyProtection="1">
      <alignment/>
      <protection/>
    </xf>
    <xf numFmtId="37" fontId="6" fillId="0" borderId="0" xfId="21" applyNumberFormat="1" applyFont="1" applyBorder="1" applyAlignment="1" applyProtection="1">
      <alignment/>
      <protection/>
    </xf>
    <xf numFmtId="191" fontId="6" fillId="0" borderId="0" xfId="21" applyNumberFormat="1" applyFont="1" applyBorder="1" applyProtection="1">
      <alignment/>
      <protection/>
    </xf>
    <xf numFmtId="37" fontId="6" fillId="0" borderId="0" xfId="21" applyNumberFormat="1" applyFont="1" applyBorder="1" applyAlignment="1" applyProtection="1">
      <alignment horizontal="left" indent="2"/>
      <protection/>
    </xf>
    <xf numFmtId="37" fontId="6" fillId="0" borderId="0" xfId="21" applyNumberFormat="1" applyFont="1" applyBorder="1" applyAlignment="1" applyProtection="1">
      <alignment horizontal="left" wrapText="1" indent="3"/>
      <protection/>
    </xf>
    <xf numFmtId="37" fontId="6" fillId="0" borderId="0" xfId="21" applyFont="1" applyBorder="1" applyAlignment="1">
      <alignment horizontal="left"/>
      <protection/>
    </xf>
    <xf numFmtId="37" fontId="6" fillId="0" borderId="1" xfId="21" applyNumberFormat="1" applyFont="1" applyBorder="1" applyAlignment="1" applyProtection="1">
      <alignment horizontal="left"/>
      <protection/>
    </xf>
    <xf numFmtId="164" fontId="6" fillId="0" borderId="1" xfId="21" applyNumberFormat="1" applyFont="1" applyBorder="1" applyProtection="1">
      <alignment/>
      <protection/>
    </xf>
    <xf numFmtId="37" fontId="6" fillId="0" borderId="2" xfId="21" applyNumberFormat="1" applyFont="1" applyBorder="1" applyAlignment="1" applyProtection="1">
      <alignment horizontal="center"/>
      <protection/>
    </xf>
    <xf numFmtId="37" fontId="6" fillId="0" borderId="0" xfId="21" applyNumberFormat="1" applyFont="1" applyBorder="1" applyAlignment="1" applyProtection="1">
      <alignment horizontal="center" wrapText="1"/>
      <protection/>
    </xf>
    <xf numFmtId="37" fontId="6" fillId="0" borderId="0" xfId="21" applyFont="1" applyBorder="1" applyAlignment="1">
      <alignment horizontal="left" wrapText="1" indent="1"/>
      <protection/>
    </xf>
    <xf numFmtId="37" fontId="6" fillId="0" borderId="0" xfId="21" applyNumberFormat="1" applyFont="1" applyBorder="1" applyAlignment="1" applyProtection="1">
      <alignment horizontal="left" wrapText="1"/>
      <protection/>
    </xf>
    <xf numFmtId="5" fontId="0" fillId="0" borderId="0" xfId="0" applyNumberFormat="1" applyAlignment="1">
      <alignment/>
    </xf>
    <xf numFmtId="37" fontId="5" fillId="0" borderId="3" xfId="21" applyNumberFormat="1" applyFont="1" applyFill="1" applyBorder="1" applyAlignment="1" applyProtection="1">
      <alignment horizontal="left" wrapText="1"/>
      <protection/>
    </xf>
    <xf numFmtId="5" fontId="5" fillId="0" borderId="3" xfId="21" applyNumberFormat="1" applyFont="1" applyBorder="1" applyProtection="1">
      <alignment/>
      <protection/>
    </xf>
    <xf numFmtId="37" fontId="6" fillId="0" borderId="0" xfId="21" applyNumberFormat="1" applyFont="1" applyAlignment="1" applyProtection="1">
      <alignment horizontal="center" vertical="top" wrapText="1"/>
      <protection/>
    </xf>
    <xf numFmtId="37" fontId="5" fillId="2" borderId="0" xfId="21" applyFont="1" applyFill="1">
      <alignment/>
      <protection/>
    </xf>
    <xf numFmtId="5" fontId="6" fillId="2" borderId="0" xfId="21" applyNumberFormat="1" applyFont="1" applyFill="1" applyProtection="1">
      <alignment/>
      <protection/>
    </xf>
    <xf numFmtId="37" fontId="5" fillId="3" borderId="0" xfId="21" applyFont="1" applyFill="1">
      <alignment/>
      <protection/>
    </xf>
    <xf numFmtId="9" fontId="6" fillId="3" borderId="0" xfId="21" applyNumberFormat="1" applyFont="1" applyFill="1">
      <alignment/>
      <protection/>
    </xf>
    <xf numFmtId="37" fontId="6" fillId="0" borderId="0" xfId="22" applyNumberFormat="1" applyFont="1" applyAlignment="1" applyProtection="1">
      <alignment horizontal="left"/>
      <protection/>
    </xf>
    <xf numFmtId="37" fontId="6" fillId="0" borderId="0" xfId="22" applyFont="1">
      <alignment/>
      <protection/>
    </xf>
    <xf numFmtId="37" fontId="7" fillId="0" borderId="0" xfId="22" applyFont="1">
      <alignment/>
      <protection/>
    </xf>
    <xf numFmtId="37" fontId="6" fillId="0" borderId="0" xfId="22" applyFont="1" applyAlignment="1" quotePrefix="1">
      <alignment horizontal="right"/>
      <protection/>
    </xf>
    <xf numFmtId="5" fontId="7" fillId="0" borderId="0" xfId="22" applyNumberFormat="1" applyFont="1" applyAlignment="1">
      <alignment horizontal="left"/>
      <protection/>
    </xf>
    <xf numFmtId="37" fontId="5" fillId="0" borderId="0" xfId="22" applyFont="1">
      <alignment/>
      <protection/>
    </xf>
    <xf numFmtId="37" fontId="6" fillId="0" borderId="0" xfId="22" applyNumberFormat="1" applyFont="1" applyAlignment="1" applyProtection="1">
      <alignment horizontal="center"/>
      <protection/>
    </xf>
    <xf numFmtId="5" fontId="6" fillId="0" borderId="0" xfId="22" applyNumberFormat="1" applyFont="1" applyProtection="1">
      <alignment/>
      <protection/>
    </xf>
    <xf numFmtId="184" fontId="6" fillId="0" borderId="0" xfId="22" applyNumberFormat="1" applyFont="1">
      <alignment/>
      <protection/>
    </xf>
    <xf numFmtId="37" fontId="6" fillId="0" borderId="0" xfId="22" applyNumberFormat="1" applyFont="1" applyProtection="1">
      <alignment/>
      <protection/>
    </xf>
    <xf numFmtId="184" fontId="6" fillId="0" borderId="0" xfId="22" applyNumberFormat="1" applyFont="1" applyProtection="1">
      <alignment/>
      <protection/>
    </xf>
    <xf numFmtId="3" fontId="6" fillId="0" borderId="0" xfId="22" applyNumberFormat="1" applyFont="1" applyProtection="1">
      <alignment/>
      <protection/>
    </xf>
    <xf numFmtId="186" fontId="6" fillId="0" borderId="0" xfId="22" applyNumberFormat="1" applyFont="1" applyProtection="1">
      <alignment/>
      <protection/>
    </xf>
    <xf numFmtId="37" fontId="6" fillId="0" borderId="0" xfId="22" applyFont="1" applyAlignment="1">
      <alignment horizontal="right"/>
      <protection/>
    </xf>
    <xf numFmtId="5" fontId="6" fillId="0" borderId="0" xfId="22" applyNumberFormat="1" applyFont="1">
      <alignment/>
      <protection/>
    </xf>
    <xf numFmtId="37" fontId="6" fillId="0" borderId="0" xfId="22" applyFont="1" applyAlignment="1">
      <alignment horizontal="center"/>
      <protection/>
    </xf>
    <xf numFmtId="170" fontId="6" fillId="0" borderId="0" xfId="22" applyNumberFormat="1" applyFont="1" applyProtection="1">
      <alignment/>
      <protection/>
    </xf>
    <xf numFmtId="184" fontId="6" fillId="0" borderId="0" xfId="22" applyNumberFormat="1" applyFont="1" applyAlignment="1" applyProtection="1">
      <alignment horizontal="right"/>
      <protection/>
    </xf>
    <xf numFmtId="5" fontId="5" fillId="0" borderId="0" xfId="22" applyNumberFormat="1" applyFont="1" applyAlignment="1" applyProtection="1">
      <alignment horizontal="right"/>
      <protection/>
    </xf>
    <xf numFmtId="170" fontId="6" fillId="0" borderId="0" xfId="22" applyNumberFormat="1" applyFont="1" applyAlignment="1" applyProtection="1">
      <alignment horizontal="right"/>
      <protection/>
    </xf>
    <xf numFmtId="5" fontId="6" fillId="0" borderId="0" xfId="22" applyNumberFormat="1" applyFont="1" applyAlignment="1" applyProtection="1">
      <alignment horizontal="left"/>
      <protection/>
    </xf>
    <xf numFmtId="184" fontId="6" fillId="0" borderId="0" xfId="22" applyNumberFormat="1" applyFont="1" applyAlignment="1" applyProtection="1">
      <alignment horizontal="left"/>
      <protection/>
    </xf>
    <xf numFmtId="37" fontId="6" fillId="0" borderId="0" xfId="22" applyNumberFormat="1" applyFont="1" applyAlignment="1" applyProtection="1">
      <alignment horizontal="right"/>
      <protection/>
    </xf>
    <xf numFmtId="5" fontId="6" fillId="0" borderId="0" xfId="22" applyNumberFormat="1" applyFont="1" applyAlignment="1" applyProtection="1">
      <alignment horizontal="right"/>
      <protection/>
    </xf>
    <xf numFmtId="164" fontId="6" fillId="0" borderId="0" xfId="22" applyNumberFormat="1" applyFont="1" applyProtection="1">
      <alignment/>
      <protection/>
    </xf>
    <xf numFmtId="37" fontId="6" fillId="0" borderId="0" xfId="22" applyFont="1" applyAlignment="1">
      <alignment horizontal="left"/>
      <protection/>
    </xf>
    <xf numFmtId="199" fontId="6" fillId="0" borderId="0" xfId="22" applyNumberFormat="1" applyFont="1">
      <alignment/>
      <protection/>
    </xf>
    <xf numFmtId="37" fontId="6" fillId="0" borderId="0" xfId="22" applyNumberFormat="1" applyFont="1" applyFill="1" applyAlignment="1" applyProtection="1">
      <alignment horizontal="left"/>
      <protection/>
    </xf>
    <xf numFmtId="37" fontId="6" fillId="0" borderId="0" xfId="22" applyNumberFormat="1" applyFont="1" applyFill="1" applyProtection="1">
      <alignment/>
      <protection/>
    </xf>
    <xf numFmtId="37" fontId="6" fillId="0" borderId="0" xfId="22" applyNumberFormat="1" applyFont="1" applyFill="1" applyAlignment="1" applyProtection="1">
      <alignment horizontal="center"/>
      <protection/>
    </xf>
    <xf numFmtId="5" fontId="6" fillId="0" borderId="0" xfId="22" applyNumberFormat="1" applyFont="1" applyFill="1" applyProtection="1">
      <alignment/>
      <protection/>
    </xf>
    <xf numFmtId="184" fontId="6" fillId="0" borderId="0" xfId="22" applyNumberFormat="1" applyFont="1" applyFill="1" applyAlignment="1" applyProtection="1">
      <alignment horizontal="right"/>
      <protection/>
    </xf>
    <xf numFmtId="37" fontId="5" fillId="0" borderId="0" xfId="22" applyFont="1" applyAlignment="1">
      <alignment horizontal="right"/>
      <protection/>
    </xf>
    <xf numFmtId="37" fontId="5" fillId="0" borderId="0" xfId="22" applyNumberFormat="1" applyFont="1" applyAlignment="1" applyProtection="1">
      <alignment horizontal="left"/>
      <protection/>
    </xf>
    <xf numFmtId="0" fontId="5" fillId="0" borderId="0" xfId="0" applyFont="1" applyAlignment="1">
      <alignment horizontal="left" wrapText="1"/>
    </xf>
    <xf numFmtId="15" fontId="7" fillId="0" borderId="0" xfId="0" applyNumberFormat="1" applyFont="1" applyAlignment="1">
      <alignment horizontal="left" wrapText="1"/>
    </xf>
    <xf numFmtId="37" fontId="6" fillId="0" borderId="0" xfId="22" applyNumberFormat="1" applyFont="1" applyAlignment="1" applyProtection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5-LIHEAP Allocations-$1.884B-FINAL" xfId="21"/>
    <cellStyle name="Normal_2006-LIHEAP Alloc-$2 0B (2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pane xSplit="1" ySplit="6" topLeftCell="B7" activePane="bottomRight" state="frozen"/>
      <selection pane="topLeft" activeCell="A6" sqref="A6"/>
      <selection pane="topRight" activeCell="B6" sqref="B6"/>
      <selection pane="bottomLeft" activeCell="A7" sqref="A7"/>
      <selection pane="bottomRight" activeCell="E4" sqref="E4"/>
    </sheetView>
  </sheetViews>
  <sheetFormatPr defaultColWidth="9.00390625" defaultRowHeight="12.75"/>
  <cols>
    <col min="1" max="2" width="18.25390625" style="1" customWidth="1"/>
    <col min="3" max="3" width="15.375" style="1" customWidth="1"/>
    <col min="4" max="4" width="20.375" style="1" customWidth="1"/>
    <col min="5" max="5" width="22.875" style="1" customWidth="1"/>
    <col min="6" max="6" width="11.75390625" style="1" hidden="1" customWidth="1"/>
    <col min="7" max="7" width="12.50390625" style="1" hidden="1" customWidth="1"/>
    <col min="8" max="8" width="10.50390625" style="1" hidden="1" customWidth="1"/>
    <col min="9" max="9" width="11.50390625" style="1" hidden="1" customWidth="1"/>
    <col min="10" max="10" width="14.25390625" style="1" customWidth="1"/>
    <col min="11" max="16384" width="8.875" style="1" customWidth="1"/>
  </cols>
  <sheetData>
    <row r="1" spans="1:9" s="3" customFormat="1" ht="12.75">
      <c r="A1" s="77" t="s">
        <v>287</v>
      </c>
      <c r="B1" s="77"/>
      <c r="C1" s="77"/>
      <c r="D1" s="77"/>
      <c r="E1" s="77"/>
      <c r="F1" s="77"/>
      <c r="G1" s="77"/>
      <c r="H1" s="77"/>
      <c r="I1" s="77"/>
    </row>
    <row r="2" spans="1:5" ht="14.25" customHeight="1">
      <c r="A2" s="78" t="s">
        <v>288</v>
      </c>
      <c r="B2" s="78"/>
      <c r="C2" s="78"/>
      <c r="D2" s="78"/>
      <c r="E2" s="75" t="s">
        <v>285</v>
      </c>
    </row>
    <row r="3" spans="1:5" ht="12.75">
      <c r="A3" s="39" t="s">
        <v>236</v>
      </c>
      <c r="B3" s="40">
        <v>2000000000</v>
      </c>
      <c r="C3" s="5" t="s">
        <v>58</v>
      </c>
      <c r="E3" s="2" t="s">
        <v>290</v>
      </c>
    </row>
    <row r="4" spans="1:5" ht="12.75">
      <c r="A4" s="41" t="s">
        <v>235</v>
      </c>
      <c r="B4" s="42">
        <v>0.01</v>
      </c>
      <c r="C4" s="5"/>
      <c r="E4" s="2"/>
    </row>
    <row r="5" spans="1:5" ht="12.75">
      <c r="A5" s="4"/>
      <c r="C5" s="5"/>
      <c r="E5" s="2"/>
    </row>
    <row r="6" spans="1:9" ht="12.75">
      <c r="A6" s="31" t="s">
        <v>0</v>
      </c>
      <c r="B6" s="31" t="s">
        <v>230</v>
      </c>
      <c r="C6" s="31" t="s">
        <v>231</v>
      </c>
      <c r="D6" s="31" t="s">
        <v>232</v>
      </c>
      <c r="E6" s="31" t="s">
        <v>233</v>
      </c>
      <c r="F6" s="6" t="s">
        <v>59</v>
      </c>
      <c r="G6" s="6" t="s">
        <v>2</v>
      </c>
      <c r="H6" s="6" t="s">
        <v>59</v>
      </c>
      <c r="I6" s="7" t="s">
        <v>2</v>
      </c>
    </row>
    <row r="7" ht="12.75">
      <c r="C7" s="5"/>
    </row>
    <row r="8" spans="1:9" ht="12.75">
      <c r="A8" s="5" t="s">
        <v>3</v>
      </c>
      <c r="B8" s="9">
        <v>0.00860045</v>
      </c>
      <c r="C8" s="10">
        <f aca="true" t="shared" si="0" ref="C8:C39">ROUND(+B8*$B$68,0)</f>
        <v>16769448</v>
      </c>
      <c r="D8" s="10">
        <f>Tribes!H13</f>
        <v>96836</v>
      </c>
      <c r="E8" s="10">
        <f aca="true" t="shared" si="1" ref="E8:E39">C8-D8</f>
        <v>16672612</v>
      </c>
      <c r="F8" s="11">
        <v>0.45</v>
      </c>
      <c r="G8" s="12">
        <f aca="true" t="shared" si="2" ref="G8:G39">E8*F8</f>
        <v>7502675.4</v>
      </c>
      <c r="H8" s="11">
        <v>0.45</v>
      </c>
      <c r="I8" s="12">
        <f aca="true" t="shared" si="3" ref="I8:I39">E8*H8</f>
        <v>7502675.4</v>
      </c>
    </row>
    <row r="9" spans="1:9" ht="12.75">
      <c r="A9" s="5" t="s">
        <v>4</v>
      </c>
      <c r="B9" s="9">
        <v>0.00548986</v>
      </c>
      <c r="C9" s="10">
        <f t="shared" si="0"/>
        <v>10704315</v>
      </c>
      <c r="D9" s="10">
        <f>Tribes!H18</f>
        <v>3264815</v>
      </c>
      <c r="E9" s="10">
        <f t="shared" si="1"/>
        <v>7439500</v>
      </c>
      <c r="F9" s="11">
        <v>0.4</v>
      </c>
      <c r="G9" s="12">
        <f t="shared" si="2"/>
        <v>2975800</v>
      </c>
      <c r="H9" s="11">
        <v>0.3</v>
      </c>
      <c r="I9" s="12">
        <f t="shared" si="3"/>
        <v>2231850</v>
      </c>
    </row>
    <row r="10" spans="1:9" ht="12.75">
      <c r="A10" s="5" t="s">
        <v>5</v>
      </c>
      <c r="B10" s="9">
        <v>0.00415928</v>
      </c>
      <c r="C10" s="10">
        <f t="shared" si="0"/>
        <v>8109905</v>
      </c>
      <c r="D10" s="10">
        <f>Tribes!H28</f>
        <v>615062</v>
      </c>
      <c r="E10" s="10">
        <f t="shared" si="1"/>
        <v>7494843</v>
      </c>
      <c r="F10" s="11">
        <v>0.25</v>
      </c>
      <c r="G10" s="12">
        <f t="shared" si="2"/>
        <v>1873710.75</v>
      </c>
      <c r="H10" s="11">
        <v>0.25</v>
      </c>
      <c r="I10" s="12">
        <f t="shared" si="3"/>
        <v>1873710.75</v>
      </c>
    </row>
    <row r="11" spans="1:9" ht="12.75">
      <c r="A11" s="5" t="s">
        <v>6</v>
      </c>
      <c r="B11" s="9">
        <v>0.00656255</v>
      </c>
      <c r="C11" s="10">
        <f t="shared" si="0"/>
        <v>12795882</v>
      </c>
      <c r="D11" s="10"/>
      <c r="E11" s="10">
        <f t="shared" si="1"/>
        <v>12795882</v>
      </c>
      <c r="F11" s="11">
        <v>0.6</v>
      </c>
      <c r="G11" s="12">
        <f t="shared" si="2"/>
        <v>7677529.199999999</v>
      </c>
      <c r="H11" s="11">
        <v>0.4</v>
      </c>
      <c r="I11" s="12">
        <f t="shared" si="3"/>
        <v>5118352.800000001</v>
      </c>
    </row>
    <row r="12" spans="1:9" ht="12.75">
      <c r="A12" s="5" t="s">
        <v>7</v>
      </c>
      <c r="B12" s="9">
        <v>0.04613891</v>
      </c>
      <c r="C12" s="10">
        <f t="shared" si="0"/>
        <v>89963206</v>
      </c>
      <c r="D12" s="10">
        <f>Tribes!H46</f>
        <v>676298</v>
      </c>
      <c r="E12" s="10">
        <f t="shared" si="1"/>
        <v>89286908</v>
      </c>
      <c r="F12" s="11">
        <v>0.25</v>
      </c>
      <c r="G12" s="12">
        <f t="shared" si="2"/>
        <v>22321727</v>
      </c>
      <c r="H12" s="11">
        <v>0.25</v>
      </c>
      <c r="I12" s="12">
        <f t="shared" si="3"/>
        <v>22321727</v>
      </c>
    </row>
    <row r="13" spans="1:9" ht="12.75">
      <c r="A13" s="5" t="s">
        <v>8</v>
      </c>
      <c r="B13" s="9">
        <v>0.0160872</v>
      </c>
      <c r="C13" s="10">
        <f t="shared" si="0"/>
        <v>31367366</v>
      </c>
      <c r="D13" s="10">
        <f>Tribes!H72</f>
        <v>25000</v>
      </c>
      <c r="E13" s="10">
        <f t="shared" si="1"/>
        <v>31342366</v>
      </c>
      <c r="F13" s="11">
        <v>0.5</v>
      </c>
      <c r="G13" s="12">
        <f t="shared" si="2"/>
        <v>15671183</v>
      </c>
      <c r="H13" s="11">
        <v>0.3</v>
      </c>
      <c r="I13" s="12">
        <f t="shared" si="3"/>
        <v>9402709.799999999</v>
      </c>
    </row>
    <row r="14" spans="1:9" ht="12.75">
      <c r="A14" s="5" t="s">
        <v>9</v>
      </c>
      <c r="B14" s="9">
        <v>0.02098632</v>
      </c>
      <c r="C14" s="10">
        <f t="shared" si="0"/>
        <v>40919836</v>
      </c>
      <c r="D14" s="10"/>
      <c r="E14" s="10">
        <f t="shared" si="1"/>
        <v>40919836</v>
      </c>
      <c r="F14" s="11">
        <v>0.3</v>
      </c>
      <c r="G14" s="12">
        <f t="shared" si="2"/>
        <v>12275950.799999999</v>
      </c>
      <c r="H14" s="11">
        <v>0.45</v>
      </c>
      <c r="I14" s="12">
        <f t="shared" si="3"/>
        <v>18413926.2</v>
      </c>
    </row>
    <row r="15" spans="1:9" ht="12.75">
      <c r="A15" s="5" t="s">
        <v>10</v>
      </c>
      <c r="B15" s="9">
        <v>0.00278553</v>
      </c>
      <c r="C15" s="10">
        <f t="shared" si="0"/>
        <v>5431321</v>
      </c>
      <c r="D15" s="10"/>
      <c r="E15" s="10">
        <f t="shared" si="1"/>
        <v>5431321</v>
      </c>
      <c r="F15" s="11">
        <v>0.7</v>
      </c>
      <c r="G15" s="12">
        <f t="shared" si="2"/>
        <v>3801924.6999999997</v>
      </c>
      <c r="H15" s="11">
        <v>0.2</v>
      </c>
      <c r="I15" s="12">
        <f t="shared" si="3"/>
        <v>1086264.2</v>
      </c>
    </row>
    <row r="16" spans="1:9" ht="12.75">
      <c r="A16" s="5" t="s">
        <v>60</v>
      </c>
      <c r="B16" s="9">
        <v>0.00325921</v>
      </c>
      <c r="C16" s="10">
        <f t="shared" si="0"/>
        <v>6354918</v>
      </c>
      <c r="D16" s="10"/>
      <c r="E16" s="10">
        <f t="shared" si="1"/>
        <v>6354918</v>
      </c>
      <c r="F16" s="11">
        <v>1</v>
      </c>
      <c r="G16" s="12">
        <f t="shared" si="2"/>
        <v>6354918</v>
      </c>
      <c r="H16" s="11">
        <v>0</v>
      </c>
      <c r="I16" s="12">
        <f t="shared" si="3"/>
        <v>0</v>
      </c>
    </row>
    <row r="17" spans="1:9" ht="12.75">
      <c r="A17" s="5" t="s">
        <v>11</v>
      </c>
      <c r="B17" s="9">
        <v>0.01360848</v>
      </c>
      <c r="C17" s="10">
        <f t="shared" si="0"/>
        <v>26534274</v>
      </c>
      <c r="D17" s="10">
        <f>Tribes!H75</f>
        <v>6802</v>
      </c>
      <c r="E17" s="10">
        <f t="shared" si="1"/>
        <v>26527472</v>
      </c>
      <c r="F17" s="11">
        <v>0.9</v>
      </c>
      <c r="G17" s="12">
        <f t="shared" si="2"/>
        <v>23874724.8</v>
      </c>
      <c r="H17" s="11">
        <v>0</v>
      </c>
      <c r="I17" s="12">
        <f t="shared" si="3"/>
        <v>0</v>
      </c>
    </row>
    <row r="18" spans="1:9" ht="12.75">
      <c r="A18" s="5" t="s">
        <v>12</v>
      </c>
      <c r="B18" s="9">
        <v>0.01075959</v>
      </c>
      <c r="C18" s="10">
        <f t="shared" si="0"/>
        <v>20979412</v>
      </c>
      <c r="D18" s="10"/>
      <c r="E18" s="10">
        <f t="shared" si="1"/>
        <v>20979412</v>
      </c>
      <c r="F18" s="11">
        <v>0.9</v>
      </c>
      <c r="G18" s="12">
        <f t="shared" si="2"/>
        <v>18881470.8</v>
      </c>
      <c r="H18" s="11">
        <v>0.1</v>
      </c>
      <c r="I18" s="12">
        <f t="shared" si="3"/>
        <v>2097941.2</v>
      </c>
    </row>
    <row r="19" spans="1:9" ht="12.75">
      <c r="A19" s="5" t="s">
        <v>13</v>
      </c>
      <c r="B19" s="9">
        <v>0.00108355</v>
      </c>
      <c r="C19" s="10">
        <f>ROUND(+B19*$B$68,0)</f>
        <v>2112742</v>
      </c>
      <c r="D19" s="10"/>
      <c r="E19" s="10">
        <f t="shared" si="1"/>
        <v>2112742</v>
      </c>
      <c r="F19" s="11">
        <v>0.25</v>
      </c>
      <c r="G19" s="12">
        <f t="shared" si="2"/>
        <v>528185.5</v>
      </c>
      <c r="H19" s="11">
        <v>0.25</v>
      </c>
      <c r="I19" s="12">
        <f t="shared" si="3"/>
        <v>528185.5</v>
      </c>
    </row>
    <row r="20" spans="1:9" ht="12.75">
      <c r="A20" s="5" t="s">
        <v>14</v>
      </c>
      <c r="B20" s="9">
        <v>0.00627508</v>
      </c>
      <c r="C20" s="10">
        <f t="shared" si="0"/>
        <v>12235363</v>
      </c>
      <c r="D20" s="10">
        <f>Tribes!H78</f>
        <v>593721</v>
      </c>
      <c r="E20" s="10">
        <f t="shared" si="1"/>
        <v>11641642</v>
      </c>
      <c r="F20" s="11">
        <v>0.4</v>
      </c>
      <c r="G20" s="12">
        <f t="shared" si="2"/>
        <v>4656656.8</v>
      </c>
      <c r="H20" s="11">
        <v>0.4</v>
      </c>
      <c r="I20" s="12">
        <f t="shared" si="3"/>
        <v>4656656.8</v>
      </c>
    </row>
    <row r="21" spans="1:9" ht="12.75">
      <c r="A21" s="5" t="s">
        <v>15</v>
      </c>
      <c r="B21" s="9">
        <v>0.05808651</v>
      </c>
      <c r="C21" s="10">
        <f t="shared" si="0"/>
        <v>113259040</v>
      </c>
      <c r="D21" s="10"/>
      <c r="E21" s="10">
        <f t="shared" si="1"/>
        <v>113259040</v>
      </c>
      <c r="F21" s="11">
        <v>1</v>
      </c>
      <c r="G21" s="12">
        <f t="shared" si="2"/>
        <v>113259040</v>
      </c>
      <c r="H21" s="11">
        <v>0</v>
      </c>
      <c r="I21" s="12">
        <f t="shared" si="3"/>
        <v>0</v>
      </c>
    </row>
    <row r="22" spans="1:9" ht="12.75">
      <c r="A22" s="5" t="s">
        <v>16</v>
      </c>
      <c r="B22" s="9">
        <v>0.02629994</v>
      </c>
      <c r="C22" s="10">
        <f t="shared" si="0"/>
        <v>51280512</v>
      </c>
      <c r="D22" s="10">
        <f>Tribes!H83</f>
        <v>6664</v>
      </c>
      <c r="E22" s="10">
        <f t="shared" si="1"/>
        <v>51273848</v>
      </c>
      <c r="F22" s="11">
        <v>0.7</v>
      </c>
      <c r="G22" s="12">
        <f t="shared" si="2"/>
        <v>35891693.599999994</v>
      </c>
      <c r="H22" s="11">
        <v>0.1</v>
      </c>
      <c r="I22" s="12">
        <f t="shared" si="3"/>
        <v>5127384.800000001</v>
      </c>
    </row>
    <row r="23" spans="1:9" ht="12.75">
      <c r="A23" s="5" t="s">
        <v>17</v>
      </c>
      <c r="B23" s="9">
        <v>0.01863912</v>
      </c>
      <c r="C23" s="10">
        <f t="shared" si="0"/>
        <v>36343186</v>
      </c>
      <c r="D23" s="10"/>
      <c r="E23" s="10">
        <f t="shared" si="1"/>
        <v>36343186</v>
      </c>
      <c r="F23" s="11">
        <v>0.8</v>
      </c>
      <c r="G23" s="12">
        <f t="shared" si="2"/>
        <v>29074548.8</v>
      </c>
      <c r="H23" s="11">
        <v>0.1</v>
      </c>
      <c r="I23" s="12">
        <f t="shared" si="3"/>
        <v>3634318.6</v>
      </c>
    </row>
    <row r="24" spans="1:9" ht="12.75">
      <c r="A24" s="5" t="s">
        <v>18</v>
      </c>
      <c r="B24" s="9">
        <v>0.00855992</v>
      </c>
      <c r="C24" s="10">
        <f t="shared" si="0"/>
        <v>16690421</v>
      </c>
      <c r="D24" s="10">
        <f>Tribes!H92</f>
        <v>12420</v>
      </c>
      <c r="E24" s="10">
        <f t="shared" si="1"/>
        <v>16678001</v>
      </c>
      <c r="F24" s="11">
        <v>1</v>
      </c>
      <c r="G24" s="12">
        <f t="shared" si="2"/>
        <v>16678001</v>
      </c>
      <c r="H24" s="11">
        <v>0</v>
      </c>
      <c r="I24" s="12">
        <f t="shared" si="3"/>
        <v>0</v>
      </c>
    </row>
    <row r="25" spans="1:9" ht="12.75">
      <c r="A25" s="5" t="s">
        <v>19</v>
      </c>
      <c r="B25" s="9">
        <v>0.0136864</v>
      </c>
      <c r="C25" s="10">
        <f t="shared" si="0"/>
        <v>26686205</v>
      </c>
      <c r="D25" s="10"/>
      <c r="E25" s="10">
        <f t="shared" si="1"/>
        <v>26686205</v>
      </c>
      <c r="F25" s="11">
        <v>0.9</v>
      </c>
      <c r="G25" s="12">
        <f t="shared" si="2"/>
        <v>24017584.5</v>
      </c>
      <c r="H25" s="11">
        <v>0.1</v>
      </c>
      <c r="I25" s="12">
        <f t="shared" si="3"/>
        <v>2668620.5</v>
      </c>
    </row>
    <row r="26" spans="1:9" ht="12.75">
      <c r="A26" s="5" t="s">
        <v>20</v>
      </c>
      <c r="B26" s="9">
        <v>0.00879264</v>
      </c>
      <c r="C26" s="10">
        <f t="shared" si="0"/>
        <v>17144187</v>
      </c>
      <c r="D26" s="10"/>
      <c r="E26" s="10">
        <f t="shared" si="1"/>
        <v>17144187</v>
      </c>
      <c r="F26" s="11">
        <v>0.9</v>
      </c>
      <c r="G26" s="12">
        <f t="shared" si="2"/>
        <v>15429768.3</v>
      </c>
      <c r="H26" s="11">
        <v>0</v>
      </c>
      <c r="I26" s="12">
        <f t="shared" si="3"/>
        <v>0</v>
      </c>
    </row>
    <row r="27" spans="1:9" ht="12.75">
      <c r="A27" s="5" t="s">
        <v>21</v>
      </c>
      <c r="B27" s="9">
        <v>0.01359579</v>
      </c>
      <c r="C27" s="10">
        <f t="shared" si="0"/>
        <v>26509531</v>
      </c>
      <c r="D27" s="10">
        <f>Tribes!H95</f>
        <v>968922</v>
      </c>
      <c r="E27" s="10">
        <f t="shared" si="1"/>
        <v>25540609</v>
      </c>
      <c r="F27" s="11">
        <v>1</v>
      </c>
      <c r="G27" s="12">
        <f t="shared" si="2"/>
        <v>25540609</v>
      </c>
      <c r="H27" s="11">
        <v>0</v>
      </c>
      <c r="I27" s="12">
        <f t="shared" si="3"/>
        <v>0</v>
      </c>
    </row>
    <row r="28" spans="1:9" ht="12.75">
      <c r="A28" s="5" t="s">
        <v>22</v>
      </c>
      <c r="B28" s="9">
        <v>0.01606896</v>
      </c>
      <c r="C28" s="10">
        <f t="shared" si="0"/>
        <v>31331801</v>
      </c>
      <c r="D28" s="10"/>
      <c r="E28" s="10">
        <f t="shared" si="1"/>
        <v>31331801</v>
      </c>
      <c r="F28" s="11">
        <v>0.65</v>
      </c>
      <c r="G28" s="12">
        <f t="shared" si="2"/>
        <v>20365670.650000002</v>
      </c>
      <c r="H28" s="11">
        <v>0.25</v>
      </c>
      <c r="I28" s="12">
        <f t="shared" si="3"/>
        <v>7832950.25</v>
      </c>
    </row>
    <row r="29" spans="1:9" ht="12.75">
      <c r="A29" s="5" t="s">
        <v>23</v>
      </c>
      <c r="B29" s="9">
        <v>0.04197959</v>
      </c>
      <c r="C29" s="10">
        <f t="shared" si="0"/>
        <v>81853223</v>
      </c>
      <c r="D29" s="10">
        <f>Tribes!H102</f>
        <v>32741</v>
      </c>
      <c r="E29" s="10">
        <f t="shared" si="1"/>
        <v>81820482</v>
      </c>
      <c r="F29" s="11">
        <v>0.5</v>
      </c>
      <c r="G29" s="12">
        <f t="shared" si="2"/>
        <v>40910241</v>
      </c>
      <c r="H29" s="11">
        <v>0.4</v>
      </c>
      <c r="I29" s="12">
        <f t="shared" si="3"/>
        <v>32728192.8</v>
      </c>
    </row>
    <row r="30" spans="1:9" ht="12.75">
      <c r="A30" s="5" t="s">
        <v>24</v>
      </c>
      <c r="B30" s="9">
        <v>0.05514805</v>
      </c>
      <c r="C30" s="10">
        <f t="shared" si="0"/>
        <v>107529532</v>
      </c>
      <c r="D30" s="10">
        <f>Tribes!H105</f>
        <v>737354</v>
      </c>
      <c r="E30" s="10">
        <f t="shared" si="1"/>
        <v>106792178</v>
      </c>
      <c r="F30" s="11">
        <v>0.65</v>
      </c>
      <c r="G30" s="12">
        <f t="shared" si="2"/>
        <v>69414915.7</v>
      </c>
      <c r="H30" s="11">
        <v>0.25</v>
      </c>
      <c r="I30" s="12">
        <f t="shared" si="3"/>
        <v>26698044.5</v>
      </c>
    </row>
    <row r="31" spans="1:9" ht="12.75">
      <c r="A31" s="5" t="s">
        <v>25</v>
      </c>
      <c r="B31" s="9">
        <v>0.03973105</v>
      </c>
      <c r="C31" s="10">
        <f t="shared" si="0"/>
        <v>77468944</v>
      </c>
      <c r="D31" s="10"/>
      <c r="E31" s="10">
        <f t="shared" si="1"/>
        <v>77468944</v>
      </c>
      <c r="F31" s="11">
        <v>1</v>
      </c>
      <c r="G31" s="12">
        <f t="shared" si="2"/>
        <v>77468944</v>
      </c>
      <c r="H31" s="11">
        <v>0</v>
      </c>
      <c r="I31" s="12">
        <f t="shared" si="3"/>
        <v>0</v>
      </c>
    </row>
    <row r="32" spans="1:9" ht="12.75">
      <c r="A32" s="5" t="s">
        <v>26</v>
      </c>
      <c r="B32" s="9">
        <v>0.00737355</v>
      </c>
      <c r="C32" s="10">
        <f t="shared" si="0"/>
        <v>14377197</v>
      </c>
      <c r="D32" s="10">
        <f>Tribes!H113</f>
        <v>27247</v>
      </c>
      <c r="E32" s="10">
        <f t="shared" si="1"/>
        <v>14349950</v>
      </c>
      <c r="F32" s="11">
        <v>0.9</v>
      </c>
      <c r="G32" s="12">
        <f t="shared" si="2"/>
        <v>12914955</v>
      </c>
      <c r="H32" s="11">
        <v>0.1</v>
      </c>
      <c r="I32" s="12">
        <f t="shared" si="3"/>
        <v>1434995</v>
      </c>
    </row>
    <row r="33" spans="1:9" ht="12.75">
      <c r="A33" s="5" t="s">
        <v>27</v>
      </c>
      <c r="B33" s="9">
        <v>0.02320202</v>
      </c>
      <c r="C33" s="10">
        <f t="shared" si="0"/>
        <v>45240083</v>
      </c>
      <c r="D33" s="10"/>
      <c r="E33" s="10">
        <f t="shared" si="1"/>
        <v>45240083</v>
      </c>
      <c r="F33" s="11">
        <v>0.4</v>
      </c>
      <c r="G33" s="12">
        <f t="shared" si="2"/>
        <v>18096033.2</v>
      </c>
      <c r="H33" s="11">
        <v>0.4</v>
      </c>
      <c r="I33" s="12">
        <f t="shared" si="3"/>
        <v>18096033.2</v>
      </c>
    </row>
    <row r="34" spans="1:9" ht="12.75">
      <c r="A34" s="5" t="s">
        <v>28</v>
      </c>
      <c r="B34" s="9">
        <v>0.00736027</v>
      </c>
      <c r="C34" s="10">
        <f t="shared" si="0"/>
        <v>14351303</v>
      </c>
      <c r="D34" s="10">
        <f>Tribes!H116</f>
        <v>2508693</v>
      </c>
      <c r="E34" s="10">
        <f t="shared" si="1"/>
        <v>11842610</v>
      </c>
      <c r="F34" s="11">
        <v>0.8</v>
      </c>
      <c r="G34" s="12">
        <f t="shared" si="2"/>
        <v>9474088</v>
      </c>
      <c r="H34" s="11">
        <v>0.1</v>
      </c>
      <c r="I34" s="12">
        <f t="shared" si="3"/>
        <v>1184261</v>
      </c>
    </row>
    <row r="35" spans="1:9" ht="12.75">
      <c r="A35" s="5" t="s">
        <v>29</v>
      </c>
      <c r="B35" s="9">
        <v>0.00921776</v>
      </c>
      <c r="C35" s="10">
        <f t="shared" si="0"/>
        <v>17973100</v>
      </c>
      <c r="D35" s="10">
        <f>Tribes!H124</f>
        <v>7200</v>
      </c>
      <c r="E35" s="10">
        <f t="shared" si="1"/>
        <v>17965900</v>
      </c>
      <c r="F35" s="11">
        <v>0.5</v>
      </c>
      <c r="G35" s="12">
        <f t="shared" si="2"/>
        <v>8982950</v>
      </c>
      <c r="H35" s="11">
        <v>0.25</v>
      </c>
      <c r="I35" s="12">
        <f t="shared" si="3"/>
        <v>4491475</v>
      </c>
    </row>
    <row r="36" spans="1:9" ht="12.75">
      <c r="A36" s="5" t="s">
        <v>30</v>
      </c>
      <c r="B36" s="9">
        <v>0.00195349</v>
      </c>
      <c r="C36" s="10">
        <f t="shared" si="0"/>
        <v>3808981</v>
      </c>
      <c r="D36" s="10"/>
      <c r="E36" s="10">
        <f t="shared" si="1"/>
        <v>3808981</v>
      </c>
      <c r="F36" s="11">
        <v>0.5</v>
      </c>
      <c r="G36" s="12">
        <f t="shared" si="2"/>
        <v>1904490.5</v>
      </c>
      <c r="H36" s="11">
        <v>0.25</v>
      </c>
      <c r="I36" s="12">
        <f t="shared" si="3"/>
        <v>952245.25</v>
      </c>
    </row>
    <row r="37" spans="1:9" ht="12.75">
      <c r="A37" s="5" t="s">
        <v>31</v>
      </c>
      <c r="B37" s="9">
        <v>0.00794588</v>
      </c>
      <c r="C37" s="10">
        <f t="shared" si="0"/>
        <v>15493145</v>
      </c>
      <c r="D37" s="10"/>
      <c r="E37" s="10">
        <f t="shared" si="1"/>
        <v>15493145</v>
      </c>
      <c r="F37" s="11">
        <v>0.9</v>
      </c>
      <c r="G37" s="12">
        <f t="shared" si="2"/>
        <v>13943830.5</v>
      </c>
      <c r="H37" s="11">
        <v>0</v>
      </c>
      <c r="I37" s="12">
        <f t="shared" si="3"/>
        <v>0</v>
      </c>
    </row>
    <row r="38" spans="1:9" ht="12.75">
      <c r="A38" s="5" t="s">
        <v>32</v>
      </c>
      <c r="B38" s="9">
        <v>0.03897152</v>
      </c>
      <c r="C38" s="10">
        <f t="shared" si="0"/>
        <v>75987987</v>
      </c>
      <c r="D38" s="10">
        <f>Tribes!H127</f>
        <v>189980</v>
      </c>
      <c r="E38" s="10">
        <f t="shared" si="1"/>
        <v>75798007</v>
      </c>
      <c r="F38" s="11">
        <v>1</v>
      </c>
      <c r="G38" s="12">
        <f t="shared" si="2"/>
        <v>75798007</v>
      </c>
      <c r="H38" s="11">
        <v>0</v>
      </c>
      <c r="I38" s="12">
        <f t="shared" si="3"/>
        <v>0</v>
      </c>
    </row>
    <row r="39" spans="1:9" ht="12.75">
      <c r="A39" s="5" t="s">
        <v>33</v>
      </c>
      <c r="B39" s="9">
        <v>0.00520713</v>
      </c>
      <c r="C39" s="10">
        <f t="shared" si="0"/>
        <v>10153038</v>
      </c>
      <c r="D39" s="10">
        <f>Tribes!H140</f>
        <v>760807</v>
      </c>
      <c r="E39" s="10">
        <f t="shared" si="1"/>
        <v>9392231</v>
      </c>
      <c r="F39" s="11">
        <v>1</v>
      </c>
      <c r="G39" s="12">
        <f t="shared" si="2"/>
        <v>9392231</v>
      </c>
      <c r="H39" s="11">
        <v>0</v>
      </c>
      <c r="I39" s="12">
        <f t="shared" si="3"/>
        <v>0</v>
      </c>
    </row>
    <row r="40" spans="1:9" ht="12.75">
      <c r="A40" s="5" t="s">
        <v>34</v>
      </c>
      <c r="B40" s="9">
        <v>0.12724791</v>
      </c>
      <c r="C40" s="10">
        <f>ROUND(+B40*$B$68,0)</f>
        <v>248112276</v>
      </c>
      <c r="D40" s="10">
        <f>Tribes!H147</f>
        <v>429990</v>
      </c>
      <c r="E40" s="10">
        <f aca="true" t="shared" si="4" ref="E40:E58">C40-D40</f>
        <v>247682286</v>
      </c>
      <c r="F40" s="11">
        <v>0.9</v>
      </c>
      <c r="G40" s="12">
        <f aca="true" t="shared" si="5" ref="G40:G58">E40*F40</f>
        <v>222914057.4</v>
      </c>
      <c r="H40" s="11">
        <v>0.1</v>
      </c>
      <c r="I40" s="12">
        <f aca="true" t="shared" si="6" ref="I40:I58">E40*H40</f>
        <v>24768228.6</v>
      </c>
    </row>
    <row r="41" spans="1:9" ht="12.75">
      <c r="A41" s="5" t="s">
        <v>35</v>
      </c>
      <c r="B41" s="9">
        <v>0.0189638</v>
      </c>
      <c r="C41" s="10">
        <f aca="true" t="shared" si="7" ref="C41:C58">ROUND(+B41*$B$68,0)</f>
        <v>36976258</v>
      </c>
      <c r="D41" s="10">
        <f>Tribes!H151</f>
        <v>657597</v>
      </c>
      <c r="E41" s="10">
        <f t="shared" si="4"/>
        <v>36318661</v>
      </c>
      <c r="F41" s="11">
        <v>0.25</v>
      </c>
      <c r="G41" s="12">
        <f t="shared" si="5"/>
        <v>9079665.25</v>
      </c>
      <c r="H41" s="11">
        <v>0.45</v>
      </c>
      <c r="I41" s="12">
        <f t="shared" si="6"/>
        <v>16343397.450000001</v>
      </c>
    </row>
    <row r="42" spans="1:9" ht="12.75">
      <c r="A42" s="5" t="s">
        <v>36</v>
      </c>
      <c r="B42" s="9">
        <v>0.00799548</v>
      </c>
      <c r="C42" s="10">
        <f t="shared" si="7"/>
        <v>15589857</v>
      </c>
      <c r="D42" s="10">
        <f>Tribes!H154</f>
        <v>3415737</v>
      </c>
      <c r="E42" s="10">
        <f t="shared" si="4"/>
        <v>12174120</v>
      </c>
      <c r="F42" s="11">
        <v>0.5</v>
      </c>
      <c r="G42" s="12">
        <f t="shared" si="5"/>
        <v>6087060</v>
      </c>
      <c r="H42" s="11">
        <v>0.25</v>
      </c>
      <c r="I42" s="12">
        <f t="shared" si="6"/>
        <v>3043530</v>
      </c>
    </row>
    <row r="43" spans="1:9" ht="12.75">
      <c r="A43" s="5" t="s">
        <v>37</v>
      </c>
      <c r="B43" s="9">
        <v>0.0513862</v>
      </c>
      <c r="C43" s="10">
        <f t="shared" si="7"/>
        <v>100194550</v>
      </c>
      <c r="D43" s="10"/>
      <c r="E43" s="10">
        <f t="shared" si="4"/>
        <v>100194550</v>
      </c>
      <c r="F43" s="11">
        <v>0.45</v>
      </c>
      <c r="G43" s="12">
        <f t="shared" si="5"/>
        <v>45087547.5</v>
      </c>
      <c r="H43" s="11">
        <v>0.45</v>
      </c>
      <c r="I43" s="12">
        <f t="shared" si="6"/>
        <v>45087547.5</v>
      </c>
    </row>
    <row r="44" spans="1:9" ht="12.75">
      <c r="A44" s="5" t="s">
        <v>38</v>
      </c>
      <c r="B44" s="9">
        <v>0.00790558</v>
      </c>
      <c r="C44" s="10">
        <f t="shared" si="7"/>
        <v>15414567</v>
      </c>
      <c r="D44" s="10">
        <f>Tribes!H165</f>
        <v>1378412</v>
      </c>
      <c r="E44" s="10">
        <f t="shared" si="4"/>
        <v>14036155</v>
      </c>
      <c r="F44" s="11">
        <v>0.9</v>
      </c>
      <c r="G44" s="12">
        <f t="shared" si="5"/>
        <v>12632539.5</v>
      </c>
      <c r="H44" s="11">
        <v>0</v>
      </c>
      <c r="I44" s="12">
        <f t="shared" si="6"/>
        <v>0</v>
      </c>
    </row>
    <row r="45" spans="1:9" ht="12.75">
      <c r="A45" s="5" t="s">
        <v>39</v>
      </c>
      <c r="B45" s="9">
        <v>0.01246826</v>
      </c>
      <c r="C45" s="10">
        <f t="shared" si="7"/>
        <v>24311035</v>
      </c>
      <c r="D45" s="10">
        <f>Tribes!H196</f>
        <v>530352</v>
      </c>
      <c r="E45" s="10">
        <f t="shared" si="4"/>
        <v>23780683</v>
      </c>
      <c r="F45" s="11">
        <v>0.75</v>
      </c>
      <c r="G45" s="12">
        <f t="shared" si="5"/>
        <v>17835512.25</v>
      </c>
      <c r="H45" s="11">
        <v>0.25</v>
      </c>
      <c r="I45" s="12">
        <f t="shared" si="6"/>
        <v>5945170.75</v>
      </c>
    </row>
    <row r="46" spans="1:9" ht="12.75">
      <c r="A46" s="5" t="s">
        <v>40</v>
      </c>
      <c r="B46" s="9">
        <v>0.0683509</v>
      </c>
      <c r="C46" s="10">
        <f t="shared" si="7"/>
        <v>133272895</v>
      </c>
      <c r="D46" s="10"/>
      <c r="E46" s="10">
        <f t="shared" si="4"/>
        <v>133272895</v>
      </c>
      <c r="F46" s="11">
        <v>0.6</v>
      </c>
      <c r="G46" s="12">
        <f t="shared" si="5"/>
        <v>79963737</v>
      </c>
      <c r="H46" s="11">
        <v>0.3</v>
      </c>
      <c r="I46" s="12">
        <f t="shared" si="6"/>
        <v>39981868.5</v>
      </c>
    </row>
    <row r="47" spans="1:9" ht="12.75">
      <c r="A47" s="5" t="s">
        <v>41</v>
      </c>
      <c r="B47" s="9">
        <v>0.00691008</v>
      </c>
      <c r="C47" s="10">
        <f t="shared" si="7"/>
        <v>13473508</v>
      </c>
      <c r="D47" s="10">
        <f>Tribes!H203</f>
        <v>38177</v>
      </c>
      <c r="E47" s="10">
        <f t="shared" si="4"/>
        <v>13435331</v>
      </c>
      <c r="F47" s="11">
        <v>0.75</v>
      </c>
      <c r="G47" s="12">
        <f t="shared" si="5"/>
        <v>10076498.25</v>
      </c>
      <c r="H47" s="11">
        <v>0.25</v>
      </c>
      <c r="I47" s="12">
        <f t="shared" si="6"/>
        <v>3358832.75</v>
      </c>
    </row>
    <row r="48" spans="1:9" ht="12.75">
      <c r="A48" s="5" t="s">
        <v>42</v>
      </c>
      <c r="B48" s="9">
        <v>0.00683051</v>
      </c>
      <c r="C48" s="10">
        <f t="shared" si="7"/>
        <v>13318359</v>
      </c>
      <c r="D48" s="10"/>
      <c r="E48" s="10">
        <f t="shared" si="4"/>
        <v>13318359</v>
      </c>
      <c r="F48" s="11">
        <v>0.5</v>
      </c>
      <c r="G48" s="12">
        <f t="shared" si="5"/>
        <v>6659179.5</v>
      </c>
      <c r="H48" s="11">
        <v>0.25</v>
      </c>
      <c r="I48" s="12">
        <f t="shared" si="6"/>
        <v>3329589.75</v>
      </c>
    </row>
    <row r="49" spans="1:9" ht="12.75">
      <c r="A49" s="5" t="s">
        <v>43</v>
      </c>
      <c r="B49" s="9">
        <v>0.00649373</v>
      </c>
      <c r="C49" s="10">
        <f t="shared" si="7"/>
        <v>12661694</v>
      </c>
      <c r="D49" s="10">
        <f>Tribes!H212</f>
        <v>2251250</v>
      </c>
      <c r="E49" s="10">
        <f t="shared" si="4"/>
        <v>10410444</v>
      </c>
      <c r="F49" s="11">
        <v>0.9</v>
      </c>
      <c r="G49" s="12">
        <f t="shared" si="5"/>
        <v>9369399.6</v>
      </c>
      <c r="H49" s="11">
        <v>0.08</v>
      </c>
      <c r="I49" s="12">
        <f t="shared" si="6"/>
        <v>832835.52</v>
      </c>
    </row>
    <row r="50" spans="1:9" ht="12.75">
      <c r="A50" s="5" t="s">
        <v>44</v>
      </c>
      <c r="B50" s="9">
        <v>0.01386403</v>
      </c>
      <c r="C50" s="10">
        <f t="shared" si="7"/>
        <v>27032554</v>
      </c>
      <c r="D50" s="10"/>
      <c r="E50" s="10">
        <f t="shared" si="4"/>
        <v>27032554</v>
      </c>
      <c r="F50" s="11">
        <v>0.33</v>
      </c>
      <c r="G50" s="12">
        <f t="shared" si="5"/>
        <v>8920742.82</v>
      </c>
      <c r="H50" s="11">
        <v>0.34</v>
      </c>
      <c r="I50" s="12">
        <f t="shared" si="6"/>
        <v>9191068.360000001</v>
      </c>
    </row>
    <row r="51" spans="1:9" ht="12.75">
      <c r="A51" s="5" t="s">
        <v>45</v>
      </c>
      <c r="B51" s="9">
        <v>0.02263997</v>
      </c>
      <c r="C51" s="10">
        <f t="shared" si="7"/>
        <v>44144179</v>
      </c>
      <c r="D51" s="10"/>
      <c r="E51" s="10">
        <f t="shared" si="4"/>
        <v>44144179</v>
      </c>
      <c r="F51" s="11">
        <v>0.85</v>
      </c>
      <c r="G51" s="12">
        <f t="shared" si="5"/>
        <v>37522552.15</v>
      </c>
      <c r="H51" s="11">
        <v>0.15</v>
      </c>
      <c r="I51" s="12">
        <f t="shared" si="6"/>
        <v>6621626.85</v>
      </c>
    </row>
    <row r="52" spans="1:9" ht="12.75">
      <c r="A52" s="5" t="s">
        <v>46</v>
      </c>
      <c r="B52" s="9">
        <v>0.00747576</v>
      </c>
      <c r="C52" s="10">
        <f t="shared" si="7"/>
        <v>14576490</v>
      </c>
      <c r="D52" s="10">
        <f>Tribes!H221</f>
        <v>291063</v>
      </c>
      <c r="E52" s="10">
        <f t="shared" si="4"/>
        <v>14285427</v>
      </c>
      <c r="F52" s="11">
        <v>0.6</v>
      </c>
      <c r="G52" s="12">
        <f t="shared" si="5"/>
        <v>8571256.2</v>
      </c>
      <c r="H52" s="11">
        <v>0.3</v>
      </c>
      <c r="I52" s="12">
        <f t="shared" si="6"/>
        <v>4285628.1</v>
      </c>
    </row>
    <row r="53" spans="1:9" ht="12.75">
      <c r="A53" s="5" t="s">
        <v>47</v>
      </c>
      <c r="B53" s="9">
        <v>0.00595572</v>
      </c>
      <c r="C53" s="10">
        <f t="shared" si="7"/>
        <v>11612664</v>
      </c>
      <c r="D53" s="10"/>
      <c r="E53" s="10">
        <f t="shared" si="4"/>
        <v>11612664</v>
      </c>
      <c r="F53" s="11">
        <v>0.88</v>
      </c>
      <c r="G53" s="12">
        <f t="shared" si="5"/>
        <v>10219144.32</v>
      </c>
      <c r="H53" s="11">
        <v>0.02</v>
      </c>
      <c r="I53" s="12">
        <f t="shared" si="6"/>
        <v>232253.28</v>
      </c>
    </row>
    <row r="54" spans="1:9" ht="12.75">
      <c r="A54" s="5" t="s">
        <v>48</v>
      </c>
      <c r="B54" s="9">
        <v>0.01957379</v>
      </c>
      <c r="C54" s="10">
        <f t="shared" si="7"/>
        <v>38165637</v>
      </c>
      <c r="D54" s="10"/>
      <c r="E54" s="10">
        <f t="shared" si="4"/>
        <v>38165637</v>
      </c>
      <c r="F54" s="11">
        <v>0.5</v>
      </c>
      <c r="G54" s="12">
        <f t="shared" si="5"/>
        <v>19082818.5</v>
      </c>
      <c r="H54" s="11">
        <v>0.28</v>
      </c>
      <c r="I54" s="12">
        <f t="shared" si="6"/>
        <v>10686378.360000001</v>
      </c>
    </row>
    <row r="55" spans="1:9" ht="12.75">
      <c r="A55" s="5" t="s">
        <v>49</v>
      </c>
      <c r="B55" s="9">
        <v>0.02050857</v>
      </c>
      <c r="C55" s="10">
        <f t="shared" si="7"/>
        <v>39988303</v>
      </c>
      <c r="D55" s="10">
        <f>Tribes!H226</f>
        <v>1546371</v>
      </c>
      <c r="E55" s="10">
        <f t="shared" si="4"/>
        <v>38441932</v>
      </c>
      <c r="F55" s="11">
        <v>0.75</v>
      </c>
      <c r="G55" s="12">
        <f t="shared" si="5"/>
        <v>28831449</v>
      </c>
      <c r="H55" s="11">
        <v>0.25</v>
      </c>
      <c r="I55" s="12">
        <f t="shared" si="6"/>
        <v>9610483</v>
      </c>
    </row>
    <row r="56" spans="1:9" ht="12.75">
      <c r="A56" s="5" t="s">
        <v>50</v>
      </c>
      <c r="B56" s="9">
        <v>0.00905733</v>
      </c>
      <c r="C56" s="10">
        <f t="shared" si="7"/>
        <v>17660288</v>
      </c>
      <c r="D56" s="10"/>
      <c r="E56" s="10">
        <f t="shared" si="4"/>
        <v>17660288</v>
      </c>
      <c r="F56" s="11">
        <v>0.8</v>
      </c>
      <c r="G56" s="12">
        <f t="shared" si="5"/>
        <v>14128230.4</v>
      </c>
      <c r="H56" s="11">
        <v>0.2</v>
      </c>
      <c r="I56" s="12">
        <f t="shared" si="6"/>
        <v>3532057.6</v>
      </c>
    </row>
    <row r="57" spans="1:9" ht="12.75">
      <c r="A57" s="5" t="s">
        <v>51</v>
      </c>
      <c r="B57" s="9">
        <v>0.03576365</v>
      </c>
      <c r="C57" s="10">
        <f t="shared" si="7"/>
        <v>69733174</v>
      </c>
      <c r="D57" s="10"/>
      <c r="E57" s="10">
        <f t="shared" si="4"/>
        <v>69733174</v>
      </c>
      <c r="F57" s="11">
        <v>0.41</v>
      </c>
      <c r="G57" s="12">
        <f t="shared" si="5"/>
        <v>28590601.34</v>
      </c>
      <c r="H57" s="11">
        <v>0.27</v>
      </c>
      <c r="I57" s="12">
        <f t="shared" si="6"/>
        <v>18827956.98</v>
      </c>
    </row>
    <row r="58" spans="1:9" ht="13.5" thickBot="1">
      <c r="A58" s="29" t="s">
        <v>52</v>
      </c>
      <c r="B58" s="30">
        <v>0.00299313</v>
      </c>
      <c r="C58" s="19">
        <f t="shared" si="7"/>
        <v>5836106</v>
      </c>
      <c r="D58" s="19">
        <f>Tribes!H247</f>
        <v>210000</v>
      </c>
      <c r="E58" s="19">
        <f t="shared" si="4"/>
        <v>5626106</v>
      </c>
      <c r="F58" s="11">
        <v>0.45</v>
      </c>
      <c r="G58" s="12">
        <f t="shared" si="5"/>
        <v>2531747.7</v>
      </c>
      <c r="H58" s="11">
        <v>0.45</v>
      </c>
      <c r="I58" s="12">
        <f t="shared" si="6"/>
        <v>2531747.7</v>
      </c>
    </row>
    <row r="59" spans="1:9" ht="13.5" thickTop="1">
      <c r="A59" s="8" t="s">
        <v>56</v>
      </c>
      <c r="B59" s="9"/>
      <c r="C59" s="10">
        <f aca="true" t="shared" si="8" ref="C59:I59">SUM(C8:C58)</f>
        <v>1949833798</v>
      </c>
      <c r="D59" s="10">
        <f t="shared" si="8"/>
        <v>21279511</v>
      </c>
      <c r="E59" s="10">
        <f t="shared" si="8"/>
        <v>1928554287</v>
      </c>
      <c r="F59" s="10">
        <f t="shared" si="8"/>
        <v>34.06999999999999</v>
      </c>
      <c r="G59" s="10">
        <f t="shared" si="8"/>
        <v>1325057797.18</v>
      </c>
      <c r="H59" s="10">
        <f t="shared" si="8"/>
        <v>10.289999999999997</v>
      </c>
      <c r="I59" s="10">
        <f t="shared" si="8"/>
        <v>388292721.6</v>
      </c>
    </row>
    <row r="60" ht="12.75">
      <c r="C60" s="8" t="s">
        <v>1</v>
      </c>
    </row>
    <row r="61" spans="1:5" ht="25.5">
      <c r="A61" s="32" t="s">
        <v>237</v>
      </c>
      <c r="B61" s="10">
        <f>B3*(1-B4)</f>
        <v>1980000000</v>
      </c>
      <c r="C61" s="22" t="s">
        <v>54</v>
      </c>
      <c r="D61" s="22" t="s">
        <v>228</v>
      </c>
      <c r="E61" s="23" t="s">
        <v>229</v>
      </c>
    </row>
    <row r="62" spans="1:6" ht="12.75">
      <c r="A62" s="24" t="s">
        <v>53</v>
      </c>
      <c r="B62" s="10">
        <f>C71*(1-B4)</f>
        <v>27225000</v>
      </c>
      <c r="C62" s="20" t="s">
        <v>223</v>
      </c>
      <c r="D62" s="25">
        <v>0.01654258</v>
      </c>
      <c r="E62" s="23">
        <f>ROUND(D62*$B$67,0)</f>
        <v>43742</v>
      </c>
      <c r="F62" s="13"/>
    </row>
    <row r="63" spans="1:8" ht="12.75">
      <c r="A63" s="26" t="s">
        <v>62</v>
      </c>
      <c r="B63" s="23">
        <f>B61-B62</f>
        <v>1952775000</v>
      </c>
      <c r="C63" s="20" t="s">
        <v>224</v>
      </c>
      <c r="D63" s="25">
        <v>0.03626904</v>
      </c>
      <c r="E63" s="23">
        <f>ROUND(D63*$B$67,0)</f>
        <v>95903</v>
      </c>
      <c r="F63" s="10"/>
      <c r="G63" s="14" t="s">
        <v>61</v>
      </c>
      <c r="H63" s="12" t="e">
        <f>#REF!</f>
        <v>#REF!</v>
      </c>
    </row>
    <row r="64" spans="1:8" ht="12.75">
      <c r="A64" s="24" t="s">
        <v>64</v>
      </c>
      <c r="B64" s="10">
        <f>C72*(1-B4)</f>
        <v>297000</v>
      </c>
      <c r="C64" s="20" t="s">
        <v>225</v>
      </c>
      <c r="D64" s="25">
        <v>0.01259719</v>
      </c>
      <c r="E64" s="23">
        <f>ROUND(D64*$B$67,0)</f>
        <v>33310</v>
      </c>
      <c r="F64" s="10"/>
      <c r="G64" s="14" t="s">
        <v>63</v>
      </c>
      <c r="H64" s="12">
        <f>D59</f>
        <v>21279511</v>
      </c>
    </row>
    <row r="65" spans="1:8" ht="12.75">
      <c r="A65" s="26" t="s">
        <v>66</v>
      </c>
      <c r="B65" s="23">
        <f>B63-B64</f>
        <v>1952478000</v>
      </c>
      <c r="C65" s="20" t="s">
        <v>226</v>
      </c>
      <c r="D65" s="25">
        <v>0.90029483</v>
      </c>
      <c r="E65" s="23">
        <f>ROUND(D65*$B$67,0)-1</f>
        <v>2380560</v>
      </c>
      <c r="F65" s="10"/>
      <c r="G65" s="14" t="s">
        <v>65</v>
      </c>
      <c r="H65" s="12">
        <f>E67</f>
        <v>2644202</v>
      </c>
    </row>
    <row r="66" spans="1:5" ht="25.5">
      <c r="A66" s="27" t="s">
        <v>222</v>
      </c>
      <c r="B66" s="25">
        <v>0.00135428</v>
      </c>
      <c r="C66" s="20" t="s">
        <v>227</v>
      </c>
      <c r="D66" s="25">
        <v>0.03429636</v>
      </c>
      <c r="E66" s="23">
        <f>ROUND(D66*$B$67,0)</f>
        <v>90687</v>
      </c>
    </row>
    <row r="67" spans="1:5" ht="12.75">
      <c r="A67" s="24" t="s">
        <v>57</v>
      </c>
      <c r="B67" s="23">
        <f>ROUND(B65*B66,0)</f>
        <v>2644202</v>
      </c>
      <c r="C67" s="22" t="s">
        <v>56</v>
      </c>
      <c r="D67" s="20"/>
      <c r="E67" s="23">
        <f>SUM(E62:E66)</f>
        <v>2644202</v>
      </c>
    </row>
    <row r="68" spans="1:5" ht="12.75">
      <c r="A68" s="24" t="s">
        <v>55</v>
      </c>
      <c r="B68" s="23">
        <f>ROUND(+B65-B67,0)</f>
        <v>1949833798</v>
      </c>
      <c r="C68" s="28"/>
      <c r="D68" s="21"/>
      <c r="E68" s="21"/>
    </row>
    <row r="69" spans="1:8" ht="12.75">
      <c r="A69" s="21"/>
      <c r="B69" s="21"/>
      <c r="C69" s="21"/>
      <c r="D69" s="21"/>
      <c r="E69" s="21"/>
      <c r="F69" s="10"/>
      <c r="G69" s="14"/>
      <c r="H69" s="12" t="e">
        <f>SUM(H63:H68)</f>
        <v>#REF!</v>
      </c>
    </row>
    <row r="70" spans="1:5" ht="12.75" hidden="1">
      <c r="A70" s="21" t="s">
        <v>234</v>
      </c>
      <c r="B70" s="21" t="s">
        <v>243</v>
      </c>
      <c r="C70" s="21"/>
      <c r="D70" s="21"/>
      <c r="E70" s="21"/>
    </row>
    <row r="71" spans="1:5" ht="15.75" customHeight="1" hidden="1">
      <c r="A71" s="21"/>
      <c r="B71" s="33" t="s">
        <v>53</v>
      </c>
      <c r="C71" s="10">
        <v>27500000</v>
      </c>
      <c r="D71" s="21"/>
      <c r="E71" s="21"/>
    </row>
    <row r="72" spans="1:5" ht="12.75" hidden="1">
      <c r="A72" s="21"/>
      <c r="B72" s="33" t="s">
        <v>244</v>
      </c>
      <c r="C72" s="10">
        <v>300000</v>
      </c>
      <c r="D72" s="21"/>
      <c r="E72" s="21"/>
    </row>
    <row r="73" ht="12.75">
      <c r="A73" s="1" t="s">
        <v>289</v>
      </c>
    </row>
  </sheetData>
  <sheetProtection password="E68A" sheet="1" objects="1" scenarios="1"/>
  <mergeCells count="2">
    <mergeCell ref="A1:I1"/>
    <mergeCell ref="A2:D2"/>
  </mergeCells>
  <printOptions gridLines="1" horizontalCentered="1"/>
  <pageMargins left="0.25" right="0.25" top="0.5" bottom="0.77" header="0.25" footer="0.5"/>
  <pageSetup horizontalDpi="300" verticalDpi="300" orientation="portrait" scale="66" r:id="rId1"/>
  <headerFooter alignWithMargins="0">
    <oddFooter>&amp;L&amp;"Arial,Regular"'&amp;F' [&amp;A]&amp;C&amp;"Arial,Regular"22-Dec-05&amp;R&amp;"Arial,Regular"Page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70"/>
  <sheetViews>
    <sheetView zoomScaleSheetLayoutView="80" workbookViewId="0" topLeftCell="A1">
      <pane xSplit="1" ySplit="11" topLeftCell="B12" activePane="bottomRight" state="frozen"/>
      <selection pane="topLeft" activeCell="A73" sqref="A73"/>
      <selection pane="topRight" activeCell="A73" sqref="A73"/>
      <selection pane="bottomLeft" activeCell="A73" sqref="A73"/>
      <selection pane="bottomRight" activeCell="B3" sqref="B3"/>
    </sheetView>
  </sheetViews>
  <sheetFormatPr defaultColWidth="15.625" defaultRowHeight="12.75"/>
  <cols>
    <col min="1" max="1" width="48.75390625" style="44" customWidth="1"/>
    <col min="2" max="3" width="12.125" style="44" customWidth="1"/>
    <col min="4" max="4" width="7.75390625" style="44" bestFit="1" customWidth="1"/>
    <col min="5" max="5" width="14.00390625" style="44" bestFit="1" customWidth="1"/>
    <col min="6" max="6" width="15.875" style="44" bestFit="1" customWidth="1"/>
    <col min="7" max="7" width="10.25390625" style="44" bestFit="1" customWidth="1"/>
    <col min="8" max="8" width="11.875" style="44" bestFit="1" customWidth="1"/>
    <col min="9" max="9" width="13.375" style="44" bestFit="1" customWidth="1"/>
    <col min="10" max="10" width="1.4921875" style="44" bestFit="1" customWidth="1"/>
    <col min="11" max="16384" width="15.625" style="44" customWidth="1"/>
  </cols>
  <sheetData>
    <row r="1" spans="1:10" ht="12.75">
      <c r="A1" s="77" t="s">
        <v>286</v>
      </c>
      <c r="B1" s="77"/>
      <c r="C1" s="77"/>
      <c r="D1" s="77"/>
      <c r="E1" s="77"/>
      <c r="F1" s="77"/>
      <c r="G1" s="77"/>
      <c r="H1" s="77"/>
      <c r="I1" s="77"/>
      <c r="J1" s="43" t="s">
        <v>1</v>
      </c>
    </row>
    <row r="2" spans="1:8" ht="12.75">
      <c r="A2" s="45" t="s">
        <v>283</v>
      </c>
      <c r="C2" s="43" t="s">
        <v>67</v>
      </c>
      <c r="F2" s="68" t="s">
        <v>284</v>
      </c>
      <c r="H2" s="44" t="s">
        <v>274</v>
      </c>
    </row>
    <row r="3" ht="12.75">
      <c r="A3" s="47"/>
    </row>
    <row r="4" ht="12.75">
      <c r="F4" s="48" t="s">
        <v>1</v>
      </c>
    </row>
    <row r="5" spans="1:2" ht="12.75">
      <c r="A5" s="43" t="s">
        <v>68</v>
      </c>
      <c r="B5" s="43" t="s">
        <v>246</v>
      </c>
    </row>
    <row r="6" spans="1:2" ht="12.75">
      <c r="A6" s="43" t="s">
        <v>69</v>
      </c>
      <c r="B6" s="43" t="s">
        <v>247</v>
      </c>
    </row>
    <row r="7" spans="1:2" ht="12.75">
      <c r="A7" s="43" t="s">
        <v>248</v>
      </c>
      <c r="B7" s="43" t="s">
        <v>249</v>
      </c>
    </row>
    <row r="8" spans="1:2" ht="12.75">
      <c r="A8" s="43" t="s">
        <v>250</v>
      </c>
      <c r="B8" s="43" t="s">
        <v>251</v>
      </c>
    </row>
    <row r="9" spans="1:8" ht="12.75">
      <c r="A9" s="43"/>
      <c r="B9" s="43"/>
      <c r="G9" s="49" t="s">
        <v>280</v>
      </c>
      <c r="H9" s="49" t="s">
        <v>253</v>
      </c>
    </row>
    <row r="10" spans="2:9" ht="12.75">
      <c r="B10" s="49" t="s">
        <v>254</v>
      </c>
      <c r="C10" s="49" t="s">
        <v>255</v>
      </c>
      <c r="E10" s="49" t="s">
        <v>256</v>
      </c>
      <c r="F10" s="49" t="s">
        <v>257</v>
      </c>
      <c r="G10" s="49" t="s">
        <v>282</v>
      </c>
      <c r="H10" s="49" t="s">
        <v>259</v>
      </c>
      <c r="I10" s="49" t="s">
        <v>260</v>
      </c>
    </row>
    <row r="11" spans="1:9" ht="12.75">
      <c r="A11" s="49" t="s">
        <v>63</v>
      </c>
      <c r="B11" s="49" t="s">
        <v>261</v>
      </c>
      <c r="C11" s="49" t="s">
        <v>262</v>
      </c>
      <c r="D11" s="49" t="s">
        <v>70</v>
      </c>
      <c r="E11" s="49" t="s">
        <v>263</v>
      </c>
      <c r="F11" s="49" t="s">
        <v>264</v>
      </c>
      <c r="G11" s="49" t="s">
        <v>281</v>
      </c>
      <c r="H11" s="49" t="s">
        <v>266</v>
      </c>
      <c r="I11" s="49" t="s">
        <v>267</v>
      </c>
    </row>
    <row r="13" spans="1:9" ht="12.75">
      <c r="A13" s="43" t="s">
        <v>3</v>
      </c>
      <c r="E13" s="50">
        <f>States!C8</f>
        <v>16769448</v>
      </c>
      <c r="H13" s="50">
        <f>SUM($G14:$G16)</f>
        <v>96836</v>
      </c>
      <c r="I13" s="50">
        <f>$E13-$H13</f>
        <v>16672612</v>
      </c>
    </row>
    <row r="14" spans="1:7" ht="12.75">
      <c r="A14" s="44" t="s">
        <v>71</v>
      </c>
      <c r="B14" s="44">
        <v>449603</v>
      </c>
      <c r="C14" s="44">
        <v>96</v>
      </c>
      <c r="D14" s="49" t="s">
        <v>72</v>
      </c>
      <c r="E14" s="50"/>
      <c r="F14" s="51">
        <f>+C14/B14</f>
        <v>0.00021352170692811212</v>
      </c>
      <c r="G14" s="50">
        <f>ROUND(+$E$13*F14,0)</f>
        <v>3581</v>
      </c>
    </row>
    <row r="15" spans="1:9" ht="12.75">
      <c r="A15" s="43" t="s">
        <v>73</v>
      </c>
      <c r="B15" s="52">
        <v>449603</v>
      </c>
      <c r="C15" s="43" t="s">
        <v>1</v>
      </c>
      <c r="D15" s="49" t="s">
        <v>74</v>
      </c>
      <c r="E15" s="50"/>
      <c r="F15" s="53">
        <v>0.00317</v>
      </c>
      <c r="G15" s="50">
        <f>ROUND(+$E$13*F15,0)</f>
        <v>53159</v>
      </c>
      <c r="I15" s="50"/>
    </row>
    <row r="16" spans="1:9" ht="12.75">
      <c r="A16" s="43" t="s">
        <v>75</v>
      </c>
      <c r="B16" s="52">
        <v>449603</v>
      </c>
      <c r="C16" s="52">
        <v>1075</v>
      </c>
      <c r="D16" s="49" t="s">
        <v>72</v>
      </c>
      <c r="E16" s="50"/>
      <c r="F16" s="53">
        <f>$C16/$B16</f>
        <v>0.0023909982807054225</v>
      </c>
      <c r="G16" s="50">
        <f>ROUND(+$E$13*F16,0)</f>
        <v>40096</v>
      </c>
      <c r="I16" s="50"/>
    </row>
    <row r="17" spans="5:7" ht="12.75">
      <c r="E17" s="50"/>
      <c r="G17" s="50"/>
    </row>
    <row r="18" spans="1:9" ht="12.75">
      <c r="A18" s="43" t="s">
        <v>4</v>
      </c>
      <c r="E18" s="50">
        <f>States!C9</f>
        <v>10704315</v>
      </c>
      <c r="F18" s="53"/>
      <c r="H18" s="50">
        <f>SUM(G19:G26)</f>
        <v>3264815</v>
      </c>
      <c r="I18" s="50">
        <f>E18-H18</f>
        <v>7439500</v>
      </c>
    </row>
    <row r="19" spans="1:9" ht="12.75">
      <c r="A19" s="43" t="s">
        <v>76</v>
      </c>
      <c r="B19" s="52">
        <v>37808</v>
      </c>
      <c r="C19" s="54">
        <v>164</v>
      </c>
      <c r="D19" s="49" t="s">
        <v>74</v>
      </c>
      <c r="E19" s="50"/>
      <c r="F19" s="53">
        <v>0.00854</v>
      </c>
      <c r="G19" s="50">
        <f aca="true" t="shared" si="0" ref="G19:G26">ROUND(+F19*$E$18,0)</f>
        <v>91415</v>
      </c>
      <c r="I19" s="43"/>
    </row>
    <row r="20" spans="1:9" ht="12.75">
      <c r="A20" s="43" t="s">
        <v>77</v>
      </c>
      <c r="B20" s="52">
        <v>37808</v>
      </c>
      <c r="C20" s="54">
        <v>2029</v>
      </c>
      <c r="D20" s="49" t="s">
        <v>74</v>
      </c>
      <c r="E20" s="50"/>
      <c r="F20" s="53">
        <v>0.13824948</v>
      </c>
      <c r="G20" s="50">
        <f t="shared" si="0"/>
        <v>1479866</v>
      </c>
      <c r="I20" s="43"/>
    </row>
    <row r="21" spans="1:7" ht="12.75">
      <c r="A21" s="43" t="s">
        <v>79</v>
      </c>
      <c r="B21" s="52">
        <v>37808</v>
      </c>
      <c r="C21" s="54">
        <v>111</v>
      </c>
      <c r="D21" s="49" t="s">
        <v>74</v>
      </c>
      <c r="E21" s="50"/>
      <c r="F21" s="53">
        <v>0.0068015</v>
      </c>
      <c r="G21" s="50">
        <f t="shared" si="0"/>
        <v>72805</v>
      </c>
    </row>
    <row r="22" spans="1:9" ht="12.75">
      <c r="A22" s="43" t="s">
        <v>80</v>
      </c>
      <c r="B22" s="52">
        <v>37808</v>
      </c>
      <c r="C22" s="54">
        <v>229</v>
      </c>
      <c r="D22" s="49" t="s">
        <v>74</v>
      </c>
      <c r="E22" s="50"/>
      <c r="F22" s="53">
        <v>0.02074</v>
      </c>
      <c r="G22" s="50">
        <f t="shared" si="0"/>
        <v>222007</v>
      </c>
      <c r="I22" s="43" t="s">
        <v>1</v>
      </c>
    </row>
    <row r="23" spans="1:7" ht="12.75">
      <c r="A23" s="43" t="s">
        <v>81</v>
      </c>
      <c r="B23" s="52">
        <v>37808</v>
      </c>
      <c r="C23" s="54">
        <v>275</v>
      </c>
      <c r="D23" s="49" t="s">
        <v>74</v>
      </c>
      <c r="E23" s="50"/>
      <c r="F23" s="53">
        <v>0.008235</v>
      </c>
      <c r="G23" s="50">
        <f t="shared" si="0"/>
        <v>88150</v>
      </c>
    </row>
    <row r="24" spans="1:7" ht="12.75">
      <c r="A24" s="43" t="s">
        <v>82</v>
      </c>
      <c r="B24" s="52">
        <v>37808</v>
      </c>
      <c r="C24" s="54">
        <v>8</v>
      </c>
      <c r="D24" s="49" t="s">
        <v>74</v>
      </c>
      <c r="E24" s="50"/>
      <c r="F24" s="53">
        <v>0.0007015</v>
      </c>
      <c r="G24" s="50">
        <f t="shared" si="0"/>
        <v>7509</v>
      </c>
    </row>
    <row r="25" spans="1:7" ht="12.75">
      <c r="A25" s="43" t="s">
        <v>83</v>
      </c>
      <c r="B25" s="52">
        <v>37808</v>
      </c>
      <c r="C25" s="54">
        <v>1385</v>
      </c>
      <c r="D25" s="49" t="s">
        <v>74</v>
      </c>
      <c r="E25" s="50"/>
      <c r="F25" s="53">
        <v>0.07750751</v>
      </c>
      <c r="G25" s="50">
        <f t="shared" si="0"/>
        <v>829665</v>
      </c>
    </row>
    <row r="26" spans="1:9" ht="12.75">
      <c r="A26" s="43" t="s">
        <v>84</v>
      </c>
      <c r="B26" s="52">
        <v>37808</v>
      </c>
      <c r="C26" s="54">
        <v>1171</v>
      </c>
      <c r="D26" s="49" t="s">
        <v>74</v>
      </c>
      <c r="E26" s="50"/>
      <c r="F26" s="53">
        <v>0.044225</v>
      </c>
      <c r="G26" s="50">
        <f t="shared" si="0"/>
        <v>473398</v>
      </c>
      <c r="I26" s="43" t="s">
        <v>1</v>
      </c>
    </row>
    <row r="28" spans="1:9" ht="12.75">
      <c r="A28" s="43" t="s">
        <v>5</v>
      </c>
      <c r="E28" s="50">
        <f>States!C10</f>
        <v>8109905</v>
      </c>
      <c r="F28" s="53">
        <f>SUM(F29:F37)</f>
        <v>0.075840848621049</v>
      </c>
      <c r="H28" s="50">
        <f>SUM(G29:G37)</f>
        <v>615062</v>
      </c>
      <c r="I28" s="50">
        <f>E28-H28</f>
        <v>7494843</v>
      </c>
    </row>
    <row r="29" spans="1:7" ht="12.75">
      <c r="A29" s="43" t="s">
        <v>85</v>
      </c>
      <c r="B29" s="52">
        <v>343522</v>
      </c>
      <c r="C29" s="54">
        <v>228</v>
      </c>
      <c r="D29" s="49" t="s">
        <v>72</v>
      </c>
      <c r="F29" s="53">
        <f aca="true" t="shared" si="1" ref="F29:F37">C29/B29</f>
        <v>0.0006637129499711809</v>
      </c>
      <c r="G29" s="50">
        <f aca="true" t="shared" si="2" ref="G29:G37">ROUND(+$E$28*F29,0)</f>
        <v>5383</v>
      </c>
    </row>
    <row r="30" spans="1:7" ht="12.75">
      <c r="A30" s="43" t="s">
        <v>86</v>
      </c>
      <c r="B30" s="52">
        <v>343522</v>
      </c>
      <c r="C30" s="54">
        <v>680</v>
      </c>
      <c r="D30" s="49" t="s">
        <v>72</v>
      </c>
      <c r="E30" s="50"/>
      <c r="F30" s="53">
        <f t="shared" si="1"/>
        <v>0.001979494763071943</v>
      </c>
      <c r="G30" s="50">
        <f t="shared" si="2"/>
        <v>16054</v>
      </c>
    </row>
    <row r="31" spans="1:7" ht="12.75">
      <c r="A31" s="43" t="s">
        <v>87</v>
      </c>
      <c r="B31" s="52">
        <v>343522</v>
      </c>
      <c r="C31" s="54">
        <v>142</v>
      </c>
      <c r="D31" s="49" t="s">
        <v>72</v>
      </c>
      <c r="E31" s="50"/>
      <c r="F31" s="53">
        <f t="shared" si="1"/>
        <v>0.00041336508287678807</v>
      </c>
      <c r="G31" s="50">
        <f t="shared" si="2"/>
        <v>3352</v>
      </c>
    </row>
    <row r="32" spans="1:7" ht="12.75">
      <c r="A32" s="43" t="s">
        <v>88</v>
      </c>
      <c r="B32" s="52">
        <v>343522</v>
      </c>
      <c r="C32" s="54">
        <v>2301</v>
      </c>
      <c r="D32" s="49" t="s">
        <v>72</v>
      </c>
      <c r="E32" s="50"/>
      <c r="F32" s="53">
        <f t="shared" si="1"/>
        <v>0.006698260955630207</v>
      </c>
      <c r="G32" s="50">
        <f t="shared" si="2"/>
        <v>54322</v>
      </c>
    </row>
    <row r="33" spans="1:7" ht="12.75">
      <c r="A33" s="43" t="s">
        <v>89</v>
      </c>
      <c r="B33" s="52">
        <v>343522</v>
      </c>
      <c r="C33" s="54">
        <v>19524</v>
      </c>
      <c r="D33" s="49" t="s">
        <v>72</v>
      </c>
      <c r="E33" s="50"/>
      <c r="F33" s="53">
        <f t="shared" si="1"/>
        <v>0.056834787873847964</v>
      </c>
      <c r="G33" s="50">
        <f t="shared" si="2"/>
        <v>460925</v>
      </c>
    </row>
    <row r="34" spans="1:7" ht="12.75">
      <c r="A34" s="43" t="s">
        <v>90</v>
      </c>
      <c r="B34" s="52">
        <v>343522</v>
      </c>
      <c r="C34" s="54">
        <v>879</v>
      </c>
      <c r="D34" s="49" t="s">
        <v>72</v>
      </c>
      <c r="E34" s="50"/>
      <c r="F34" s="53">
        <f t="shared" si="1"/>
        <v>0.0025587880834415265</v>
      </c>
      <c r="G34" s="50">
        <f t="shared" si="2"/>
        <v>20752</v>
      </c>
    </row>
    <row r="35" spans="1:7" ht="12.75">
      <c r="A35" s="43" t="s">
        <v>91</v>
      </c>
      <c r="B35" s="52">
        <v>343522</v>
      </c>
      <c r="C35" s="54">
        <v>50</v>
      </c>
      <c r="D35" s="49" t="s">
        <v>72</v>
      </c>
      <c r="E35" s="50"/>
      <c r="F35" s="53">
        <f t="shared" si="1"/>
        <v>0.00014555108551999582</v>
      </c>
      <c r="G35" s="50">
        <f t="shared" si="2"/>
        <v>1180</v>
      </c>
    </row>
    <row r="36" spans="1:7" ht="12.75">
      <c r="A36" s="43" t="s">
        <v>92</v>
      </c>
      <c r="B36" s="52">
        <v>343522</v>
      </c>
      <c r="C36" s="54">
        <v>849</v>
      </c>
      <c r="D36" s="49" t="s">
        <v>72</v>
      </c>
      <c r="E36" s="50"/>
      <c r="F36" s="53">
        <f t="shared" si="1"/>
        <v>0.002471457432129529</v>
      </c>
      <c r="G36" s="50">
        <f t="shared" si="2"/>
        <v>20043</v>
      </c>
    </row>
    <row r="37" spans="1:7" ht="12.75">
      <c r="A37" s="43" t="s">
        <v>93</v>
      </c>
      <c r="B37" s="52">
        <v>343522</v>
      </c>
      <c r="C37" s="54">
        <v>1400</v>
      </c>
      <c r="D37" s="49" t="s">
        <v>72</v>
      </c>
      <c r="F37" s="53">
        <f t="shared" si="1"/>
        <v>0.004075430394559883</v>
      </c>
      <c r="G37" s="50">
        <f t="shared" si="2"/>
        <v>33051</v>
      </c>
    </row>
    <row r="38" spans="1:7" ht="12.75">
      <c r="A38" s="43"/>
      <c r="B38" s="52"/>
      <c r="C38" s="55"/>
      <c r="D38" s="49"/>
      <c r="E38" s="50"/>
      <c r="F38" s="53"/>
      <c r="G38" s="50"/>
    </row>
    <row r="39" spans="1:7" ht="12.75">
      <c r="A39" s="43"/>
      <c r="B39" s="52"/>
      <c r="C39" s="55"/>
      <c r="D39" s="49"/>
      <c r="E39" s="50"/>
      <c r="F39" s="53"/>
      <c r="G39" s="50"/>
    </row>
    <row r="40" spans="1:10" ht="12.75">
      <c r="A40" s="76" t="s">
        <v>286</v>
      </c>
      <c r="J40" s="43" t="s">
        <v>1</v>
      </c>
    </row>
    <row r="41" spans="1:8" ht="12.75">
      <c r="A41" s="45" t="s">
        <v>283</v>
      </c>
      <c r="C41" s="43" t="s">
        <v>67</v>
      </c>
      <c r="F41" s="68" t="s">
        <v>284</v>
      </c>
      <c r="H41" s="44" t="s">
        <v>275</v>
      </c>
    </row>
    <row r="42" spans="1:8" ht="12.75">
      <c r="A42" s="47"/>
      <c r="G42" s="49" t="s">
        <v>252</v>
      </c>
      <c r="H42" s="49" t="s">
        <v>253</v>
      </c>
    </row>
    <row r="43" spans="2:9" ht="12.75">
      <c r="B43" s="49" t="s">
        <v>254</v>
      </c>
      <c r="C43" s="49" t="s">
        <v>255</v>
      </c>
      <c r="E43" s="49" t="s">
        <v>256</v>
      </c>
      <c r="F43" s="49" t="s">
        <v>257</v>
      </c>
      <c r="G43" s="49" t="s">
        <v>258</v>
      </c>
      <c r="H43" s="49" t="s">
        <v>259</v>
      </c>
      <c r="I43" s="49" t="s">
        <v>260</v>
      </c>
    </row>
    <row r="44" spans="1:9" ht="12.75">
      <c r="A44" s="49" t="s">
        <v>63</v>
      </c>
      <c r="B44" s="49" t="s">
        <v>261</v>
      </c>
      <c r="C44" s="49" t="s">
        <v>262</v>
      </c>
      <c r="D44" s="49" t="s">
        <v>70</v>
      </c>
      <c r="E44" s="49" t="s">
        <v>263</v>
      </c>
      <c r="F44" s="49" t="s">
        <v>264</v>
      </c>
      <c r="G44" s="49" t="s">
        <v>265</v>
      </c>
      <c r="H44" s="49" t="s">
        <v>266</v>
      </c>
      <c r="I44" s="49" t="s">
        <v>267</v>
      </c>
    </row>
    <row r="46" spans="1:9" ht="12.75">
      <c r="A46" s="43" t="s">
        <v>7</v>
      </c>
      <c r="E46" s="50">
        <f>States!C12</f>
        <v>89963206</v>
      </c>
      <c r="F46" s="53">
        <f>SUM(F48:F70)</f>
        <v>0.007439176477038639</v>
      </c>
      <c r="H46" s="50">
        <f>SUM(G47:G70)</f>
        <v>676298</v>
      </c>
      <c r="I46" s="50">
        <f>E46-H46</f>
        <v>89286908</v>
      </c>
    </row>
    <row r="47" spans="1:9" ht="12.75">
      <c r="A47" s="43" t="s">
        <v>94</v>
      </c>
      <c r="B47" s="52">
        <v>1659723</v>
      </c>
      <c r="C47" s="44">
        <v>130</v>
      </c>
      <c r="D47" s="49" t="s">
        <v>72</v>
      </c>
      <c r="E47" s="50"/>
      <c r="F47" s="53">
        <f aca="true" t="shared" si="3" ref="F47:F56">C47/B47</f>
        <v>7.832632312741343E-05</v>
      </c>
      <c r="G47" s="50">
        <f aca="true" t="shared" si="4" ref="G47:G70">ROUND(+$E$46*F47,0)</f>
        <v>7046</v>
      </c>
      <c r="H47" s="50"/>
      <c r="I47" s="50"/>
    </row>
    <row r="48" spans="1:7" ht="12.75">
      <c r="A48" s="43" t="s">
        <v>95</v>
      </c>
      <c r="B48" s="52">
        <v>1659723</v>
      </c>
      <c r="C48" s="54">
        <v>24</v>
      </c>
      <c r="D48" s="49" t="s">
        <v>72</v>
      </c>
      <c r="E48" s="50"/>
      <c r="F48" s="53">
        <f t="shared" si="3"/>
        <v>1.4460244269676325E-05</v>
      </c>
      <c r="G48" s="50">
        <f t="shared" si="4"/>
        <v>1301</v>
      </c>
    </row>
    <row r="49" spans="1:9" ht="12.75">
      <c r="A49" s="43" t="s">
        <v>96</v>
      </c>
      <c r="B49" s="52">
        <v>1659723</v>
      </c>
      <c r="C49" s="54">
        <v>108</v>
      </c>
      <c r="D49" s="49" t="s">
        <v>72</v>
      </c>
      <c r="E49" s="50"/>
      <c r="F49" s="53">
        <f t="shared" si="3"/>
        <v>6.507109921354347E-05</v>
      </c>
      <c r="G49" s="50">
        <f t="shared" si="4"/>
        <v>5854</v>
      </c>
      <c r="I49" s="50"/>
    </row>
    <row r="50" spans="1:9" ht="12.75">
      <c r="A50" s="43" t="s">
        <v>97</v>
      </c>
      <c r="B50" s="52">
        <v>1659723</v>
      </c>
      <c r="C50" s="54">
        <v>50</v>
      </c>
      <c r="D50" s="49" t="s">
        <v>72</v>
      </c>
      <c r="E50" s="50"/>
      <c r="F50" s="53">
        <f t="shared" si="3"/>
        <v>3.012550889515901E-05</v>
      </c>
      <c r="G50" s="50">
        <f t="shared" si="4"/>
        <v>2710</v>
      </c>
      <c r="I50" s="50"/>
    </row>
    <row r="51" spans="1:7" ht="12.75">
      <c r="A51" s="43" t="s">
        <v>98</v>
      </c>
      <c r="B51" s="52">
        <v>1659723</v>
      </c>
      <c r="C51" s="54">
        <v>896</v>
      </c>
      <c r="D51" s="49" t="s">
        <v>72</v>
      </c>
      <c r="E51" s="50"/>
      <c r="F51" s="53">
        <f t="shared" si="3"/>
        <v>0.0005398491194012495</v>
      </c>
      <c r="G51" s="50">
        <f t="shared" si="4"/>
        <v>48567</v>
      </c>
    </row>
    <row r="52" spans="1:7" ht="12.75">
      <c r="A52" s="43" t="s">
        <v>99</v>
      </c>
      <c r="B52" s="52">
        <v>1659723</v>
      </c>
      <c r="C52" s="54">
        <v>136</v>
      </c>
      <c r="D52" s="49" t="s">
        <v>72</v>
      </c>
      <c r="F52" s="53">
        <f t="shared" si="3"/>
        <v>8.194138419483252E-05</v>
      </c>
      <c r="G52" s="50">
        <f t="shared" si="4"/>
        <v>7372</v>
      </c>
    </row>
    <row r="53" spans="1:9" ht="12.75">
      <c r="A53" s="43" t="s">
        <v>100</v>
      </c>
      <c r="B53" s="52">
        <v>1659723</v>
      </c>
      <c r="C53" s="54">
        <v>1378</v>
      </c>
      <c r="D53" s="49" t="s">
        <v>72</v>
      </c>
      <c r="E53" s="50"/>
      <c r="F53" s="53">
        <f t="shared" si="3"/>
        <v>0.0008302590251505823</v>
      </c>
      <c r="G53" s="50">
        <f t="shared" si="4"/>
        <v>74693</v>
      </c>
      <c r="I53" s="50"/>
    </row>
    <row r="54" spans="1:9" ht="12.75">
      <c r="A54" s="43" t="s">
        <v>101</v>
      </c>
      <c r="B54" s="52">
        <v>1659723</v>
      </c>
      <c r="C54" s="54">
        <v>650</v>
      </c>
      <c r="D54" s="49" t="s">
        <v>72</v>
      </c>
      <c r="E54" s="50"/>
      <c r="F54" s="53">
        <f t="shared" si="3"/>
        <v>0.00039163161563706713</v>
      </c>
      <c r="G54" s="50">
        <f t="shared" si="4"/>
        <v>35232</v>
      </c>
      <c r="I54" s="50"/>
    </row>
    <row r="55" spans="1:9" ht="12.75">
      <c r="A55" s="43" t="s">
        <v>102</v>
      </c>
      <c r="B55" s="52">
        <v>1659723</v>
      </c>
      <c r="C55" s="54">
        <v>371</v>
      </c>
      <c r="D55" s="49" t="s">
        <v>72</v>
      </c>
      <c r="E55" s="50"/>
      <c r="F55" s="53">
        <f t="shared" si="3"/>
        <v>0.00022353127600207987</v>
      </c>
      <c r="G55" s="50">
        <f t="shared" si="4"/>
        <v>20110</v>
      </c>
      <c r="I55" s="50"/>
    </row>
    <row r="56" spans="1:9" ht="12.75">
      <c r="A56" s="43" t="s">
        <v>103</v>
      </c>
      <c r="B56" s="52">
        <v>1659723</v>
      </c>
      <c r="C56" s="54">
        <v>3231</v>
      </c>
      <c r="D56" s="49" t="s">
        <v>72</v>
      </c>
      <c r="E56" s="50"/>
      <c r="F56" s="53">
        <f t="shared" si="3"/>
        <v>0.0019467103848051753</v>
      </c>
      <c r="G56" s="50">
        <f t="shared" si="4"/>
        <v>175132</v>
      </c>
      <c r="I56" s="50"/>
    </row>
    <row r="57" spans="1:7" ht="12.75">
      <c r="A57" s="43" t="s">
        <v>104</v>
      </c>
      <c r="B57" s="52">
        <v>1659723</v>
      </c>
      <c r="C57" s="54">
        <v>82</v>
      </c>
      <c r="D57" s="49" t="s">
        <v>74</v>
      </c>
      <c r="E57" s="50"/>
      <c r="F57" s="53">
        <v>0.0001</v>
      </c>
      <c r="G57" s="50">
        <f t="shared" si="4"/>
        <v>8996</v>
      </c>
    </row>
    <row r="58" spans="1:9" ht="12.75">
      <c r="A58" s="43" t="s">
        <v>105</v>
      </c>
      <c r="B58" s="52">
        <v>1659723</v>
      </c>
      <c r="C58" s="54">
        <v>779</v>
      </c>
      <c r="D58" s="49" t="s">
        <v>72</v>
      </c>
      <c r="E58" s="50"/>
      <c r="F58" s="53">
        <f aca="true" t="shared" si="5" ref="F58:F70">C58/B58</f>
        <v>0.0004693554285865774</v>
      </c>
      <c r="G58" s="50">
        <f t="shared" si="4"/>
        <v>42225</v>
      </c>
      <c r="I58" s="50"/>
    </row>
    <row r="59" spans="1:9" ht="12.75">
      <c r="A59" s="43" t="s">
        <v>106</v>
      </c>
      <c r="B59" s="52">
        <v>1659723</v>
      </c>
      <c r="C59" s="54">
        <v>78</v>
      </c>
      <c r="D59" s="49" t="s">
        <v>72</v>
      </c>
      <c r="E59" s="50"/>
      <c r="F59" s="53">
        <f t="shared" si="5"/>
        <v>4.699579387644806E-05</v>
      </c>
      <c r="G59" s="50">
        <f t="shared" si="4"/>
        <v>4228</v>
      </c>
      <c r="I59" s="50"/>
    </row>
    <row r="60" spans="1:7" ht="12.75">
      <c r="A60" s="43" t="s">
        <v>107</v>
      </c>
      <c r="B60" s="52">
        <v>1659723</v>
      </c>
      <c r="C60" s="54">
        <v>375</v>
      </c>
      <c r="D60" s="49" t="s">
        <v>72</v>
      </c>
      <c r="E60" s="50"/>
      <c r="F60" s="53">
        <f t="shared" si="5"/>
        <v>0.00022594131671369258</v>
      </c>
      <c r="G60" s="50">
        <f t="shared" si="4"/>
        <v>20326</v>
      </c>
    </row>
    <row r="61" spans="1:7" ht="12.75">
      <c r="A61" s="43" t="s">
        <v>108</v>
      </c>
      <c r="B61" s="52">
        <v>1659723</v>
      </c>
      <c r="C61" s="54">
        <v>962</v>
      </c>
      <c r="D61" s="49" t="s">
        <v>72</v>
      </c>
      <c r="E61" s="50"/>
      <c r="F61" s="53">
        <f t="shared" si="5"/>
        <v>0.0005796147911428593</v>
      </c>
      <c r="G61" s="50">
        <f t="shared" si="4"/>
        <v>52144</v>
      </c>
    </row>
    <row r="62" spans="1:7" ht="12.75">
      <c r="A62" s="43" t="s">
        <v>109</v>
      </c>
      <c r="B62" s="52">
        <v>1659723</v>
      </c>
      <c r="C62" s="54">
        <v>44</v>
      </c>
      <c r="D62" s="49" t="s">
        <v>72</v>
      </c>
      <c r="E62" s="50"/>
      <c r="F62" s="53">
        <f t="shared" si="5"/>
        <v>2.651044782773993E-05</v>
      </c>
      <c r="G62" s="50">
        <f t="shared" si="4"/>
        <v>2385</v>
      </c>
    </row>
    <row r="63" spans="1:9" ht="12.75">
      <c r="A63" s="43" t="s">
        <v>110</v>
      </c>
      <c r="B63" s="52">
        <v>1659723</v>
      </c>
      <c r="C63" s="54">
        <v>894</v>
      </c>
      <c r="D63" s="49" t="s">
        <v>72</v>
      </c>
      <c r="E63" s="50"/>
      <c r="F63" s="53">
        <f t="shared" si="5"/>
        <v>0.0005386440990454431</v>
      </c>
      <c r="G63" s="50">
        <f t="shared" si="4"/>
        <v>48458</v>
      </c>
      <c r="I63" s="50"/>
    </row>
    <row r="64" spans="1:9" ht="12.75">
      <c r="A64" s="43" t="s">
        <v>111</v>
      </c>
      <c r="B64" s="52">
        <v>1659723</v>
      </c>
      <c r="C64" s="54">
        <v>575</v>
      </c>
      <c r="D64" s="49" t="s">
        <v>72</v>
      </c>
      <c r="E64" s="50"/>
      <c r="F64" s="53">
        <f t="shared" si="5"/>
        <v>0.00034644335229432863</v>
      </c>
      <c r="G64" s="50">
        <f t="shared" si="4"/>
        <v>31167</v>
      </c>
      <c r="I64" s="50"/>
    </row>
    <row r="65" spans="1:9" ht="12.75">
      <c r="A65" s="43" t="s">
        <v>113</v>
      </c>
      <c r="B65" s="52">
        <v>1659723</v>
      </c>
      <c r="C65" s="54">
        <v>146</v>
      </c>
      <c r="D65" s="49" t="s">
        <v>72</v>
      </c>
      <c r="E65" s="50"/>
      <c r="F65" s="53">
        <f t="shared" si="5"/>
        <v>8.796648597386432E-05</v>
      </c>
      <c r="G65" s="50">
        <f t="shared" si="4"/>
        <v>7914</v>
      </c>
      <c r="I65" s="50"/>
    </row>
    <row r="66" spans="1:7" ht="12.75">
      <c r="A66" s="44" t="s">
        <v>268</v>
      </c>
      <c r="B66" s="52">
        <v>1659723</v>
      </c>
      <c r="C66" s="56">
        <v>66</v>
      </c>
      <c r="D66" s="49" t="s">
        <v>72</v>
      </c>
      <c r="F66" s="53">
        <f t="shared" si="5"/>
        <v>3.97656717416099E-05</v>
      </c>
      <c r="G66" s="50">
        <f t="shared" si="4"/>
        <v>3577</v>
      </c>
    </row>
    <row r="67" spans="1:7" ht="12.75">
      <c r="A67" s="43" t="s">
        <v>112</v>
      </c>
      <c r="B67" s="52">
        <v>1659723</v>
      </c>
      <c r="C67" s="54">
        <v>66</v>
      </c>
      <c r="D67" s="49" t="s">
        <v>72</v>
      </c>
      <c r="E67" s="50"/>
      <c r="F67" s="53">
        <f t="shared" si="5"/>
        <v>3.97656717416099E-05</v>
      </c>
      <c r="G67" s="50">
        <f t="shared" si="4"/>
        <v>3577</v>
      </c>
    </row>
    <row r="68" spans="1:7" ht="12.75">
      <c r="A68" s="43" t="s">
        <v>114</v>
      </c>
      <c r="B68" s="52">
        <v>1659723</v>
      </c>
      <c r="C68" s="54">
        <v>101</v>
      </c>
      <c r="D68" s="49" t="s">
        <v>72</v>
      </c>
      <c r="E68" s="50"/>
      <c r="F68" s="53">
        <f t="shared" si="5"/>
        <v>6.08535279682212E-05</v>
      </c>
      <c r="G68" s="50">
        <f t="shared" si="4"/>
        <v>5475</v>
      </c>
    </row>
    <row r="69" spans="1:7" ht="12.75">
      <c r="A69" s="43" t="s">
        <v>115</v>
      </c>
      <c r="B69" s="52">
        <v>1659723</v>
      </c>
      <c r="C69" s="54">
        <v>85</v>
      </c>
      <c r="D69" s="49" t="s">
        <v>72</v>
      </c>
      <c r="E69" s="50"/>
      <c r="F69" s="53">
        <f t="shared" si="5"/>
        <v>5.121336512177032E-05</v>
      </c>
      <c r="G69" s="50">
        <f t="shared" si="4"/>
        <v>4607</v>
      </c>
    </row>
    <row r="70" spans="1:7" ht="12.75">
      <c r="A70" s="43" t="s">
        <v>116</v>
      </c>
      <c r="B70" s="52">
        <v>1659723</v>
      </c>
      <c r="C70" s="54">
        <v>1166</v>
      </c>
      <c r="D70" s="49" t="s">
        <v>72</v>
      </c>
      <c r="E70" s="50"/>
      <c r="F70" s="53">
        <f t="shared" si="5"/>
        <v>0.0007025268674351082</v>
      </c>
      <c r="G70" s="50">
        <f t="shared" si="4"/>
        <v>63202</v>
      </c>
    </row>
    <row r="71" spans="1:7" ht="12.75">
      <c r="A71" s="43"/>
      <c r="B71" s="52"/>
      <c r="C71" s="54"/>
      <c r="D71" s="49"/>
      <c r="E71" s="50"/>
      <c r="F71" s="53"/>
      <c r="G71" s="50"/>
    </row>
    <row r="72" spans="1:9" ht="12.75">
      <c r="A72" s="43" t="s">
        <v>8</v>
      </c>
      <c r="B72" s="52"/>
      <c r="C72" s="54"/>
      <c r="D72" s="49"/>
      <c r="E72" s="50">
        <f>States!C13</f>
        <v>31367366</v>
      </c>
      <c r="F72" s="53"/>
      <c r="G72" s="50"/>
      <c r="H72" s="57">
        <f>G73</f>
        <v>25000</v>
      </c>
      <c r="I72" s="50">
        <f>$E72-$H72</f>
        <v>31342366</v>
      </c>
    </row>
    <row r="73" spans="1:7" ht="12.75">
      <c r="A73" s="44" t="s">
        <v>117</v>
      </c>
      <c r="B73" s="44">
        <v>303357</v>
      </c>
      <c r="C73" s="44">
        <v>165</v>
      </c>
      <c r="D73" s="58" t="s">
        <v>118</v>
      </c>
      <c r="F73" s="53">
        <f>C73/B73</f>
        <v>0.000543913606740573</v>
      </c>
      <c r="G73" s="50">
        <f>25000</f>
        <v>25000</v>
      </c>
    </row>
    <row r="74" spans="1:7" ht="12.75">
      <c r="A74" s="43"/>
      <c r="B74" s="52"/>
      <c r="C74" s="54"/>
      <c r="D74" s="49"/>
      <c r="E74" s="50"/>
      <c r="F74" s="53"/>
      <c r="G74" s="50"/>
    </row>
    <row r="75" spans="1:9" ht="12.75">
      <c r="A75" s="43" t="s">
        <v>11</v>
      </c>
      <c r="E75" s="50">
        <f>States!C17</f>
        <v>26534274</v>
      </c>
      <c r="H75" s="50">
        <f>G76</f>
        <v>6802</v>
      </c>
      <c r="I75" s="50">
        <f>$E75-$H75</f>
        <v>26527472</v>
      </c>
    </row>
    <row r="76" spans="1:9" ht="12.75">
      <c r="A76" s="43" t="s">
        <v>119</v>
      </c>
      <c r="B76" s="52">
        <v>1205419</v>
      </c>
      <c r="C76" s="52">
        <v>309</v>
      </c>
      <c r="D76" s="49" t="s">
        <v>72</v>
      </c>
      <c r="E76" s="50"/>
      <c r="F76" s="53">
        <f>$C76/$B76</f>
        <v>0.00025634240044333133</v>
      </c>
      <c r="G76" s="50">
        <f>ROUND(+$E$75*F76,0)</f>
        <v>6802</v>
      </c>
      <c r="I76" s="50"/>
    </row>
    <row r="77" ht="12.75">
      <c r="I77" s="50"/>
    </row>
    <row r="78" spans="1:9" ht="12.75">
      <c r="A78" s="43" t="s">
        <v>14</v>
      </c>
      <c r="D78" s="43" t="s">
        <v>1</v>
      </c>
      <c r="E78" s="50">
        <f>States!C20</f>
        <v>12235363</v>
      </c>
      <c r="F78" s="53"/>
      <c r="H78" s="50">
        <f>SUM(G79:G81)</f>
        <v>593721</v>
      </c>
      <c r="I78" s="50">
        <f>E78-H78</f>
        <v>11641642</v>
      </c>
    </row>
    <row r="79" spans="1:9" ht="12.75">
      <c r="A79" s="43" t="s">
        <v>120</v>
      </c>
      <c r="B79" s="52">
        <v>84047</v>
      </c>
      <c r="C79" s="44">
        <v>113</v>
      </c>
      <c r="D79" s="49" t="s">
        <v>78</v>
      </c>
      <c r="E79" s="50"/>
      <c r="F79" s="53">
        <v>0.003025</v>
      </c>
      <c r="G79" s="50">
        <f>ROUND(+$E$78*F79,0)</f>
        <v>37012</v>
      </c>
      <c r="H79" s="50"/>
      <c r="I79" s="50"/>
    </row>
    <row r="80" spans="1:9" ht="12.75">
      <c r="A80" s="43" t="s">
        <v>121</v>
      </c>
      <c r="B80" s="52">
        <v>84047</v>
      </c>
      <c r="C80" s="52">
        <v>593</v>
      </c>
      <c r="D80" s="49" t="s">
        <v>74</v>
      </c>
      <c r="E80" s="50"/>
      <c r="F80" s="59">
        <v>0.007</v>
      </c>
      <c r="G80" s="50">
        <f>ROUND(+$E$78*F80,0)</f>
        <v>85648</v>
      </c>
      <c r="I80" s="50"/>
    </row>
    <row r="81" spans="1:9" ht="12.75">
      <c r="A81" s="43" t="s">
        <v>122</v>
      </c>
      <c r="B81" s="52">
        <v>84047</v>
      </c>
      <c r="C81" s="52">
        <v>796</v>
      </c>
      <c r="D81" s="49" t="s">
        <v>74</v>
      </c>
      <c r="E81" s="50"/>
      <c r="F81" s="59">
        <v>0.0385</v>
      </c>
      <c r="G81" s="50">
        <f>ROUND(+$E$78*F81,0)</f>
        <v>471061</v>
      </c>
      <c r="I81" s="50"/>
    </row>
    <row r="83" spans="1:9" ht="12.75">
      <c r="A83" s="43" t="s">
        <v>16</v>
      </c>
      <c r="E83" s="50">
        <f>States!C22</f>
        <v>51280512</v>
      </c>
      <c r="H83" s="50">
        <f>G84</f>
        <v>6664</v>
      </c>
      <c r="I83" s="50">
        <f>E83-H83</f>
        <v>51273848</v>
      </c>
    </row>
    <row r="84" spans="1:9" ht="12.75">
      <c r="A84" s="43" t="s">
        <v>123</v>
      </c>
      <c r="B84" s="52">
        <v>434091</v>
      </c>
      <c r="C84" s="52">
        <v>0</v>
      </c>
      <c r="D84" s="49" t="s">
        <v>118</v>
      </c>
      <c r="F84" s="53">
        <f>$C84/$B84</f>
        <v>0</v>
      </c>
      <c r="G84" s="50">
        <f>6664</f>
        <v>6664</v>
      </c>
      <c r="I84" s="50"/>
    </row>
    <row r="86" spans="1:10" ht="12.75">
      <c r="A86" s="76" t="s">
        <v>286</v>
      </c>
      <c r="J86" s="43" t="s">
        <v>1</v>
      </c>
    </row>
    <row r="87" spans="1:8" ht="12.75">
      <c r="A87" s="45" t="s">
        <v>283</v>
      </c>
      <c r="C87" s="43" t="s">
        <v>67</v>
      </c>
      <c r="F87" s="68" t="s">
        <v>284</v>
      </c>
      <c r="H87" s="44" t="s">
        <v>276</v>
      </c>
    </row>
    <row r="88" spans="1:8" ht="12.75">
      <c r="A88" s="47"/>
      <c r="G88" s="49" t="s">
        <v>252</v>
      </c>
      <c r="H88" s="49" t="s">
        <v>253</v>
      </c>
    </row>
    <row r="89" spans="2:9" ht="12.75">
      <c r="B89" s="49" t="s">
        <v>254</v>
      </c>
      <c r="C89" s="49" t="s">
        <v>255</v>
      </c>
      <c r="E89" s="49" t="s">
        <v>256</v>
      </c>
      <c r="F89" s="49" t="s">
        <v>257</v>
      </c>
      <c r="G89" s="49" t="s">
        <v>258</v>
      </c>
      <c r="H89" s="49" t="s">
        <v>259</v>
      </c>
      <c r="I89" s="49" t="s">
        <v>260</v>
      </c>
    </row>
    <row r="90" spans="1:9" ht="12.75">
      <c r="A90" s="49" t="s">
        <v>63</v>
      </c>
      <c r="B90" s="49" t="s">
        <v>261</v>
      </c>
      <c r="C90" s="49" t="s">
        <v>262</v>
      </c>
      <c r="D90" s="49" t="s">
        <v>70</v>
      </c>
      <c r="E90" s="49" t="s">
        <v>263</v>
      </c>
      <c r="F90" s="49" t="s">
        <v>264</v>
      </c>
      <c r="G90" s="49" t="s">
        <v>265</v>
      </c>
      <c r="H90" s="49" t="s">
        <v>266</v>
      </c>
      <c r="I90" s="49" t="s">
        <v>267</v>
      </c>
    </row>
    <row r="91" ht="12.75">
      <c r="I91" s="50"/>
    </row>
    <row r="92" spans="1:9" ht="12.75">
      <c r="A92" s="43" t="s">
        <v>18</v>
      </c>
      <c r="D92" s="43" t="s">
        <v>1</v>
      </c>
      <c r="E92" s="50">
        <f>States!C24</f>
        <v>16690421</v>
      </c>
      <c r="F92" s="59"/>
      <c r="H92" s="50">
        <f>G93</f>
        <v>12420</v>
      </c>
      <c r="I92" s="50">
        <f>$E92-$H92</f>
        <v>16678001</v>
      </c>
    </row>
    <row r="93" spans="1:9" ht="12.75">
      <c r="A93" s="70" t="s">
        <v>124</v>
      </c>
      <c r="B93" s="71">
        <v>222152</v>
      </c>
      <c r="C93" s="71">
        <v>20</v>
      </c>
      <c r="D93" s="72" t="s">
        <v>118</v>
      </c>
      <c r="E93" s="73"/>
      <c r="F93" s="74">
        <f>C93/B93</f>
        <v>9.00284489898808E-05</v>
      </c>
      <c r="G93" s="73">
        <f>12420</f>
        <v>12420</v>
      </c>
      <c r="I93" s="50"/>
    </row>
    <row r="94" ht="12.75">
      <c r="I94" s="50"/>
    </row>
    <row r="95" spans="1:9" ht="12.75">
      <c r="A95" s="43" t="s">
        <v>21</v>
      </c>
      <c r="E95" s="50">
        <f>States!C27</f>
        <v>26509531</v>
      </c>
      <c r="H95" s="50">
        <f>SUM(G96:G100)</f>
        <v>968922</v>
      </c>
      <c r="I95" s="50">
        <f>SUM(E95-H95)</f>
        <v>25540609</v>
      </c>
    </row>
    <row r="96" spans="1:9" ht="12.75">
      <c r="A96" s="43" t="s">
        <v>125</v>
      </c>
      <c r="B96" s="52">
        <v>100697</v>
      </c>
      <c r="D96" s="49" t="s">
        <v>74</v>
      </c>
      <c r="F96" s="53">
        <v>0.00435</v>
      </c>
      <c r="G96" s="50">
        <f>ROUND(+$E$95*$F96,0)</f>
        <v>115316</v>
      </c>
      <c r="I96" s="50"/>
    </row>
    <row r="97" spans="1:9" ht="12.75">
      <c r="A97" s="43" t="s">
        <v>126</v>
      </c>
      <c r="B97" s="52">
        <v>100697</v>
      </c>
      <c r="D97" s="49" t="s">
        <v>74</v>
      </c>
      <c r="E97" s="50"/>
      <c r="F97" s="53">
        <v>0.00435</v>
      </c>
      <c r="G97" s="50">
        <f>ROUND(+$E$95*$F97,0)</f>
        <v>115316</v>
      </c>
      <c r="I97" s="50"/>
    </row>
    <row r="98" spans="1:9" ht="12.75">
      <c r="A98" s="43" t="s">
        <v>127</v>
      </c>
      <c r="B98" s="52">
        <v>100697</v>
      </c>
      <c r="C98" s="52">
        <v>83</v>
      </c>
      <c r="D98" s="49" t="s">
        <v>74</v>
      </c>
      <c r="E98" s="50"/>
      <c r="F98" s="53">
        <v>0.0083</v>
      </c>
      <c r="G98" s="50">
        <f>ROUND(+$E$95*$F98,0)</f>
        <v>220029</v>
      </c>
      <c r="I98" s="50"/>
    </row>
    <row r="99" spans="1:9" ht="12.75">
      <c r="A99" s="43" t="s">
        <v>128</v>
      </c>
      <c r="B99" s="52">
        <v>100697</v>
      </c>
      <c r="C99" s="52">
        <v>69</v>
      </c>
      <c r="D99" s="49" t="s">
        <v>74</v>
      </c>
      <c r="E99" s="50"/>
      <c r="F99" s="53">
        <v>0.01158</v>
      </c>
      <c r="G99" s="50">
        <f>ROUND(+$E$95*$F99,0)</f>
        <v>306980</v>
      </c>
      <c r="I99" s="50"/>
    </row>
    <row r="100" spans="1:9" ht="12.75">
      <c r="A100" s="43" t="s">
        <v>129</v>
      </c>
      <c r="B100" s="52">
        <v>100697</v>
      </c>
      <c r="C100" s="52">
        <v>95</v>
      </c>
      <c r="D100" s="49" t="s">
        <v>74</v>
      </c>
      <c r="E100" s="50"/>
      <c r="F100" s="53">
        <v>0.00797</v>
      </c>
      <c r="G100" s="50">
        <f>ROUND(+$E$95*$F100,0)</f>
        <v>211281</v>
      </c>
      <c r="I100" s="50"/>
    </row>
    <row r="101" ht="12.75">
      <c r="I101" s="50"/>
    </row>
    <row r="102" spans="1:9" ht="12.75">
      <c r="A102" s="43" t="s">
        <v>23</v>
      </c>
      <c r="E102" s="50">
        <f>States!C29</f>
        <v>81853223</v>
      </c>
      <c r="H102" s="50">
        <f>G103</f>
        <v>32741</v>
      </c>
      <c r="I102" s="50">
        <f>SUM(E102-H102)</f>
        <v>81820482</v>
      </c>
    </row>
    <row r="103" spans="1:9" ht="12.75">
      <c r="A103" s="43" t="s">
        <v>130</v>
      </c>
      <c r="B103" s="52">
        <v>531692</v>
      </c>
      <c r="C103" s="52">
        <v>127</v>
      </c>
      <c r="D103" s="49" t="s">
        <v>74</v>
      </c>
      <c r="E103" s="50"/>
      <c r="F103" s="53">
        <v>0.0004</v>
      </c>
      <c r="G103" s="50">
        <f>ROUND(+$E$102*F103,0)</f>
        <v>32741</v>
      </c>
      <c r="I103" s="50"/>
    </row>
    <row r="104" spans="7:9" ht="12.75">
      <c r="G104" s="50"/>
      <c r="I104" s="50"/>
    </row>
    <row r="105" spans="1:9" ht="12.75">
      <c r="A105" s="43" t="s">
        <v>24</v>
      </c>
      <c r="E105" s="50">
        <f>States!C30</f>
        <v>107529532</v>
      </c>
      <c r="H105" s="50">
        <f>SUM(G106:G111)</f>
        <v>737354</v>
      </c>
      <c r="I105" s="50">
        <f>E105-H105</f>
        <v>106792178</v>
      </c>
    </row>
    <row r="106" spans="1:9" ht="12.75">
      <c r="A106" s="43" t="s">
        <v>131</v>
      </c>
      <c r="B106" s="52">
        <v>856399</v>
      </c>
      <c r="C106" s="52">
        <v>335</v>
      </c>
      <c r="D106" s="49" t="s">
        <v>72</v>
      </c>
      <c r="E106" s="50"/>
      <c r="F106" s="53">
        <f aca="true" t="shared" si="6" ref="F106:F111">$C106/$B106</f>
        <v>0.0003911728061335896</v>
      </c>
      <c r="G106" s="50">
        <f>ROUND(+$E$105*F106,0)</f>
        <v>42063</v>
      </c>
      <c r="I106" s="50"/>
    </row>
    <row r="107" spans="1:7" ht="12.75">
      <c r="A107" s="43" t="s">
        <v>132</v>
      </c>
      <c r="B107" s="52">
        <v>856399</v>
      </c>
      <c r="C107" s="52">
        <v>1149</v>
      </c>
      <c r="D107" s="49" t="s">
        <v>72</v>
      </c>
      <c r="E107" s="50"/>
      <c r="F107" s="53">
        <f t="shared" si="6"/>
        <v>0.001341664341037297</v>
      </c>
      <c r="G107" s="50">
        <f>ROUND(+$E$105*F107,0)</f>
        <v>144269</v>
      </c>
    </row>
    <row r="108" spans="1:7" ht="12.75">
      <c r="A108" s="43" t="s">
        <v>269</v>
      </c>
      <c r="B108" s="52">
        <v>856399</v>
      </c>
      <c r="C108" s="52">
        <v>884</v>
      </c>
      <c r="D108" s="49" t="s">
        <v>72</v>
      </c>
      <c r="E108" s="50"/>
      <c r="F108" s="53">
        <f t="shared" si="6"/>
        <v>0.0010322291361853529</v>
      </c>
      <c r="G108" s="50">
        <f>ROUND(+$E$105*F108,0)</f>
        <v>110995</v>
      </c>
    </row>
    <row r="109" spans="1:7" ht="12.75">
      <c r="A109" s="43" t="s">
        <v>133</v>
      </c>
      <c r="B109" s="52">
        <v>856399</v>
      </c>
      <c r="C109" s="52">
        <v>162</v>
      </c>
      <c r="D109" s="49" t="s">
        <v>72</v>
      </c>
      <c r="E109" s="50"/>
      <c r="F109" s="53">
        <f t="shared" si="6"/>
        <v>0.00018916416296609406</v>
      </c>
      <c r="G109" s="50">
        <f>ROUND(+$E$105*F109,0)</f>
        <v>20341</v>
      </c>
    </row>
    <row r="110" spans="1:7" ht="12.75">
      <c r="A110" s="43" t="s">
        <v>134</v>
      </c>
      <c r="B110" s="52">
        <v>856399</v>
      </c>
      <c r="C110" s="52">
        <v>555</v>
      </c>
      <c r="D110" s="49" t="s">
        <v>72</v>
      </c>
      <c r="E110" s="50"/>
      <c r="F110" s="53">
        <f t="shared" si="6"/>
        <v>0.0006480624101616186</v>
      </c>
      <c r="G110" s="50">
        <f>ROUND(+$E$105*F110,0)</f>
        <v>69686</v>
      </c>
    </row>
    <row r="111" spans="1:9" ht="12.75">
      <c r="A111" s="43" t="s">
        <v>135</v>
      </c>
      <c r="B111" s="52">
        <v>856399</v>
      </c>
      <c r="C111" s="52">
        <v>1744</v>
      </c>
      <c r="D111" s="49" t="s">
        <v>118</v>
      </c>
      <c r="E111" s="50"/>
      <c r="F111" s="53">
        <f t="shared" si="6"/>
        <v>0.0020364339519312845</v>
      </c>
      <c r="G111" s="50">
        <f>350000</f>
        <v>350000</v>
      </c>
      <c r="I111" s="50"/>
    </row>
    <row r="112" spans="5:9" ht="12.75">
      <c r="E112" s="50"/>
      <c r="G112" s="50"/>
      <c r="I112" s="50"/>
    </row>
    <row r="113" spans="1:9" ht="12.75">
      <c r="A113" s="43" t="s">
        <v>26</v>
      </c>
      <c r="E113" s="50">
        <f>States!C32</f>
        <v>14377197</v>
      </c>
      <c r="H113" s="50">
        <f>$G114</f>
        <v>27247</v>
      </c>
      <c r="I113" s="50">
        <f>$E113-$H113</f>
        <v>14349950</v>
      </c>
    </row>
    <row r="114" spans="1:9" ht="12.75">
      <c r="A114" s="43" t="s">
        <v>136</v>
      </c>
      <c r="B114" s="52">
        <v>319230</v>
      </c>
      <c r="C114" s="52">
        <v>605</v>
      </c>
      <c r="D114" s="49" t="s">
        <v>78</v>
      </c>
      <c r="E114" s="50"/>
      <c r="F114" s="53">
        <f>$C114/$B114</f>
        <v>0.0018951852896031075</v>
      </c>
      <c r="G114" s="50">
        <f>ROUND(+$E$113*F114,0)</f>
        <v>27247</v>
      </c>
      <c r="I114" s="50"/>
    </row>
    <row r="115" spans="5:9" ht="12.75">
      <c r="E115" s="50"/>
      <c r="G115" s="50"/>
      <c r="I115" s="50"/>
    </row>
    <row r="116" spans="1:9" ht="12.75">
      <c r="A116" s="43" t="s">
        <v>28</v>
      </c>
      <c r="E116" s="50">
        <f>States!C34</f>
        <v>14351303</v>
      </c>
      <c r="F116" s="59">
        <f>SUM(F117:F122)</f>
        <v>0.174806</v>
      </c>
      <c r="H116" s="50">
        <f>SUM($G117:$G122)</f>
        <v>2508693</v>
      </c>
      <c r="I116" s="50">
        <f>$E116-$H116</f>
        <v>11842610</v>
      </c>
    </row>
    <row r="117" spans="1:9" ht="12.75">
      <c r="A117" s="43" t="s">
        <v>137</v>
      </c>
      <c r="C117" s="44">
        <v>928</v>
      </c>
      <c r="D117" s="49" t="s">
        <v>74</v>
      </c>
      <c r="E117" s="50"/>
      <c r="F117" s="59">
        <v>0.038999</v>
      </c>
      <c r="G117" s="50">
        <f aca="true" t="shared" si="7" ref="G117:G122">ROUND(+$E$116*F117,0)</f>
        <v>559686</v>
      </c>
      <c r="I117" s="59"/>
    </row>
    <row r="118" spans="1:7" ht="12.75">
      <c r="A118" s="43" t="s">
        <v>138</v>
      </c>
      <c r="C118" s="44">
        <v>1135</v>
      </c>
      <c r="D118" s="49" t="s">
        <v>74</v>
      </c>
      <c r="E118" s="50"/>
      <c r="F118" s="59">
        <v>0.044521</v>
      </c>
      <c r="G118" s="50">
        <f t="shared" si="7"/>
        <v>638934</v>
      </c>
    </row>
    <row r="119" spans="1:7" ht="12.75">
      <c r="A119" s="43" t="s">
        <v>139</v>
      </c>
      <c r="C119" s="44">
        <v>246</v>
      </c>
      <c r="D119" s="49" t="s">
        <v>74</v>
      </c>
      <c r="E119" s="50"/>
      <c r="F119" s="59">
        <v>0.01139</v>
      </c>
      <c r="G119" s="50">
        <f t="shared" si="7"/>
        <v>163461</v>
      </c>
    </row>
    <row r="120" spans="1:7" ht="12.75">
      <c r="A120" s="43" t="s">
        <v>140</v>
      </c>
      <c r="C120" s="44">
        <v>871</v>
      </c>
      <c r="D120" s="49" t="s">
        <v>74</v>
      </c>
      <c r="E120" s="50"/>
      <c r="F120" s="59">
        <v>0.043658</v>
      </c>
      <c r="G120" s="50">
        <f t="shared" si="7"/>
        <v>626549</v>
      </c>
    </row>
    <row r="121" spans="1:7" ht="12.75">
      <c r="A121" s="43" t="s">
        <v>141</v>
      </c>
      <c r="C121" s="44">
        <v>381</v>
      </c>
      <c r="D121" s="49" t="s">
        <v>74</v>
      </c>
      <c r="E121" s="50"/>
      <c r="F121" s="59">
        <v>0.015703</v>
      </c>
      <c r="G121" s="50">
        <f t="shared" si="7"/>
        <v>225359</v>
      </c>
    </row>
    <row r="122" spans="1:7" ht="12.75">
      <c r="A122" s="43" t="s">
        <v>142</v>
      </c>
      <c r="C122" s="44">
        <v>536</v>
      </c>
      <c r="D122" s="49" t="s">
        <v>74</v>
      </c>
      <c r="E122" s="50"/>
      <c r="F122" s="59">
        <v>0.020535</v>
      </c>
      <c r="G122" s="50">
        <f t="shared" si="7"/>
        <v>294704</v>
      </c>
    </row>
    <row r="123" spans="1:7" ht="12.75">
      <c r="A123" s="43"/>
      <c r="D123" s="49"/>
      <c r="E123" s="50"/>
      <c r="F123" s="59"/>
      <c r="G123" s="50"/>
    </row>
    <row r="124" spans="1:9" ht="12.75">
      <c r="A124" s="43" t="s">
        <v>29</v>
      </c>
      <c r="D124" s="49"/>
      <c r="E124" s="50">
        <f>States!C35</f>
        <v>17973100</v>
      </c>
      <c r="F124" s="59"/>
      <c r="G124" s="50"/>
      <c r="H124" s="57">
        <f>G125</f>
        <v>7200</v>
      </c>
      <c r="I124" s="50">
        <f>$E124-$H124</f>
        <v>17965900</v>
      </c>
    </row>
    <row r="125" spans="1:10" ht="12.75">
      <c r="A125" s="43" t="s">
        <v>143</v>
      </c>
      <c r="B125" s="44">
        <v>136572</v>
      </c>
      <c r="D125" s="49" t="s">
        <v>118</v>
      </c>
      <c r="E125" s="50"/>
      <c r="F125" s="61"/>
      <c r="G125" s="50">
        <v>7200</v>
      </c>
      <c r="J125" s="69"/>
    </row>
    <row r="126" spans="5:9" ht="12.75">
      <c r="E126" s="50"/>
      <c r="F126" s="59"/>
      <c r="G126" s="50"/>
      <c r="I126" s="50"/>
    </row>
    <row r="127" spans="1:9" ht="12.75">
      <c r="A127" s="43" t="s">
        <v>32</v>
      </c>
      <c r="E127" s="50">
        <f>States!C38</f>
        <v>75987987</v>
      </c>
      <c r="H127" s="50">
        <f>SUM($G128:G128)</f>
        <v>189980</v>
      </c>
      <c r="I127" s="50">
        <f>$E127-$H127</f>
        <v>75798007</v>
      </c>
    </row>
    <row r="128" spans="1:9" ht="12.75">
      <c r="A128" s="43" t="s">
        <v>144</v>
      </c>
      <c r="B128" s="52">
        <v>602367</v>
      </c>
      <c r="C128" s="52">
        <v>1506</v>
      </c>
      <c r="D128" s="49" t="s">
        <v>78</v>
      </c>
      <c r="E128" s="50"/>
      <c r="F128" s="53">
        <f>$C128/$B128</f>
        <v>0.002500136959694007</v>
      </c>
      <c r="G128" s="50">
        <f>ROUND(+$E$127*F128,0)</f>
        <v>189980</v>
      </c>
      <c r="I128" s="50"/>
    </row>
    <row r="129" spans="1:9" ht="12.75">
      <c r="A129" s="43"/>
      <c r="B129" s="52"/>
      <c r="C129" s="52"/>
      <c r="D129" s="49"/>
      <c r="E129" s="50"/>
      <c r="F129" s="53"/>
      <c r="G129" s="50"/>
      <c r="I129" s="50"/>
    </row>
    <row r="130" spans="1:9" ht="12.75">
      <c r="A130" s="43"/>
      <c r="B130" s="52"/>
      <c r="C130" s="52"/>
      <c r="D130" s="49"/>
      <c r="E130" s="50"/>
      <c r="F130" s="53"/>
      <c r="G130" s="50"/>
      <c r="I130" s="50"/>
    </row>
    <row r="131" spans="1:9" ht="12.75">
      <c r="A131" s="43"/>
      <c r="B131" s="52"/>
      <c r="C131" s="52"/>
      <c r="D131" s="49"/>
      <c r="E131" s="50"/>
      <c r="F131" s="53"/>
      <c r="G131" s="50"/>
      <c r="I131" s="50"/>
    </row>
    <row r="132" spans="1:9" ht="12.75">
      <c r="A132" s="43"/>
      <c r="B132" s="52"/>
      <c r="C132" s="52"/>
      <c r="D132" s="49"/>
      <c r="E132" s="50"/>
      <c r="F132" s="53"/>
      <c r="G132" s="50"/>
      <c r="I132" s="50"/>
    </row>
    <row r="133" spans="1:9" ht="12.75">
      <c r="A133" s="43"/>
      <c r="B133" s="52"/>
      <c r="C133" s="52"/>
      <c r="D133" s="49"/>
      <c r="E133" s="50"/>
      <c r="F133" s="53"/>
      <c r="G133" s="50"/>
      <c r="I133" s="50"/>
    </row>
    <row r="134" spans="1:10" ht="12.75">
      <c r="A134" s="76" t="s">
        <v>286</v>
      </c>
      <c r="J134" s="43" t="s">
        <v>1</v>
      </c>
    </row>
    <row r="135" spans="1:8" ht="12.75">
      <c r="A135" s="45" t="s">
        <v>283</v>
      </c>
      <c r="C135" s="43" t="s">
        <v>67</v>
      </c>
      <c r="F135" s="68" t="s">
        <v>284</v>
      </c>
      <c r="H135" s="44" t="s">
        <v>277</v>
      </c>
    </row>
    <row r="136" spans="1:8" ht="12.75">
      <c r="A136" s="47"/>
      <c r="G136" s="49" t="s">
        <v>252</v>
      </c>
      <c r="H136" s="49" t="s">
        <v>253</v>
      </c>
    </row>
    <row r="137" spans="2:9" ht="12.75">
      <c r="B137" s="49" t="s">
        <v>254</v>
      </c>
      <c r="C137" s="49" t="s">
        <v>255</v>
      </c>
      <c r="E137" s="49" t="s">
        <v>256</v>
      </c>
      <c r="F137" s="49" t="s">
        <v>257</v>
      </c>
      <c r="G137" s="49" t="s">
        <v>258</v>
      </c>
      <c r="H137" s="49" t="s">
        <v>259</v>
      </c>
      <c r="I137" s="49" t="s">
        <v>260</v>
      </c>
    </row>
    <row r="138" spans="1:9" ht="12.75">
      <c r="A138" s="49" t="s">
        <v>63</v>
      </c>
      <c r="B138" s="49" t="s">
        <v>261</v>
      </c>
      <c r="C138" s="49" t="s">
        <v>262</v>
      </c>
      <c r="D138" s="49" t="s">
        <v>70</v>
      </c>
      <c r="E138" s="49" t="s">
        <v>263</v>
      </c>
      <c r="F138" s="49" t="s">
        <v>264</v>
      </c>
      <c r="G138" s="49" t="s">
        <v>265</v>
      </c>
      <c r="H138" s="49" t="s">
        <v>266</v>
      </c>
      <c r="I138" s="49" t="s">
        <v>267</v>
      </c>
    </row>
    <row r="139" spans="5:9" ht="12.75">
      <c r="E139" s="50"/>
      <c r="G139" s="50"/>
      <c r="I139" s="50"/>
    </row>
    <row r="140" spans="1:9" ht="12.75">
      <c r="A140" s="43" t="s">
        <v>33</v>
      </c>
      <c r="E140" s="50">
        <f>States!C39</f>
        <v>10153038</v>
      </c>
      <c r="F140" s="59"/>
      <c r="H140" s="50">
        <f>SUM($G141:$G145)</f>
        <v>760807</v>
      </c>
      <c r="I140" s="50">
        <f>E140-H140</f>
        <v>9392231</v>
      </c>
    </row>
    <row r="141" spans="1:9" ht="12.75">
      <c r="A141" s="43" t="s">
        <v>145</v>
      </c>
      <c r="B141" s="52">
        <v>154990</v>
      </c>
      <c r="C141" s="52">
        <v>262</v>
      </c>
      <c r="D141" s="49" t="s">
        <v>78</v>
      </c>
      <c r="E141" s="50"/>
      <c r="F141" s="53">
        <f>$C141/$B141</f>
        <v>0.001690431640751016</v>
      </c>
      <c r="G141" s="50">
        <f>ROUND(+$E$140*F141,0)</f>
        <v>17163</v>
      </c>
      <c r="I141" s="50"/>
    </row>
    <row r="142" spans="1:9" ht="12.75">
      <c r="A142" s="43" t="s">
        <v>146</v>
      </c>
      <c r="B142" s="52">
        <v>154990</v>
      </c>
      <c r="C142" s="52">
        <v>261</v>
      </c>
      <c r="D142" s="49" t="s">
        <v>78</v>
      </c>
      <c r="E142" s="50"/>
      <c r="F142" s="53">
        <f>$C142/$B142</f>
        <v>0.0016839796115878443</v>
      </c>
      <c r="G142" s="50">
        <f>ROUND(+$E$140*F142,0)</f>
        <v>17098</v>
      </c>
      <c r="I142" s="50"/>
    </row>
    <row r="143" spans="1:9" ht="12.75">
      <c r="A143" s="43" t="s">
        <v>147</v>
      </c>
      <c r="B143" s="52">
        <v>154990</v>
      </c>
      <c r="C143" s="52">
        <v>9939</v>
      </c>
      <c r="D143" s="49" t="s">
        <v>78</v>
      </c>
      <c r="E143" s="50"/>
      <c r="F143" s="53">
        <f>$C143/$B143</f>
        <v>0.06412671785276469</v>
      </c>
      <c r="G143" s="50">
        <f>ROUND(+$E$140*F143,0)</f>
        <v>651081</v>
      </c>
      <c r="I143" s="50"/>
    </row>
    <row r="144" spans="1:9" ht="12.75">
      <c r="A144" s="43" t="s">
        <v>270</v>
      </c>
      <c r="B144" s="52">
        <v>154990</v>
      </c>
      <c r="C144" s="52">
        <v>200</v>
      </c>
      <c r="D144" s="49" t="s">
        <v>78</v>
      </c>
      <c r="E144" s="50"/>
      <c r="F144" s="53">
        <f>$C144/$B144</f>
        <v>0.0012904058326343635</v>
      </c>
      <c r="G144" s="50">
        <f>ROUND(+$E$140*F144,0)</f>
        <v>13102</v>
      </c>
      <c r="I144" s="50"/>
    </row>
    <row r="145" spans="1:9" ht="12.75">
      <c r="A145" s="43" t="s">
        <v>148</v>
      </c>
      <c r="B145" s="52">
        <v>154990</v>
      </c>
      <c r="C145" s="52">
        <v>952</v>
      </c>
      <c r="D145" s="49" t="s">
        <v>78</v>
      </c>
      <c r="E145" s="50"/>
      <c r="F145" s="53">
        <f>$C145/$B145</f>
        <v>0.00614233176333957</v>
      </c>
      <c r="G145" s="50">
        <f>ROUND(+$E$140*F145,0)</f>
        <v>62363</v>
      </c>
      <c r="I145" s="50"/>
    </row>
    <row r="147" spans="1:9" ht="12.75">
      <c r="A147" s="43" t="s">
        <v>34</v>
      </c>
      <c r="E147" s="50">
        <f>States!C40</f>
        <v>248112276</v>
      </c>
      <c r="H147" s="50">
        <f>SUM($G148:$G149)</f>
        <v>429990</v>
      </c>
      <c r="I147" s="50">
        <f>$E147-$H147</f>
        <v>247682286</v>
      </c>
    </row>
    <row r="148" spans="1:9" ht="12.75">
      <c r="A148" s="43" t="s">
        <v>149</v>
      </c>
      <c r="B148" s="52">
        <v>1622237</v>
      </c>
      <c r="C148" s="52">
        <v>547</v>
      </c>
      <c r="D148" s="49" t="s">
        <v>72</v>
      </c>
      <c r="E148" s="50"/>
      <c r="F148" s="53">
        <f>$C148/$B148</f>
        <v>0.000337188709171348</v>
      </c>
      <c r="G148" s="50">
        <f>ROUND(+$E$147*$F148,0)+117846</f>
        <v>201507</v>
      </c>
      <c r="I148" s="50"/>
    </row>
    <row r="149" spans="1:9" ht="12.75">
      <c r="A149" s="43" t="s">
        <v>150</v>
      </c>
      <c r="B149" s="52">
        <v>1622237</v>
      </c>
      <c r="C149" s="52">
        <v>317</v>
      </c>
      <c r="D149" s="49" t="s">
        <v>72</v>
      </c>
      <c r="E149" s="50"/>
      <c r="F149" s="53">
        <f>$C149/$B149</f>
        <v>0.0001954091788067958</v>
      </c>
      <c r="G149" s="50">
        <f>ROUND(+$E$147*$F149,0)+180000</f>
        <v>228483</v>
      </c>
      <c r="I149" s="50"/>
    </row>
    <row r="150" spans="5:9" ht="12.75">
      <c r="E150" s="50"/>
      <c r="F150" s="59"/>
      <c r="G150" s="50"/>
      <c r="I150" s="50"/>
    </row>
    <row r="151" spans="1:9" ht="12.75">
      <c r="A151" s="43" t="s">
        <v>35</v>
      </c>
      <c r="E151" s="50">
        <f>States!C41</f>
        <v>36976258</v>
      </c>
      <c r="H151" s="50">
        <f>$G152</f>
        <v>657597</v>
      </c>
      <c r="I151" s="50">
        <f>E151-H151</f>
        <v>36318661</v>
      </c>
    </row>
    <row r="152" spans="1:9" ht="12.75">
      <c r="A152" s="43" t="s">
        <v>151</v>
      </c>
      <c r="B152" s="52">
        <v>618221</v>
      </c>
      <c r="C152" s="52">
        <v>6441</v>
      </c>
      <c r="D152" s="49" t="s">
        <v>74</v>
      </c>
      <c r="E152" s="50"/>
      <c r="F152" s="53">
        <v>0.01778431</v>
      </c>
      <c r="G152" s="50">
        <f>ROUND(+$E$151*$F152,0)</f>
        <v>657597</v>
      </c>
      <c r="I152" s="50"/>
    </row>
    <row r="154" spans="1:9" ht="12.75">
      <c r="A154" s="43" t="s">
        <v>36</v>
      </c>
      <c r="D154" s="43" t="s">
        <v>1</v>
      </c>
      <c r="E154" s="50">
        <f>States!C42</f>
        <v>15589857</v>
      </c>
      <c r="F154" s="59">
        <f>SUM(F155:F158)</f>
        <v>0.21910000000000002</v>
      </c>
      <c r="H154" s="50">
        <f>SUM(G155:G158)</f>
        <v>3415737</v>
      </c>
      <c r="I154" s="50">
        <f>E154-H154</f>
        <v>12174120</v>
      </c>
    </row>
    <row r="155" spans="1:9" ht="12.75">
      <c r="A155" s="43" t="s">
        <v>152</v>
      </c>
      <c r="D155" s="49" t="s">
        <v>74</v>
      </c>
      <c r="E155" s="50"/>
      <c r="F155" s="62">
        <v>0.045</v>
      </c>
      <c r="G155" s="50">
        <f>ROUND(+$E$154*F155,0)</f>
        <v>701544</v>
      </c>
      <c r="I155" s="50"/>
    </row>
    <row r="156" spans="1:9" ht="12.75">
      <c r="A156" s="43" t="s">
        <v>153</v>
      </c>
      <c r="D156" s="49" t="s">
        <v>74</v>
      </c>
      <c r="E156" s="50"/>
      <c r="F156" s="62">
        <v>0.039</v>
      </c>
      <c r="G156" s="50">
        <f>ROUND(+$E$154*F156,0)</f>
        <v>608004</v>
      </c>
      <c r="I156" s="50"/>
    </row>
    <row r="157" spans="1:9" ht="12.75">
      <c r="A157" s="43" t="s">
        <v>154</v>
      </c>
      <c r="D157" s="49" t="s">
        <v>74</v>
      </c>
      <c r="E157" s="50"/>
      <c r="F157" s="62">
        <v>0.039</v>
      </c>
      <c r="G157" s="50">
        <f>ROUND(+$E$154*F157,0)</f>
        <v>608004</v>
      </c>
      <c r="I157" s="50"/>
    </row>
    <row r="158" spans="1:9" ht="12.75">
      <c r="A158" s="43" t="s">
        <v>155</v>
      </c>
      <c r="D158" s="49" t="s">
        <v>74</v>
      </c>
      <c r="E158" s="50"/>
      <c r="F158" s="62">
        <v>0.0961</v>
      </c>
      <c r="G158" s="50">
        <f>ROUND(+$E$154*F158,0)</f>
        <v>1498185</v>
      </c>
      <c r="I158" s="50"/>
    </row>
    <row r="159" spans="1:10" ht="12.75">
      <c r="A159" s="76" t="s">
        <v>286</v>
      </c>
      <c r="J159" s="43" t="s">
        <v>1</v>
      </c>
    </row>
    <row r="160" spans="1:8" ht="12.75">
      <c r="A160" s="45" t="s">
        <v>283</v>
      </c>
      <c r="C160" s="43" t="s">
        <v>67</v>
      </c>
      <c r="F160" s="68" t="s">
        <v>284</v>
      </c>
      <c r="H160" s="44" t="s">
        <v>278</v>
      </c>
    </row>
    <row r="161" spans="1:8" ht="12.75">
      <c r="A161" s="47"/>
      <c r="G161" s="49" t="s">
        <v>252</v>
      </c>
      <c r="H161" s="49" t="s">
        <v>253</v>
      </c>
    </row>
    <row r="162" spans="2:9" ht="12.75">
      <c r="B162" s="49" t="s">
        <v>254</v>
      </c>
      <c r="C162" s="49" t="s">
        <v>255</v>
      </c>
      <c r="E162" s="49" t="s">
        <v>256</v>
      </c>
      <c r="F162" s="49" t="s">
        <v>272</v>
      </c>
      <c r="G162" s="49" t="s">
        <v>258</v>
      </c>
      <c r="H162" s="49" t="s">
        <v>259</v>
      </c>
      <c r="I162" s="49" t="s">
        <v>260</v>
      </c>
    </row>
    <row r="163" spans="1:9" ht="12.75">
      <c r="A163" s="49" t="s">
        <v>63</v>
      </c>
      <c r="B163" s="49" t="s">
        <v>261</v>
      </c>
      <c r="C163" s="49" t="s">
        <v>262</v>
      </c>
      <c r="D163" s="49" t="s">
        <v>70</v>
      </c>
      <c r="E163" s="49" t="s">
        <v>263</v>
      </c>
      <c r="F163" s="49" t="s">
        <v>264</v>
      </c>
      <c r="G163" s="49" t="s">
        <v>265</v>
      </c>
      <c r="H163" s="49" t="s">
        <v>266</v>
      </c>
      <c r="I163" s="49" t="s">
        <v>267</v>
      </c>
    </row>
    <row r="164" spans="5:9" ht="12.75">
      <c r="E164" s="50"/>
      <c r="F164" s="59"/>
      <c r="G164" s="50"/>
      <c r="I164" s="50"/>
    </row>
    <row r="165" spans="1:9" ht="12.75">
      <c r="A165" s="43" t="s">
        <v>38</v>
      </c>
      <c r="E165" s="50">
        <f>States!C44</f>
        <v>15414567</v>
      </c>
      <c r="F165" s="59"/>
      <c r="H165" s="50">
        <f>SUM(G166:G194)</f>
        <v>1378412</v>
      </c>
      <c r="I165" s="50">
        <f>E165-H165</f>
        <v>14036155</v>
      </c>
    </row>
    <row r="166" spans="1:9" ht="12.75">
      <c r="A166" s="43" t="s">
        <v>156</v>
      </c>
      <c r="B166" s="52">
        <v>334782</v>
      </c>
      <c r="C166" s="52">
        <v>195</v>
      </c>
      <c r="D166" s="49" t="s">
        <v>72</v>
      </c>
      <c r="E166" s="50"/>
      <c r="F166" s="53">
        <f aca="true" t="shared" si="8" ref="F166:F171">$C166/$B166</f>
        <v>0.0005824685915013352</v>
      </c>
      <c r="G166" s="50">
        <f aca="true" t="shared" si="9" ref="G166:G175">ROUND(MAXA(+$E$165*$F166,4000),0)</f>
        <v>8979</v>
      </c>
      <c r="I166" s="50"/>
    </row>
    <row r="167" spans="1:9" ht="12.75">
      <c r="A167" s="43" t="s">
        <v>157</v>
      </c>
      <c r="B167" s="52">
        <v>334782</v>
      </c>
      <c r="C167" s="52">
        <v>125</v>
      </c>
      <c r="D167" s="49" t="s">
        <v>72</v>
      </c>
      <c r="E167" s="50"/>
      <c r="F167" s="53">
        <f t="shared" si="8"/>
        <v>0.00037337730224444566</v>
      </c>
      <c r="G167" s="50">
        <f t="shared" si="9"/>
        <v>5755</v>
      </c>
      <c r="I167" s="50"/>
    </row>
    <row r="168" spans="1:9" ht="12.75">
      <c r="A168" s="43" t="s">
        <v>158</v>
      </c>
      <c r="B168" s="52">
        <v>334782</v>
      </c>
      <c r="C168" s="52">
        <v>168</v>
      </c>
      <c r="D168" s="49" t="s">
        <v>72</v>
      </c>
      <c r="E168" s="50"/>
      <c r="F168" s="53">
        <f t="shared" si="8"/>
        <v>0.000501819094216535</v>
      </c>
      <c r="G168" s="50">
        <f t="shared" si="9"/>
        <v>7735</v>
      </c>
      <c r="I168" s="50"/>
    </row>
    <row r="169" spans="1:9" ht="12.75">
      <c r="A169" s="43" t="s">
        <v>159</v>
      </c>
      <c r="B169" s="52">
        <v>334782</v>
      </c>
      <c r="C169" s="52">
        <v>196</v>
      </c>
      <c r="D169" s="49" t="s">
        <v>72</v>
      </c>
      <c r="E169" s="50"/>
      <c r="F169" s="53">
        <f t="shared" si="8"/>
        <v>0.0005854556099192908</v>
      </c>
      <c r="G169" s="50">
        <f t="shared" si="9"/>
        <v>9025</v>
      </c>
      <c r="I169" s="50"/>
    </row>
    <row r="170" spans="1:9" ht="12.75">
      <c r="A170" s="43" t="s">
        <v>160</v>
      </c>
      <c r="B170" s="52">
        <v>334782</v>
      </c>
      <c r="C170" s="52">
        <v>12117</v>
      </c>
      <c r="D170" s="49" t="s">
        <v>72</v>
      </c>
      <c r="E170" s="50"/>
      <c r="F170" s="53">
        <f t="shared" si="8"/>
        <v>0.03619370217036758</v>
      </c>
      <c r="G170" s="50">
        <f t="shared" si="9"/>
        <v>557910</v>
      </c>
      <c r="I170" s="63" t="s">
        <v>1</v>
      </c>
    </row>
    <row r="171" spans="1:9" ht="12.75">
      <c r="A171" s="43" t="s">
        <v>161</v>
      </c>
      <c r="B171" s="52">
        <v>334782</v>
      </c>
      <c r="C171" s="52">
        <v>635</v>
      </c>
      <c r="D171" s="49" t="s">
        <v>72</v>
      </c>
      <c r="E171" s="50"/>
      <c r="F171" s="53">
        <f t="shared" si="8"/>
        <v>0.0018967566954017838</v>
      </c>
      <c r="G171" s="50">
        <f t="shared" si="9"/>
        <v>29238</v>
      </c>
      <c r="I171" s="50"/>
    </row>
    <row r="172" spans="1:9" ht="12.75">
      <c r="A172" s="43" t="s">
        <v>162</v>
      </c>
      <c r="B172" s="52">
        <v>334782</v>
      </c>
      <c r="C172" s="52">
        <v>1377</v>
      </c>
      <c r="D172" s="49" t="s">
        <v>74</v>
      </c>
      <c r="E172" s="50"/>
      <c r="F172" s="53">
        <v>0.00487272</v>
      </c>
      <c r="G172" s="50">
        <f t="shared" si="9"/>
        <v>75111</v>
      </c>
      <c r="I172" s="50"/>
    </row>
    <row r="173" spans="1:9" ht="12.75">
      <c r="A173" s="43" t="s">
        <v>163</v>
      </c>
      <c r="B173" s="52">
        <v>334782</v>
      </c>
      <c r="C173" s="52">
        <v>4412</v>
      </c>
      <c r="D173" s="49" t="s">
        <v>74</v>
      </c>
      <c r="E173" s="50"/>
      <c r="F173" s="53">
        <v>0.01368002</v>
      </c>
      <c r="G173" s="50">
        <f t="shared" si="9"/>
        <v>210872</v>
      </c>
      <c r="I173" s="63" t="s">
        <v>1</v>
      </c>
    </row>
    <row r="174" spans="1:9" ht="12.75">
      <c r="A174" s="43" t="s">
        <v>164</v>
      </c>
      <c r="B174" s="52">
        <v>334782</v>
      </c>
      <c r="C174" s="52">
        <v>256</v>
      </c>
      <c r="D174" s="49" t="s">
        <v>72</v>
      </c>
      <c r="E174" s="50"/>
      <c r="F174" s="53">
        <f>$C174/$B174</f>
        <v>0.0007646767149966247</v>
      </c>
      <c r="G174" s="50">
        <f t="shared" si="9"/>
        <v>11787</v>
      </c>
      <c r="I174" s="50"/>
    </row>
    <row r="175" spans="1:9" ht="12.75">
      <c r="A175" s="43" t="s">
        <v>165</v>
      </c>
      <c r="B175" s="52">
        <v>334782</v>
      </c>
      <c r="C175" s="52">
        <v>696</v>
      </c>
      <c r="D175" s="49" t="s">
        <v>74</v>
      </c>
      <c r="E175" s="50"/>
      <c r="F175" s="53">
        <v>0.00218432</v>
      </c>
      <c r="G175" s="50">
        <f t="shared" si="9"/>
        <v>33670</v>
      </c>
      <c r="I175" s="50"/>
    </row>
    <row r="176" spans="1:9" ht="12.75">
      <c r="A176" s="43" t="s">
        <v>166</v>
      </c>
      <c r="B176" s="52">
        <v>334782</v>
      </c>
      <c r="C176" s="52"/>
      <c r="D176" s="49" t="s">
        <v>118</v>
      </c>
      <c r="E176" s="50"/>
      <c r="F176" s="53"/>
      <c r="G176" s="50">
        <f>4000</f>
        <v>4000</v>
      </c>
      <c r="I176" s="50"/>
    </row>
    <row r="177" spans="1:9" ht="12.75">
      <c r="A177" s="43" t="s">
        <v>167</v>
      </c>
      <c r="B177" s="52">
        <v>334782</v>
      </c>
      <c r="C177" s="52"/>
      <c r="D177" s="49" t="s">
        <v>118</v>
      </c>
      <c r="E177" s="50"/>
      <c r="F177" s="53"/>
      <c r="G177" s="50">
        <f>4000</f>
        <v>4000</v>
      </c>
      <c r="I177" s="50"/>
    </row>
    <row r="178" spans="1:7" ht="12.75">
      <c r="A178" s="43" t="s">
        <v>168</v>
      </c>
      <c r="B178" s="52">
        <v>334782</v>
      </c>
      <c r="C178" s="52">
        <v>170</v>
      </c>
      <c r="D178" s="49" t="s">
        <v>72</v>
      </c>
      <c r="F178" s="53">
        <f>$C178/$B178</f>
        <v>0.0005077931310524461</v>
      </c>
      <c r="G178" s="50">
        <f aca="true" t="shared" si="10" ref="G178:G190">ROUND(MAXA(+$E$165*$F178,4000),0)</f>
        <v>7827</v>
      </c>
    </row>
    <row r="179" spans="1:9" ht="12.75">
      <c r="A179" s="43" t="s">
        <v>169</v>
      </c>
      <c r="B179" s="52">
        <v>334782</v>
      </c>
      <c r="C179" s="52">
        <v>100</v>
      </c>
      <c r="D179" s="49" t="s">
        <v>118</v>
      </c>
      <c r="E179" s="50"/>
      <c r="F179" s="53">
        <f>$C179/$B179</f>
        <v>0.0002987018417955565</v>
      </c>
      <c r="G179" s="50">
        <f t="shared" si="10"/>
        <v>4604</v>
      </c>
      <c r="I179" s="50"/>
    </row>
    <row r="180" spans="1:7" ht="12.75">
      <c r="A180" s="43" t="s">
        <v>170</v>
      </c>
      <c r="B180" s="52">
        <v>334782</v>
      </c>
      <c r="C180" s="43" t="s">
        <v>1</v>
      </c>
      <c r="D180" s="49" t="s">
        <v>118</v>
      </c>
      <c r="F180" s="53"/>
      <c r="G180" s="50">
        <f t="shared" si="10"/>
        <v>4000</v>
      </c>
    </row>
    <row r="181" spans="1:9" ht="12.75">
      <c r="A181" s="43" t="s">
        <v>171</v>
      </c>
      <c r="B181" s="52">
        <v>334782</v>
      </c>
      <c r="C181" s="52">
        <v>3057</v>
      </c>
      <c r="D181" s="49" t="s">
        <v>72</v>
      </c>
      <c r="E181" s="50"/>
      <c r="F181" s="53">
        <f>$C181/$B181</f>
        <v>0.009131315303690163</v>
      </c>
      <c r="G181" s="50">
        <f t="shared" si="10"/>
        <v>140755</v>
      </c>
      <c r="I181" s="50"/>
    </row>
    <row r="182" spans="1:9" ht="12.75">
      <c r="A182" s="43" t="s">
        <v>172</v>
      </c>
      <c r="B182" s="52">
        <v>334782</v>
      </c>
      <c r="C182" s="52">
        <v>678</v>
      </c>
      <c r="D182" s="49" t="s">
        <v>74</v>
      </c>
      <c r="E182" s="50"/>
      <c r="F182" s="53">
        <v>0.00345851</v>
      </c>
      <c r="G182" s="50">
        <f t="shared" si="10"/>
        <v>53311</v>
      </c>
      <c r="I182" s="50"/>
    </row>
    <row r="183" spans="1:9" ht="12.75">
      <c r="A183" s="43" t="s">
        <v>173</v>
      </c>
      <c r="B183" s="52">
        <v>334782</v>
      </c>
      <c r="C183" s="52">
        <v>92</v>
      </c>
      <c r="D183" s="49" t="s">
        <v>118</v>
      </c>
      <c r="E183" s="50"/>
      <c r="F183" s="53">
        <f>$C183/$B183</f>
        <v>0.000274805694451912</v>
      </c>
      <c r="G183" s="50">
        <f t="shared" si="10"/>
        <v>4236</v>
      </c>
      <c r="I183" s="50"/>
    </row>
    <row r="184" spans="1:9" ht="12.75">
      <c r="A184" s="43" t="s">
        <v>174</v>
      </c>
      <c r="B184" s="52">
        <v>334782</v>
      </c>
      <c r="C184" s="52">
        <v>23</v>
      </c>
      <c r="D184" s="49" t="s">
        <v>118</v>
      </c>
      <c r="E184" s="50"/>
      <c r="F184" s="53">
        <f>$C184/$B184</f>
        <v>6.8701423612978E-05</v>
      </c>
      <c r="G184" s="50">
        <f t="shared" si="10"/>
        <v>4000</v>
      </c>
      <c r="I184" s="50"/>
    </row>
    <row r="185" spans="1:9" ht="12.75">
      <c r="A185" s="43" t="s">
        <v>175</v>
      </c>
      <c r="B185" s="52">
        <v>334782</v>
      </c>
      <c r="C185" s="52">
        <v>104</v>
      </c>
      <c r="D185" s="49" t="s">
        <v>118</v>
      </c>
      <c r="E185" s="50"/>
      <c r="F185" s="53">
        <f>$C185/$B185</f>
        <v>0.0003106499154673788</v>
      </c>
      <c r="G185" s="50">
        <f t="shared" si="10"/>
        <v>4789</v>
      </c>
      <c r="I185" s="50"/>
    </row>
    <row r="186" spans="1:7" ht="12.75">
      <c r="A186" s="43" t="s">
        <v>176</v>
      </c>
      <c r="B186" s="52">
        <v>334782</v>
      </c>
      <c r="C186" s="52">
        <v>225</v>
      </c>
      <c r="D186" s="49" t="s">
        <v>72</v>
      </c>
      <c r="F186" s="53">
        <f>$C186/$B186</f>
        <v>0.0006720791440400022</v>
      </c>
      <c r="G186" s="50">
        <f t="shared" si="10"/>
        <v>10360</v>
      </c>
    </row>
    <row r="187" spans="1:7" ht="12.75">
      <c r="A187" s="43" t="s">
        <v>177</v>
      </c>
      <c r="B187" s="52">
        <v>334782</v>
      </c>
      <c r="C187" s="52">
        <v>246</v>
      </c>
      <c r="D187" s="49" t="s">
        <v>72</v>
      </c>
      <c r="F187" s="53">
        <f>$C187/$B187</f>
        <v>0.000734806530817069</v>
      </c>
      <c r="G187" s="50">
        <f t="shared" si="10"/>
        <v>11327</v>
      </c>
    </row>
    <row r="188" spans="1:9" ht="12.75">
      <c r="A188" s="43" t="s">
        <v>178</v>
      </c>
      <c r="B188" s="52">
        <v>334782</v>
      </c>
      <c r="C188" s="52">
        <v>194</v>
      </c>
      <c r="D188" s="49" t="s">
        <v>74</v>
      </c>
      <c r="E188" s="50"/>
      <c r="F188" s="53">
        <v>0.0006441</v>
      </c>
      <c r="G188" s="50">
        <f t="shared" si="10"/>
        <v>9929</v>
      </c>
      <c r="I188" s="50"/>
    </row>
    <row r="189" spans="1:9" ht="12.75">
      <c r="A189" s="43" t="s">
        <v>179</v>
      </c>
      <c r="B189" s="52">
        <v>334782</v>
      </c>
      <c r="C189" s="52">
        <v>606</v>
      </c>
      <c r="D189" s="49" t="s">
        <v>72</v>
      </c>
      <c r="E189" s="50"/>
      <c r="F189" s="53">
        <f>$C189/$B189</f>
        <v>0.0018101331612810725</v>
      </c>
      <c r="G189" s="50">
        <f t="shared" si="10"/>
        <v>27902</v>
      </c>
      <c r="I189" s="50"/>
    </row>
    <row r="190" spans="1:9" ht="12.75">
      <c r="A190" s="43" t="s">
        <v>180</v>
      </c>
      <c r="B190" s="52">
        <v>334782</v>
      </c>
      <c r="C190" s="52">
        <v>119</v>
      </c>
      <c r="D190" s="49" t="s">
        <v>118</v>
      </c>
      <c r="E190" s="50"/>
      <c r="F190" s="53">
        <f>$C190/$B190</f>
        <v>0.00035545519173671225</v>
      </c>
      <c r="G190" s="50">
        <f t="shared" si="10"/>
        <v>5479</v>
      </c>
      <c r="I190" s="50"/>
    </row>
    <row r="191" spans="1:9" ht="12.75">
      <c r="A191" s="43" t="s">
        <v>181</v>
      </c>
      <c r="B191" s="52">
        <v>334782</v>
      </c>
      <c r="C191" s="52"/>
      <c r="D191" s="49" t="s">
        <v>118</v>
      </c>
      <c r="E191" s="50"/>
      <c r="F191" s="53"/>
      <c r="G191" s="50">
        <f>4000</f>
        <v>4000</v>
      </c>
      <c r="I191" s="50"/>
    </row>
    <row r="192" spans="1:9" ht="12.75">
      <c r="A192" s="43" t="s">
        <v>182</v>
      </c>
      <c r="B192" s="52">
        <v>334782</v>
      </c>
      <c r="C192" s="52">
        <v>34</v>
      </c>
      <c r="D192" s="49" t="s">
        <v>118</v>
      </c>
      <c r="E192" s="50"/>
      <c r="F192" s="53">
        <f>$C192/$B192</f>
        <v>0.00010155862621048922</v>
      </c>
      <c r="G192" s="50">
        <f>ROUND(MAXA(+$E$165*$F192,4000),0)</f>
        <v>4000</v>
      </c>
      <c r="I192" s="50"/>
    </row>
    <row r="193" spans="1:9" ht="12.75">
      <c r="A193" s="43" t="s">
        <v>183</v>
      </c>
      <c r="B193" s="52">
        <v>334782</v>
      </c>
      <c r="C193" s="52">
        <v>2600</v>
      </c>
      <c r="D193" s="49" t="s">
        <v>72</v>
      </c>
      <c r="E193" s="50"/>
      <c r="F193" s="53">
        <f>$C193/$B193</f>
        <v>0.007766247886684469</v>
      </c>
      <c r="G193" s="50">
        <f>ROUND(MAXA(+$E$165*$F193,4000),0)</f>
        <v>119713</v>
      </c>
      <c r="I193" s="50"/>
    </row>
    <row r="194" spans="1:9" ht="12.75">
      <c r="A194" s="43" t="s">
        <v>184</v>
      </c>
      <c r="B194" s="52">
        <v>334782</v>
      </c>
      <c r="C194" s="52">
        <v>89</v>
      </c>
      <c r="D194" s="49" t="s">
        <v>118</v>
      </c>
      <c r="E194" s="50"/>
      <c r="F194" s="53">
        <f>$C194/$B194</f>
        <v>0.0002658446391980453</v>
      </c>
      <c r="G194" s="50">
        <f>ROUND(MAXA(+$E$165*$F194,4000),0)</f>
        <v>4098</v>
      </c>
      <c r="I194" s="50"/>
    </row>
    <row r="195" spans="1:9" ht="12.75">
      <c r="A195" s="43" t="s">
        <v>185</v>
      </c>
      <c r="E195" s="50"/>
      <c r="G195" s="50"/>
      <c r="I195" s="50"/>
    </row>
    <row r="196" spans="1:9" ht="12.75">
      <c r="A196" s="43" t="s">
        <v>39</v>
      </c>
      <c r="D196" s="43" t="s">
        <v>1</v>
      </c>
      <c r="E196" s="50">
        <f>States!C45</f>
        <v>24311035</v>
      </c>
      <c r="F196" s="53" t="s">
        <v>1</v>
      </c>
      <c r="H196" s="50">
        <f>SUM(G197:G201)</f>
        <v>530352</v>
      </c>
      <c r="I196" s="50">
        <f>E196-H196</f>
        <v>23780683</v>
      </c>
    </row>
    <row r="197" spans="1:9" ht="12.75">
      <c r="A197" s="43" t="s">
        <v>186</v>
      </c>
      <c r="B197" s="52">
        <v>239405</v>
      </c>
      <c r="D197" s="49" t="s">
        <v>118</v>
      </c>
      <c r="E197" s="50"/>
      <c r="F197" s="53">
        <f>$C197/$B197</f>
        <v>0</v>
      </c>
      <c r="G197" s="50">
        <f>118845</f>
        <v>118845</v>
      </c>
      <c r="H197" s="50"/>
      <c r="I197" s="50"/>
    </row>
    <row r="198" spans="1:9" ht="12.75">
      <c r="A198" s="43" t="s">
        <v>271</v>
      </c>
      <c r="B198" s="52">
        <v>239405</v>
      </c>
      <c r="C198" s="44">
        <v>150</v>
      </c>
      <c r="D198" s="49" t="s">
        <v>78</v>
      </c>
      <c r="E198" s="50"/>
      <c r="F198" s="53">
        <f>$C198/$B198</f>
        <v>0.0006265533301309497</v>
      </c>
      <c r="G198" s="50">
        <f>114665</f>
        <v>114665</v>
      </c>
      <c r="H198" s="50"/>
      <c r="I198" s="50"/>
    </row>
    <row r="199" spans="1:9" ht="12.75">
      <c r="A199" s="43" t="s">
        <v>187</v>
      </c>
      <c r="B199" s="52">
        <v>239405</v>
      </c>
      <c r="D199" s="49" t="s">
        <v>118</v>
      </c>
      <c r="E199" s="50"/>
      <c r="F199" s="53"/>
      <c r="G199" s="50">
        <f>114665</f>
        <v>114665</v>
      </c>
      <c r="H199" s="50"/>
      <c r="I199" s="50"/>
    </row>
    <row r="200" spans="1:9" ht="12.75">
      <c r="A200" s="43" t="s">
        <v>188</v>
      </c>
      <c r="B200" s="52">
        <v>239405</v>
      </c>
      <c r="D200" s="49" t="s">
        <v>118</v>
      </c>
      <c r="E200" s="50"/>
      <c r="F200" s="64" t="s">
        <v>1</v>
      </c>
      <c r="G200" s="50">
        <f>12000</f>
        <v>12000</v>
      </c>
      <c r="H200" s="50"/>
      <c r="I200" s="50"/>
    </row>
    <row r="201" spans="1:9" ht="12.75">
      <c r="A201" s="43" t="s">
        <v>189</v>
      </c>
      <c r="B201" s="52">
        <v>239405</v>
      </c>
      <c r="D201" s="49" t="s">
        <v>74</v>
      </c>
      <c r="E201" s="50"/>
      <c r="F201" s="60">
        <v>0.007</v>
      </c>
      <c r="G201" s="50">
        <f>ROUND(+$E$196*F201,0)</f>
        <v>170177</v>
      </c>
      <c r="H201" s="50"/>
      <c r="I201" s="50"/>
    </row>
    <row r="203" spans="1:9" ht="12.75">
      <c r="A203" s="43" t="s">
        <v>41</v>
      </c>
      <c r="E203" s="50">
        <f>States!C47</f>
        <v>13473508</v>
      </c>
      <c r="H203" s="50">
        <f>$G204</f>
        <v>38177</v>
      </c>
      <c r="I203" s="50">
        <f>SUM($E203-$H203)</f>
        <v>13435331</v>
      </c>
    </row>
    <row r="204" spans="1:7" ht="12.75">
      <c r="A204" s="43" t="s">
        <v>190</v>
      </c>
      <c r="B204" s="52">
        <v>84702</v>
      </c>
      <c r="C204" s="65">
        <v>240</v>
      </c>
      <c r="D204" s="49" t="s">
        <v>72</v>
      </c>
      <c r="E204" s="50"/>
      <c r="F204" s="53">
        <f>$C204/$B204</f>
        <v>0.002833463200396685</v>
      </c>
      <c r="G204" s="50">
        <f>ROUND(+$E$203*F204,0)</f>
        <v>38177</v>
      </c>
    </row>
    <row r="205" spans="1:9" ht="12.75">
      <c r="A205" s="49"/>
      <c r="B205" s="49"/>
      <c r="C205" s="49"/>
      <c r="D205" s="49"/>
      <c r="E205" s="49"/>
      <c r="F205" s="49"/>
      <c r="G205" s="49"/>
      <c r="H205" s="49"/>
      <c r="I205" s="49"/>
    </row>
    <row r="206" spans="1:10" ht="12.75">
      <c r="A206" s="76" t="s">
        <v>286</v>
      </c>
      <c r="J206" s="43" t="s">
        <v>1</v>
      </c>
    </row>
    <row r="207" spans="1:8" ht="12.75">
      <c r="A207" s="45" t="s">
        <v>283</v>
      </c>
      <c r="C207" s="43" t="s">
        <v>67</v>
      </c>
      <c r="F207" s="68" t="s">
        <v>284</v>
      </c>
      <c r="H207" s="44" t="s">
        <v>279</v>
      </c>
    </row>
    <row r="208" spans="1:8" ht="12.75">
      <c r="A208" s="47"/>
      <c r="G208" s="49" t="s">
        <v>252</v>
      </c>
      <c r="H208" s="49" t="s">
        <v>253</v>
      </c>
    </row>
    <row r="209" spans="2:9" ht="12.75">
      <c r="B209" s="49" t="s">
        <v>254</v>
      </c>
      <c r="C209" s="49" t="s">
        <v>255</v>
      </c>
      <c r="E209" s="49" t="s">
        <v>256</v>
      </c>
      <c r="F209" s="49" t="s">
        <v>272</v>
      </c>
      <c r="G209" s="49" t="s">
        <v>258</v>
      </c>
      <c r="H209" s="49" t="s">
        <v>259</v>
      </c>
      <c r="I209" s="49" t="s">
        <v>260</v>
      </c>
    </row>
    <row r="210" spans="1:9" ht="12.75">
      <c r="A210" s="49" t="s">
        <v>63</v>
      </c>
      <c r="B210" s="49" t="s">
        <v>261</v>
      </c>
      <c r="C210" s="49" t="s">
        <v>262</v>
      </c>
      <c r="D210" s="49" t="s">
        <v>70</v>
      </c>
      <c r="E210" s="49" t="s">
        <v>263</v>
      </c>
      <c r="F210" s="49" t="s">
        <v>264</v>
      </c>
      <c r="G210" s="49" t="s">
        <v>265</v>
      </c>
      <c r="H210" s="49" t="s">
        <v>266</v>
      </c>
      <c r="I210" s="49" t="s">
        <v>267</v>
      </c>
    </row>
    <row r="211" spans="5:9" ht="12.75">
      <c r="E211" s="50"/>
      <c r="F211" s="59"/>
      <c r="G211" s="50"/>
      <c r="I211" s="50"/>
    </row>
    <row r="212" spans="1:9" ht="12.75">
      <c r="A212" s="43" t="s">
        <v>43</v>
      </c>
      <c r="D212" s="43" t="s">
        <v>1</v>
      </c>
      <c r="E212" s="50">
        <f>States!C49</f>
        <v>12661694</v>
      </c>
      <c r="F212" s="59">
        <f>SUM(F213:F219)</f>
        <v>0.1778</v>
      </c>
      <c r="H212" s="50">
        <f>SUM(G213:G219)</f>
        <v>2251250</v>
      </c>
      <c r="I212" s="50">
        <f>E212-H212</f>
        <v>10410444</v>
      </c>
    </row>
    <row r="213" spans="1:9" ht="12.75">
      <c r="A213" s="43" t="s">
        <v>191</v>
      </c>
      <c r="D213" s="49" t="s">
        <v>74</v>
      </c>
      <c r="E213" s="50"/>
      <c r="F213" s="59">
        <v>0.0282</v>
      </c>
      <c r="G213" s="50">
        <f aca="true" t="shared" si="11" ref="G213:G219">ROUND(+$E$212*F213,0)</f>
        <v>357060</v>
      </c>
      <c r="I213" s="50"/>
    </row>
    <row r="214" spans="1:9" ht="12.75">
      <c r="A214" s="43" t="s">
        <v>192</v>
      </c>
      <c r="D214" s="49" t="s">
        <v>74</v>
      </c>
      <c r="E214" s="50"/>
      <c r="F214" s="59">
        <v>0.0038</v>
      </c>
      <c r="G214" s="50">
        <f t="shared" si="11"/>
        <v>48114</v>
      </c>
      <c r="I214" s="50"/>
    </row>
    <row r="215" spans="1:9" ht="12.75">
      <c r="A215" s="43" t="s">
        <v>193</v>
      </c>
      <c r="D215" s="49" t="s">
        <v>74</v>
      </c>
      <c r="E215" s="50"/>
      <c r="F215" s="59">
        <v>0.0584</v>
      </c>
      <c r="G215" s="50">
        <f t="shared" si="11"/>
        <v>739443</v>
      </c>
      <c r="I215" s="50"/>
    </row>
    <row r="216" spans="1:9" ht="12.75">
      <c r="A216" s="43" t="s">
        <v>194</v>
      </c>
      <c r="D216" s="49" t="s">
        <v>74</v>
      </c>
      <c r="E216" s="50"/>
      <c r="F216" s="59">
        <v>0.046</v>
      </c>
      <c r="G216" s="50">
        <f t="shared" si="11"/>
        <v>582438</v>
      </c>
      <c r="I216" s="50"/>
    </row>
    <row r="217" spans="1:9" ht="12.75">
      <c r="A217" s="43" t="s">
        <v>195</v>
      </c>
      <c r="D217" s="49" t="s">
        <v>74</v>
      </c>
      <c r="E217" s="50"/>
      <c r="F217" s="59">
        <v>0.0186</v>
      </c>
      <c r="G217" s="50">
        <f t="shared" si="11"/>
        <v>235508</v>
      </c>
      <c r="I217" s="50"/>
    </row>
    <row r="218" spans="1:9" ht="12.75">
      <c r="A218" s="43" t="s">
        <v>196</v>
      </c>
      <c r="D218" s="49" t="s">
        <v>74</v>
      </c>
      <c r="E218" s="50"/>
      <c r="F218" s="59">
        <v>0.0116</v>
      </c>
      <c r="G218" s="50">
        <f t="shared" si="11"/>
        <v>146876</v>
      </c>
      <c r="I218" s="50"/>
    </row>
    <row r="219" spans="1:9" ht="12.75">
      <c r="A219" s="43" t="s">
        <v>197</v>
      </c>
      <c r="D219" s="49" t="s">
        <v>74</v>
      </c>
      <c r="E219" s="50"/>
      <c r="F219" s="59">
        <v>0.0112</v>
      </c>
      <c r="G219" s="50">
        <f t="shared" si="11"/>
        <v>141811</v>
      </c>
      <c r="I219" s="50"/>
    </row>
    <row r="220" spans="1:9" ht="12.75">
      <c r="A220" s="43"/>
      <c r="D220" s="49"/>
      <c r="E220" s="50"/>
      <c r="F220" s="59"/>
      <c r="G220" s="50"/>
      <c r="I220" s="50"/>
    </row>
    <row r="221" spans="1:9" ht="12.75">
      <c r="A221" s="43" t="s">
        <v>46</v>
      </c>
      <c r="D221" s="43" t="s">
        <v>1</v>
      </c>
      <c r="E221" s="50">
        <f>States!C52</f>
        <v>14576490</v>
      </c>
      <c r="F221" s="53"/>
      <c r="H221" s="50">
        <f>SUM(G222:G224)</f>
        <v>291063</v>
      </c>
      <c r="I221" s="50">
        <f>E221-H221</f>
        <v>14285427</v>
      </c>
    </row>
    <row r="222" spans="1:9" ht="12.75">
      <c r="A222" s="43" t="s">
        <v>147</v>
      </c>
      <c r="B222" s="52">
        <v>110884</v>
      </c>
      <c r="C222" s="52">
        <v>997</v>
      </c>
      <c r="D222" s="49" t="s">
        <v>78</v>
      </c>
      <c r="E222" s="50"/>
      <c r="F222" s="53">
        <f>C222/B222</f>
        <v>0.008991378377403412</v>
      </c>
      <c r="G222" s="50">
        <f>ROUND(+$E$221*F222,0)</f>
        <v>131063</v>
      </c>
      <c r="I222" s="50"/>
    </row>
    <row r="223" spans="1:7" ht="12.75">
      <c r="A223" s="43" t="s">
        <v>198</v>
      </c>
      <c r="B223" s="52">
        <v>110884</v>
      </c>
      <c r="D223" s="49" t="s">
        <v>118</v>
      </c>
      <c r="E223" s="50"/>
      <c r="F223" s="64" t="s">
        <v>1</v>
      </c>
      <c r="G223" s="66">
        <f>60000</f>
        <v>60000</v>
      </c>
    </row>
    <row r="224" spans="1:9" ht="12.75">
      <c r="A224" s="43" t="s">
        <v>199</v>
      </c>
      <c r="B224" s="52">
        <v>110884</v>
      </c>
      <c r="D224" s="49" t="s">
        <v>118</v>
      </c>
      <c r="E224" s="50"/>
      <c r="F224" s="64" t="s">
        <v>1</v>
      </c>
      <c r="G224" s="66">
        <f>100000</f>
        <v>100000</v>
      </c>
      <c r="I224" s="50"/>
    </row>
    <row r="225" spans="5:9" ht="12.75">
      <c r="E225" s="50"/>
      <c r="G225" s="50"/>
      <c r="I225" s="50"/>
    </row>
    <row r="226" spans="1:9" ht="12.75">
      <c r="A226" s="43" t="s">
        <v>49</v>
      </c>
      <c r="E226" s="50">
        <f>States!C55</f>
        <v>39988303</v>
      </c>
      <c r="H226" s="50">
        <f>SUM(G227:G245)</f>
        <v>1546371</v>
      </c>
      <c r="I226" s="50">
        <f>E226-H226</f>
        <v>38441932</v>
      </c>
    </row>
    <row r="227" spans="1:7" ht="12.75">
      <c r="A227" s="43" t="s">
        <v>200</v>
      </c>
      <c r="B227" s="50"/>
      <c r="D227" s="49" t="s">
        <v>74</v>
      </c>
      <c r="E227" s="50"/>
      <c r="F227" s="53">
        <v>0.00847</v>
      </c>
      <c r="G227" s="50">
        <f>ROUND(+$E$226*F227,0)</f>
        <v>338701</v>
      </c>
    </row>
    <row r="228" spans="1:7" ht="12.75">
      <c r="A228" s="43" t="s">
        <v>201</v>
      </c>
      <c r="B228" s="50"/>
      <c r="D228" s="49" t="s">
        <v>118</v>
      </c>
      <c r="E228" s="50"/>
      <c r="F228" s="53"/>
      <c r="G228" s="50">
        <f>8460</f>
        <v>8460</v>
      </c>
    </row>
    <row r="229" spans="1:7" ht="12.75">
      <c r="A229" s="43" t="s">
        <v>202</v>
      </c>
      <c r="B229" s="50"/>
      <c r="D229" s="49" t="s">
        <v>74</v>
      </c>
      <c r="E229" s="50"/>
      <c r="F229" s="53">
        <v>0.000247</v>
      </c>
      <c r="G229" s="50">
        <f aca="true" t="shared" si="12" ref="G229:G245">ROUND(+$E$226*F229,0)</f>
        <v>9877</v>
      </c>
    </row>
    <row r="230" spans="1:7" ht="12.75">
      <c r="A230" s="43" t="s">
        <v>203</v>
      </c>
      <c r="B230" s="50"/>
      <c r="D230" s="49" t="s">
        <v>74</v>
      </c>
      <c r="E230" s="50"/>
      <c r="F230" s="53">
        <v>0.000247</v>
      </c>
      <c r="G230" s="50">
        <f t="shared" si="12"/>
        <v>9877</v>
      </c>
    </row>
    <row r="231" spans="1:7" ht="12.75">
      <c r="A231" s="43" t="s">
        <v>204</v>
      </c>
      <c r="B231" s="50"/>
      <c r="D231" s="49" t="s">
        <v>74</v>
      </c>
      <c r="E231" s="50"/>
      <c r="F231" s="53">
        <v>0.000604</v>
      </c>
      <c r="G231" s="50">
        <f t="shared" si="12"/>
        <v>24153</v>
      </c>
    </row>
    <row r="232" spans="1:7" ht="12.75">
      <c r="A232" s="43" t="s">
        <v>205</v>
      </c>
      <c r="B232" s="50"/>
      <c r="D232" s="49" t="s">
        <v>74</v>
      </c>
      <c r="E232" s="50"/>
      <c r="F232" s="53">
        <v>0.002499</v>
      </c>
      <c r="G232" s="50">
        <f t="shared" si="12"/>
        <v>99931</v>
      </c>
    </row>
    <row r="233" spans="1:7" ht="12.75">
      <c r="A233" s="43" t="s">
        <v>206</v>
      </c>
      <c r="B233" s="50"/>
      <c r="D233" s="49" t="s">
        <v>74</v>
      </c>
      <c r="E233" s="50"/>
      <c r="F233" s="53">
        <v>0.001949</v>
      </c>
      <c r="G233" s="50">
        <f t="shared" si="12"/>
        <v>77937</v>
      </c>
    </row>
    <row r="234" spans="1:7" ht="12.75">
      <c r="A234" s="43" t="s">
        <v>207</v>
      </c>
      <c r="B234" s="50"/>
      <c r="D234" s="49" t="s">
        <v>74</v>
      </c>
      <c r="E234" s="50"/>
      <c r="F234" s="53">
        <v>0.000892</v>
      </c>
      <c r="G234" s="50">
        <f t="shared" si="12"/>
        <v>35670</v>
      </c>
    </row>
    <row r="235" spans="1:7" ht="12.75">
      <c r="A235" s="43" t="s">
        <v>208</v>
      </c>
      <c r="B235" s="50"/>
      <c r="D235" s="49" t="s">
        <v>74</v>
      </c>
      <c r="E235" s="50"/>
      <c r="F235" s="53">
        <v>0.000686</v>
      </c>
      <c r="G235" s="50">
        <f t="shared" si="12"/>
        <v>27432</v>
      </c>
    </row>
    <row r="236" spans="1:7" ht="12.75">
      <c r="A236" s="43" t="s">
        <v>209</v>
      </c>
      <c r="B236" s="50"/>
      <c r="D236" s="49" t="s">
        <v>74</v>
      </c>
      <c r="E236" s="50"/>
      <c r="F236" s="53">
        <v>0.000412</v>
      </c>
      <c r="G236" s="50">
        <f t="shared" si="12"/>
        <v>16475</v>
      </c>
    </row>
    <row r="237" spans="1:7" ht="12.75">
      <c r="A237" s="43" t="s">
        <v>210</v>
      </c>
      <c r="B237" s="50"/>
      <c r="D237" s="49" t="s">
        <v>74</v>
      </c>
      <c r="E237" s="50"/>
      <c r="F237" s="53">
        <v>0.002787</v>
      </c>
      <c r="G237" s="50">
        <f t="shared" si="12"/>
        <v>111447</v>
      </c>
    </row>
    <row r="238" spans="1:7" ht="12.75">
      <c r="A238" s="43" t="s">
        <v>211</v>
      </c>
      <c r="B238" s="50"/>
      <c r="D238" s="49" t="s">
        <v>74</v>
      </c>
      <c r="E238" s="50"/>
      <c r="F238" s="53">
        <v>0.000796</v>
      </c>
      <c r="G238" s="50">
        <f t="shared" si="12"/>
        <v>31831</v>
      </c>
    </row>
    <row r="239" spans="1:7" ht="12.75">
      <c r="A239" s="43" t="s">
        <v>212</v>
      </c>
      <c r="B239" s="50"/>
      <c r="D239" s="49" t="s">
        <v>74</v>
      </c>
      <c r="E239" s="50"/>
      <c r="F239" s="53">
        <v>0.002169</v>
      </c>
      <c r="G239" s="50">
        <f t="shared" si="12"/>
        <v>86735</v>
      </c>
    </row>
    <row r="240" spans="1:7" ht="12.75">
      <c r="A240" s="43" t="s">
        <v>213</v>
      </c>
      <c r="B240" s="50"/>
      <c r="D240" s="49" t="s">
        <v>74</v>
      </c>
      <c r="E240" s="50"/>
      <c r="F240" s="53">
        <v>0.000823</v>
      </c>
      <c r="G240" s="50">
        <f t="shared" si="12"/>
        <v>32910</v>
      </c>
    </row>
    <row r="241" spans="1:7" ht="12.75">
      <c r="A241" s="43" t="s">
        <v>214</v>
      </c>
      <c r="B241" s="50"/>
      <c r="D241" s="49" t="s">
        <v>74</v>
      </c>
      <c r="E241" s="50"/>
      <c r="F241" s="53">
        <v>0.001317</v>
      </c>
      <c r="G241" s="50">
        <f t="shared" si="12"/>
        <v>52665</v>
      </c>
    </row>
    <row r="242" spans="1:7" ht="12.75">
      <c r="A242" s="43" t="s">
        <v>215</v>
      </c>
      <c r="B242" s="50"/>
      <c r="D242" s="49" t="s">
        <v>74</v>
      </c>
      <c r="E242" s="50"/>
      <c r="F242" s="53">
        <v>0.002782</v>
      </c>
      <c r="G242" s="50">
        <f t="shared" si="12"/>
        <v>111247</v>
      </c>
    </row>
    <row r="243" spans="1:7" ht="12.75">
      <c r="A243" s="43" t="s">
        <v>216</v>
      </c>
      <c r="B243" s="50"/>
      <c r="D243" s="49" t="s">
        <v>74</v>
      </c>
      <c r="E243" s="50"/>
      <c r="F243" s="53">
        <v>0.001744</v>
      </c>
      <c r="G243" s="50">
        <f t="shared" si="12"/>
        <v>69740</v>
      </c>
    </row>
    <row r="244" spans="1:7" ht="12.75">
      <c r="A244" s="43" t="s">
        <v>217</v>
      </c>
      <c r="B244" s="50"/>
      <c r="D244" s="49" t="s">
        <v>74</v>
      </c>
      <c r="E244" s="50"/>
      <c r="F244" s="53">
        <v>0.001057</v>
      </c>
      <c r="G244" s="50">
        <f t="shared" si="12"/>
        <v>42268</v>
      </c>
    </row>
    <row r="245" spans="1:7" ht="12.75">
      <c r="A245" s="43" t="s">
        <v>218</v>
      </c>
      <c r="B245" s="50"/>
      <c r="D245" s="49" t="s">
        <v>74</v>
      </c>
      <c r="E245" s="50"/>
      <c r="F245" s="53">
        <v>0.008978</v>
      </c>
      <c r="G245" s="50">
        <f t="shared" si="12"/>
        <v>359015</v>
      </c>
    </row>
    <row r="246" spans="1:7" ht="12.75">
      <c r="A246" s="43"/>
      <c r="B246" s="50"/>
      <c r="D246" s="49"/>
      <c r="E246" s="50"/>
      <c r="F246" s="53"/>
      <c r="G246" s="50"/>
    </row>
    <row r="247" spans="1:9" ht="12.75">
      <c r="A247" s="43" t="s">
        <v>52</v>
      </c>
      <c r="B247" s="50"/>
      <c r="D247" s="49"/>
      <c r="E247" s="50">
        <f>States!C58</f>
        <v>5836106</v>
      </c>
      <c r="F247" s="53"/>
      <c r="G247" s="50"/>
      <c r="H247" s="57">
        <f>G248</f>
        <v>210000</v>
      </c>
      <c r="I247" s="50">
        <f>E247-H247</f>
        <v>5626106</v>
      </c>
    </row>
    <row r="248" spans="1:7" ht="12.75">
      <c r="A248" s="43" t="s">
        <v>219</v>
      </c>
      <c r="B248" s="50"/>
      <c r="D248" s="49" t="s">
        <v>118</v>
      </c>
      <c r="E248" s="50"/>
      <c r="F248" s="53">
        <v>0.0146</v>
      </c>
      <c r="G248" s="50">
        <f>210000</f>
        <v>210000</v>
      </c>
    </row>
    <row r="249" spans="1:7" ht="12.75">
      <c r="A249" s="43"/>
      <c r="B249" s="50"/>
      <c r="D249" s="49"/>
      <c r="E249" s="50"/>
      <c r="F249" s="53"/>
      <c r="G249" s="50"/>
    </row>
    <row r="250" spans="1:9" ht="12.75">
      <c r="A250" s="43" t="s">
        <v>220</v>
      </c>
      <c r="E250" s="50">
        <f>SUM(E13:E249)</f>
        <v>1039329815</v>
      </c>
      <c r="H250" s="50">
        <f>SUM(H13:H249)</f>
        <v>21279511</v>
      </c>
      <c r="I250" s="50">
        <f>SUM(I13:I249)</f>
        <v>1018050304</v>
      </c>
    </row>
    <row r="252" ht="12.75">
      <c r="A252" s="1" t="s">
        <v>289</v>
      </c>
    </row>
    <row r="502" ht="12.75">
      <c r="H502" s="67"/>
    </row>
    <row r="504" ht="12.75">
      <c r="E504" s="67"/>
    </row>
    <row r="507" ht="12.75">
      <c r="E507" s="67"/>
    </row>
    <row r="508" ht="12.75">
      <c r="E508" s="67"/>
    </row>
    <row r="509" ht="12.75">
      <c r="E509" s="67"/>
    </row>
    <row r="510" ht="12.75">
      <c r="E510" s="67"/>
    </row>
    <row r="511" ht="12.75">
      <c r="E511" s="67"/>
    </row>
    <row r="512" ht="12.75">
      <c r="E512" s="67"/>
    </row>
    <row r="513" ht="12.75">
      <c r="E513" s="67"/>
    </row>
    <row r="514" ht="12.75">
      <c r="E514" s="67"/>
    </row>
    <row r="515" ht="12.75">
      <c r="E515" s="67"/>
    </row>
    <row r="516" ht="12.75">
      <c r="E516" s="67"/>
    </row>
    <row r="517" ht="12.75">
      <c r="E517" s="67"/>
    </row>
    <row r="518" ht="12.75">
      <c r="E518" s="67"/>
    </row>
    <row r="519" ht="12.75">
      <c r="E519" s="67"/>
    </row>
    <row r="520" ht="12.75">
      <c r="E520" s="67"/>
    </row>
    <row r="521" ht="12.75">
      <c r="E521" s="67"/>
    </row>
    <row r="522" ht="12.75">
      <c r="E522" s="67"/>
    </row>
    <row r="523" ht="12.75">
      <c r="E523" s="67"/>
    </row>
    <row r="524" ht="12.75">
      <c r="E524" s="67"/>
    </row>
    <row r="525" ht="12.75">
      <c r="E525" s="67"/>
    </row>
    <row r="526" ht="12.75">
      <c r="E526" s="67"/>
    </row>
    <row r="527" ht="12.75">
      <c r="E527" s="67"/>
    </row>
    <row r="528" ht="12.75">
      <c r="E528" s="67"/>
    </row>
    <row r="529" ht="12.75">
      <c r="E529" s="67"/>
    </row>
    <row r="530" ht="12.75">
      <c r="E530" s="67"/>
    </row>
    <row r="531" ht="12.75">
      <c r="E531" s="67"/>
    </row>
    <row r="532" ht="12.75">
      <c r="E532" s="67"/>
    </row>
    <row r="533" ht="12.75">
      <c r="E533" s="67"/>
    </row>
    <row r="534" ht="12.75">
      <c r="E534" s="67"/>
    </row>
    <row r="535" ht="12.75">
      <c r="E535" s="67"/>
    </row>
    <row r="536" ht="12.75">
      <c r="E536" s="67"/>
    </row>
    <row r="537" ht="12.75">
      <c r="E537" s="67"/>
    </row>
    <row r="538" ht="12.75">
      <c r="E538" s="67"/>
    </row>
    <row r="539" ht="12.75">
      <c r="E539" s="67"/>
    </row>
    <row r="540" ht="12.75">
      <c r="E540" s="67"/>
    </row>
    <row r="541" ht="12.75">
      <c r="E541" s="67"/>
    </row>
    <row r="542" ht="12.75">
      <c r="E542" s="67"/>
    </row>
    <row r="543" ht="12.75">
      <c r="E543" s="67"/>
    </row>
    <row r="544" ht="12.75">
      <c r="E544" s="67"/>
    </row>
    <row r="545" ht="12.75">
      <c r="E545" s="67"/>
    </row>
    <row r="546" ht="12.75">
      <c r="E546" s="67"/>
    </row>
    <row r="547" ht="12.75">
      <c r="E547" s="67"/>
    </row>
    <row r="548" ht="12.75">
      <c r="E548" s="67"/>
    </row>
    <row r="549" ht="12.75">
      <c r="E549" s="67"/>
    </row>
    <row r="550" ht="12.75">
      <c r="E550" s="67"/>
    </row>
    <row r="551" ht="12.75">
      <c r="E551" s="67"/>
    </row>
    <row r="552" ht="12.75">
      <c r="E552" s="67"/>
    </row>
    <row r="553" ht="12.75">
      <c r="E553" s="67"/>
    </row>
    <row r="554" ht="12.75">
      <c r="E554" s="67"/>
    </row>
    <row r="555" ht="12.75">
      <c r="E555" s="67"/>
    </row>
    <row r="556" ht="12.75">
      <c r="E556" s="67"/>
    </row>
    <row r="557" ht="12.75">
      <c r="E557" s="67"/>
    </row>
    <row r="558" ht="12.75">
      <c r="E558" s="67"/>
    </row>
    <row r="559" spans="5:8" ht="12.75">
      <c r="E559" s="67"/>
      <c r="G559" s="50"/>
      <c r="H559" s="50"/>
    </row>
    <row r="561" spans="5:8" ht="12.75">
      <c r="E561" s="50"/>
      <c r="H561" s="50"/>
    </row>
    <row r="563" ht="12.75">
      <c r="H563" s="50"/>
    </row>
    <row r="564" spans="5:8" ht="12.75">
      <c r="E564" s="50"/>
      <c r="H564" s="50"/>
    </row>
    <row r="565" spans="5:8" ht="12.75">
      <c r="E565" s="50"/>
      <c r="H565" s="50"/>
    </row>
    <row r="566" spans="5:8" ht="12.75">
      <c r="E566" s="50"/>
      <c r="H566" s="50"/>
    </row>
    <row r="567" spans="5:8" ht="12.75">
      <c r="E567" s="50"/>
      <c r="H567" s="50"/>
    </row>
    <row r="568" spans="5:8" ht="12.75">
      <c r="E568" s="50"/>
      <c r="H568" s="50"/>
    </row>
    <row r="569" spans="5:8" ht="12.75">
      <c r="E569" s="50"/>
      <c r="H569" s="50"/>
    </row>
    <row r="570" spans="5:8" ht="12.75">
      <c r="E570" s="50"/>
      <c r="H570" s="50"/>
    </row>
  </sheetData>
  <sheetProtection password="E68A" sheet="1" objects="1" scenarios="1"/>
  <mergeCells count="1">
    <mergeCell ref="A1:I1"/>
  </mergeCells>
  <printOptions gridLines="1" horizontalCentered="1"/>
  <pageMargins left="0.25" right="0.25" top="0.5" bottom="0.77" header="0.25" footer="0.5"/>
  <pageSetup fitToHeight="0" horizontalDpi="300" verticalDpi="300" orientation="landscape" scale="83" r:id="rId1"/>
  <headerFooter alignWithMargins="0">
    <oddFooter>&amp;L&amp;"Arial,Regular"'&amp;F' [&amp;A]&amp;C&amp;"Arial,Regular"22-Dec-05&amp;R&amp;"Arial,Regular"Page &amp;P of &amp;N</oddFooter>
  </headerFooter>
  <rowBreaks count="5" manualBreakCount="5">
    <brk id="39" max="8" man="1"/>
    <brk id="85" max="8" man="1"/>
    <brk id="133" max="8" man="1"/>
    <brk id="158" max="8" man="1"/>
    <brk id="2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2"/>
  <sheetViews>
    <sheetView workbookViewId="0" topLeftCell="A1">
      <pane xSplit="1" ySplit="5" topLeftCell="B6" activePane="bottomRight" state="frozen"/>
      <selection pane="topLeft" activeCell="E27" sqref="E27"/>
      <selection pane="topRight" activeCell="E27" sqref="E27"/>
      <selection pane="bottomLeft" activeCell="E27" sqref="E27"/>
      <selection pane="bottomRight" activeCell="B6" sqref="B6"/>
    </sheetView>
  </sheetViews>
  <sheetFormatPr defaultColWidth="9.00390625" defaultRowHeight="12.75"/>
  <cols>
    <col min="1" max="1" width="32.00390625" style="0" bestFit="1" customWidth="1"/>
    <col min="2" max="2" width="14.125" style="0" customWidth="1"/>
    <col min="3" max="3" width="2.50390625" style="0" customWidth="1"/>
    <col min="4" max="4" width="18.375" style="10" customWidth="1"/>
    <col min="5" max="5" width="16.75390625" style="10" bestFit="1" customWidth="1"/>
    <col min="6" max="6" width="2.50390625" style="0" customWidth="1"/>
    <col min="7" max="7" width="22.625" style="10" customWidth="1"/>
    <col min="8" max="8" width="14.875" style="10" customWidth="1"/>
  </cols>
  <sheetData>
    <row r="1" spans="1:8" ht="27" customHeight="1">
      <c r="A1" s="79" t="str">
        <f>"LOW INCOME HOME ENERGY ASSISTANCE PROGRAM (LIHEAP) - FY 2006 STATE, TRIBE AND TERRITORY ALLOTMENTS AT "&amp;TEXT(States!B3/1000000000,"$0.0")&amp;" BILLION (WITH "&amp;TEXT(States!B4,"0.0%")&amp;" RESCISSION)"</f>
        <v>LOW INCOME HOME ENERGY ASSISTANCE PROGRAM (LIHEAP) - FY 2006 STATE, TRIBE AND TERRITORY ALLOTMENTS AT $2.0 BILLION (WITH 1.0% RESCISSION)</v>
      </c>
      <c r="B1" s="79"/>
      <c r="C1" s="79"/>
      <c r="D1" s="79"/>
      <c r="E1" s="79"/>
      <c r="F1" s="79"/>
      <c r="G1" s="79"/>
      <c r="H1" s="79"/>
    </row>
    <row r="2" spans="1:8" ht="12.75">
      <c r="A2" s="45" t="s">
        <v>245</v>
      </c>
      <c r="B2" s="44"/>
      <c r="C2" s="43" t="s">
        <v>67</v>
      </c>
      <c r="D2" s="68"/>
      <c r="E2" s="44"/>
      <c r="F2" s="46" t="s">
        <v>273</v>
      </c>
      <c r="G2" s="44"/>
      <c r="H2" s="44"/>
    </row>
    <row r="3" spans="1:8" ht="12.75">
      <c r="A3" s="45"/>
      <c r="B3" s="44"/>
      <c r="C3" s="43"/>
      <c r="D3" s="68"/>
      <c r="E3" s="44"/>
      <c r="F3" s="46"/>
      <c r="G3" s="44"/>
      <c r="H3" s="44"/>
    </row>
    <row r="4" spans="1:8" ht="25.5">
      <c r="A4" s="38" t="s">
        <v>63</v>
      </c>
      <c r="B4" s="38" t="s">
        <v>221</v>
      </c>
      <c r="D4" s="38" t="s">
        <v>61</v>
      </c>
      <c r="E4" s="38" t="s">
        <v>238</v>
      </c>
      <c r="G4" s="38" t="s">
        <v>65</v>
      </c>
      <c r="H4" s="38" t="s">
        <v>242</v>
      </c>
    </row>
    <row r="5" spans="1:2" ht="7.5" customHeight="1">
      <c r="A5" s="38"/>
      <c r="B5" s="38"/>
    </row>
    <row r="6" spans="1:8" ht="12.75">
      <c r="A6" s="16"/>
      <c r="D6" s="10" t="s">
        <v>3</v>
      </c>
      <c r="E6" s="10">
        <f>States!E8</f>
        <v>16672612</v>
      </c>
      <c r="G6" s="10" t="s">
        <v>223</v>
      </c>
      <c r="H6" s="10">
        <f>States!E62</f>
        <v>43742</v>
      </c>
    </row>
    <row r="7" spans="1:8" ht="12.75">
      <c r="A7" s="18" t="s">
        <v>3</v>
      </c>
      <c r="B7" s="10"/>
      <c r="D7" s="10" t="s">
        <v>4</v>
      </c>
      <c r="E7" s="10">
        <f>States!E9</f>
        <v>7439500</v>
      </c>
      <c r="G7" s="10" t="s">
        <v>224</v>
      </c>
      <c r="H7" s="10">
        <f>States!E63</f>
        <v>95903</v>
      </c>
    </row>
    <row r="8" spans="1:8" ht="12.75">
      <c r="A8" s="16" t="s">
        <v>71</v>
      </c>
      <c r="B8" s="10">
        <f>IF(Tribes!G14="","",Tribes!G14)</f>
        <v>3581</v>
      </c>
      <c r="C8" s="10"/>
      <c r="D8" s="10" t="s">
        <v>5</v>
      </c>
      <c r="E8" s="10">
        <f>States!E10</f>
        <v>7494843</v>
      </c>
      <c r="G8" s="10" t="s">
        <v>225</v>
      </c>
      <c r="H8" s="10">
        <f>States!E64</f>
        <v>33310</v>
      </c>
    </row>
    <row r="9" spans="1:8" ht="12.75">
      <c r="A9" s="15" t="s">
        <v>73</v>
      </c>
      <c r="B9" s="10">
        <f>IF(Tribes!G15="","",Tribes!G15)</f>
        <v>53159</v>
      </c>
      <c r="C9" s="10"/>
      <c r="D9" s="10" t="s">
        <v>6</v>
      </c>
      <c r="E9" s="10">
        <f>States!E11</f>
        <v>12795882</v>
      </c>
      <c r="G9" s="10" t="s">
        <v>226</v>
      </c>
      <c r="H9" s="10">
        <f>States!E65</f>
        <v>2380560</v>
      </c>
    </row>
    <row r="10" spans="1:8" ht="13.5" thickBot="1">
      <c r="A10" s="15" t="s">
        <v>75</v>
      </c>
      <c r="B10" s="10">
        <f>IF(Tribes!G16="","",Tribes!G16)</f>
        <v>40096</v>
      </c>
      <c r="C10" s="10"/>
      <c r="D10" s="10" t="s">
        <v>7</v>
      </c>
      <c r="E10" s="10">
        <f>States!E12</f>
        <v>89286908</v>
      </c>
      <c r="G10" s="10" t="s">
        <v>227</v>
      </c>
      <c r="H10" s="10">
        <f>States!E66</f>
        <v>90687</v>
      </c>
    </row>
    <row r="11" spans="1:8" ht="13.5" thickTop="1">
      <c r="A11" s="16"/>
      <c r="B11" s="10">
        <f>IF(Tribes!G17="","",Tribes!G17)</f>
      </c>
      <c r="C11" s="10"/>
      <c r="D11" s="10" t="s">
        <v>8</v>
      </c>
      <c r="E11" s="10">
        <f>States!E13</f>
        <v>31342366</v>
      </c>
      <c r="G11" s="36" t="s">
        <v>240</v>
      </c>
      <c r="H11" s="37">
        <f>SUM(H6:H10)</f>
        <v>2644202</v>
      </c>
    </row>
    <row r="12" spans="1:5" ht="18" customHeight="1">
      <c r="A12" s="18" t="s">
        <v>4</v>
      </c>
      <c r="B12" s="10">
        <f>IF(Tribes!G18="","",Tribes!G18)</f>
      </c>
      <c r="C12" s="10"/>
      <c r="D12" s="10" t="s">
        <v>9</v>
      </c>
      <c r="E12" s="10">
        <f>States!E14</f>
        <v>40919836</v>
      </c>
    </row>
    <row r="13" spans="1:5" ht="12.75">
      <c r="A13" s="15" t="s">
        <v>76</v>
      </c>
      <c r="B13" s="10">
        <f>IF(Tribes!G19="","",Tribes!G19)</f>
        <v>91415</v>
      </c>
      <c r="C13" s="10"/>
      <c r="D13" s="10" t="s">
        <v>10</v>
      </c>
      <c r="E13" s="10">
        <f>States!E15</f>
        <v>5431321</v>
      </c>
    </row>
    <row r="14" spans="1:5" ht="12.75">
      <c r="A14" s="15" t="s">
        <v>77</v>
      </c>
      <c r="B14" s="10">
        <f>IF(Tribes!G20="","",Tribes!G20)</f>
        <v>1479866</v>
      </c>
      <c r="C14" s="10"/>
      <c r="D14" s="10" t="s">
        <v>60</v>
      </c>
      <c r="E14" s="10">
        <f>States!E16</f>
        <v>6354918</v>
      </c>
    </row>
    <row r="15" spans="1:5" ht="12.75">
      <c r="A15" s="15" t="s">
        <v>79</v>
      </c>
      <c r="B15" s="10">
        <f>IF(Tribes!G21="","",Tribes!G21)</f>
        <v>72805</v>
      </c>
      <c r="C15" s="10"/>
      <c r="D15" s="10" t="s">
        <v>11</v>
      </c>
      <c r="E15" s="10">
        <f>States!E17</f>
        <v>26527472</v>
      </c>
    </row>
    <row r="16" spans="1:5" ht="12.75">
      <c r="A16" s="15" t="s">
        <v>80</v>
      </c>
      <c r="B16" s="10">
        <f>IF(Tribes!G22="","",Tribes!G22)</f>
        <v>222007</v>
      </c>
      <c r="C16" s="10"/>
      <c r="D16" s="10" t="s">
        <v>12</v>
      </c>
      <c r="E16" s="10">
        <f>States!E18</f>
        <v>20979412</v>
      </c>
    </row>
    <row r="17" spans="1:5" ht="12.75">
      <c r="A17" s="15" t="s">
        <v>81</v>
      </c>
      <c r="B17" s="10">
        <f>IF(Tribes!G23="","",Tribes!G23)</f>
        <v>88150</v>
      </c>
      <c r="C17" s="10"/>
      <c r="D17" s="10" t="s">
        <v>13</v>
      </c>
      <c r="E17" s="10">
        <f>States!E19</f>
        <v>2112742</v>
      </c>
    </row>
    <row r="18" spans="1:5" ht="12.75">
      <c r="A18" s="15" t="s">
        <v>82</v>
      </c>
      <c r="B18" s="10">
        <f>IF(Tribes!G24="","",Tribes!G24)</f>
        <v>7509</v>
      </c>
      <c r="C18" s="10"/>
      <c r="D18" s="10" t="s">
        <v>14</v>
      </c>
      <c r="E18" s="10">
        <f>States!E20</f>
        <v>11641642</v>
      </c>
    </row>
    <row r="19" spans="1:5" ht="12.75">
      <c r="A19" s="15" t="s">
        <v>83</v>
      </c>
      <c r="B19" s="10">
        <f>IF(Tribes!G25="","",Tribes!G25)</f>
        <v>829665</v>
      </c>
      <c r="C19" s="10"/>
      <c r="D19" s="10" t="s">
        <v>15</v>
      </c>
      <c r="E19" s="10">
        <f>States!E21</f>
        <v>113259040</v>
      </c>
    </row>
    <row r="20" spans="1:5" ht="12.75">
      <c r="A20" s="15" t="s">
        <v>84</v>
      </c>
      <c r="B20" s="10">
        <f>IF(Tribes!G26="","",Tribes!G26)</f>
        <v>473398</v>
      </c>
      <c r="C20" s="10"/>
      <c r="D20" s="10" t="s">
        <v>16</v>
      </c>
      <c r="E20" s="10">
        <f>States!E22</f>
        <v>51273848</v>
      </c>
    </row>
    <row r="21" spans="1:5" ht="12.75">
      <c r="A21" s="16"/>
      <c r="B21" s="10">
        <f>IF(Tribes!G27="","",Tribes!G27)</f>
      </c>
      <c r="C21" s="10"/>
      <c r="D21" s="10" t="s">
        <v>17</v>
      </c>
      <c r="E21" s="10">
        <f>States!E23</f>
        <v>36343186</v>
      </c>
    </row>
    <row r="22" spans="1:5" ht="12.75">
      <c r="A22" s="18" t="s">
        <v>5</v>
      </c>
      <c r="B22" s="10">
        <f>IF(Tribes!G28="","",Tribes!G28)</f>
      </c>
      <c r="C22" s="10"/>
      <c r="D22" s="10" t="s">
        <v>18</v>
      </c>
      <c r="E22" s="10">
        <f>States!E24</f>
        <v>16678001</v>
      </c>
    </row>
    <row r="23" spans="1:5" ht="12.75">
      <c r="A23" s="15" t="s">
        <v>85</v>
      </c>
      <c r="B23" s="10">
        <f>IF(Tribes!G29="","",Tribes!G29)</f>
        <v>5383</v>
      </c>
      <c r="C23" s="10"/>
      <c r="D23" s="10" t="s">
        <v>19</v>
      </c>
      <c r="E23" s="10">
        <f>States!E25</f>
        <v>26686205</v>
      </c>
    </row>
    <row r="24" spans="1:5" ht="12.75">
      <c r="A24" s="15" t="s">
        <v>86</v>
      </c>
      <c r="B24" s="10">
        <f>IF(Tribes!G30="","",Tribes!G30)</f>
        <v>16054</v>
      </c>
      <c r="C24" s="10"/>
      <c r="D24" s="10" t="s">
        <v>20</v>
      </c>
      <c r="E24" s="10">
        <f>States!E26</f>
        <v>17144187</v>
      </c>
    </row>
    <row r="25" spans="1:5" ht="12.75">
      <c r="A25" s="15" t="s">
        <v>87</v>
      </c>
      <c r="B25" s="10">
        <f>IF(Tribes!G31="","",Tribes!G31)</f>
        <v>3352</v>
      </c>
      <c r="C25" s="10"/>
      <c r="D25" s="10" t="s">
        <v>21</v>
      </c>
      <c r="E25" s="10">
        <f>States!E27</f>
        <v>25540609</v>
      </c>
    </row>
    <row r="26" spans="1:5" ht="12.75">
      <c r="A26" s="15" t="s">
        <v>88</v>
      </c>
      <c r="B26" s="10">
        <f>IF(Tribes!G32="","",Tribes!G32)</f>
        <v>54322</v>
      </c>
      <c r="C26" s="10"/>
      <c r="D26" s="10" t="s">
        <v>22</v>
      </c>
      <c r="E26" s="10">
        <f>States!E28</f>
        <v>31331801</v>
      </c>
    </row>
    <row r="27" spans="1:5" ht="12.75">
      <c r="A27" s="15" t="s">
        <v>89</v>
      </c>
      <c r="B27" s="10">
        <f>IF(Tribes!G33="","",Tribes!G33)</f>
        <v>460925</v>
      </c>
      <c r="C27" s="10"/>
      <c r="D27" s="10" t="s">
        <v>23</v>
      </c>
      <c r="E27" s="10">
        <f>States!E29</f>
        <v>81820482</v>
      </c>
    </row>
    <row r="28" spans="1:5" ht="12.75">
      <c r="A28" s="15" t="s">
        <v>90</v>
      </c>
      <c r="B28" s="10">
        <f>IF(Tribes!G34="","",Tribes!G34)</f>
        <v>20752</v>
      </c>
      <c r="C28" s="10"/>
      <c r="D28" s="10" t="s">
        <v>24</v>
      </c>
      <c r="E28" s="10">
        <f>States!E30</f>
        <v>106792178</v>
      </c>
    </row>
    <row r="29" spans="1:5" ht="12.75">
      <c r="A29" s="15" t="s">
        <v>91</v>
      </c>
      <c r="B29" s="10">
        <f>IF(Tribes!G35="","",Tribes!G35)</f>
        <v>1180</v>
      </c>
      <c r="C29" s="10"/>
      <c r="D29" s="10" t="s">
        <v>25</v>
      </c>
      <c r="E29" s="10">
        <f>States!E31</f>
        <v>77468944</v>
      </c>
    </row>
    <row r="30" spans="1:5" ht="12.75">
      <c r="A30" s="15" t="s">
        <v>92</v>
      </c>
      <c r="B30" s="10">
        <f>IF(Tribes!G36="","",Tribes!G36)</f>
        <v>20043</v>
      </c>
      <c r="C30" s="10"/>
      <c r="D30" s="10" t="s">
        <v>26</v>
      </c>
      <c r="E30" s="10">
        <f>States!E32</f>
        <v>14349950</v>
      </c>
    </row>
    <row r="31" spans="1:5" ht="12.75">
      <c r="A31" s="15" t="s">
        <v>93</v>
      </c>
      <c r="B31" s="10">
        <f>IF(Tribes!G37="","",Tribes!G37)</f>
        <v>33051</v>
      </c>
      <c r="C31" s="10"/>
      <c r="D31" s="10" t="s">
        <v>27</v>
      </c>
      <c r="E31" s="10">
        <f>States!E33</f>
        <v>45240083</v>
      </c>
    </row>
    <row r="32" spans="1:5" ht="12.75">
      <c r="A32" s="15"/>
      <c r="B32" s="10">
        <f>IF(Tribes!G38="","",Tribes!G38)</f>
      </c>
      <c r="C32" s="10"/>
      <c r="D32" s="10" t="s">
        <v>28</v>
      </c>
      <c r="E32" s="10">
        <f>States!E34</f>
        <v>11842610</v>
      </c>
    </row>
    <row r="33" spans="1:5" ht="12.75">
      <c r="A33" s="18" t="s">
        <v>7</v>
      </c>
      <c r="B33" s="10">
        <f>IF(Tribes!G46="","",Tribes!G46)</f>
      </c>
      <c r="C33" s="10"/>
      <c r="D33" s="10" t="s">
        <v>29</v>
      </c>
      <c r="E33" s="10">
        <f>States!E35</f>
        <v>17965900</v>
      </c>
    </row>
    <row r="34" spans="1:5" ht="12.75">
      <c r="A34" s="15" t="s">
        <v>94</v>
      </c>
      <c r="B34" s="10">
        <f>IF(Tribes!G47="","",Tribes!G47)</f>
        <v>7046</v>
      </c>
      <c r="C34" s="10"/>
      <c r="D34" s="10" t="s">
        <v>30</v>
      </c>
      <c r="E34" s="10">
        <f>States!E36</f>
        <v>3808981</v>
      </c>
    </row>
    <row r="35" spans="1:5" ht="12.75">
      <c r="A35" s="15" t="s">
        <v>95</v>
      </c>
      <c r="B35" s="10">
        <f>IF(Tribes!G48="","",Tribes!G48)</f>
        <v>1301</v>
      </c>
      <c r="C35" s="10"/>
      <c r="D35" s="10" t="s">
        <v>31</v>
      </c>
      <c r="E35" s="10">
        <f>States!E37</f>
        <v>15493145</v>
      </c>
    </row>
    <row r="36" spans="1:5" ht="12.75">
      <c r="A36" s="15" t="s">
        <v>96</v>
      </c>
      <c r="B36" s="10">
        <f>IF(Tribes!G49="","",Tribes!G49)</f>
        <v>5854</v>
      </c>
      <c r="C36" s="10"/>
      <c r="D36" s="10" t="s">
        <v>32</v>
      </c>
      <c r="E36" s="10">
        <f>States!E38</f>
        <v>75798007</v>
      </c>
    </row>
    <row r="37" spans="1:5" ht="12.75">
      <c r="A37" s="15" t="s">
        <v>97</v>
      </c>
      <c r="B37" s="10">
        <f>IF(Tribes!G50="","",Tribes!G50)</f>
        <v>2710</v>
      </c>
      <c r="C37" s="10"/>
      <c r="D37" s="10" t="s">
        <v>33</v>
      </c>
      <c r="E37" s="10">
        <f>States!E39</f>
        <v>9392231</v>
      </c>
    </row>
    <row r="38" spans="1:5" ht="12.75">
      <c r="A38" s="15" t="s">
        <v>98</v>
      </c>
      <c r="B38" s="10">
        <f>IF(Tribes!G51="","",Tribes!G51)</f>
        <v>48567</v>
      </c>
      <c r="C38" s="10"/>
      <c r="D38" s="10" t="s">
        <v>34</v>
      </c>
      <c r="E38" s="10">
        <f>States!E40</f>
        <v>247682286</v>
      </c>
    </row>
    <row r="39" spans="1:5" ht="12.75">
      <c r="A39" s="15" t="s">
        <v>99</v>
      </c>
      <c r="B39" s="10">
        <f>IF(Tribes!G52="","",Tribes!G52)</f>
        <v>7372</v>
      </c>
      <c r="C39" s="10"/>
      <c r="D39" s="10" t="s">
        <v>35</v>
      </c>
      <c r="E39" s="10">
        <f>States!E41</f>
        <v>36318661</v>
      </c>
    </row>
    <row r="40" spans="1:5" ht="12.75">
      <c r="A40" s="15" t="s">
        <v>100</v>
      </c>
      <c r="B40" s="10">
        <f>IF(Tribes!G53="","",Tribes!G53)</f>
        <v>74693</v>
      </c>
      <c r="C40" s="10"/>
      <c r="D40" s="10" t="s">
        <v>36</v>
      </c>
      <c r="E40" s="10">
        <f>States!E42</f>
        <v>12174120</v>
      </c>
    </row>
    <row r="41" spans="1:5" ht="12.75">
      <c r="A41" s="15" t="s">
        <v>101</v>
      </c>
      <c r="B41" s="10">
        <f>IF(Tribes!G54="","",Tribes!G54)</f>
        <v>35232</v>
      </c>
      <c r="C41" s="10"/>
      <c r="D41" s="10" t="s">
        <v>37</v>
      </c>
      <c r="E41" s="10">
        <f>States!E43</f>
        <v>100194550</v>
      </c>
    </row>
    <row r="42" spans="1:5" ht="12.75">
      <c r="A42" s="15" t="s">
        <v>102</v>
      </c>
      <c r="B42" s="10">
        <f>IF(Tribes!G55="","",Tribes!G55)</f>
        <v>20110</v>
      </c>
      <c r="C42" s="10"/>
      <c r="D42" s="10" t="s">
        <v>38</v>
      </c>
      <c r="E42" s="10">
        <f>States!E44</f>
        <v>14036155</v>
      </c>
    </row>
    <row r="43" spans="1:5" ht="12.75">
      <c r="A43" s="15" t="s">
        <v>103</v>
      </c>
      <c r="B43" s="10">
        <f>IF(Tribes!G56="","",Tribes!G56)</f>
        <v>175132</v>
      </c>
      <c r="C43" s="10"/>
      <c r="D43" s="10" t="s">
        <v>39</v>
      </c>
      <c r="E43" s="10">
        <f>States!E45</f>
        <v>23780683</v>
      </c>
    </row>
    <row r="44" spans="1:5" ht="12.75">
      <c r="A44" s="15" t="s">
        <v>104</v>
      </c>
      <c r="B44" s="10">
        <f>IF(Tribes!G57="","",Tribes!G57)</f>
        <v>8996</v>
      </c>
      <c r="C44" s="10"/>
      <c r="D44" s="10" t="s">
        <v>40</v>
      </c>
      <c r="E44" s="10">
        <f>States!E46</f>
        <v>133272895</v>
      </c>
    </row>
    <row r="45" spans="1:5" ht="12.75">
      <c r="A45" s="15" t="s">
        <v>105</v>
      </c>
      <c r="B45" s="10">
        <f>IF(Tribes!G58="","",Tribes!G58)</f>
        <v>42225</v>
      </c>
      <c r="C45" s="10"/>
      <c r="D45" s="10" t="s">
        <v>41</v>
      </c>
      <c r="E45" s="10">
        <f>States!E47</f>
        <v>13435331</v>
      </c>
    </row>
    <row r="46" spans="1:5" ht="12.75">
      <c r="A46" s="15" t="s">
        <v>106</v>
      </c>
      <c r="B46" s="10">
        <f>IF(Tribes!G59="","",Tribes!G59)</f>
        <v>4228</v>
      </c>
      <c r="C46" s="10"/>
      <c r="D46" s="10" t="s">
        <v>42</v>
      </c>
      <c r="E46" s="10">
        <f>States!E48</f>
        <v>13318359</v>
      </c>
    </row>
    <row r="47" spans="1:5" ht="12.75">
      <c r="A47" s="15" t="s">
        <v>107</v>
      </c>
      <c r="B47" s="10">
        <f>IF(Tribes!G60="","",Tribes!G60)</f>
        <v>20326</v>
      </c>
      <c r="C47" s="10"/>
      <c r="D47" s="10" t="s">
        <v>43</v>
      </c>
      <c r="E47" s="10">
        <f>States!E49</f>
        <v>10410444</v>
      </c>
    </row>
    <row r="48" spans="1:5" ht="12.75">
      <c r="A48" s="15" t="s">
        <v>108</v>
      </c>
      <c r="B48" s="10">
        <f>IF(Tribes!G61="","",Tribes!G61)</f>
        <v>52144</v>
      </c>
      <c r="C48" s="10"/>
      <c r="D48" s="10" t="s">
        <v>44</v>
      </c>
      <c r="E48" s="10">
        <f>States!E50</f>
        <v>27032554</v>
      </c>
    </row>
    <row r="49" spans="1:5" ht="12.75">
      <c r="A49" s="15" t="s">
        <v>109</v>
      </c>
      <c r="B49" s="10">
        <f>IF(Tribes!G62="","",Tribes!G62)</f>
        <v>2385</v>
      </c>
      <c r="C49" s="10"/>
      <c r="D49" s="10" t="s">
        <v>45</v>
      </c>
      <c r="E49" s="10">
        <f>States!E51</f>
        <v>44144179</v>
      </c>
    </row>
    <row r="50" spans="1:5" ht="12.75">
      <c r="A50" s="15" t="s">
        <v>110</v>
      </c>
      <c r="B50" s="10">
        <f>IF(Tribes!G63="","",Tribes!G63)</f>
        <v>48458</v>
      </c>
      <c r="C50" s="10"/>
      <c r="D50" s="10" t="s">
        <v>46</v>
      </c>
      <c r="E50" s="10">
        <f>States!E52</f>
        <v>14285427</v>
      </c>
    </row>
    <row r="51" spans="1:5" ht="12.75">
      <c r="A51" s="15" t="s">
        <v>111</v>
      </c>
      <c r="B51" s="10">
        <f>IF(Tribes!G64="","",Tribes!G64)</f>
        <v>31167</v>
      </c>
      <c r="C51" s="10"/>
      <c r="D51" s="10" t="s">
        <v>47</v>
      </c>
      <c r="E51" s="10">
        <f>States!E53</f>
        <v>11612664</v>
      </c>
    </row>
    <row r="52" spans="1:5" ht="12.75">
      <c r="A52" s="15" t="s">
        <v>113</v>
      </c>
      <c r="B52" s="10">
        <f>IF(Tribes!G65="","",Tribes!G65)</f>
        <v>7914</v>
      </c>
      <c r="C52" s="10"/>
      <c r="D52" s="10" t="s">
        <v>48</v>
      </c>
      <c r="E52" s="10">
        <f>States!E54</f>
        <v>38165637</v>
      </c>
    </row>
    <row r="53" spans="1:5" ht="12.75">
      <c r="A53" s="44" t="s">
        <v>268</v>
      </c>
      <c r="B53" s="10">
        <f>IF(Tribes!G66="","",Tribes!G66)</f>
        <v>3577</v>
      </c>
      <c r="C53" s="10"/>
      <c r="D53" s="10" t="s">
        <v>49</v>
      </c>
      <c r="E53" s="10">
        <f>States!E55</f>
        <v>38441932</v>
      </c>
    </row>
    <row r="54" spans="1:5" ht="12.75">
      <c r="A54" s="15" t="s">
        <v>112</v>
      </c>
      <c r="B54" s="10">
        <f>IF(Tribes!G67="","",Tribes!G67)</f>
        <v>3577</v>
      </c>
      <c r="C54" s="10"/>
      <c r="D54" s="10" t="s">
        <v>50</v>
      </c>
      <c r="E54" s="10">
        <f>States!E56</f>
        <v>17660288</v>
      </c>
    </row>
    <row r="55" spans="1:5" ht="12.75">
      <c r="A55" s="15" t="s">
        <v>114</v>
      </c>
      <c r="B55" s="10">
        <f>IF(Tribes!G68="","",Tribes!G68)</f>
        <v>5475</v>
      </c>
      <c r="C55" s="10"/>
      <c r="D55" s="10" t="s">
        <v>51</v>
      </c>
      <c r="E55" s="10">
        <f>States!E57</f>
        <v>69733174</v>
      </c>
    </row>
    <row r="56" spans="1:5" ht="13.5" thickBot="1">
      <c r="A56" s="15" t="s">
        <v>115</v>
      </c>
      <c r="B56" s="10">
        <f>IF(Tribes!G69="","",Tribes!G69)</f>
        <v>4607</v>
      </c>
      <c r="C56" s="10"/>
      <c r="D56" s="10" t="s">
        <v>52</v>
      </c>
      <c r="E56" s="10">
        <f>States!E58</f>
        <v>5626106</v>
      </c>
    </row>
    <row r="57" spans="1:5" ht="17.25" customHeight="1" thickTop="1">
      <c r="A57" s="15" t="s">
        <v>116</v>
      </c>
      <c r="B57" s="10">
        <f>IF(Tribes!G70="","",Tribes!G70)</f>
        <v>63202</v>
      </c>
      <c r="C57" s="10"/>
      <c r="D57" s="36" t="s">
        <v>241</v>
      </c>
      <c r="E57" s="37">
        <f>SUM(E6:E56)</f>
        <v>1928554287</v>
      </c>
    </row>
    <row r="58" spans="1:3" ht="21" customHeight="1">
      <c r="A58" s="15"/>
      <c r="B58" s="10">
        <f>IF(Tribes!G71="","",Tribes!G71)</f>
      </c>
      <c r="C58" s="10"/>
    </row>
    <row r="59" spans="1:3" ht="12.75">
      <c r="A59" s="18" t="s">
        <v>8</v>
      </c>
      <c r="B59" s="10">
        <f>IF(Tribes!G72="","",Tribes!G72)</f>
      </c>
      <c r="C59" s="10"/>
    </row>
    <row r="60" spans="1:3" ht="12.75">
      <c r="A60" s="16" t="s">
        <v>117</v>
      </c>
      <c r="B60" s="10">
        <f>IF(Tribes!G73="","",Tribes!G73)</f>
        <v>25000</v>
      </c>
      <c r="C60" s="10"/>
    </row>
    <row r="61" spans="1:3" ht="12.75">
      <c r="A61" s="15"/>
      <c r="B61" s="10">
        <f>IF(Tribes!G74="","",Tribes!G74)</f>
      </c>
      <c r="C61" s="10"/>
    </row>
    <row r="62" spans="1:3" ht="12.75">
      <c r="A62" s="18" t="s">
        <v>11</v>
      </c>
      <c r="B62" s="10">
        <f>IF(Tribes!G75="","",Tribes!G75)</f>
      </c>
      <c r="C62" s="10"/>
    </row>
    <row r="63" spans="1:3" ht="12.75">
      <c r="A63" s="15" t="s">
        <v>119</v>
      </c>
      <c r="B63" s="10">
        <f>IF(Tribes!G76="","",Tribes!G76)</f>
        <v>6802</v>
      </c>
      <c r="C63" s="10"/>
    </row>
    <row r="64" spans="1:3" ht="12.75">
      <c r="A64" s="16"/>
      <c r="B64" s="10">
        <f>IF(Tribes!G77="","",Tribes!G77)</f>
      </c>
      <c r="C64" s="10"/>
    </row>
    <row r="65" spans="1:3" ht="12.75">
      <c r="A65" s="18" t="s">
        <v>14</v>
      </c>
      <c r="B65" s="10">
        <f>IF(Tribes!G78="","",Tribes!G78)</f>
      </c>
      <c r="C65" s="10"/>
    </row>
    <row r="66" spans="1:3" ht="12.75">
      <c r="A66" s="15" t="s">
        <v>120</v>
      </c>
      <c r="B66" s="10">
        <f>IF(Tribes!G79="","",Tribes!G79)</f>
        <v>37012</v>
      </c>
      <c r="C66" s="10"/>
    </row>
    <row r="67" spans="1:3" ht="12.75">
      <c r="A67" s="15" t="s">
        <v>121</v>
      </c>
      <c r="B67" s="10">
        <f>IF(Tribes!G80="","",Tribes!G80)</f>
        <v>85648</v>
      </c>
      <c r="C67" s="10"/>
    </row>
    <row r="68" spans="1:3" ht="12.75">
      <c r="A68" s="15" t="s">
        <v>122</v>
      </c>
      <c r="B68" s="10">
        <f>IF(Tribes!G81="","",Tribes!G81)</f>
        <v>471061</v>
      </c>
      <c r="C68" s="10"/>
    </row>
    <row r="69" spans="1:3" ht="12.75">
      <c r="A69" s="16"/>
      <c r="B69" s="10">
        <f>IF(Tribes!G82="","",Tribes!G82)</f>
      </c>
      <c r="C69" s="10"/>
    </row>
    <row r="70" spans="1:3" ht="12.75">
      <c r="A70" s="18" t="s">
        <v>16</v>
      </c>
      <c r="B70" s="10">
        <f>IF(Tribes!G83="","",Tribes!G83)</f>
      </c>
      <c r="C70" s="10"/>
    </row>
    <row r="71" spans="1:3" ht="12.75">
      <c r="A71" s="15" t="s">
        <v>123</v>
      </c>
      <c r="B71" s="10">
        <f>IF(Tribes!G84="","",Tribes!G84)</f>
        <v>6664</v>
      </c>
      <c r="C71" s="10"/>
    </row>
    <row r="72" spans="1:3" ht="12.75">
      <c r="A72" s="16"/>
      <c r="B72" s="10">
        <f>IF(Tribes!G85="","",Tribes!G85)</f>
      </c>
      <c r="C72" s="10"/>
    </row>
    <row r="73" spans="1:3" ht="12.75">
      <c r="A73" s="18" t="s">
        <v>18</v>
      </c>
      <c r="B73" s="10">
        <f>IF(Tribes!G92="","",Tribes!G92)</f>
      </c>
      <c r="C73" s="10"/>
    </row>
    <row r="74" spans="1:3" ht="12.75">
      <c r="A74" s="15" t="s">
        <v>124</v>
      </c>
      <c r="B74" s="10">
        <f>IF(Tribes!G93="","",Tribes!G93)</f>
        <v>12420</v>
      </c>
      <c r="C74" s="10"/>
    </row>
    <row r="75" spans="1:3" ht="12.75">
      <c r="A75" s="16"/>
      <c r="B75" s="10">
        <f>IF(Tribes!G94="","",Tribes!G94)</f>
      </c>
      <c r="C75" s="10"/>
    </row>
    <row r="76" spans="1:3" ht="12.75">
      <c r="A76" s="18" t="s">
        <v>21</v>
      </c>
      <c r="B76" s="10">
        <f>IF(Tribes!G95="","",Tribes!G95)</f>
      </c>
      <c r="C76" s="10"/>
    </row>
    <row r="77" spans="1:3" ht="12.75">
      <c r="A77" s="15" t="s">
        <v>125</v>
      </c>
      <c r="B77" s="10">
        <f>IF(Tribes!G96="","",Tribes!G96)</f>
        <v>115316</v>
      </c>
      <c r="C77" s="10"/>
    </row>
    <row r="78" spans="1:3" ht="12.75">
      <c r="A78" s="15" t="s">
        <v>126</v>
      </c>
      <c r="B78" s="10">
        <f>IF(Tribes!G97="","",Tribes!G97)</f>
        <v>115316</v>
      </c>
      <c r="C78" s="10"/>
    </row>
    <row r="79" spans="1:3" ht="12.75">
      <c r="A79" s="15" t="s">
        <v>127</v>
      </c>
      <c r="B79" s="10">
        <f>IF(Tribes!G98="","",Tribes!G98)</f>
        <v>220029</v>
      </c>
      <c r="C79" s="10"/>
    </row>
    <row r="80" spans="1:3" ht="12.75">
      <c r="A80" s="15" t="s">
        <v>128</v>
      </c>
      <c r="B80" s="10">
        <f>IF(Tribes!G99="","",Tribes!G99)</f>
        <v>306980</v>
      </c>
      <c r="C80" s="10"/>
    </row>
    <row r="81" spans="1:3" ht="12.75">
      <c r="A81" s="15" t="s">
        <v>129</v>
      </c>
      <c r="B81" s="10">
        <f>IF(Tribes!G100="","",Tribes!G100)</f>
        <v>211281</v>
      </c>
      <c r="C81" s="10"/>
    </row>
    <row r="82" spans="1:3" ht="12.75">
      <c r="A82" s="16"/>
      <c r="B82" s="10">
        <f>IF(Tribes!G101="","",Tribes!G101)</f>
      </c>
      <c r="C82" s="10"/>
    </row>
    <row r="83" spans="1:3" ht="12.75">
      <c r="A83" s="18" t="s">
        <v>23</v>
      </c>
      <c r="B83" s="10">
        <f>IF(Tribes!G102="","",Tribes!G102)</f>
      </c>
      <c r="C83" s="10"/>
    </row>
    <row r="84" spans="1:3" ht="12.75">
      <c r="A84" s="15" t="s">
        <v>130</v>
      </c>
      <c r="B84" s="10">
        <f>IF(Tribes!G103="","",Tribes!G103)</f>
        <v>32741</v>
      </c>
      <c r="C84" s="10"/>
    </row>
    <row r="85" spans="1:3" ht="12.75">
      <c r="A85" s="16"/>
      <c r="B85" s="10">
        <f>IF(Tribes!G104="","",Tribes!G104)</f>
      </c>
      <c r="C85" s="10"/>
    </row>
    <row r="86" spans="1:3" ht="12.75">
      <c r="A86" s="18" t="s">
        <v>24</v>
      </c>
      <c r="B86" s="10">
        <f>IF(Tribes!G105="","",Tribes!G105)</f>
      </c>
      <c r="C86" s="10"/>
    </row>
    <row r="87" spans="1:3" ht="12.75">
      <c r="A87" s="15" t="s">
        <v>131</v>
      </c>
      <c r="B87" s="10">
        <f>IF(Tribes!G106="","",Tribes!G106)</f>
        <v>42063</v>
      </c>
      <c r="C87" s="10"/>
    </row>
    <row r="88" spans="1:3" ht="12.75">
      <c r="A88" s="15" t="s">
        <v>132</v>
      </c>
      <c r="B88" s="10">
        <f>IF(Tribes!G107="","",Tribes!G107)</f>
        <v>144269</v>
      </c>
      <c r="C88" s="10"/>
    </row>
    <row r="89" spans="1:3" ht="12.75">
      <c r="A89" s="43" t="s">
        <v>269</v>
      </c>
      <c r="B89" s="10">
        <f>IF(Tribes!G108="","",Tribes!G108)</f>
        <v>110995</v>
      </c>
      <c r="C89" s="10"/>
    </row>
    <row r="90" spans="1:3" ht="12.75">
      <c r="A90" s="15" t="s">
        <v>133</v>
      </c>
      <c r="B90" s="10">
        <f>IF(Tribes!G109="","",Tribes!G109)</f>
        <v>20341</v>
      </c>
      <c r="C90" s="10"/>
    </row>
    <row r="91" spans="1:3" ht="12.75">
      <c r="A91" s="15" t="s">
        <v>134</v>
      </c>
      <c r="B91" s="10">
        <f>IF(Tribes!G110="","",Tribes!G110)</f>
        <v>69686</v>
      </c>
      <c r="C91" s="10"/>
    </row>
    <row r="92" spans="1:3" ht="12.75">
      <c r="A92" s="15" t="s">
        <v>135</v>
      </c>
      <c r="B92" s="10">
        <f>IF(Tribes!G111="","",Tribes!G111)</f>
        <v>350000</v>
      </c>
      <c r="C92" s="10"/>
    </row>
    <row r="93" spans="1:3" ht="12.75">
      <c r="A93" s="16"/>
      <c r="B93" s="10">
        <f>IF(Tribes!G112="","",Tribes!G112)</f>
      </c>
      <c r="C93" s="10"/>
    </row>
    <row r="94" spans="1:3" ht="12.75">
      <c r="A94" s="18" t="s">
        <v>26</v>
      </c>
      <c r="B94" s="10">
        <f>IF(Tribes!G113="","",Tribes!G113)</f>
      </c>
      <c r="C94" s="10"/>
    </row>
    <row r="95" spans="1:3" ht="12.75">
      <c r="A95" s="15" t="s">
        <v>136</v>
      </c>
      <c r="B95" s="10">
        <f>IF(Tribes!G114="","",Tribes!G114)</f>
        <v>27247</v>
      </c>
      <c r="C95" s="10"/>
    </row>
    <row r="96" spans="1:3" ht="12.75">
      <c r="A96" s="16"/>
      <c r="B96" s="10">
        <f>IF(Tribes!G115="","",Tribes!G115)</f>
      </c>
      <c r="C96" s="10"/>
    </row>
    <row r="97" spans="1:3" ht="12.75">
      <c r="A97" s="18" t="s">
        <v>28</v>
      </c>
      <c r="B97" s="10">
        <f>IF(Tribes!G116="","",Tribes!G116)</f>
      </c>
      <c r="C97" s="10"/>
    </row>
    <row r="98" spans="1:3" ht="12.75">
      <c r="A98" s="15" t="s">
        <v>137</v>
      </c>
      <c r="B98" s="10">
        <f>IF(Tribes!G117="","",Tribes!G117)</f>
        <v>559686</v>
      </c>
      <c r="C98" s="10"/>
    </row>
    <row r="99" spans="1:3" ht="12.75">
      <c r="A99" s="15" t="s">
        <v>138</v>
      </c>
      <c r="B99" s="10">
        <f>IF(Tribes!G118="","",Tribes!G118)</f>
        <v>638934</v>
      </c>
      <c r="C99" s="10"/>
    </row>
    <row r="100" spans="1:3" ht="12.75">
      <c r="A100" s="15" t="s">
        <v>139</v>
      </c>
      <c r="B100" s="10">
        <f>IF(Tribes!G119="","",Tribes!G119)</f>
        <v>163461</v>
      </c>
      <c r="C100" s="10"/>
    </row>
    <row r="101" spans="1:3" ht="12.75">
      <c r="A101" s="15" t="s">
        <v>140</v>
      </c>
      <c r="B101" s="10">
        <f>IF(Tribes!G120="","",Tribes!G120)</f>
        <v>626549</v>
      </c>
      <c r="C101" s="10"/>
    </row>
    <row r="102" spans="1:3" ht="12.75">
      <c r="A102" s="15" t="s">
        <v>141</v>
      </c>
      <c r="B102" s="10">
        <f>IF(Tribes!G121="","",Tribes!G121)</f>
        <v>225359</v>
      </c>
      <c r="C102" s="10"/>
    </row>
    <row r="103" spans="1:3" ht="12.75">
      <c r="A103" s="15" t="s">
        <v>142</v>
      </c>
      <c r="B103" s="10">
        <f>IF(Tribes!G122="","",Tribes!G122)</f>
        <v>294704</v>
      </c>
      <c r="C103" s="10"/>
    </row>
    <row r="104" spans="1:3" ht="12.75">
      <c r="A104" s="15"/>
      <c r="B104" s="10">
        <f>IF(Tribes!G123="","",Tribes!G123)</f>
      </c>
      <c r="C104" s="10"/>
    </row>
    <row r="105" spans="1:3" ht="12.75">
      <c r="A105" s="18" t="s">
        <v>29</v>
      </c>
      <c r="B105" s="10">
        <f>IF(Tribes!G124="","",Tribes!G124)</f>
      </c>
      <c r="C105" s="10"/>
    </row>
    <row r="106" spans="1:3" ht="12.75">
      <c r="A106" s="15" t="s">
        <v>143</v>
      </c>
      <c r="B106" s="10">
        <f>IF(Tribes!G125="","",Tribes!G125)</f>
        <v>7200</v>
      </c>
      <c r="C106" s="10"/>
    </row>
    <row r="107" spans="1:3" ht="12.75">
      <c r="A107" s="16"/>
      <c r="B107" s="10">
        <f>IF(Tribes!G126="","",Tribes!G126)</f>
      </c>
      <c r="C107" s="10"/>
    </row>
    <row r="108" spans="1:3" ht="12.75">
      <c r="A108" s="18" t="s">
        <v>32</v>
      </c>
      <c r="B108" s="10">
        <f>IF(Tribes!G127="","",Tribes!G127)</f>
      </c>
      <c r="C108" s="10"/>
    </row>
    <row r="109" spans="1:3" ht="12.75">
      <c r="A109" s="15" t="s">
        <v>144</v>
      </c>
      <c r="B109" s="10">
        <f>IF(Tribes!G128="","",Tribes!G128)</f>
        <v>189980</v>
      </c>
      <c r="C109" s="10"/>
    </row>
    <row r="110" spans="1:3" ht="12.75">
      <c r="A110" s="16"/>
      <c r="B110" s="10">
        <f>IF(Tribes!G139="","",Tribes!G139)</f>
      </c>
      <c r="C110" s="10"/>
    </row>
    <row r="111" spans="1:3" ht="12.75">
      <c r="A111" s="18" t="s">
        <v>33</v>
      </c>
      <c r="B111" s="10">
        <f>IF(Tribes!G140="","",Tribes!G140)</f>
      </c>
      <c r="C111" s="10"/>
    </row>
    <row r="112" spans="1:3" ht="12.75">
      <c r="A112" s="15" t="s">
        <v>145</v>
      </c>
      <c r="B112" s="10">
        <f>IF(Tribes!G141="","",Tribes!G141)</f>
        <v>17163</v>
      </c>
      <c r="C112" s="10"/>
    </row>
    <row r="113" spans="1:3" ht="12.75">
      <c r="A113" s="15" t="s">
        <v>146</v>
      </c>
      <c r="B113" s="10">
        <f>IF(Tribes!G142="","",Tribes!G142)</f>
        <v>17098</v>
      </c>
      <c r="C113" s="10"/>
    </row>
    <row r="114" spans="1:3" ht="12.75">
      <c r="A114" s="15" t="s">
        <v>147</v>
      </c>
      <c r="B114" s="10">
        <f>IF(Tribes!G143="","",Tribes!G143)</f>
        <v>651081</v>
      </c>
      <c r="C114" s="10"/>
    </row>
    <row r="115" spans="1:3" ht="12.75">
      <c r="A115" s="43" t="s">
        <v>270</v>
      </c>
      <c r="B115" s="10">
        <f>IF(Tribes!G144="","",Tribes!G144)</f>
        <v>13102</v>
      </c>
      <c r="C115" s="10"/>
    </row>
    <row r="116" spans="1:3" ht="12.75">
      <c r="A116" s="15" t="s">
        <v>148</v>
      </c>
      <c r="B116" s="10">
        <f>IF(Tribes!G145="","",Tribes!G145)</f>
        <v>62363</v>
      </c>
      <c r="C116" s="10"/>
    </row>
    <row r="117" spans="1:3" ht="12.75">
      <c r="A117" s="16"/>
      <c r="B117" s="10">
        <f>IF(Tribes!G134="","",Tribes!G134)</f>
      </c>
      <c r="C117" s="10"/>
    </row>
    <row r="118" spans="1:3" ht="12.75">
      <c r="A118" s="18" t="s">
        <v>34</v>
      </c>
      <c r="B118" s="10">
        <f>IF(Tribes!G147="","",Tribes!G147)</f>
      </c>
      <c r="C118" s="10"/>
    </row>
    <row r="119" spans="1:3" ht="12.75">
      <c r="A119" s="15" t="s">
        <v>149</v>
      </c>
      <c r="B119" s="10">
        <f>IF(Tribes!G148="","",Tribes!G148)</f>
        <v>201507</v>
      </c>
      <c r="C119" s="10"/>
    </row>
    <row r="120" spans="1:3" ht="12.75">
      <c r="A120" s="15" t="s">
        <v>150</v>
      </c>
      <c r="B120" s="10">
        <f>IF(Tribes!G149="","",Tribes!G149)</f>
        <v>228483</v>
      </c>
      <c r="C120" s="10"/>
    </row>
    <row r="121" spans="1:3" ht="12.75">
      <c r="A121" s="16"/>
      <c r="B121" s="10">
        <f>IF(Tribes!G150="","",Tribes!G150)</f>
      </c>
      <c r="C121" s="10"/>
    </row>
    <row r="122" spans="1:3" ht="12.75">
      <c r="A122" s="18" t="s">
        <v>35</v>
      </c>
      <c r="B122" s="10">
        <f>IF(Tribes!G151="","",Tribes!G151)</f>
      </c>
      <c r="C122" s="10"/>
    </row>
    <row r="123" spans="1:3" ht="12.75">
      <c r="A123" s="15" t="s">
        <v>151</v>
      </c>
      <c r="B123" s="10">
        <f>IF(Tribes!G152="","",Tribes!G152)</f>
        <v>657597</v>
      </c>
      <c r="C123" s="10"/>
    </row>
    <row r="124" spans="1:3" ht="12.75">
      <c r="A124" s="16"/>
      <c r="B124" s="10">
        <f>IF(Tribes!G153="","",Tribes!G153)</f>
      </c>
      <c r="C124" s="10"/>
    </row>
    <row r="125" spans="1:3" ht="12.75">
      <c r="A125" s="18" t="s">
        <v>36</v>
      </c>
      <c r="B125" s="10">
        <f>IF(Tribes!G154="","",Tribes!G154)</f>
      </c>
      <c r="C125" s="10"/>
    </row>
    <row r="126" spans="1:3" ht="12.75">
      <c r="A126" s="15" t="s">
        <v>152</v>
      </c>
      <c r="B126" s="10">
        <f>IF(Tribes!G155="","",Tribes!G155)</f>
        <v>701544</v>
      </c>
      <c r="C126" s="10"/>
    </row>
    <row r="127" spans="1:3" ht="12.75">
      <c r="A127" s="15" t="s">
        <v>153</v>
      </c>
      <c r="B127" s="10">
        <f>IF(Tribes!G156="","",Tribes!G156)</f>
        <v>608004</v>
      </c>
      <c r="C127" s="10"/>
    </row>
    <row r="128" spans="1:3" ht="12.75">
      <c r="A128" s="15" t="s">
        <v>154</v>
      </c>
      <c r="B128" s="10">
        <f>IF(Tribes!G157="","",Tribes!G157)</f>
        <v>608004</v>
      </c>
      <c r="C128" s="10"/>
    </row>
    <row r="129" spans="1:3" ht="12.75">
      <c r="A129" s="15" t="s">
        <v>155</v>
      </c>
      <c r="B129" s="10">
        <f>IF(Tribes!G158="","",Tribes!G158)</f>
        <v>1498185</v>
      </c>
      <c r="C129" s="10"/>
    </row>
    <row r="130" spans="1:3" ht="12.75">
      <c r="A130" s="16"/>
      <c r="B130" s="10">
        <f>IF(Tribes!G164="","",Tribes!G164)</f>
      </c>
      <c r="C130" s="10"/>
    </row>
    <row r="131" spans="1:3" ht="12.75">
      <c r="A131" s="18" t="s">
        <v>38</v>
      </c>
      <c r="B131" s="10">
        <f>IF(Tribes!G165="","",Tribes!G165)</f>
      </c>
      <c r="C131" s="10"/>
    </row>
    <row r="132" spans="1:3" ht="12.75">
      <c r="A132" s="15" t="s">
        <v>156</v>
      </c>
      <c r="B132" s="10">
        <f>IF(Tribes!G166="","",Tribes!G166)</f>
        <v>8979</v>
      </c>
      <c r="C132" s="10"/>
    </row>
    <row r="133" spans="1:3" ht="12.75">
      <c r="A133" s="15" t="s">
        <v>157</v>
      </c>
      <c r="B133" s="10">
        <f>IF(Tribes!G167="","",Tribes!G167)</f>
        <v>5755</v>
      </c>
      <c r="C133" s="10"/>
    </row>
    <row r="134" spans="1:3" ht="12.75">
      <c r="A134" s="15" t="s">
        <v>158</v>
      </c>
      <c r="B134" s="10">
        <f>IF(Tribes!G168="","",Tribes!G168)</f>
        <v>7735</v>
      </c>
      <c r="C134" s="10"/>
    </row>
    <row r="135" spans="1:3" ht="12.75">
      <c r="A135" s="15" t="s">
        <v>159</v>
      </c>
      <c r="B135" s="10">
        <f>IF(Tribes!G169="","",Tribes!G169)</f>
        <v>9025</v>
      </c>
      <c r="C135" s="10"/>
    </row>
    <row r="136" spans="1:3" ht="12.75">
      <c r="A136" s="15" t="s">
        <v>160</v>
      </c>
      <c r="B136" s="10">
        <f>IF(Tribes!G170="","",Tribes!G170)</f>
        <v>557910</v>
      </c>
      <c r="C136" s="10"/>
    </row>
    <row r="137" spans="1:3" ht="12.75">
      <c r="A137" s="15" t="s">
        <v>161</v>
      </c>
      <c r="B137" s="10">
        <f>IF(Tribes!G171="","",Tribes!G171)</f>
        <v>29238</v>
      </c>
      <c r="C137" s="10"/>
    </row>
    <row r="138" spans="1:3" ht="12.75">
      <c r="A138" s="15" t="s">
        <v>162</v>
      </c>
      <c r="B138" s="10">
        <f>IF(Tribes!G172="","",Tribes!G172)</f>
        <v>75111</v>
      </c>
      <c r="C138" s="10"/>
    </row>
    <row r="139" spans="1:3" ht="12.75">
      <c r="A139" s="15" t="s">
        <v>163</v>
      </c>
      <c r="B139" s="10">
        <f>IF(Tribes!G173="","",Tribes!G173)</f>
        <v>210872</v>
      </c>
      <c r="C139" s="10"/>
    </row>
    <row r="140" spans="1:3" ht="12.75">
      <c r="A140" s="15" t="s">
        <v>164</v>
      </c>
      <c r="B140" s="10">
        <f>IF(Tribes!G174="","",Tribes!G174)</f>
        <v>11787</v>
      </c>
      <c r="C140" s="10"/>
    </row>
    <row r="141" spans="1:3" ht="12.75">
      <c r="A141" s="15" t="s">
        <v>165</v>
      </c>
      <c r="B141" s="10">
        <f>IF(Tribes!G175="","",Tribes!G175)</f>
        <v>33670</v>
      </c>
      <c r="C141" s="10"/>
    </row>
    <row r="142" spans="1:3" ht="12.75">
      <c r="A142" s="15" t="s">
        <v>166</v>
      </c>
      <c r="B142" s="10">
        <f>IF(Tribes!G176="","",Tribes!G176)</f>
        <v>4000</v>
      </c>
      <c r="C142" s="10"/>
    </row>
    <row r="143" spans="1:3" ht="12.75">
      <c r="A143" s="15" t="s">
        <v>167</v>
      </c>
      <c r="B143" s="10">
        <f>IF(Tribes!G177="","",Tribes!G177)</f>
        <v>4000</v>
      </c>
      <c r="C143" s="10"/>
    </row>
    <row r="144" spans="1:3" ht="12.75">
      <c r="A144" s="15" t="s">
        <v>168</v>
      </c>
      <c r="B144" s="10">
        <f>IF(Tribes!G178="","",Tribes!G178)</f>
        <v>7827</v>
      </c>
      <c r="C144" s="10"/>
    </row>
    <row r="145" spans="1:3" ht="12.75">
      <c r="A145" s="15" t="s">
        <v>169</v>
      </c>
      <c r="B145" s="10">
        <f>IF(Tribes!G179="","",Tribes!G179)</f>
        <v>4604</v>
      </c>
      <c r="C145" s="10"/>
    </row>
    <row r="146" spans="1:3" ht="12.75">
      <c r="A146" s="15" t="s">
        <v>170</v>
      </c>
      <c r="B146" s="10">
        <f>IF(Tribes!G180="","",Tribes!G180)</f>
        <v>4000</v>
      </c>
      <c r="C146" s="10"/>
    </row>
    <row r="147" spans="1:3" ht="12.75">
      <c r="A147" s="15" t="s">
        <v>171</v>
      </c>
      <c r="B147" s="10">
        <f>IF(Tribes!G181="","",Tribes!G181)</f>
        <v>140755</v>
      </c>
      <c r="C147" s="10"/>
    </row>
    <row r="148" spans="1:3" ht="12.75">
      <c r="A148" s="15" t="s">
        <v>172</v>
      </c>
      <c r="B148" s="10">
        <f>IF(Tribes!G182="","",Tribes!G182)</f>
        <v>53311</v>
      </c>
      <c r="C148" s="10"/>
    </row>
    <row r="149" spans="1:3" ht="12.75">
      <c r="A149" s="15" t="s">
        <v>173</v>
      </c>
      <c r="B149" s="10">
        <f>IF(Tribes!G183="","",Tribes!G183)</f>
        <v>4236</v>
      </c>
      <c r="C149" s="10"/>
    </row>
    <row r="150" spans="1:3" ht="12.75">
      <c r="A150" s="15" t="s">
        <v>174</v>
      </c>
      <c r="B150" s="10">
        <f>IF(Tribes!G184="","",Tribes!G184)</f>
        <v>4000</v>
      </c>
      <c r="C150" s="10"/>
    </row>
    <row r="151" spans="1:3" ht="12.75">
      <c r="A151" s="15" t="s">
        <v>175</v>
      </c>
      <c r="B151" s="10">
        <f>IF(Tribes!G185="","",Tribes!G185)</f>
        <v>4789</v>
      </c>
      <c r="C151" s="10"/>
    </row>
    <row r="152" spans="1:3" ht="12.75">
      <c r="A152" s="15" t="s">
        <v>176</v>
      </c>
      <c r="B152" s="10">
        <f>IF(Tribes!G186="","",Tribes!G186)</f>
        <v>10360</v>
      </c>
      <c r="C152" s="10"/>
    </row>
    <row r="153" spans="1:3" ht="12.75">
      <c r="A153" s="15" t="s">
        <v>177</v>
      </c>
      <c r="B153" s="10">
        <f>IF(Tribes!G187="","",Tribes!G187)</f>
        <v>11327</v>
      </c>
      <c r="C153" s="10"/>
    </row>
    <row r="154" spans="1:3" ht="12.75">
      <c r="A154" s="15" t="s">
        <v>178</v>
      </c>
      <c r="B154" s="10">
        <f>IF(Tribes!G188="","",Tribes!G188)</f>
        <v>9929</v>
      </c>
      <c r="C154" s="10"/>
    </row>
    <row r="155" spans="1:3" ht="12.75">
      <c r="A155" s="15" t="s">
        <v>179</v>
      </c>
      <c r="B155" s="10">
        <f>IF(Tribes!G189="","",Tribes!G189)</f>
        <v>27902</v>
      </c>
      <c r="C155" s="10"/>
    </row>
    <row r="156" spans="1:3" ht="12.75">
      <c r="A156" s="15" t="s">
        <v>180</v>
      </c>
      <c r="B156" s="10">
        <f>IF(Tribes!G190="","",Tribes!G190)</f>
        <v>5479</v>
      </c>
      <c r="C156" s="10"/>
    </row>
    <row r="157" spans="1:3" ht="12.75">
      <c r="A157" s="15" t="s">
        <v>181</v>
      </c>
      <c r="B157" s="10">
        <f>IF(Tribes!G191="","",Tribes!G191)</f>
        <v>4000</v>
      </c>
      <c r="C157" s="10"/>
    </row>
    <row r="158" spans="1:3" ht="12.75">
      <c r="A158" s="15" t="s">
        <v>182</v>
      </c>
      <c r="B158" s="10">
        <f>IF(Tribes!G192="","",Tribes!G192)</f>
        <v>4000</v>
      </c>
      <c r="C158" s="10"/>
    </row>
    <row r="159" spans="1:3" ht="12.75">
      <c r="A159" s="15" t="s">
        <v>183</v>
      </c>
      <c r="B159" s="10">
        <f>IF(Tribes!G193="","",Tribes!G193)</f>
        <v>119713</v>
      </c>
      <c r="C159" s="10"/>
    </row>
    <row r="160" spans="1:3" ht="12.75">
      <c r="A160" s="15" t="s">
        <v>184</v>
      </c>
      <c r="B160" s="10">
        <f>IF(Tribes!G194="","",Tribes!G194)</f>
        <v>4098</v>
      </c>
      <c r="C160" s="10"/>
    </row>
    <row r="161" spans="1:3" ht="12.75">
      <c r="A161" s="15" t="s">
        <v>185</v>
      </c>
      <c r="B161" s="10">
        <f>IF(Tribes!G195="","",Tribes!G195)</f>
      </c>
      <c r="C161" s="10"/>
    </row>
    <row r="162" spans="1:3" ht="12.75">
      <c r="A162" s="18" t="s">
        <v>39</v>
      </c>
      <c r="B162" s="10">
        <f>IF(Tribes!G196="","",Tribes!G196)</f>
      </c>
      <c r="C162" s="10"/>
    </row>
    <row r="163" spans="1:3" ht="12.75">
      <c r="A163" s="15" t="s">
        <v>186</v>
      </c>
      <c r="B163" s="10">
        <f>IF(Tribes!G197="","",Tribes!G197)</f>
        <v>118845</v>
      </c>
      <c r="C163" s="10"/>
    </row>
    <row r="164" spans="1:3" ht="12.75">
      <c r="A164" s="43" t="s">
        <v>271</v>
      </c>
      <c r="B164" s="10">
        <f>IF(Tribes!G198="","",Tribes!G198)</f>
        <v>114665</v>
      </c>
      <c r="C164" s="10"/>
    </row>
    <row r="165" spans="1:3" ht="12.75">
      <c r="A165" s="15" t="s">
        <v>187</v>
      </c>
      <c r="B165" s="10">
        <f>IF(Tribes!G199="","",Tribes!G199)</f>
        <v>114665</v>
      </c>
      <c r="C165" s="10"/>
    </row>
    <row r="166" spans="1:3" ht="12.75">
      <c r="A166" s="15" t="s">
        <v>188</v>
      </c>
      <c r="B166" s="10">
        <f>IF(Tribes!G200="","",Tribes!G200)</f>
        <v>12000</v>
      </c>
      <c r="C166" s="10"/>
    </row>
    <row r="167" spans="1:3" ht="12.75">
      <c r="A167" s="15" t="s">
        <v>189</v>
      </c>
      <c r="B167" s="10">
        <f>IF(Tribes!G201="","",Tribes!G201)</f>
        <v>170177</v>
      </c>
      <c r="C167" s="10"/>
    </row>
    <row r="168" spans="1:3" ht="12.75">
      <c r="A168" s="17"/>
      <c r="B168" s="10">
        <f>IF(Tribes!G159="","",Tribes!G159)</f>
      </c>
      <c r="C168" s="10"/>
    </row>
    <row r="169" spans="1:3" ht="12.75">
      <c r="A169" s="18" t="s">
        <v>41</v>
      </c>
      <c r="B169" s="10">
        <f>IF(Tribes!G203="","",Tribes!G203)</f>
      </c>
      <c r="C169" s="10"/>
    </row>
    <row r="170" spans="1:3" ht="12.75">
      <c r="A170" s="15" t="s">
        <v>190</v>
      </c>
      <c r="B170" s="10">
        <f>IF(Tribes!G204="","",Tribes!G204)</f>
        <v>38177</v>
      </c>
      <c r="C170" s="10"/>
    </row>
    <row r="171" spans="1:3" ht="12.75">
      <c r="A171" s="17"/>
      <c r="B171" s="10">
        <f>IF(Tribes!G205="","",Tribes!G205)</f>
      </c>
      <c r="C171" s="10"/>
    </row>
    <row r="172" spans="1:3" ht="12.75">
      <c r="A172" s="18" t="s">
        <v>43</v>
      </c>
      <c r="B172" s="10">
        <f>IF(Tribes!G212="","",Tribes!G212)</f>
      </c>
      <c r="C172" s="10"/>
    </row>
    <row r="173" spans="1:3" ht="12.75">
      <c r="A173" s="15" t="s">
        <v>191</v>
      </c>
      <c r="B173" s="10">
        <f>IF(Tribes!G213="","",Tribes!G213)</f>
        <v>357060</v>
      </c>
      <c r="C173" s="10"/>
    </row>
    <row r="174" spans="1:3" ht="12.75">
      <c r="A174" s="15" t="s">
        <v>192</v>
      </c>
      <c r="B174" s="10">
        <f>IF(Tribes!G214="","",Tribes!G214)</f>
        <v>48114</v>
      </c>
      <c r="C174" s="10"/>
    </row>
    <row r="175" spans="1:3" ht="12.75">
      <c r="A175" s="15" t="s">
        <v>193</v>
      </c>
      <c r="B175" s="10">
        <f>IF(Tribes!G215="","",Tribes!G215)</f>
        <v>739443</v>
      </c>
      <c r="C175" s="10"/>
    </row>
    <row r="176" spans="1:3" ht="12.75">
      <c r="A176" s="15" t="s">
        <v>194</v>
      </c>
      <c r="B176" s="10">
        <f>IF(Tribes!G216="","",Tribes!G216)</f>
        <v>582438</v>
      </c>
      <c r="C176" s="10"/>
    </row>
    <row r="177" spans="1:3" ht="12.75">
      <c r="A177" s="15" t="s">
        <v>195</v>
      </c>
      <c r="B177" s="10">
        <f>IF(Tribes!G217="","",Tribes!G217)</f>
        <v>235508</v>
      </c>
      <c r="C177" s="10"/>
    </row>
    <row r="178" spans="1:3" ht="12.75">
      <c r="A178" s="15" t="s">
        <v>196</v>
      </c>
      <c r="B178" s="10">
        <f>IF(Tribes!G218="","",Tribes!G218)</f>
        <v>146876</v>
      </c>
      <c r="C178" s="10"/>
    </row>
    <row r="179" spans="1:3" ht="12.75">
      <c r="A179" s="15" t="s">
        <v>197</v>
      </c>
      <c r="B179" s="10">
        <f>IF(Tribes!G219="","",Tribes!G219)</f>
        <v>141811</v>
      </c>
      <c r="C179" s="10"/>
    </row>
    <row r="180" spans="1:3" ht="12.75">
      <c r="A180" s="15"/>
      <c r="B180" s="10">
        <f>IF(Tribes!G220="","",Tribes!G220)</f>
      </c>
      <c r="C180" s="10"/>
    </row>
    <row r="181" spans="1:3" ht="12.75">
      <c r="A181" s="18" t="s">
        <v>46</v>
      </c>
      <c r="B181" s="10">
        <f>IF(Tribes!G221="","",Tribes!G221)</f>
      </c>
      <c r="C181" s="10"/>
    </row>
    <row r="182" spans="1:3" ht="12.75">
      <c r="A182" s="15" t="s">
        <v>147</v>
      </c>
      <c r="B182" s="10">
        <f>IF(Tribes!G222="","",Tribes!G222)</f>
        <v>131063</v>
      </c>
      <c r="C182" s="10"/>
    </row>
    <row r="183" spans="1:3" ht="12.75">
      <c r="A183" s="15" t="s">
        <v>198</v>
      </c>
      <c r="B183" s="10">
        <f>IF(Tribes!G223="","",Tribes!G223)</f>
        <v>60000</v>
      </c>
      <c r="C183" s="10"/>
    </row>
    <row r="184" spans="1:3" ht="12.75">
      <c r="A184" s="15" t="s">
        <v>199</v>
      </c>
      <c r="B184" s="10">
        <f>IF(Tribes!G224="","",Tribes!G224)</f>
        <v>100000</v>
      </c>
      <c r="C184" s="10"/>
    </row>
    <row r="185" spans="1:3" ht="12.75">
      <c r="A185" s="16"/>
      <c r="B185" s="10">
        <f>IF(Tribes!G225="","",Tribes!G225)</f>
      </c>
      <c r="C185" s="10"/>
    </row>
    <row r="186" spans="1:3" ht="12.75">
      <c r="A186" s="18" t="s">
        <v>49</v>
      </c>
      <c r="B186" s="10">
        <f>IF(Tribes!G226="","",Tribes!G226)</f>
      </c>
      <c r="C186" s="10"/>
    </row>
    <row r="187" spans="1:3" ht="12.75">
      <c r="A187" s="15" t="s">
        <v>200</v>
      </c>
      <c r="B187" s="10">
        <f>IF(Tribes!G227="","",Tribes!G227)</f>
        <v>338701</v>
      </c>
      <c r="C187" s="10"/>
    </row>
    <row r="188" spans="1:3" ht="12.75">
      <c r="A188" s="15" t="s">
        <v>201</v>
      </c>
      <c r="B188" s="10">
        <f>IF(Tribes!G228="","",Tribes!G228)</f>
        <v>8460</v>
      </c>
      <c r="C188" s="10"/>
    </row>
    <row r="189" spans="1:3" ht="12.75">
      <c r="A189" s="15" t="s">
        <v>202</v>
      </c>
      <c r="B189" s="10">
        <f>IF(Tribes!G229="","",Tribes!G229)</f>
        <v>9877</v>
      </c>
      <c r="C189" s="10"/>
    </row>
    <row r="190" spans="1:3" ht="12.75">
      <c r="A190" s="15" t="s">
        <v>203</v>
      </c>
      <c r="B190" s="10">
        <f>IF(Tribes!G230="","",Tribes!G230)</f>
        <v>9877</v>
      </c>
      <c r="C190" s="10"/>
    </row>
    <row r="191" spans="1:3" ht="12.75">
      <c r="A191" s="15" t="s">
        <v>204</v>
      </c>
      <c r="B191" s="10">
        <f>IF(Tribes!G231="","",Tribes!G231)</f>
        <v>24153</v>
      </c>
      <c r="C191" s="10"/>
    </row>
    <row r="192" spans="1:3" ht="12.75">
      <c r="A192" s="15" t="s">
        <v>205</v>
      </c>
      <c r="B192" s="10">
        <f>IF(Tribes!G232="","",Tribes!G232)</f>
        <v>99931</v>
      </c>
      <c r="C192" s="10"/>
    </row>
    <row r="193" spans="1:3" ht="12.75">
      <c r="A193" s="15" t="s">
        <v>206</v>
      </c>
      <c r="B193" s="10">
        <f>IF(Tribes!G233="","",Tribes!G233)</f>
        <v>77937</v>
      </c>
      <c r="C193" s="10"/>
    </row>
    <row r="194" spans="1:3" ht="12.75">
      <c r="A194" s="15" t="s">
        <v>207</v>
      </c>
      <c r="B194" s="10">
        <f>IF(Tribes!G234="","",Tribes!G234)</f>
        <v>35670</v>
      </c>
      <c r="C194" s="10"/>
    </row>
    <row r="195" spans="1:3" ht="12.75">
      <c r="A195" s="15" t="s">
        <v>208</v>
      </c>
      <c r="B195" s="10">
        <f>IF(Tribes!G235="","",Tribes!G235)</f>
        <v>27432</v>
      </c>
      <c r="C195" s="10"/>
    </row>
    <row r="196" spans="1:3" ht="12.75">
      <c r="A196" s="15" t="s">
        <v>209</v>
      </c>
      <c r="B196" s="10">
        <f>IF(Tribes!G236="","",Tribes!G236)</f>
        <v>16475</v>
      </c>
      <c r="C196" s="10"/>
    </row>
    <row r="197" spans="1:3" ht="12.75">
      <c r="A197" s="15" t="s">
        <v>210</v>
      </c>
      <c r="B197" s="10">
        <f>IF(Tribes!G237="","",Tribes!G237)</f>
        <v>111447</v>
      </c>
      <c r="C197" s="10"/>
    </row>
    <row r="198" spans="1:3" ht="12.75">
      <c r="A198" s="15" t="s">
        <v>211</v>
      </c>
      <c r="B198" s="10">
        <f>IF(Tribes!G238="","",Tribes!G238)</f>
        <v>31831</v>
      </c>
      <c r="C198" s="10"/>
    </row>
    <row r="199" spans="1:3" ht="12.75">
      <c r="A199" s="15" t="s">
        <v>212</v>
      </c>
      <c r="B199" s="10">
        <f>IF(Tribes!G239="","",Tribes!G239)</f>
        <v>86735</v>
      </c>
      <c r="C199" s="10"/>
    </row>
    <row r="200" spans="1:3" ht="12.75">
      <c r="A200" s="15" t="s">
        <v>213</v>
      </c>
      <c r="B200" s="10">
        <f>IF(Tribes!G240="","",Tribes!G240)</f>
        <v>32910</v>
      </c>
      <c r="C200" s="10"/>
    </row>
    <row r="201" spans="1:3" ht="12.75">
      <c r="A201" s="15" t="s">
        <v>214</v>
      </c>
      <c r="B201" s="10">
        <f>IF(Tribes!G241="","",Tribes!G241)</f>
        <v>52665</v>
      </c>
      <c r="C201" s="10"/>
    </row>
    <row r="202" spans="1:3" ht="12.75">
      <c r="A202" s="15" t="s">
        <v>215</v>
      </c>
      <c r="B202" s="10">
        <f>IF(Tribes!G242="","",Tribes!G242)</f>
        <v>111247</v>
      </c>
      <c r="C202" s="10"/>
    </row>
    <row r="203" spans="1:3" ht="12.75">
      <c r="A203" s="15" t="s">
        <v>216</v>
      </c>
      <c r="B203" s="10">
        <f>IF(Tribes!G243="","",Tribes!G243)</f>
        <v>69740</v>
      </c>
      <c r="C203" s="10"/>
    </row>
    <row r="204" spans="1:3" ht="12.75">
      <c r="A204" s="15" t="s">
        <v>217</v>
      </c>
      <c r="B204" s="10">
        <f>IF(Tribes!G244="","",Tribes!G244)</f>
        <v>42268</v>
      </c>
      <c r="C204" s="10"/>
    </row>
    <row r="205" spans="1:3" ht="12.75">
      <c r="A205" s="15" t="s">
        <v>218</v>
      </c>
      <c r="B205" s="10">
        <f>IF(Tribes!G245="","",Tribes!G245)</f>
        <v>359015</v>
      </c>
      <c r="C205" s="10"/>
    </row>
    <row r="206" spans="1:3" ht="12.75">
      <c r="A206" s="15"/>
      <c r="B206" s="10">
        <f>IF(Tribes!G246="","",Tribes!G246)</f>
      </c>
      <c r="C206" s="10"/>
    </row>
    <row r="207" spans="1:3" ht="12.75">
      <c r="A207" s="18" t="s">
        <v>52</v>
      </c>
      <c r="B207" s="10">
        <f>IF(Tribes!G247="","",Tribes!G247)</f>
      </c>
      <c r="C207" s="10"/>
    </row>
    <row r="208" spans="1:3" ht="13.5" thickBot="1">
      <c r="A208" s="34" t="s">
        <v>219</v>
      </c>
      <c r="B208" s="10">
        <f>IF(Tribes!G248="","",Tribes!G248)</f>
        <v>210000</v>
      </c>
      <c r="C208" s="10"/>
    </row>
    <row r="209" spans="1:2" ht="13.5" thickTop="1">
      <c r="A209" s="36" t="s">
        <v>239</v>
      </c>
      <c r="B209" s="37">
        <f>SUM(B8:B208)</f>
        <v>21279511</v>
      </c>
    </row>
    <row r="210" ht="15" customHeight="1"/>
    <row r="212" ht="12.75">
      <c r="A212" s="35"/>
    </row>
  </sheetData>
  <sheetProtection password="E68A" sheet="1" objects="1" scenarios="1"/>
  <mergeCells count="1">
    <mergeCell ref="A1:H1"/>
  </mergeCells>
  <printOptions/>
  <pageMargins left="0.75" right="0.75" top="1" bottom="1" header="0.5" footer="0.5"/>
  <pageSetup fitToHeight="0" fitToWidth="1" horizontalDpi="600" verticalDpi="600" orientation="portrait" scale="66" r:id="rId1"/>
  <headerFooter alignWithMargins="0">
    <oddHeader>&amp;R&amp;"Arial,Regular"Page &amp;P of &amp;N</oddHeader>
  </headerFooter>
  <rowBreaks count="3" manualBreakCount="3">
    <brk id="76" max="255" man="1"/>
    <brk id="132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DHHS/OS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2006-09-18T13:18:28Z</cp:lastPrinted>
  <dcterms:created xsi:type="dcterms:W3CDTF">2005-12-20T14:12:07Z</dcterms:created>
  <dcterms:modified xsi:type="dcterms:W3CDTF">2006-09-18T13:20:37Z</dcterms:modified>
  <cp:category/>
  <cp:version/>
  <cp:contentType/>
  <cp:contentStatus/>
</cp:coreProperties>
</file>