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0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<sst xmlns="http://schemas.openxmlformats.org/spreadsheetml/2006/main" count="72" uniqueCount="72">
  <si>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Braun</t>
  </si>
  <si>
    <t>Dean</t>
  </si>
  <si>
    <t>Edwards</t>
  </si>
  <si>
    <t>Gephardt</t>
  </si>
  <si>
    <t>Graham</t>
  </si>
  <si>
    <t>Kerry</t>
  </si>
  <si>
    <t>Kucinich</t>
  </si>
  <si>
    <t>Lieberman</t>
  </si>
  <si>
    <t>Sharpton</t>
  </si>
  <si>
    <t>Bush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</si>
  <si>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</si>
  <si>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</si>
  <si>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</si>
  <si>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</si>
  <si>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</si>
  <si>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</si>
  <si>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</si>
  <si>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</si>
  <si>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</si>
  <si>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</si>
  <si>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</si>
  <si>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</si>
  <si>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</si>
  <si>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</si>
  <si>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</si>
  <si>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</si>
  <si>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</si>
  <si>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</si>
  <si>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</si>
  <si>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</si>
  <si>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</si>
  <si>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</si>
  <si>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</si>
  <si>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</si>
  <si>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</si>
  <si>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</si>
  <si>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</si>
  <si>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</si>
  <si>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</si>
  <si>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</si>
  <si>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</si>
  <si>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</si>
  <si>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</si>
  <si>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</si>
  <si>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</si>
  <si>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</si>
  <si>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</si>
  <si>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</si>
  <si>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</si>
  <si>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</si>
  <si>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</si>
  <si>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</si>
  <si>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</si>
  <si>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</si>
  <si>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</si>
  <si>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</si>
  <si>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</si>
  <si>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</si>
  <si>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</si>
  <si>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</si>
  <si>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</si>
  <si>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</si>
  <si>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</si>
  <si>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</si>
  <si>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</si>
  <si>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ZZ</t>
  </si>
  <si>
    <t>Total</t>
  </si>
  <si>
    <t>Individual Contributions of $200 or More</t>
  </si>
  <si>
    <t>to Presidential Pre-Nomination Campaigns</t>
  </si>
  <si>
    <t>by State of the Contributor</t>
  </si>
  <si>
    <t>State</t>
  </si>
  <si>
    <t>Blank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</si>
</sst>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34">
      <selection activeCell="A5" sqref="A5"/>
    </sheetView>
  </sheetViews>
  <sheetFormatPr defaultColWidth="9.140625" defaultRowHeight="12.75"/>
  <cols>
    <col min="1" max="1" width="5.421875" style="1" bestFit="1" customWidth="1"/>
    <col min="2" max="2" width="10.140625" style="2" hidden="1" customWidth="1"/>
    <col min="3" max="3" width="9.00390625" style="2" hidden="1" customWidth="1"/>
    <col min="4" max="4" width="9.00390625" style="2" customWidth="1"/>
    <col min="5" max="5" width="10.140625" style="2" customWidth="1"/>
    <col min="6" max="6" width="11.140625" style="2" hidden="1" customWidth="1"/>
    <col min="7" max="7" width="9.00390625" style="2" hidden="1" customWidth="1"/>
    <col min="8" max="9" width="11.140625" style="2" customWidth="1"/>
    <col min="10" max="10" width="10.140625" style="2" customWidth="1"/>
    <col min="11" max="11" width="11.140625" style="2" customWidth="1"/>
    <col min="12" max="12" width="10.421875" style="2" customWidth="1"/>
    <col min="13" max="14" width="0" style="2" hidden="1" customWidth="1"/>
    <col min="15" max="15" width="12.8515625" style="2" customWidth="1"/>
    <col min="16" max="16" width="11.00390625" style="2" customWidth="1"/>
    <col min="17" max="17" width="11.140625" style="2" customWidth="1"/>
    <col min="19" max="19" width="9.140625" style="0" hidden="1" customWidth="1"/>
    <col min="20" max="20" width="0" style="0" hidden="1" customWidth="1"/>
  </cols>
  <sheetData>
    <row r="1" ht="12.75">
      <c r="J1" s="6" t="s">
        <v>67</v>
      </c>
    </row>
    <row r="2" ht="12.75">
      <c r="J2" s="6" t="s">
        <v>68</v>
      </c>
    </row>
    <row r="3" ht="12.75">
      <c r="J3" s="6" t="s">
        <v>69</v>
      </c>
    </row>
    <row r="4" spans="1:20" s="8" customFormat="1" ht="12.75">
      <c r="A4" s="7" t="s">
        <v>70</v>
      </c>
      <c r="B4" s="5">
        <v>2004</v>
      </c>
      <c r="C4" s="5">
        <v>2002</v>
      </c>
      <c r="D4" s="6" t="s">
        <v>0</v>
      </c>
      <c r="E4" s="6" t="s">
        <v>1</v>
      </c>
      <c r="F4" s="5">
        <v>2004</v>
      </c>
      <c r="G4" s="5">
        <v>2002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5">
        <v>2004</v>
      </c>
      <c r="N4" s="5">
        <v>2002</v>
      </c>
      <c r="O4" s="6" t="s">
        <v>7</v>
      </c>
      <c r="P4" s="6" t="s">
        <v>8</v>
      </c>
      <c r="Q4" s="6" t="s">
        <v>9</v>
      </c>
      <c r="S4" s="8">
        <v>2004</v>
      </c>
      <c r="T4" s="8">
        <v>2002</v>
      </c>
    </row>
    <row r="5" spans="1:20" s="3" customFormat="1" ht="12.75">
      <c r="A5" s="1" t="s">
        <v>71</v>
      </c>
      <c r="B5" s="2">
        <v>23410</v>
      </c>
      <c r="C5" s="2">
        <v>28807</v>
      </c>
      <c r="D5" s="4">
        <v>5351</v>
      </c>
      <c r="E5" s="2">
        <f>SUM(B5:C5)</f>
        <v>52217</v>
      </c>
      <c r="F5" s="2">
        <v>119800</v>
      </c>
      <c r="G5" s="2"/>
      <c r="H5" s="4">
        <v>4500</v>
      </c>
      <c r="I5" s="4">
        <v>9750</v>
      </c>
      <c r="J5" s="4"/>
      <c r="K5" s="2">
        <f>SUM(F5:G5)</f>
        <v>119800</v>
      </c>
      <c r="L5" s="4"/>
      <c r="M5" s="2">
        <v>1000</v>
      </c>
      <c r="N5" s="2"/>
      <c r="O5" s="4">
        <v>18000</v>
      </c>
      <c r="P5" s="2">
        <f>SUM(M5:N5)</f>
        <v>1000</v>
      </c>
      <c r="Q5" s="2">
        <f>SUM(S5:T5)</f>
        <v>40232</v>
      </c>
      <c r="S5">
        <f>40250-4900</f>
        <v>35350</v>
      </c>
      <c r="T5">
        <v>4882</v>
      </c>
    </row>
    <row r="6" spans="1:20" ht="12.75">
      <c r="A6" s="1" t="s">
        <v>10</v>
      </c>
      <c r="B6" s="2">
        <v>7600</v>
      </c>
      <c r="C6" s="2">
        <v>1000</v>
      </c>
      <c r="E6" s="2">
        <f>SUM(B6:C6)</f>
        <v>8600</v>
      </c>
      <c r="F6" s="2">
        <v>250</v>
      </c>
      <c r="I6" s="2">
        <v>500</v>
      </c>
      <c r="K6" s="2">
        <f>SUM(F6:G6)</f>
        <v>250</v>
      </c>
      <c r="L6" s="2">
        <v>650</v>
      </c>
      <c r="O6" s="2">
        <v>250</v>
      </c>
      <c r="Q6" s="2">
        <f>SUM(S6:T6)</f>
        <v>80750</v>
      </c>
      <c r="S6">
        <v>80500</v>
      </c>
      <c r="T6">
        <v>250</v>
      </c>
    </row>
    <row r="7" spans="1:20" ht="12.75">
      <c r="A7" s="1" t="s">
        <v>11</v>
      </c>
      <c r="B7" s="2">
        <v>7500</v>
      </c>
      <c r="D7" s="2">
        <v>250</v>
      </c>
      <c r="E7" s="2">
        <f>SUM(B7:C7)</f>
        <v>7500</v>
      </c>
      <c r="F7" s="2">
        <v>82220</v>
      </c>
      <c r="H7" s="2">
        <v>429050</v>
      </c>
      <c r="I7" s="2">
        <v>21160</v>
      </c>
      <c r="J7" s="2">
        <v>6000</v>
      </c>
      <c r="K7" s="2">
        <f>SUM(F7:G7)</f>
        <v>82220</v>
      </c>
      <c r="L7" s="2">
        <v>500</v>
      </c>
      <c r="O7" s="2">
        <v>3050</v>
      </c>
      <c r="Q7" s="2">
        <f>SUM(S7:T7)</f>
        <v>136900</v>
      </c>
      <c r="S7">
        <f>130100+3500</f>
        <v>133600</v>
      </c>
      <c r="T7">
        <v>3300</v>
      </c>
    </row>
    <row r="8" spans="1:20" ht="12.75">
      <c r="A8" s="1" t="s">
        <v>12</v>
      </c>
      <c r="B8" s="2">
        <v>13815</v>
      </c>
      <c r="E8" s="2">
        <f>SUM(B8:C8)</f>
        <v>13815</v>
      </c>
      <c r="F8" s="2">
        <v>2000</v>
      </c>
      <c r="H8" s="2">
        <f>51250-10000</f>
        <v>41250</v>
      </c>
      <c r="I8" s="2">
        <v>950</v>
      </c>
      <c r="J8" s="2">
        <v>2000</v>
      </c>
      <c r="K8" s="2">
        <f>SUM(F8:G8)</f>
        <v>2000</v>
      </c>
      <c r="L8" s="2">
        <v>2250</v>
      </c>
      <c r="O8" s="2">
        <v>250</v>
      </c>
      <c r="Q8" s="2">
        <f>SUM(S8:T8)</f>
        <v>34000</v>
      </c>
      <c r="S8">
        <f>31500+2000</f>
        <v>33500</v>
      </c>
      <c r="T8">
        <v>500</v>
      </c>
    </row>
    <row r="9" spans="1:12" ht="12.75">
      <c r="A9" s="1" t="s">
        <v>13</v>
      </c>
      <c r="L9" s="2">
        <v>1000</v>
      </c>
    </row>
    <row r="10" spans="1:20" ht="12.75">
      <c r="A10" s="1" t="s">
        <v>14</v>
      </c>
      <c r="B10" s="2">
        <v>38150</v>
      </c>
      <c r="D10" s="2">
        <v>500</v>
      </c>
      <c r="E10" s="2">
        <f aca="true" t="shared" si="0" ref="E10:E17">SUM(B10:C10)</f>
        <v>38150</v>
      </c>
      <c r="F10" s="2">
        <v>41921</v>
      </c>
      <c r="H10" s="2">
        <v>105310</v>
      </c>
      <c r="I10" s="2">
        <v>19450</v>
      </c>
      <c r="J10" s="2">
        <v>1000</v>
      </c>
      <c r="K10" s="2">
        <f aca="true" t="shared" si="1" ref="K10:K17">SUM(F10:G10)</f>
        <v>41921</v>
      </c>
      <c r="L10" s="2">
        <v>13500</v>
      </c>
      <c r="M10" s="2">
        <v>200</v>
      </c>
      <c r="O10" s="2">
        <v>68450</v>
      </c>
      <c r="P10" s="2">
        <f>SUM(M10:N10)</f>
        <v>200</v>
      </c>
      <c r="Q10" s="2">
        <f aca="true" t="shared" si="2" ref="Q10:Q41">SUM(S10:T10)</f>
        <v>174700</v>
      </c>
      <c r="S10">
        <v>171700</v>
      </c>
      <c r="T10">
        <v>3000</v>
      </c>
    </row>
    <row r="11" spans="1:20" ht="12.75">
      <c r="A11" s="1" t="s">
        <v>15</v>
      </c>
      <c r="B11" s="2">
        <f>1454106-6800</f>
        <v>1447306</v>
      </c>
      <c r="C11" s="2">
        <v>23100</v>
      </c>
      <c r="D11" s="2">
        <v>20411</v>
      </c>
      <c r="E11" s="2">
        <f t="shared" si="0"/>
        <v>1470406</v>
      </c>
      <c r="F11" s="2">
        <f>(2525120-3000)+6000</f>
        <v>2528120</v>
      </c>
      <c r="G11" s="2">
        <v>22750</v>
      </c>
      <c r="H11" s="2">
        <f>1905265-500</f>
        <v>1904765</v>
      </c>
      <c r="I11" s="2">
        <f>1193043-2000</f>
        <v>1191043</v>
      </c>
      <c r="J11" s="2">
        <v>134200</v>
      </c>
      <c r="K11" s="2">
        <f t="shared" si="1"/>
        <v>2550870</v>
      </c>
      <c r="L11" s="2">
        <f>318464-450</f>
        <v>318014</v>
      </c>
      <c r="M11" s="2">
        <v>7000</v>
      </c>
      <c r="O11" s="2">
        <v>1257530</v>
      </c>
      <c r="P11" s="2">
        <f>SUM(M11:N11)</f>
        <v>7000</v>
      </c>
      <c r="Q11" s="2">
        <f t="shared" si="2"/>
        <v>4199486</v>
      </c>
      <c r="S11">
        <f>4191810-4000</f>
        <v>4187810</v>
      </c>
      <c r="T11">
        <f>17676-6000</f>
        <v>11676</v>
      </c>
    </row>
    <row r="12" spans="1:20" ht="12.75">
      <c r="A12" s="1" t="s">
        <v>16</v>
      </c>
      <c r="B12" s="2">
        <v>90250</v>
      </c>
      <c r="C12" s="2">
        <v>1000</v>
      </c>
      <c r="D12" s="2">
        <v>5000</v>
      </c>
      <c r="E12" s="2">
        <f t="shared" si="0"/>
        <v>91250</v>
      </c>
      <c r="F12" s="2">
        <v>54100</v>
      </c>
      <c r="H12" s="2">
        <v>69900</v>
      </c>
      <c r="I12" s="2">
        <v>44899</v>
      </c>
      <c r="J12" s="2">
        <v>11550</v>
      </c>
      <c r="K12" s="2">
        <f t="shared" si="1"/>
        <v>54100</v>
      </c>
      <c r="L12" s="2">
        <v>6700</v>
      </c>
      <c r="O12" s="2">
        <v>94150</v>
      </c>
      <c r="Q12" s="2">
        <f t="shared" si="2"/>
        <v>112800</v>
      </c>
      <c r="S12">
        <v>112250</v>
      </c>
      <c r="T12">
        <f>2550-2000</f>
        <v>550</v>
      </c>
    </row>
    <row r="13" spans="1:20" ht="12.75">
      <c r="A13" s="1" t="s">
        <v>17</v>
      </c>
      <c r="B13" s="2">
        <v>94950</v>
      </c>
      <c r="C13" s="2">
        <v>9250</v>
      </c>
      <c r="D13" s="2">
        <v>3750</v>
      </c>
      <c r="E13" s="2">
        <f t="shared" si="0"/>
        <v>104200</v>
      </c>
      <c r="F13" s="2">
        <f>275400+1000</f>
        <v>276400</v>
      </c>
      <c r="G13" s="2">
        <v>4000</v>
      </c>
      <c r="H13" s="2">
        <v>192400</v>
      </c>
      <c r="I13" s="2">
        <v>59500</v>
      </c>
      <c r="J13" s="2">
        <v>3250</v>
      </c>
      <c r="K13" s="2">
        <f t="shared" si="1"/>
        <v>280400</v>
      </c>
      <c r="L13" s="2">
        <v>23450</v>
      </c>
      <c r="N13" s="2">
        <v>1000</v>
      </c>
      <c r="O13" s="2">
        <f>1554200-1200</f>
        <v>1553000</v>
      </c>
      <c r="P13" s="2">
        <f>SUM(M13:N13)</f>
        <v>1000</v>
      </c>
      <c r="Q13" s="2">
        <f t="shared" si="2"/>
        <v>628601</v>
      </c>
      <c r="S13">
        <v>624251</v>
      </c>
      <c r="T13">
        <v>4350</v>
      </c>
    </row>
    <row r="14" spans="1:20" ht="12.75">
      <c r="A14" s="1" t="s">
        <v>18</v>
      </c>
      <c r="B14" s="2">
        <f>194358-510</f>
        <v>193848</v>
      </c>
      <c r="C14" s="2">
        <v>12300</v>
      </c>
      <c r="D14" s="2">
        <v>3481</v>
      </c>
      <c r="E14" s="2">
        <f t="shared" si="0"/>
        <v>206148</v>
      </c>
      <c r="F14" s="2">
        <f>(419250-1000)+500</f>
        <v>418750</v>
      </c>
      <c r="G14" s="2">
        <v>37500</v>
      </c>
      <c r="H14" s="2">
        <v>142675</v>
      </c>
      <c r="I14" s="2">
        <v>255200</v>
      </c>
      <c r="J14" s="2">
        <v>41200</v>
      </c>
      <c r="K14" s="2">
        <f t="shared" si="1"/>
        <v>456250</v>
      </c>
      <c r="L14" s="2">
        <v>2225</v>
      </c>
      <c r="N14" s="2">
        <v>500</v>
      </c>
      <c r="O14" s="2">
        <f>225960-25</f>
        <v>225935</v>
      </c>
      <c r="P14" s="2">
        <f>SUM(M14:N14)</f>
        <v>500</v>
      </c>
      <c r="Q14" s="2">
        <f t="shared" si="2"/>
        <v>751225</v>
      </c>
      <c r="S14">
        <v>750475</v>
      </c>
      <c r="T14">
        <f>(3750-1000)-2000</f>
        <v>750</v>
      </c>
    </row>
    <row r="15" spans="1:19" ht="12.75">
      <c r="A15" s="1" t="s">
        <v>19</v>
      </c>
      <c r="B15" s="2">
        <v>5301</v>
      </c>
      <c r="C15" s="2">
        <v>500</v>
      </c>
      <c r="E15" s="2">
        <f t="shared" si="0"/>
        <v>5801</v>
      </c>
      <c r="F15" s="2">
        <v>1750</v>
      </c>
      <c r="H15" s="2">
        <v>30900</v>
      </c>
      <c r="I15" s="2">
        <v>3000</v>
      </c>
      <c r="J15" s="2">
        <v>300</v>
      </c>
      <c r="K15" s="2">
        <f t="shared" si="1"/>
        <v>1750</v>
      </c>
      <c r="L15" s="2">
        <v>250</v>
      </c>
      <c r="O15" s="2">
        <v>8500</v>
      </c>
      <c r="Q15" s="2">
        <f t="shared" si="2"/>
        <v>34850</v>
      </c>
      <c r="S15">
        <v>34850</v>
      </c>
    </row>
    <row r="16" spans="1:20" ht="12.75">
      <c r="A16" s="1" t="s">
        <v>20</v>
      </c>
      <c r="B16" s="2">
        <f>121186-350</f>
        <v>120836</v>
      </c>
      <c r="C16" s="2">
        <v>6000</v>
      </c>
      <c r="D16" s="2">
        <v>2250</v>
      </c>
      <c r="E16" s="2">
        <f t="shared" si="0"/>
        <v>126836</v>
      </c>
      <c r="F16" s="2">
        <v>551018</v>
      </c>
      <c r="G16" s="2">
        <v>25800</v>
      </c>
      <c r="H16" s="2">
        <v>435949</v>
      </c>
      <c r="I16" s="2">
        <v>272700</v>
      </c>
      <c r="J16" s="2">
        <v>2186124</v>
      </c>
      <c r="K16" s="2">
        <f t="shared" si="1"/>
        <v>576818</v>
      </c>
      <c r="L16" s="2">
        <v>15000</v>
      </c>
      <c r="O16" s="2">
        <v>473550</v>
      </c>
      <c r="Q16" s="2">
        <f t="shared" si="2"/>
        <v>2974624</v>
      </c>
      <c r="S16">
        <v>2969574</v>
      </c>
      <c r="T16">
        <f>6050-1000</f>
        <v>5050</v>
      </c>
    </row>
    <row r="17" spans="1:20" ht="12.75">
      <c r="A17" s="1" t="s">
        <v>21</v>
      </c>
      <c r="B17" s="2">
        <f>54784-100</f>
        <v>54684</v>
      </c>
      <c r="C17" s="2">
        <v>1500</v>
      </c>
      <c r="D17" s="2">
        <v>2500</v>
      </c>
      <c r="E17" s="2">
        <f t="shared" si="0"/>
        <v>56184</v>
      </c>
      <c r="F17" s="2">
        <v>143850</v>
      </c>
      <c r="H17" s="2">
        <v>405098</v>
      </c>
      <c r="I17" s="2">
        <v>43717</v>
      </c>
      <c r="J17" s="2">
        <v>12000</v>
      </c>
      <c r="K17" s="2">
        <f t="shared" si="1"/>
        <v>143850</v>
      </c>
      <c r="L17" s="2">
        <v>2000</v>
      </c>
      <c r="M17" s="2">
        <v>12300</v>
      </c>
      <c r="O17" s="2">
        <v>69750</v>
      </c>
      <c r="P17" s="2">
        <f>SUM(M17:N17)</f>
        <v>12300</v>
      </c>
      <c r="Q17" s="2">
        <f t="shared" si="2"/>
        <v>2248687</v>
      </c>
      <c r="S17">
        <f>2209437+37250</f>
        <v>2246687</v>
      </c>
      <c r="T17">
        <f>3000-1000</f>
        <v>2000</v>
      </c>
    </row>
    <row r="18" spans="1:19" ht="12.75">
      <c r="A18" s="1" t="s">
        <v>22</v>
      </c>
      <c r="H18" s="2">
        <v>1000</v>
      </c>
      <c r="Q18" s="2">
        <f t="shared" si="2"/>
        <v>500</v>
      </c>
      <c r="S18">
        <v>500</v>
      </c>
    </row>
    <row r="19" spans="1:20" ht="12.75">
      <c r="A19" s="1" t="s">
        <v>23</v>
      </c>
      <c r="B19" s="2">
        <v>15224</v>
      </c>
      <c r="E19" s="2">
        <f aca="true" t="shared" si="3" ref="E19:E46">SUM(B19:C19)</f>
        <v>15224</v>
      </c>
      <c r="F19" s="2">
        <f>7250-1000</f>
        <v>6250</v>
      </c>
      <c r="H19" s="2">
        <v>10000</v>
      </c>
      <c r="I19" s="2">
        <v>4000</v>
      </c>
      <c r="K19" s="2">
        <f aca="true" t="shared" si="4" ref="K19:K35">SUM(F19:G19)</f>
        <v>6250</v>
      </c>
      <c r="L19" s="2">
        <v>6900</v>
      </c>
      <c r="O19" s="2">
        <v>500</v>
      </c>
      <c r="Q19" s="2">
        <f t="shared" si="2"/>
        <v>22250</v>
      </c>
      <c r="S19">
        <v>21250</v>
      </c>
      <c r="T19">
        <v>1000</v>
      </c>
    </row>
    <row r="20" spans="1:20" ht="12.75">
      <c r="A20" s="1" t="s">
        <v>24</v>
      </c>
      <c r="B20" s="2">
        <v>13750</v>
      </c>
      <c r="E20" s="2">
        <f t="shared" si="3"/>
        <v>13750</v>
      </c>
      <c r="F20" s="2">
        <v>20500</v>
      </c>
      <c r="H20" s="2">
        <v>10500</v>
      </c>
      <c r="I20" s="2">
        <v>16450</v>
      </c>
      <c r="J20" s="2">
        <v>1000</v>
      </c>
      <c r="K20" s="2">
        <f t="shared" si="4"/>
        <v>20500</v>
      </c>
      <c r="L20" s="2">
        <v>8221</v>
      </c>
      <c r="O20" s="2">
        <v>13000</v>
      </c>
      <c r="Q20" s="2">
        <f t="shared" si="2"/>
        <v>17750</v>
      </c>
      <c r="S20">
        <v>15750</v>
      </c>
      <c r="T20">
        <v>2000</v>
      </c>
    </row>
    <row r="21" spans="1:20" ht="12.75">
      <c r="A21" s="1" t="s">
        <v>25</v>
      </c>
      <c r="B21" s="2">
        <v>3800</v>
      </c>
      <c r="E21" s="2">
        <f t="shared" si="3"/>
        <v>3800</v>
      </c>
      <c r="F21" s="2">
        <v>15000</v>
      </c>
      <c r="H21" s="2">
        <v>500</v>
      </c>
      <c r="I21" s="2">
        <v>4000</v>
      </c>
      <c r="J21" s="2">
        <v>250</v>
      </c>
      <c r="K21" s="2">
        <f t="shared" si="4"/>
        <v>15000</v>
      </c>
      <c r="Q21" s="2">
        <f t="shared" si="2"/>
        <v>21800</v>
      </c>
      <c r="S21">
        <v>19550</v>
      </c>
      <c r="T21">
        <v>2250</v>
      </c>
    </row>
    <row r="22" spans="1:20" ht="12.75">
      <c r="A22" s="1" t="s">
        <v>26</v>
      </c>
      <c r="B22" s="2">
        <v>117310</v>
      </c>
      <c r="C22" s="2">
        <v>2050</v>
      </c>
      <c r="D22" s="2">
        <v>93490</v>
      </c>
      <c r="E22" s="2">
        <f t="shared" si="3"/>
        <v>119360</v>
      </c>
      <c r="F22" s="2">
        <v>523326</v>
      </c>
      <c r="G22" s="2">
        <v>1000</v>
      </c>
      <c r="H22" s="2">
        <f>604700-2000</f>
        <v>602700</v>
      </c>
      <c r="I22" s="2">
        <v>350538</v>
      </c>
      <c r="J22" s="2">
        <v>2500</v>
      </c>
      <c r="K22" s="2">
        <f t="shared" si="4"/>
        <v>524326</v>
      </c>
      <c r="L22" s="2">
        <f>24450-50</f>
        <v>24400</v>
      </c>
      <c r="M22" s="2">
        <v>6000</v>
      </c>
      <c r="N22" s="2">
        <v>1800</v>
      </c>
      <c r="O22" s="2">
        <f>261334-6000</f>
        <v>255334</v>
      </c>
      <c r="P22" s="2">
        <f>SUM(M22:N22)</f>
        <v>7800</v>
      </c>
      <c r="Q22" s="2">
        <f t="shared" si="2"/>
        <v>311630</v>
      </c>
      <c r="S22">
        <v>308980</v>
      </c>
      <c r="T22">
        <f>5650-3000</f>
        <v>2650</v>
      </c>
    </row>
    <row r="23" spans="1:20" ht="12.75">
      <c r="A23" s="1" t="s">
        <v>27</v>
      </c>
      <c r="B23" s="2">
        <v>10000</v>
      </c>
      <c r="E23" s="2">
        <f t="shared" si="3"/>
        <v>10000</v>
      </c>
      <c r="F23" s="2">
        <v>52800</v>
      </c>
      <c r="G23" s="2">
        <v>1000</v>
      </c>
      <c r="H23" s="2">
        <v>60300</v>
      </c>
      <c r="I23" s="2">
        <v>31600</v>
      </c>
      <c r="J23" s="2">
        <v>8000</v>
      </c>
      <c r="K23" s="2">
        <f t="shared" si="4"/>
        <v>53800</v>
      </c>
      <c r="L23" s="2">
        <f>2550-60</f>
        <v>2490</v>
      </c>
      <c r="O23" s="2">
        <v>9500</v>
      </c>
      <c r="Q23" s="2">
        <f t="shared" si="2"/>
        <v>201900</v>
      </c>
      <c r="S23">
        <v>200450</v>
      </c>
      <c r="T23">
        <v>1450</v>
      </c>
    </row>
    <row r="24" spans="1:20" ht="12.75">
      <c r="A24" s="1" t="s">
        <v>28</v>
      </c>
      <c r="B24" s="2">
        <v>9710</v>
      </c>
      <c r="E24" s="2">
        <f t="shared" si="3"/>
        <v>9710</v>
      </c>
      <c r="F24" s="2">
        <v>8250</v>
      </c>
      <c r="H24" s="2">
        <v>38500</v>
      </c>
      <c r="I24" s="2">
        <v>51625</v>
      </c>
      <c r="K24" s="2">
        <f t="shared" si="4"/>
        <v>8250</v>
      </c>
      <c r="L24" s="2">
        <v>850</v>
      </c>
      <c r="O24" s="2">
        <v>6000</v>
      </c>
      <c r="Q24" s="2">
        <f t="shared" si="2"/>
        <v>109877</v>
      </c>
      <c r="S24">
        <v>107327</v>
      </c>
      <c r="T24">
        <v>2550</v>
      </c>
    </row>
    <row r="25" spans="1:20" ht="12.75">
      <c r="A25" s="1" t="s">
        <v>29</v>
      </c>
      <c r="B25" s="2">
        <v>2750</v>
      </c>
      <c r="E25" s="2">
        <f t="shared" si="3"/>
        <v>2750</v>
      </c>
      <c r="F25" s="2">
        <v>1000</v>
      </c>
      <c r="H25" s="2">
        <v>154960</v>
      </c>
      <c r="I25" s="2">
        <v>24750</v>
      </c>
      <c r="K25" s="2">
        <f t="shared" si="4"/>
        <v>1000</v>
      </c>
      <c r="L25" s="2">
        <f>20147-350</f>
        <v>19797</v>
      </c>
      <c r="O25" s="2">
        <v>500</v>
      </c>
      <c r="Q25" s="2">
        <f t="shared" si="2"/>
        <v>248495</v>
      </c>
      <c r="S25">
        <v>245645</v>
      </c>
      <c r="T25">
        <v>2850</v>
      </c>
    </row>
    <row r="26" spans="1:20" ht="12.75">
      <c r="A26" s="1" t="s">
        <v>30</v>
      </c>
      <c r="B26" s="2">
        <v>14299</v>
      </c>
      <c r="C26" s="2">
        <v>250</v>
      </c>
      <c r="D26" s="2">
        <v>7750</v>
      </c>
      <c r="E26" s="2">
        <f t="shared" si="3"/>
        <v>14549</v>
      </c>
      <c r="F26" s="2">
        <v>140750</v>
      </c>
      <c r="G26" s="2">
        <v>1000</v>
      </c>
      <c r="H26" s="2">
        <f>197620-1000</f>
        <v>196620</v>
      </c>
      <c r="I26" s="2">
        <v>46750</v>
      </c>
      <c r="J26" s="2">
        <v>1500</v>
      </c>
      <c r="K26" s="2">
        <f t="shared" si="4"/>
        <v>141750</v>
      </c>
      <c r="L26" s="2">
        <v>250</v>
      </c>
      <c r="M26" s="2">
        <f>12500-2000</f>
        <v>10500</v>
      </c>
      <c r="O26" s="2">
        <v>4500</v>
      </c>
      <c r="P26" s="2">
        <f>SUM(M26:N26)</f>
        <v>10500</v>
      </c>
      <c r="Q26" s="2">
        <f t="shared" si="2"/>
        <v>313200</v>
      </c>
      <c r="S26">
        <f>306950+250</f>
        <v>307200</v>
      </c>
      <c r="T26">
        <v>6000</v>
      </c>
    </row>
    <row r="27" spans="1:20" ht="12.75">
      <c r="A27" s="1" t="s">
        <v>31</v>
      </c>
      <c r="B27" s="2">
        <f>360301-600</f>
        <v>359701</v>
      </c>
      <c r="C27" s="2">
        <v>49750</v>
      </c>
      <c r="D27" s="2">
        <v>250</v>
      </c>
      <c r="E27" s="2">
        <f t="shared" si="3"/>
        <v>409451</v>
      </c>
      <c r="F27" s="2">
        <f>(2579841-6500)+6000</f>
        <v>2579341</v>
      </c>
      <c r="G27" s="2">
        <v>160750</v>
      </c>
      <c r="H27" s="2">
        <v>73200</v>
      </c>
      <c r="I27" s="2">
        <v>179200</v>
      </c>
      <c r="J27" s="2">
        <v>47300</v>
      </c>
      <c r="K27" s="2">
        <f t="shared" si="4"/>
        <v>2740091</v>
      </c>
      <c r="L27" s="2">
        <v>16750</v>
      </c>
      <c r="M27" s="2">
        <v>5000</v>
      </c>
      <c r="O27" s="2">
        <v>176550</v>
      </c>
      <c r="P27" s="2">
        <f>SUM(M27:N27)</f>
        <v>5000</v>
      </c>
      <c r="Q27" s="2">
        <f t="shared" si="2"/>
        <v>1438556</v>
      </c>
      <c r="S27">
        <f>1437306-2000</f>
        <v>1435306</v>
      </c>
      <c r="T27">
        <f>(5250-1000)-1000</f>
        <v>3250</v>
      </c>
    </row>
    <row r="28" spans="1:20" ht="12.75">
      <c r="A28" s="1" t="s">
        <v>32</v>
      </c>
      <c r="B28" s="2">
        <v>122323</v>
      </c>
      <c r="C28" s="2">
        <v>7250</v>
      </c>
      <c r="D28" s="2">
        <v>2250</v>
      </c>
      <c r="E28" s="2">
        <f t="shared" si="3"/>
        <v>129573</v>
      </c>
      <c r="F28" s="2">
        <v>239400</v>
      </c>
      <c r="G28" s="2">
        <v>13250</v>
      </c>
      <c r="H28" s="2">
        <v>127400</v>
      </c>
      <c r="I28" s="2">
        <v>264926</v>
      </c>
      <c r="J28" s="2">
        <v>46750</v>
      </c>
      <c r="K28" s="2">
        <f t="shared" si="4"/>
        <v>252650</v>
      </c>
      <c r="L28" s="2">
        <v>7100</v>
      </c>
      <c r="M28" s="2">
        <v>2000</v>
      </c>
      <c r="N28" s="2">
        <v>2250</v>
      </c>
      <c r="O28" s="2">
        <v>269500</v>
      </c>
      <c r="P28" s="2">
        <f>SUM(M28:N28)</f>
        <v>4250</v>
      </c>
      <c r="Q28" s="2">
        <f t="shared" si="2"/>
        <v>698511</v>
      </c>
      <c r="S28">
        <v>696760</v>
      </c>
      <c r="T28">
        <v>1751</v>
      </c>
    </row>
    <row r="29" spans="1:19" ht="12.75">
      <c r="A29" s="1" t="s">
        <v>33</v>
      </c>
      <c r="B29" s="2">
        <v>34950</v>
      </c>
      <c r="C29" s="2">
        <v>250</v>
      </c>
      <c r="E29" s="2">
        <f t="shared" si="3"/>
        <v>35200</v>
      </c>
      <c r="F29" s="2">
        <v>19700</v>
      </c>
      <c r="H29" s="2">
        <v>500</v>
      </c>
      <c r="I29" s="2">
        <v>6500</v>
      </c>
      <c r="J29" s="2">
        <v>750</v>
      </c>
      <c r="K29" s="2">
        <f t="shared" si="4"/>
        <v>19700</v>
      </c>
      <c r="L29" s="2">
        <v>2450</v>
      </c>
      <c r="O29" s="2">
        <v>1250</v>
      </c>
      <c r="Q29" s="2">
        <f t="shared" si="2"/>
        <v>31650</v>
      </c>
      <c r="S29">
        <f>30650+1000</f>
        <v>31650</v>
      </c>
    </row>
    <row r="30" spans="1:20" ht="12.75">
      <c r="A30" s="1" t="s">
        <v>34</v>
      </c>
      <c r="B30" s="2">
        <v>47884</v>
      </c>
      <c r="C30" s="2">
        <v>800</v>
      </c>
      <c r="D30" s="2">
        <v>2000</v>
      </c>
      <c r="E30" s="2">
        <f t="shared" si="3"/>
        <v>48684</v>
      </c>
      <c r="F30" s="2">
        <v>116750</v>
      </c>
      <c r="G30" s="2">
        <v>1000</v>
      </c>
      <c r="H30" s="2">
        <f>210850-1000</f>
        <v>209850</v>
      </c>
      <c r="I30" s="2">
        <v>77950</v>
      </c>
      <c r="J30" s="2">
        <v>2800</v>
      </c>
      <c r="K30" s="2">
        <f t="shared" si="4"/>
        <v>117750</v>
      </c>
      <c r="L30" s="2">
        <v>10500</v>
      </c>
      <c r="M30" s="2">
        <v>36000</v>
      </c>
      <c r="N30" s="2">
        <v>1000</v>
      </c>
      <c r="O30" s="2">
        <v>82250</v>
      </c>
      <c r="P30" s="2">
        <f>SUM(M30:N30)</f>
        <v>37000</v>
      </c>
      <c r="Q30" s="2">
        <f t="shared" si="2"/>
        <v>687900</v>
      </c>
      <c r="S30">
        <v>685600</v>
      </c>
      <c r="T30">
        <f>3300-1000</f>
        <v>2300</v>
      </c>
    </row>
    <row r="31" spans="1:20" ht="12.75">
      <c r="A31" s="1" t="s">
        <v>35</v>
      </c>
      <c r="B31" s="2">
        <v>71000</v>
      </c>
      <c r="D31" s="2">
        <v>250</v>
      </c>
      <c r="E31" s="2">
        <f t="shared" si="3"/>
        <v>71000</v>
      </c>
      <c r="F31" s="2">
        <v>113940</v>
      </c>
      <c r="H31" s="2">
        <v>33600</v>
      </c>
      <c r="I31" s="2">
        <v>19975</v>
      </c>
      <c r="K31" s="2">
        <f t="shared" si="4"/>
        <v>113940</v>
      </c>
      <c r="L31" s="2">
        <v>5650</v>
      </c>
      <c r="O31" s="2">
        <v>27100</v>
      </c>
      <c r="Q31" s="2">
        <f t="shared" si="2"/>
        <v>109850</v>
      </c>
      <c r="S31">
        <v>107600</v>
      </c>
      <c r="T31">
        <f>3250-1000</f>
        <v>2250</v>
      </c>
    </row>
    <row r="32" spans="1:20" ht="12.75">
      <c r="A32" s="1" t="s">
        <v>36</v>
      </c>
      <c r="B32" s="2">
        <v>23000</v>
      </c>
      <c r="C32" s="2">
        <v>250</v>
      </c>
      <c r="E32" s="2">
        <f t="shared" si="3"/>
        <v>23250</v>
      </c>
      <c r="F32" s="2">
        <v>28775</v>
      </c>
      <c r="G32" s="2">
        <v>2000</v>
      </c>
      <c r="H32" s="2">
        <v>63550</v>
      </c>
      <c r="I32" s="2">
        <v>1263593</v>
      </c>
      <c r="J32" s="2">
        <v>4500</v>
      </c>
      <c r="K32" s="2">
        <f t="shared" si="4"/>
        <v>30775</v>
      </c>
      <c r="L32" s="2">
        <v>750</v>
      </c>
      <c r="O32" s="2">
        <v>15500</v>
      </c>
      <c r="Q32" s="2">
        <f t="shared" si="2"/>
        <v>399175</v>
      </c>
      <c r="S32">
        <v>389675</v>
      </c>
      <c r="T32">
        <v>9500</v>
      </c>
    </row>
    <row r="33" spans="1:20" ht="12.75">
      <c r="A33" s="1" t="s">
        <v>37</v>
      </c>
      <c r="B33" s="2">
        <v>1000</v>
      </c>
      <c r="E33" s="2">
        <f t="shared" si="3"/>
        <v>1000</v>
      </c>
      <c r="F33" s="2">
        <v>2000</v>
      </c>
      <c r="H33" s="2">
        <f>202500-25</f>
        <v>202475</v>
      </c>
      <c r="I33" s="2">
        <v>23000</v>
      </c>
      <c r="J33" s="2">
        <v>1000</v>
      </c>
      <c r="K33" s="2">
        <f t="shared" si="4"/>
        <v>2000</v>
      </c>
      <c r="N33" s="2">
        <v>1000</v>
      </c>
      <c r="O33" s="2">
        <v>500</v>
      </c>
      <c r="P33" s="2">
        <f>SUM(M33:N33)</f>
        <v>1000</v>
      </c>
      <c r="Q33" s="2">
        <f t="shared" si="2"/>
        <v>37350</v>
      </c>
      <c r="S33">
        <f>31850+4000</f>
        <v>35850</v>
      </c>
      <c r="T33">
        <v>1500</v>
      </c>
    </row>
    <row r="34" spans="1:20" ht="12.75">
      <c r="A34" s="1" t="s">
        <v>38</v>
      </c>
      <c r="B34" s="2">
        <v>5300</v>
      </c>
      <c r="E34" s="2">
        <f t="shared" si="3"/>
        <v>5300</v>
      </c>
      <c r="F34" s="2">
        <v>1500</v>
      </c>
      <c r="H34" s="2">
        <v>3000</v>
      </c>
      <c r="K34" s="2">
        <f t="shared" si="4"/>
        <v>1500</v>
      </c>
      <c r="L34" s="2">
        <v>800</v>
      </c>
      <c r="Q34" s="2">
        <f t="shared" si="2"/>
        <v>13300</v>
      </c>
      <c r="S34">
        <v>12750</v>
      </c>
      <c r="T34">
        <v>550</v>
      </c>
    </row>
    <row r="35" spans="1:20" ht="12.75">
      <c r="A35" s="1" t="s">
        <v>39</v>
      </c>
      <c r="B35" s="2">
        <v>34950</v>
      </c>
      <c r="E35" s="2">
        <f t="shared" si="3"/>
        <v>34950</v>
      </c>
      <c r="F35" s="2">
        <v>5750</v>
      </c>
      <c r="H35" s="2">
        <f>1188841-3600</f>
        <v>1185241</v>
      </c>
      <c r="I35" s="2">
        <v>11500</v>
      </c>
      <c r="J35" s="2">
        <v>10800</v>
      </c>
      <c r="K35" s="2">
        <f t="shared" si="4"/>
        <v>5750</v>
      </c>
      <c r="L35" s="2">
        <v>4600</v>
      </c>
      <c r="M35" s="2">
        <v>2000</v>
      </c>
      <c r="N35" s="2">
        <v>250</v>
      </c>
      <c r="O35" s="2">
        <v>7250</v>
      </c>
      <c r="P35" s="2">
        <f>SUM(M35:N35)</f>
        <v>2250</v>
      </c>
      <c r="Q35" s="2">
        <f t="shared" si="2"/>
        <v>292842</v>
      </c>
      <c r="S35">
        <v>286900</v>
      </c>
      <c r="T35">
        <f>6442-500</f>
        <v>5942</v>
      </c>
    </row>
    <row r="36" spans="1:19" ht="12.75">
      <c r="A36" s="1" t="s">
        <v>40</v>
      </c>
      <c r="B36" s="2">
        <v>700</v>
      </c>
      <c r="E36" s="2">
        <f t="shared" si="3"/>
        <v>700</v>
      </c>
      <c r="H36" s="2">
        <v>1500</v>
      </c>
      <c r="M36" s="2">
        <f>11050-100</f>
        <v>10950</v>
      </c>
      <c r="P36" s="2">
        <f>SUM(M36:N36)</f>
        <v>10950</v>
      </c>
      <c r="Q36" s="2">
        <f t="shared" si="2"/>
        <v>5250</v>
      </c>
      <c r="S36">
        <v>5250</v>
      </c>
    </row>
    <row r="37" spans="1:20" ht="12.75">
      <c r="A37" s="1" t="s">
        <v>41</v>
      </c>
      <c r="B37" s="2">
        <v>3199</v>
      </c>
      <c r="E37" s="2">
        <f t="shared" si="3"/>
        <v>3199</v>
      </c>
      <c r="F37" s="2">
        <v>1000</v>
      </c>
      <c r="H37" s="2">
        <v>17000</v>
      </c>
      <c r="I37" s="2">
        <v>17750</v>
      </c>
      <c r="J37" s="2">
        <v>2000</v>
      </c>
      <c r="K37" s="2">
        <f aca="true" t="shared" si="5" ref="K37:K58">SUM(F37:G37)</f>
        <v>1000</v>
      </c>
      <c r="L37" s="2">
        <v>1250</v>
      </c>
      <c r="O37" s="2">
        <v>1250</v>
      </c>
      <c r="Q37" s="2">
        <f t="shared" si="2"/>
        <v>30100</v>
      </c>
      <c r="S37">
        <v>29600</v>
      </c>
      <c r="T37">
        <v>500</v>
      </c>
    </row>
    <row r="38" spans="1:20" ht="12.75">
      <c r="A38" s="1" t="s">
        <v>42</v>
      </c>
      <c r="B38" s="2">
        <v>91239</v>
      </c>
      <c r="C38" s="2">
        <v>250</v>
      </c>
      <c r="E38" s="2">
        <f t="shared" si="3"/>
        <v>91489</v>
      </c>
      <c r="F38" s="2">
        <v>61350</v>
      </c>
      <c r="G38" s="2">
        <v>500</v>
      </c>
      <c r="H38" s="2">
        <v>21450</v>
      </c>
      <c r="I38" s="2">
        <v>13700</v>
      </c>
      <c r="J38" s="2">
        <v>2750</v>
      </c>
      <c r="K38" s="2">
        <f t="shared" si="5"/>
        <v>61850</v>
      </c>
      <c r="L38" s="2">
        <f>4500-25</f>
        <v>4475</v>
      </c>
      <c r="O38" s="2">
        <v>18560</v>
      </c>
      <c r="Q38" s="2">
        <f t="shared" si="2"/>
        <v>57600</v>
      </c>
      <c r="S38">
        <v>56600</v>
      </c>
      <c r="T38">
        <v>1000</v>
      </c>
    </row>
    <row r="39" spans="1:20" ht="12.75">
      <c r="A39" s="1" t="s">
        <v>43</v>
      </c>
      <c r="B39" s="2">
        <f>163350-1000</f>
        <v>162350</v>
      </c>
      <c r="C39" s="2">
        <v>4500</v>
      </c>
      <c r="D39" s="2">
        <v>3000</v>
      </c>
      <c r="E39" s="2">
        <f t="shared" si="3"/>
        <v>166850</v>
      </c>
      <c r="F39" s="2">
        <f>586775+7500</f>
        <v>594275</v>
      </c>
      <c r="G39" s="2">
        <v>112350</v>
      </c>
      <c r="H39" s="2">
        <v>220400</v>
      </c>
      <c r="I39" s="2">
        <v>266698</v>
      </c>
      <c r="J39" s="2">
        <v>7500</v>
      </c>
      <c r="K39" s="2">
        <f t="shared" si="5"/>
        <v>706625</v>
      </c>
      <c r="L39" s="2">
        <f>7295-25</f>
        <v>7270</v>
      </c>
      <c r="N39" s="2">
        <v>7750</v>
      </c>
      <c r="O39" s="2">
        <v>441876</v>
      </c>
      <c r="P39" s="2">
        <f>SUM(M39:N39)</f>
        <v>7750</v>
      </c>
      <c r="Q39" s="2">
        <f t="shared" si="2"/>
        <v>1113200</v>
      </c>
      <c r="S39">
        <v>1109050</v>
      </c>
      <c r="T39">
        <f>4200-50</f>
        <v>4150</v>
      </c>
    </row>
    <row r="40" spans="1:20" ht="12.75">
      <c r="A40" s="1" t="s">
        <v>44</v>
      </c>
      <c r="B40" s="2">
        <v>41400</v>
      </c>
      <c r="E40" s="2">
        <f t="shared" si="3"/>
        <v>41400</v>
      </c>
      <c r="F40" s="2">
        <v>10750</v>
      </c>
      <c r="H40" s="2">
        <v>64750</v>
      </c>
      <c r="I40" s="2">
        <v>7250</v>
      </c>
      <c r="J40" s="2">
        <v>4000</v>
      </c>
      <c r="K40" s="2">
        <f t="shared" si="5"/>
        <v>10750</v>
      </c>
      <c r="L40" s="2">
        <f>15442-692</f>
        <v>14750</v>
      </c>
      <c r="O40" s="2">
        <v>3500</v>
      </c>
      <c r="Q40" s="2">
        <f t="shared" si="2"/>
        <v>54400</v>
      </c>
      <c r="S40">
        <v>53650</v>
      </c>
      <c r="T40">
        <v>750</v>
      </c>
    </row>
    <row r="41" spans="1:19" ht="12.75">
      <c r="A41" s="1" t="s">
        <v>45</v>
      </c>
      <c r="B41" s="2">
        <v>13600</v>
      </c>
      <c r="E41" s="2">
        <f t="shared" si="3"/>
        <v>13600</v>
      </c>
      <c r="F41" s="2">
        <f>30250-2000</f>
        <v>28250</v>
      </c>
      <c r="H41" s="2">
        <v>60996</v>
      </c>
      <c r="I41" s="2">
        <f>90350-1000</f>
        <v>89350</v>
      </c>
      <c r="J41" s="2">
        <v>2000</v>
      </c>
      <c r="K41" s="2">
        <f t="shared" si="5"/>
        <v>28250</v>
      </c>
      <c r="L41" s="2">
        <v>2750</v>
      </c>
      <c r="O41" s="2">
        <v>10000</v>
      </c>
      <c r="Q41" s="2">
        <f t="shared" si="2"/>
        <v>97550</v>
      </c>
      <c r="S41">
        <v>97550</v>
      </c>
    </row>
    <row r="42" spans="1:20" ht="12.75">
      <c r="A42" s="1" t="s">
        <v>46</v>
      </c>
      <c r="B42" s="2">
        <f>813287-3800</f>
        <v>809487</v>
      </c>
      <c r="C42" s="2">
        <v>74100</v>
      </c>
      <c r="D42" s="2">
        <v>5750</v>
      </c>
      <c r="E42" s="2">
        <f t="shared" si="3"/>
        <v>883587</v>
      </c>
      <c r="F42" s="2">
        <f>1650810+2000</f>
        <v>1652810</v>
      </c>
      <c r="G42" s="2">
        <v>30300</v>
      </c>
      <c r="H42" s="2">
        <f>1190725-2000</f>
        <v>1188725</v>
      </c>
      <c r="I42" s="2">
        <f>776796-1000</f>
        <v>775796</v>
      </c>
      <c r="J42" s="2">
        <v>97752</v>
      </c>
      <c r="K42" s="2">
        <f t="shared" si="5"/>
        <v>1683110</v>
      </c>
      <c r="L42" s="2">
        <f>49306-100</f>
        <v>49206</v>
      </c>
      <c r="M42" s="2">
        <v>13200</v>
      </c>
      <c r="N42" s="2">
        <v>6500</v>
      </c>
      <c r="O42" s="2">
        <f>1415177-6000</f>
        <v>1409177</v>
      </c>
      <c r="P42" s="2">
        <f>SUM(M42:N42)</f>
        <v>19700</v>
      </c>
      <c r="Q42" s="2">
        <f aca="true" t="shared" si="6" ref="Q42:Q60">SUM(S42:T42)</f>
        <v>3054878</v>
      </c>
      <c r="S42">
        <f>3055390-3000</f>
        <v>3052390</v>
      </c>
      <c r="T42">
        <f>(4300-812)-1000</f>
        <v>2488</v>
      </c>
    </row>
    <row r="43" spans="1:20" ht="12.75">
      <c r="A43" s="1" t="s">
        <v>47</v>
      </c>
      <c r="B43" s="2">
        <v>33850</v>
      </c>
      <c r="E43" s="2">
        <f t="shared" si="3"/>
        <v>33850</v>
      </c>
      <c r="F43" s="2">
        <v>63650</v>
      </c>
      <c r="H43" s="2">
        <v>144975</v>
      </c>
      <c r="I43" s="2">
        <v>112900</v>
      </c>
      <c r="J43" s="2">
        <v>250</v>
      </c>
      <c r="K43" s="2">
        <f t="shared" si="5"/>
        <v>63650</v>
      </c>
      <c r="L43" s="2">
        <v>33150</v>
      </c>
      <c r="N43" s="2">
        <v>1000</v>
      </c>
      <c r="O43" s="2">
        <v>129850</v>
      </c>
      <c r="P43" s="2">
        <f>SUM(M43:N43)</f>
        <v>1000</v>
      </c>
      <c r="Q43" s="2">
        <f t="shared" si="6"/>
        <v>1494348</v>
      </c>
      <c r="S43">
        <v>1489585</v>
      </c>
      <c r="T43">
        <f>5278-515</f>
        <v>4763</v>
      </c>
    </row>
    <row r="44" spans="1:20" ht="12.75">
      <c r="A44" s="1" t="s">
        <v>48</v>
      </c>
      <c r="B44" s="2">
        <v>13200</v>
      </c>
      <c r="E44" s="2">
        <f t="shared" si="3"/>
        <v>13200</v>
      </c>
      <c r="F44" s="2">
        <v>5250</v>
      </c>
      <c r="H44" s="2">
        <v>159500</v>
      </c>
      <c r="I44" s="2">
        <v>26500</v>
      </c>
      <c r="K44" s="2">
        <f t="shared" si="5"/>
        <v>5250</v>
      </c>
      <c r="L44" s="2">
        <v>750</v>
      </c>
      <c r="O44" s="2">
        <v>84900</v>
      </c>
      <c r="Q44" s="2">
        <f t="shared" si="6"/>
        <v>49201</v>
      </c>
      <c r="S44">
        <v>45701</v>
      </c>
      <c r="T44">
        <v>3500</v>
      </c>
    </row>
    <row r="45" spans="1:20" ht="12.75">
      <c r="A45" s="1" t="s">
        <v>49</v>
      </c>
      <c r="B45" s="2">
        <v>53118</v>
      </c>
      <c r="E45" s="2">
        <f t="shared" si="3"/>
        <v>53118</v>
      </c>
      <c r="F45" s="2">
        <f>10750-4000</f>
        <v>6750</v>
      </c>
      <c r="H45" s="2">
        <v>92475</v>
      </c>
      <c r="I45" s="2">
        <v>4750</v>
      </c>
      <c r="K45" s="2">
        <f t="shared" si="5"/>
        <v>6750</v>
      </c>
      <c r="L45" s="2">
        <f>12200-20</f>
        <v>12180</v>
      </c>
      <c r="O45" s="2">
        <v>7450</v>
      </c>
      <c r="Q45" s="2">
        <f t="shared" si="6"/>
        <v>78425</v>
      </c>
      <c r="S45">
        <v>76925</v>
      </c>
      <c r="T45">
        <v>1500</v>
      </c>
    </row>
    <row r="46" spans="1:20" ht="12.75">
      <c r="A46" s="1" t="s">
        <v>50</v>
      </c>
      <c r="B46" s="2">
        <v>130591</v>
      </c>
      <c r="C46" s="2">
        <v>1050</v>
      </c>
      <c r="D46" s="2">
        <v>1350</v>
      </c>
      <c r="E46" s="2">
        <f t="shared" si="3"/>
        <v>131641</v>
      </c>
      <c r="F46" s="2">
        <f>(237255-2000)+2000</f>
        <v>237255</v>
      </c>
      <c r="G46" s="2">
        <v>6250</v>
      </c>
      <c r="H46" s="2">
        <v>311598</v>
      </c>
      <c r="I46" s="2">
        <v>184538</v>
      </c>
      <c r="J46" s="2">
        <v>20000</v>
      </c>
      <c r="K46" s="2">
        <f t="shared" si="5"/>
        <v>243505</v>
      </c>
      <c r="L46" s="2">
        <f>3450-25</f>
        <v>3425</v>
      </c>
      <c r="M46" s="2">
        <v>17000</v>
      </c>
      <c r="O46" s="2">
        <v>142700</v>
      </c>
      <c r="P46" s="2">
        <f>SUM(M46:N46)</f>
        <v>17000</v>
      </c>
      <c r="Q46" s="2">
        <f t="shared" si="6"/>
        <v>678157</v>
      </c>
      <c r="S46">
        <v>675657</v>
      </c>
      <c r="T46">
        <f>4500-2000</f>
        <v>2500</v>
      </c>
    </row>
    <row r="47" spans="1:19" ht="12.75">
      <c r="A47" s="1" t="s">
        <v>51</v>
      </c>
      <c r="F47" s="2">
        <v>43500</v>
      </c>
      <c r="G47" s="2">
        <v>37000</v>
      </c>
      <c r="I47" s="2">
        <v>33000</v>
      </c>
      <c r="K47" s="2">
        <f t="shared" si="5"/>
        <v>80500</v>
      </c>
      <c r="Q47" s="2">
        <f t="shared" si="6"/>
        <v>37500</v>
      </c>
      <c r="S47">
        <v>37500</v>
      </c>
    </row>
    <row r="48" spans="1:20" ht="12.75">
      <c r="A48" s="1" t="s">
        <v>52</v>
      </c>
      <c r="B48" s="2">
        <f>38000-100</f>
        <v>37900</v>
      </c>
      <c r="C48" s="2">
        <v>1000</v>
      </c>
      <c r="E48" s="2">
        <f aca="true" t="shared" si="7" ref="E48:E54">SUM(B48:C48)</f>
        <v>38900</v>
      </c>
      <c r="F48" s="2">
        <v>226750</v>
      </c>
      <c r="G48" s="2">
        <v>3000</v>
      </c>
      <c r="H48" s="2">
        <v>15000</v>
      </c>
      <c r="I48" s="2">
        <v>44750</v>
      </c>
      <c r="K48" s="2">
        <f t="shared" si="5"/>
        <v>229750</v>
      </c>
      <c r="L48" s="2">
        <v>1000</v>
      </c>
      <c r="O48" s="2">
        <v>34500</v>
      </c>
      <c r="Q48" s="2">
        <f t="shared" si="6"/>
        <v>40000</v>
      </c>
      <c r="S48">
        <v>39000</v>
      </c>
      <c r="T48">
        <v>1000</v>
      </c>
    </row>
    <row r="49" spans="1:20" ht="12.75">
      <c r="A49" s="1" t="s">
        <v>53</v>
      </c>
      <c r="B49" s="2">
        <v>28750</v>
      </c>
      <c r="C49" s="2">
        <v>1500</v>
      </c>
      <c r="D49" s="2">
        <v>6064</v>
      </c>
      <c r="E49" s="2">
        <f t="shared" si="7"/>
        <v>30250</v>
      </c>
      <c r="F49" s="2">
        <v>11000</v>
      </c>
      <c r="H49" s="2">
        <v>235432</v>
      </c>
      <c r="I49" s="2">
        <v>10800</v>
      </c>
      <c r="K49" s="2">
        <f t="shared" si="5"/>
        <v>11000</v>
      </c>
      <c r="M49" s="2">
        <v>200</v>
      </c>
      <c r="O49" s="2">
        <v>32650</v>
      </c>
      <c r="P49" s="2">
        <f>SUM(M49:N49)</f>
        <v>200</v>
      </c>
      <c r="Q49" s="2">
        <f t="shared" si="6"/>
        <v>104650</v>
      </c>
      <c r="S49">
        <v>103550</v>
      </c>
      <c r="T49">
        <v>1100</v>
      </c>
    </row>
    <row r="50" spans="1:20" ht="12.75">
      <c r="A50" s="1" t="s">
        <v>54</v>
      </c>
      <c r="B50" s="2">
        <v>900</v>
      </c>
      <c r="E50" s="2">
        <f t="shared" si="7"/>
        <v>900</v>
      </c>
      <c r="F50" s="2">
        <v>5500</v>
      </c>
      <c r="H50" s="2">
        <v>1250</v>
      </c>
      <c r="I50" s="2">
        <v>2000</v>
      </c>
      <c r="K50" s="2">
        <f t="shared" si="5"/>
        <v>5500</v>
      </c>
      <c r="O50" s="2">
        <v>8550</v>
      </c>
      <c r="Q50" s="2">
        <f t="shared" si="6"/>
        <v>110250</v>
      </c>
      <c r="S50">
        <v>109750</v>
      </c>
      <c r="T50">
        <v>500</v>
      </c>
    </row>
    <row r="51" spans="1:20" ht="12.75">
      <c r="A51" s="1" t="s">
        <v>55</v>
      </c>
      <c r="B51" s="2">
        <v>19200</v>
      </c>
      <c r="C51" s="2">
        <v>1000</v>
      </c>
      <c r="D51" s="2">
        <v>2000</v>
      </c>
      <c r="E51" s="2">
        <f t="shared" si="7"/>
        <v>20200</v>
      </c>
      <c r="F51" s="2">
        <v>59000</v>
      </c>
      <c r="H51" s="2">
        <f>202200-2000</f>
        <v>200200</v>
      </c>
      <c r="I51" s="2">
        <v>4565</v>
      </c>
      <c r="K51" s="2">
        <f t="shared" si="5"/>
        <v>59000</v>
      </c>
      <c r="L51" s="2">
        <v>250</v>
      </c>
      <c r="O51" s="2">
        <v>25400</v>
      </c>
      <c r="Q51" s="2">
        <f t="shared" si="6"/>
        <v>670399</v>
      </c>
      <c r="S51">
        <v>668399</v>
      </c>
      <c r="T51">
        <v>2000</v>
      </c>
    </row>
    <row r="52" spans="1:20" ht="12.75">
      <c r="A52" s="1" t="s">
        <v>56</v>
      </c>
      <c r="B52" s="2">
        <f>146945-550</f>
        <v>146395</v>
      </c>
      <c r="C52" s="2">
        <v>1250</v>
      </c>
      <c r="E52" s="2">
        <f t="shared" si="7"/>
        <v>147645</v>
      </c>
      <c r="F52" s="2">
        <v>130300</v>
      </c>
      <c r="G52" s="2">
        <v>250</v>
      </c>
      <c r="H52" s="2">
        <f>1446550-1000</f>
        <v>1445550</v>
      </c>
      <c r="I52" s="2">
        <v>202200</v>
      </c>
      <c r="J52" s="2">
        <v>18750</v>
      </c>
      <c r="K52" s="2">
        <f t="shared" si="5"/>
        <v>130550</v>
      </c>
      <c r="L52" s="2">
        <v>9580</v>
      </c>
      <c r="M52" s="2">
        <v>2000</v>
      </c>
      <c r="N52" s="2">
        <v>1000</v>
      </c>
      <c r="O52" s="2">
        <v>80450</v>
      </c>
      <c r="P52" s="2">
        <f>SUM(M52:N52)</f>
        <v>3000</v>
      </c>
      <c r="Q52" s="2">
        <f t="shared" si="6"/>
        <v>4192005</v>
      </c>
      <c r="S52">
        <v>4169930</v>
      </c>
      <c r="T52">
        <f>30275-8200</f>
        <v>22075</v>
      </c>
    </row>
    <row r="53" spans="1:20" ht="12.75">
      <c r="A53" s="1" t="s">
        <v>57</v>
      </c>
      <c r="B53" s="2">
        <v>37522</v>
      </c>
      <c r="E53" s="2">
        <f t="shared" si="7"/>
        <v>37522</v>
      </c>
      <c r="F53" s="2">
        <v>13500</v>
      </c>
      <c r="H53" s="2">
        <v>6250</v>
      </c>
      <c r="I53" s="2">
        <v>250</v>
      </c>
      <c r="J53" s="2">
        <v>250</v>
      </c>
      <c r="K53" s="2">
        <f t="shared" si="5"/>
        <v>13500</v>
      </c>
      <c r="L53" s="2">
        <v>3000</v>
      </c>
      <c r="O53" s="2">
        <v>5000</v>
      </c>
      <c r="Q53" s="2">
        <f t="shared" si="6"/>
        <v>3000</v>
      </c>
      <c r="S53">
        <v>2000</v>
      </c>
      <c r="T53">
        <v>1000</v>
      </c>
    </row>
    <row r="54" spans="1:20" ht="12.75">
      <c r="A54" s="1" t="s">
        <v>58</v>
      </c>
      <c r="B54" s="2">
        <f>151066-50</f>
        <v>151016</v>
      </c>
      <c r="C54" s="2">
        <v>6150</v>
      </c>
      <c r="D54" s="2">
        <v>772</v>
      </c>
      <c r="E54" s="2">
        <f t="shared" si="7"/>
        <v>157166</v>
      </c>
      <c r="F54" s="2">
        <v>163940</v>
      </c>
      <c r="G54" s="2">
        <v>15750</v>
      </c>
      <c r="H54" s="2">
        <v>221449</v>
      </c>
      <c r="I54" s="2">
        <v>179700</v>
      </c>
      <c r="J54" s="2">
        <v>61550</v>
      </c>
      <c r="K54" s="2">
        <f t="shared" si="5"/>
        <v>179690</v>
      </c>
      <c r="L54" s="2">
        <v>2695</v>
      </c>
      <c r="M54" s="2">
        <v>1000</v>
      </c>
      <c r="N54" s="2">
        <v>250</v>
      </c>
      <c r="O54" s="2">
        <v>190800</v>
      </c>
      <c r="P54" s="2">
        <f>SUM(M54:N54)</f>
        <v>1250</v>
      </c>
      <c r="Q54" s="2">
        <f t="shared" si="6"/>
        <v>2107025</v>
      </c>
      <c r="S54">
        <v>2096737</v>
      </c>
      <c r="T54">
        <f>11538-1250</f>
        <v>10288</v>
      </c>
    </row>
    <row r="55" spans="1:19" ht="12.75">
      <c r="A55" s="1" t="s">
        <v>59</v>
      </c>
      <c r="F55" s="2">
        <v>6000</v>
      </c>
      <c r="H55" s="2">
        <v>4000</v>
      </c>
      <c r="I55" s="2">
        <v>4000</v>
      </c>
      <c r="K55" s="2">
        <f t="shared" si="5"/>
        <v>6000</v>
      </c>
      <c r="O55" s="2">
        <v>3000</v>
      </c>
      <c r="Q55" s="2">
        <f t="shared" si="6"/>
        <v>13750</v>
      </c>
      <c r="S55">
        <v>13750</v>
      </c>
    </row>
    <row r="56" spans="1:20" ht="12.75">
      <c r="A56" s="1" t="s">
        <v>60</v>
      </c>
      <c r="B56" s="2">
        <f>412303-3778</f>
        <v>408525</v>
      </c>
      <c r="C56" s="2">
        <v>43000</v>
      </c>
      <c r="E56" s="2">
        <f aca="true" t="shared" si="8" ref="E56:E61">SUM(B56:C56)</f>
        <v>451525</v>
      </c>
      <c r="F56" s="2">
        <v>6500</v>
      </c>
      <c r="G56" s="2">
        <v>1000</v>
      </c>
      <c r="H56" s="2">
        <v>1350</v>
      </c>
      <c r="I56" s="2">
        <v>1000</v>
      </c>
      <c r="K56" s="2">
        <f t="shared" si="5"/>
        <v>7500</v>
      </c>
      <c r="L56" s="2">
        <v>5750</v>
      </c>
      <c r="O56" s="2">
        <v>250</v>
      </c>
      <c r="Q56" s="2">
        <f t="shared" si="6"/>
        <v>47250</v>
      </c>
      <c r="S56">
        <v>46250</v>
      </c>
      <c r="T56">
        <v>1000</v>
      </c>
    </row>
    <row r="57" spans="1:20" ht="12.75">
      <c r="A57" s="1" t="s">
        <v>61</v>
      </c>
      <c r="B57" s="2">
        <v>151325</v>
      </c>
      <c r="C57" s="2">
        <v>1250</v>
      </c>
      <c r="E57" s="2">
        <f t="shared" si="8"/>
        <v>152575</v>
      </c>
      <c r="F57" s="2">
        <v>92150</v>
      </c>
      <c r="G57" s="2">
        <v>750</v>
      </c>
      <c r="H57" s="2">
        <f>143450-2000</f>
        <v>141450</v>
      </c>
      <c r="I57" s="2">
        <v>22000</v>
      </c>
      <c r="J57" s="2">
        <v>4000</v>
      </c>
      <c r="K57" s="2">
        <f t="shared" si="5"/>
        <v>92900</v>
      </c>
      <c r="L57" s="2">
        <v>26000</v>
      </c>
      <c r="O57" s="2">
        <v>85996</v>
      </c>
      <c r="Q57" s="2">
        <f t="shared" si="6"/>
        <v>165102</v>
      </c>
      <c r="S57">
        <v>163002</v>
      </c>
      <c r="T57">
        <f>2200-100</f>
        <v>2100</v>
      </c>
    </row>
    <row r="58" spans="1:20" ht="12.75">
      <c r="A58" s="1" t="s">
        <v>62</v>
      </c>
      <c r="B58" s="2">
        <v>21071</v>
      </c>
      <c r="E58" s="2">
        <f t="shared" si="8"/>
        <v>21071</v>
      </c>
      <c r="F58" s="2">
        <v>29800</v>
      </c>
      <c r="H58" s="2">
        <v>19300</v>
      </c>
      <c r="I58" s="2">
        <v>18649</v>
      </c>
      <c r="K58" s="2">
        <f t="shared" si="5"/>
        <v>29800</v>
      </c>
      <c r="L58" s="2">
        <v>7750</v>
      </c>
      <c r="O58" s="2">
        <v>48000</v>
      </c>
      <c r="Q58" s="2">
        <f t="shared" si="6"/>
        <v>71550</v>
      </c>
      <c r="S58">
        <v>71350</v>
      </c>
      <c r="T58">
        <v>200</v>
      </c>
    </row>
    <row r="59" spans="1:20" ht="12.75">
      <c r="A59" s="1" t="s">
        <v>63</v>
      </c>
      <c r="B59" s="2">
        <v>1500</v>
      </c>
      <c r="E59" s="2">
        <f t="shared" si="8"/>
        <v>1500</v>
      </c>
      <c r="H59" s="2">
        <f>14400-1000</f>
        <v>13400</v>
      </c>
      <c r="I59" s="2">
        <v>31150</v>
      </c>
      <c r="L59" s="2">
        <v>2000</v>
      </c>
      <c r="Q59" s="2">
        <f t="shared" si="6"/>
        <v>22050</v>
      </c>
      <c r="S59">
        <v>22250</v>
      </c>
      <c r="T59">
        <v>-200</v>
      </c>
    </row>
    <row r="60" spans="1:20" ht="12.75">
      <c r="A60" s="1" t="s">
        <v>64</v>
      </c>
      <c r="B60" s="2">
        <v>5500</v>
      </c>
      <c r="C60" s="2">
        <v>500</v>
      </c>
      <c r="E60" s="2">
        <f t="shared" si="8"/>
        <v>6000</v>
      </c>
      <c r="F60" s="2">
        <v>6500</v>
      </c>
      <c r="H60" s="2">
        <v>2000</v>
      </c>
      <c r="I60" s="2">
        <v>1250</v>
      </c>
      <c r="K60" s="2">
        <f>SUM(F60:G60)</f>
        <v>6500</v>
      </c>
      <c r="L60" s="2">
        <v>1950</v>
      </c>
      <c r="O60" s="2">
        <v>250</v>
      </c>
      <c r="Q60" s="2">
        <f t="shared" si="6"/>
        <v>41800</v>
      </c>
      <c r="S60">
        <v>40800</v>
      </c>
      <c r="T60">
        <v>1000</v>
      </c>
    </row>
    <row r="61" spans="1:5" ht="12.75">
      <c r="A61" s="1" t="s">
        <v>65</v>
      </c>
      <c r="B61" s="2">
        <v>2250</v>
      </c>
      <c r="E61" s="2">
        <f t="shared" si="8"/>
        <v>2250</v>
      </c>
    </row>
    <row r="63" spans="1:20" ht="12.75">
      <c r="A63" s="1" t="s">
        <v>66</v>
      </c>
      <c r="B63" s="2">
        <f aca="true" t="shared" si="9" ref="B63:G63">SUM(B5:B61)</f>
        <v>5349189</v>
      </c>
      <c r="C63" s="2">
        <f t="shared" si="9"/>
        <v>279607</v>
      </c>
      <c r="D63" s="2">
        <f>SUM(D5:D61)</f>
        <v>168419</v>
      </c>
      <c r="E63" s="2">
        <f t="shared" si="9"/>
        <v>5628796</v>
      </c>
      <c r="F63" s="2">
        <f t="shared" si="9"/>
        <v>11550991</v>
      </c>
      <c r="G63" s="2">
        <f t="shared" si="9"/>
        <v>477200</v>
      </c>
      <c r="H63" s="2">
        <f>SUM(H5:H61)</f>
        <v>11325693</v>
      </c>
      <c r="I63" s="2">
        <f>SUM(I5:I61)</f>
        <v>6352772</v>
      </c>
      <c r="J63" s="2">
        <f>SUM(J5:J61)</f>
        <v>2745576</v>
      </c>
      <c r="K63" s="2">
        <f>SUM(K5:K61)</f>
        <v>12028191</v>
      </c>
      <c r="L63" s="2">
        <f>SUM(L6:L61)</f>
        <v>686228</v>
      </c>
      <c r="M63" s="2">
        <f>SUM(M5:M61)</f>
        <v>126350</v>
      </c>
      <c r="N63" s="2">
        <f>SUM(N5:N61)</f>
        <v>24300</v>
      </c>
      <c r="O63" s="2">
        <f>SUM(O5:O61)</f>
        <v>7405758</v>
      </c>
      <c r="P63" s="2">
        <f>SUM(P5:P61)</f>
        <v>150650</v>
      </c>
      <c r="Q63" s="2">
        <f>SUM(Q5:Q61)</f>
        <v>30712831</v>
      </c>
      <c r="S63">
        <f>SUM(S5:S61)</f>
        <v>30565516</v>
      </c>
      <c r="T63">
        <f>SUM(T5:T61)</f>
        <v>147315</v>
      </c>
    </row>
  </sheetData>
  <printOptions/>
  <pageMargins left="0.25" right="0.25" top="1" bottom="1" header="0.5" footer="0.5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acoles</dc:creator>
  <cp:keywords/>
  <dc:description/>
  <cp:lastModifiedBy>dsdd</cp:lastModifiedBy>
  <cp:lastPrinted>2003-08-06T20:54:10Z</cp:lastPrinted>
  <dcterms:created xsi:type="dcterms:W3CDTF">2003-08-01T06:54:35Z</dcterms:created>
  <dcterms:modified xsi:type="dcterms:W3CDTF">2003-08-06T20:54:45Z</dcterms:modified>
  <cp:category/>
  <cp:version/>
  <cp:contentType/>
  <cp:contentStatus/>
</cp:coreProperties>
</file>